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4.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5.xml" ContentType="application/vnd.openxmlformats-officedocument.drawing+xml"/>
  <Override PartName="/xl/ctrlProps/ctrlProp46.xml" ContentType="application/vnd.ms-excel.controlproperties+xml"/>
  <Override PartName="/xl/drawings/drawing6.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3.xml" ContentType="application/vnd.ms-excel.controlproperties+xml"/>
  <Override PartName="/xl/ctrlProps/ctrlProp54.xml" ContentType="application/vnd.ms-excel.controlproperties+xml"/>
  <Override PartName="/xl/comments1.xml" ContentType="application/vnd.openxmlformats-officedocument.spreadsheetml.comments+xml"/>
  <Override PartName="/xl/drawings/drawing10.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drawings/drawing13.xml" ContentType="application/vnd.openxmlformats-officedocument.drawing+xml"/>
  <Override PartName="/xl/ctrlProps/ctrlProp56.xml" ContentType="application/vnd.ms-excel.controlproperties+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tables/table1.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kanwal\Downloads\"/>
    </mc:Choice>
  </mc:AlternateContent>
  <xr:revisionPtr revIDLastSave="0" documentId="13_ncr:1_{DA69B796-C811-473C-AC7E-8EA7E4CD1CE0}" xr6:coauthVersionLast="47" xr6:coauthVersionMax="47" xr10:uidLastSave="{00000000-0000-0000-0000-000000000000}"/>
  <workbookProtection lockStructure="1"/>
  <bookViews>
    <workbookView showSheetTabs="0" xWindow="-108" yWindow="-108" windowWidth="23256" windowHeight="13896" tabRatio="629" xr2:uid="{00000000-000D-0000-FFFF-FFFF00000000}"/>
  </bookViews>
  <sheets>
    <sheet name="PART A Project Details" sheetId="1" r:id="rId1"/>
    <sheet name="PART B Staff Costs" sheetId="2" r:id="rId2"/>
    <sheet name="PART C Non-Staff Costs" sheetId="42" r:id="rId3"/>
    <sheet name="Summary of Price" sheetId="43" r:id="rId4"/>
    <sheet name="Budget Form" sheetId="5" r:id="rId5"/>
    <sheet name="On cost calculator" sheetId="25" r:id="rId6"/>
    <sheet name="TR1F" sheetId="9" r:id="rId7"/>
    <sheet name="Indicative offer letter" sheetId="20" r:id="rId8"/>
    <sheet name="Research Office Use - WD Budget" sheetId="44" r:id="rId9"/>
    <sheet name="EIB Staging" sheetId="37" r:id="rId10"/>
    <sheet name="EIB - Import Budget High Volume" sheetId="38" r:id="rId11"/>
    <sheet name="EIB - Budget Lines" sheetId="35" r:id="rId12"/>
    <sheet name="WorkDayEIB - Budget Lines" sheetId="47" r:id="rId13"/>
    <sheet name="Budget Form - AUD amounts" sheetId="30" r:id="rId14"/>
    <sheet name="Currency Rates" sheetId="32" r:id="rId15"/>
    <sheet name="Lookup Tables" sheetId="21" r:id="rId16"/>
    <sheet name="MASTER Lookup Tables" sheetId="6" r:id="rId17"/>
    <sheet name="Version History" sheetId="24" r:id="rId18"/>
  </sheets>
  <externalReferences>
    <externalReference r:id="rId19"/>
  </externalReferences>
  <definedNames>
    <definedName name="_xlnm._FilterDatabase" localSheetId="15">'Lookup Tables'!$C$4:$F$74</definedName>
    <definedName name="_GoBack" localSheetId="7">'Indicative offer letter'!#REF!</definedName>
    <definedName name="_Hlk43805235" localSheetId="7">'Indicative offer letter'!$B$26</definedName>
    <definedName name="_mFilterDatabase" localSheetId="16">'MASTER Lookup Tables'!$C$4:$F$48</definedName>
    <definedName name="_xleta.MAX" hidden="1" xlm="1">#NAME?</definedName>
    <definedName name="_xleta.ROUND" hidden="1" xlm="1">#NAME?</definedName>
    <definedName name="a_contingency" localSheetId="2">'PART C Non-Staff Costs'!$F$53:$O$53</definedName>
    <definedName name="a_contingency">'PART C Non-Staff Costs'!$P$53</definedName>
    <definedName name="a_nonstaff_costs">'PART C Non-Staff Costs'!$F$14:$O$43</definedName>
    <definedName name="a_nonstaffcosts" localSheetId="2">'PART C Non-Staff Costs'!$F$14:$O$43</definedName>
    <definedName name="a_nonstaffcosts">#REF!</definedName>
    <definedName name="a_supplies" localSheetId="2">'PART C Non-Staff Costs'!$F$14:$O$35</definedName>
    <definedName name="Advertising_and_marketing">'Lookup Tables'!$I$132</definedName>
    <definedName name="bf_activity">'Budget Form'!$F$28</definedName>
    <definedName name="bf_agreement_admin">'Budget Form'!$D$20</definedName>
    <definedName name="bf_chief_inv">'Budget Form'!$D$18</definedName>
    <definedName name="bf_company">'Budget Form'!$D$28</definedName>
    <definedName name="bf_cost_centre">'Budget Form'!$E$28</definedName>
    <definedName name="bf_department">'Budget Form'!$D$22</definedName>
    <definedName name="bf_end_year">'Budget Form'!$F$25</definedName>
    <definedName name="bf_external_party">'Budget Form'!$D$10</definedName>
    <definedName name="bf_location">'Budget Form'!$G$28</definedName>
    <definedName name="bf_lpc">'Budget Form'!$H$28</definedName>
    <definedName name="bf_project">'Budget Form'!$D$8</definedName>
    <definedName name="bf_project_details">'Budget Form'!$B$4</definedName>
    <definedName name="btn_AUDBudget">"CommandButton1"</definedName>
    <definedName name="btn_EIB_view">"Rectangle: Rounded Corners 2"</definedName>
    <definedName name="btn_open_budget">"Button 2"</definedName>
    <definedName name="btn_override_oncosts">"Button 4"</definedName>
    <definedName name="btn_psda_admin_download">"Rectangle 6"</definedName>
    <definedName name="btn_refresh_budget">"Rectangle 3"</definedName>
    <definedName name="btn_refresh_Currency_rates">"Button 3"</definedName>
    <definedName name="btn_refresh_rates">"Button 3"</definedName>
    <definedName name="btn_reset_oncosts_to_default">"Button 5"</definedName>
    <definedName name="cb_nocostrecovery">"chk_nocostrecovery"</definedName>
    <definedName name="Chk_CI_Costs">'PART B Staff Costs'!$U$17</definedName>
    <definedName name="chk_indirect_nonstaff_Costs">'Summary of Price'!$L$19</definedName>
    <definedName name="chk_no_cost_rec">'PART B Staff Costs'!$T$15</definedName>
    <definedName name="chk_oncosts" localSheetId="3">'Summary of Price'!$L$18</definedName>
    <definedName name="chk_override_mult">'PART B Staff Costs'!$U$15</definedName>
    <definedName name="chk_xrate">'PART A Project Details'!$W$19</definedName>
    <definedName name="Ci_Budget_Unit">'Budget Form'!#REF!</definedName>
    <definedName name="Ci_Cost_Centre">'Budget Form'!$G$143</definedName>
    <definedName name="CI_Costs_Confirmation">'PART B Staff Costs'!$B$17</definedName>
    <definedName name="CI_email">'Indicative offer letter'!$B$33</definedName>
    <definedName name="CI_Justification">'Budget Form'!$F$96</definedName>
    <definedName name="Ci_percentage">'Budget Form'!$E$143</definedName>
    <definedName name="CI_phone">'Indicative offer letter'!$B$32</definedName>
    <definedName name="CI_question">'Budget Form'!$B$95</definedName>
    <definedName name="CI_Title">'Indicative offer letter'!$B$29</definedName>
    <definedName name="Consumable_goods_and_supplies">'Lookup Tables'!$I$133:$I$134</definedName>
    <definedName name="currency_Check">'Budget Form'!$I$25</definedName>
    <definedName name="d_currency_refresh">'Currency Rates'!$I$3</definedName>
    <definedName name="d_project_year_count">'Lookup Tables'!$N$125</definedName>
    <definedName name="dActivity">'Lookup Tables'!$O$4:$O$5</definedName>
    <definedName name="Data_Management">'Lookup Tables'!$I$136</definedName>
    <definedName name="dCasAcaClass">'Lookup Tables'!$E$118:$E$145</definedName>
    <definedName name="dCasProClass">'Lookup Tables'!$E$75:$E$117</definedName>
    <definedName name="dCasTime">'Lookup Tables'!$L$6</definedName>
    <definedName name="dcost_multi_msg">'PART B Staff Costs'!$B$16</definedName>
    <definedName name="dCurrency">'Lookup Tables'!$U$36:$U$56</definedName>
    <definedName name="dCurrencyRates">'Lookup Tables'!$U$35:$Y$66</definedName>
    <definedName name="dDeliverableType">'Lookup Tables'!$O$51:$O$60</definedName>
    <definedName name="dean_approval_message">'Budget Form'!$F$62</definedName>
    <definedName name="default_xrate">'PART A Project Details'!$W$23</definedName>
    <definedName name="Dept_percentage">'Budget Form'!$E$142</definedName>
    <definedName name="dExternalParty">'Lookup Tables'!$R$45:$R$48</definedName>
    <definedName name="dFortAcaClass">'Lookup Tables'!$E$4:$E$31</definedName>
    <definedName name="dFortProClass">'Lookup Tables'!$E$32:$E$74</definedName>
    <definedName name="dFortTime">'Lookup Tables'!$L$4:$L$5</definedName>
    <definedName name="dfullrecovery">'Lookup Tables'!$R$54</definedName>
    <definedName name="dLocation">'Lookup Tables'!$O$11:$O$40</definedName>
    <definedName name="dMonth">'Lookup Tables'!$U$65:$U$76</definedName>
    <definedName name="dResearchType">'Lookup Tables'!$R$5:$R$7</definedName>
    <definedName name="dYear">'Lookup Tables'!$H$4:$H$22</definedName>
    <definedName name="edit_multiplier">"Picture 2"</definedName>
    <definedName name="eib_costcentre">'Research Office Use - WD Budget'!$D$10</definedName>
    <definedName name="eib_ext_party" localSheetId="8">'Research Office Use - WD Budget'!$D$12</definedName>
    <definedName name="eib_ext_party">'Research Office Use - WD Budget'!$D$12</definedName>
    <definedName name="eib_month_concat">'Lookup Tables'!$V$65:$W$76</definedName>
    <definedName name="eib_other_ext_party_category">'Research Office Use - WD Budget'!$D$14</definedName>
    <definedName name="eib_other_party_name">'Research Office Use - WD Budget'!$D$13</definedName>
    <definedName name="eib_salary_aft_end_month">'EIB Staging'!$V$6</definedName>
    <definedName name="eib_salary_aft_end_row">'EIB Staging'!$X$6</definedName>
    <definedName name="eib_salary_aft_end_year">'EIB Staging'!$U$6</definedName>
    <definedName name="eib_salary_aft_start_mon">'EIB Staging'!$T$6</definedName>
    <definedName name="eib_salary_aft_start_row">'EIB Staging'!$W$6</definedName>
    <definedName name="eib_salary_aft_start_year">'EIB Staging'!$S$6</definedName>
    <definedName name="End_Month">'PART A Project Details'!$F$24</definedName>
    <definedName name="Equipment_and_maintenance_and_utilities">'Lookup Tables'!$I$137:$I$141</definedName>
    <definedName name="Expert_services_and_consultants_and_contractors">'Lookup Tables'!$I$142:$I$145</definedName>
    <definedName name="ExternalData_1" localSheetId="14">'Currency Rates'!#REF!</definedName>
    <definedName name="ExternalData_1" localSheetId="17" hidden="1">'Version History'!$A$1:$B$23</definedName>
    <definedName name="ExternalData_10" localSheetId="14">'Currency Rates'!$A$2:$C$53</definedName>
    <definedName name="ExternalData_11" localSheetId="14">'Currency Rates'!$A$2:$C$53</definedName>
    <definedName name="ExternalData_12" localSheetId="14">'Currency Rates'!$A$2:$C$53</definedName>
    <definedName name="ExternalData_13" localSheetId="14">'Currency Rates'!$A$2:$C$53</definedName>
    <definedName name="ExternalData_14" localSheetId="14">'Currency Rates'!$A$2:$C$53</definedName>
    <definedName name="ExternalData_15" localSheetId="14">'Currency Rates'!$A$2:$C$53</definedName>
    <definedName name="ExternalData_16" localSheetId="14">'Currency Rates'!$A$2:$C$53</definedName>
    <definedName name="ExternalData_17" localSheetId="14">'Currency Rates'!$A$2:$C$53</definedName>
    <definedName name="ExternalData_18" localSheetId="14">'Currency Rates'!$A$2:$C$53</definedName>
    <definedName name="ExternalData_2" localSheetId="14">'Currency Rates'!#REF!</definedName>
    <definedName name="ExternalData_3" localSheetId="14">'Currency Rates'!$A$1:$C$52</definedName>
    <definedName name="ExternalData_4" localSheetId="14">'Currency Rates'!$A$1:$C$52</definedName>
    <definedName name="ExternalData_5" localSheetId="14">'Currency Rates'!$A$1:$C$52</definedName>
    <definedName name="ExternalData_6" localSheetId="14">'Currency Rates'!$A$2:$C$53</definedName>
    <definedName name="ExternalData_7" localSheetId="14">'Currency Rates'!$A$2:$C$53</definedName>
    <definedName name="ExternalData_8" localSheetId="14">'Currency Rates'!$A$2:$C$53</definedName>
    <definedName name="ExternalData_9" localSheetId="14">'Currency Rates'!$A$2:$C$53</definedName>
    <definedName name="Faculty_Budget_Unit">'Budget Form'!#REF!</definedName>
    <definedName name="Faculty_percentage">'Budget Form'!$E$140</definedName>
    <definedName name="First_year_fraction">'Lookup Tables'!$L$125</definedName>
    <definedName name="full_tool_name_and_current_version">'Version History'!$E$1</definedName>
    <definedName name="Funder_contact_name">'Indicative offer letter'!$C$5</definedName>
    <definedName name="head_label">'Budget Form'!$B$56</definedName>
    <definedName name="hod_message">'Budget Form'!#REF!</definedName>
    <definedName name="hod_name">'Budget Form'!$D$57</definedName>
    <definedName name="hod_position">'Budget Form'!$G$57</definedName>
    <definedName name="img_indirect_Cost">"Picture 7"</definedName>
    <definedName name="img_uom_oncosts">"Picture 11"</definedName>
    <definedName name="justification">'Budget Form'!$F$71</definedName>
    <definedName name="justification_label">'Budget Form'!$B$71</definedName>
    <definedName name="justification_long">'Budget Form'!$B$72</definedName>
    <definedName name="Justification_Options">'Lookup Tables'!$R$60:$R$66</definedName>
    <definedName name="Last_Year_Fraction">'Lookup Tables'!$M$125</definedName>
    <definedName name="lb_bform_gst_price_aud">'Budget Form'!$B$32</definedName>
    <definedName name="lb_bform_gst_price_foreign">'Budget Form'!$B$33</definedName>
    <definedName name="lbl_price_inc_gst" localSheetId="3">'Summary of Price'!$B$42</definedName>
    <definedName name="lbl_price_inc_gst">#REF!</definedName>
    <definedName name="letter_date">'Indicative offer letter'!$B$3</definedName>
    <definedName name="list_departments">'Lookup Tables'!$AC$4:$AC$250</definedName>
    <definedName name="lookup_activity">'Lookup Tables'!$O$2</definedName>
    <definedName name="lookup_cost_recovery_multiplier">'Lookup Tables'!$L$27</definedName>
    <definedName name="lookup_currency">'Lookup Tables'!$R$9</definedName>
    <definedName name="lookup_Dept_List">'Lookup Tables'!$AC$2</definedName>
    <definedName name="lookup_eba_increase">'Lookup Tables'!$H$2</definedName>
    <definedName name="lookup_locations">'Lookup Tables'!$O$9</definedName>
    <definedName name="lookup_oncost_percentages">'Lookup Tables'!$H$72</definedName>
    <definedName name="lookup_PG_stipend">'Lookup Tables'!$H$28</definedName>
    <definedName name="lookup_revenue_categories">'Lookup Tables'!$AN$2</definedName>
    <definedName name="lookup_salary_multipliers">'Lookup Tables'!$L$2</definedName>
    <definedName name="lookup_salary_rates">'Lookup Tables'!$B$2</definedName>
    <definedName name="lookup_superannualtion">'Lookup Tables'!$H$41</definedName>
    <definedName name="lv_annual_leave">'Lookup Tables'!$I$107:$I$109</definedName>
    <definedName name="lv_annual_leave_firstcell">'Lookup Tables'!$I$107</definedName>
    <definedName name="lv_Leave_Loading">'Lookup Tables'!$I$74:$I$76</definedName>
    <definedName name="lv_Leave_Loading_firstcell">'Lookup Tables'!$I$74</definedName>
    <definedName name="lv_long_service">'Lookup Tables'!$I$101:$I$103</definedName>
    <definedName name="lv_long_service_firstcell">'Lookup Tables'!$I$101</definedName>
    <definedName name="lv_master_oncosts_range">'MASTER Lookup Tables'!$H$41:$M$121</definedName>
    <definedName name="lv_month">'Lookup Tables'!$U$65:$W$76</definedName>
    <definedName name="lv_oncost_range_Start">'Lookup Tables'!$H$41</definedName>
    <definedName name="lv_parental_leave">'Lookup Tables'!$I$94:$I$96</definedName>
    <definedName name="lv_parental_leave_firstcell">'Lookup Tables'!$I$94</definedName>
    <definedName name="lv_Payroll_Tax">'Lookup Tables'!$I$81:$I$83</definedName>
    <definedName name="lv_Payroll_Tax_firstcell">'Lookup Tables'!$I$81</definedName>
    <definedName name="lv_super_table2">'Lookup Tables'!$K$53:$K$67</definedName>
    <definedName name="lv_super_table2_firstcell">'Lookup Tables'!$K$53</definedName>
    <definedName name="lv_Superannuation">'Lookup Tables'!$I$43:$I$45</definedName>
    <definedName name="lv_superannuation_firstcell">'Lookup Tables'!$I$43</definedName>
    <definedName name="lv_workcover">'Lookup Tables'!$I$88:$I$90</definedName>
    <definedName name="lv_workcover_firstcell">'Lookup Tables'!$I$88</definedName>
    <definedName name="m_Z_14CC7D48_F74C_409C_986F_C21E8F9D3A08_.wvu.FilterData" localSheetId="16">'MASTER Lookup Tables'!$C$4:$F$48</definedName>
    <definedName name="Minimum_Cost_Recovery_Multiplier">_xlfn.IFNA(VLOOKUP(Start_Year,'Lookup Tables'!$L$28:$M$35,2,FALSE),'Lookup Tables'!$M$35)</definedName>
    <definedName name="new_xrate">'PART A Project Details'!$W$24</definedName>
    <definedName name="Other_consumable_service">'Lookup Tables'!$I$146:$I$147</definedName>
    <definedName name="Other_Cost_Centre">'Budget Form'!$G$144</definedName>
    <definedName name="Other_percentage">'Budget Form'!$E$144</definedName>
    <definedName name="Other_Project">'Budget Form'!$I$144</definedName>
    <definedName name="PART_F_Themis_Allocation_of_Indirect_Costs">'Budget Form'!$A$136</definedName>
    <definedName name="PartE_Comments">'Budget Form'!$S$78</definedName>
    <definedName name="pCRInKind">'PART B Staff Costs'!$D$47</definedName>
    <definedName name="pCRNonSalaries">'PART B Staff Costs'!$D$47</definedName>
    <definedName name="pCRSalaries">'PART B Staff Costs'!$D$15</definedName>
    <definedName name="pEndYear">'PART A Project Details'!$E$24</definedName>
    <definedName name="PhD_stipends">'Lookup Tables'!$I$148</definedName>
    <definedName name="PopCache_LOAD_DELIVERABLE_LINE_P_BILLABLE" localSheetId="8" hidden="1">#REF!</definedName>
    <definedName name="PopCache_LOAD_DELIVERABLE_LINE_P_BILLABLE" hidden="1">#REF!</definedName>
    <definedName name="PopCache_LOAD_DELIVERABLE_LINE_P_DELIVERABLE_TYPE" localSheetId="2" hidden="1">#REF!</definedName>
    <definedName name="PopCache_LOAD_DELIVERABLE_LINE_P_DELIVERABLE_TYPE" localSheetId="8" hidden="1">#REF!</definedName>
    <definedName name="PopCache_LOAD_DELIVERABLE_LINE_P_DELIVERABLE_TYPE" localSheetId="3" hidden="1">#REF!</definedName>
    <definedName name="PopCache_LOAD_DELIVERABLE_LINE_P_DELIVERABLE_TYPE" hidden="1">#REF!</definedName>
    <definedName name="PopCache_LOAD_DELIVERABLE_LINE_P_SHIPPABLE" localSheetId="2" hidden="1">#REF!</definedName>
    <definedName name="PopCache_LOAD_DELIVERABLE_LINE_P_SHIPPABLE" localSheetId="8" hidden="1">#REF!</definedName>
    <definedName name="PopCache_LOAD_DELIVERABLE_LINE_P_SHIPPABLE" localSheetId="3" hidden="1">#REF!</definedName>
    <definedName name="PopCache_LOAD_DELIVERABLE_LINE_P_SHIPPABLE" hidden="1">#REF!</definedName>
    <definedName name="PopCache_LOAD_FUNDING_ALLOCATION_P_FUNDING_TYPE" hidden="1">[1]PopCache!$A$1:$A$2</definedName>
    <definedName name="pRateDate">'Lookup Tables'!$F$2</definedName>
    <definedName name="_xlnm.Print_Area" localSheetId="4">'Budget Form'!$A$4:$S$241</definedName>
    <definedName name="_xlnm.Print_Area" localSheetId="7">'Indicative offer letter'!$B$2:$D$33</definedName>
    <definedName name="_xlnm.Print_Area" localSheetId="0">'PART A Project Details'!$A$9:$J$37</definedName>
    <definedName name="_xlnm.Print_Area" localSheetId="1">'PART B Staff Costs'!$A$7:$AE$82</definedName>
    <definedName name="_xlnm.Print_Area" localSheetId="2">'PART C Non-Staff Costs'!$A$2:$U$255</definedName>
    <definedName name="_xlnm.Print_Area" localSheetId="3">'Summary of Price'!$A$16:$J$53</definedName>
    <definedName name="_xlnm.Print_Area" localSheetId="6">TR1F!$B$4:$S$42</definedName>
    <definedName name="_xlnm.Print_Titles" localSheetId="2">'PART C Non-Staff Costs'!$13:$13</definedName>
    <definedName name="Project_title">'Budget Form'!$D$8</definedName>
    <definedName name="pStartYear">'Budget Form'!$D$25</definedName>
    <definedName name="research_type">'Budget Form'!$I$6</definedName>
    <definedName name="School_Budget_Unit">'Budget Form'!#REF!</definedName>
    <definedName name="School_percentage">'Budget Form'!$E$141</definedName>
    <definedName name="Shared_grant_payments">'Lookup Tables'!$I$149</definedName>
    <definedName name="staff_list">'PART B Staff Costs'!$B$21:INDEX('PART B Staff Costs'!$B$21:$B$30,SUMPRODUCT(--('PART B Staff Costs'!$B$21:$B$30&lt;&gt;"")))</definedName>
    <definedName name="Start_Month">'PART A Project Details'!$D$24</definedName>
    <definedName name="Start_Year">'PART A Project Details'!$C$24</definedName>
    <definedName name="tb_cost_mult">'PART B Staff Costs'!$D$15</definedName>
    <definedName name="tb_currency_list">'Currency Rates'!$A$1:$C$56</definedName>
    <definedName name="tb_Org_Units">'Lookup Tables'!$AC$3:$AH$207</definedName>
    <definedName name="tb_Other_Ext_party">'PART A Project Details'!$C$17</definedName>
    <definedName name="tb_xrate">'PART A Project Details'!$E$26</definedName>
    <definedName name="tbAccountString">'PART A Project Details'!$C$29:$G$29</definedName>
    <definedName name="tbActivity">'PART A Project Details'!$E$29</definedName>
    <definedName name="tbAgreementAdmin">'PART A Project Details'!#REF!</definedName>
    <definedName name="tbAnnualLeaveProvision">'Lookup Tables'!$H$106:$I$109</definedName>
    <definedName name="tbBudgetCurrency">'PART A Project Details'!$C$26</definedName>
    <definedName name="tbChiefInvestigator1">'PART A Project Details'!$C$13</definedName>
    <definedName name="tbCompany">'PART A Project Details'!$C$29</definedName>
    <definedName name="tbConversionRates" localSheetId="2">#REF!</definedName>
    <definedName name="tbCostCentre">'PART A Project Details'!$D$29</definedName>
    <definedName name="tbDepartment">'PART A Project Details'!$C$19</definedName>
    <definedName name="tbExternalParty1">'PART A Project Details'!$C$15</definedName>
    <definedName name="tbExternalParty2">'PART A Project Details'!#REF!</definedName>
    <definedName name="tbExternalParty3">'PART A Project Details'!#REF!</definedName>
    <definedName name="tbExternalParty4">'PART A Project Details'!#REF!</definedName>
    <definedName name="tbLeaveLoading">'Lookup Tables'!$H$74:$I$77</definedName>
    <definedName name="tbLocation">'PART A Project Details'!$F$29</definedName>
    <definedName name="tbLongServiceLeave">'Lookup Tables'!$H$101:$I$103</definedName>
    <definedName name="tbParentalLeave">'Lookup Tables'!$H$94:$I$97</definedName>
    <definedName name="tbPayrollTax">'Lookup Tables'!$H$81:$I$84</definedName>
    <definedName name="tbPG_stipend_rate">'Lookup Tables'!$H$30:$I$38</definedName>
    <definedName name="tbProjectTitle">'PART A Project Details'!$C$11</definedName>
    <definedName name="tbSuperannuation">'Lookup Tables'!$H$53:$K$68</definedName>
    <definedName name="tbSuperannuation2026onwards">'Lookup Tables'!$H$43:$I$46</definedName>
    <definedName name="tbWorkCover">'Lookup Tables'!$H$88:$I$91</definedName>
    <definedName name="tcostmultiplier">'Lookup Tables'!$L$29:$M$35</definedName>
    <definedName name="tEBA">'Lookup Tables'!$H$4:$J$22</definedName>
    <definedName name="tOnCosts">'Lookup Tables'!$U$29:$V$31</definedName>
    <definedName name="tOnCosts_NewEBA">'Lookup Tables'!$U$3:$X$24</definedName>
    <definedName name="tool_name_and_version">'PART A Project Details'!$K$1</definedName>
    <definedName name="Travel_and_entertainment">'Lookup Tables'!$I$150:$I$151</definedName>
    <definedName name="tSalaryMax">'Lookup Tables'!$L$10:$M$25</definedName>
    <definedName name="tSalaryRate">'Lookup Tables'!$B$4:$F$145</definedName>
    <definedName name="tSalaryRateMultiplier">'Lookup Tables'!$L$4:$M$6</definedName>
    <definedName name="vl_academic_casual_cost">'Budget Form'!$P$84</definedName>
    <definedName name="vl_academic_cont_cost">'Budget Form'!$P$80</definedName>
    <definedName name="vl_academic_fixed_cost">'Budget Form'!$P$81</definedName>
    <definedName name="vl_budget_unit">'Lookup Tables'!$AJ$4:$AJ$243</definedName>
    <definedName name="vl_cash_benefit_or_cost">'Summary of Price'!$F$45</definedName>
    <definedName name="vl_contract_val_ex_gst">'Summary of Price'!$F$41</definedName>
    <definedName name="vl_contract_val_inc_gst">'Summary of Price'!$F$42</definedName>
    <definedName name="vl_currency_rate_nonstaffcosts" localSheetId="2">'PART C Non-Staff Costs'!$Z$3</definedName>
    <definedName name="vl_currency_rate_nonstaffcosts">#REF!</definedName>
    <definedName name="vl_end_mon_num">'PART A Project Details'!$N$24</definedName>
    <definedName name="vl_external_income_ledger_id">'Research Office Use - WD Budget'!$D$16</definedName>
    <definedName name="vl_externally_funded_income_cat">'Lookup Tables'!$AP$6:$AP$15</definedName>
    <definedName name="vl_full_project_cost">'Summary of Price'!$E$34</definedName>
    <definedName name="vl_gst_flag">'Budget Form'!$E$39</definedName>
    <definedName name="vl_Max_Leave_Loading">'Lookup Tables'!$H$120</definedName>
    <definedName name="vl_MaxPayrollTax">'Lookup Tables'!$I$83</definedName>
    <definedName name="vl_min_allowed_multiplier">'Lookup Tables'!$L$39</definedName>
    <definedName name="vl_nonstaff_costs_category">'Lookup Tables'!$H$132:$H$151</definedName>
    <definedName name="vl_nonstaff_costs_subcategory">'Lookup Tables'!$H$132:$P$137</definedName>
    <definedName name="vl_nonstaff_indirect_cost">'PART C Non-Staff Costs'!$P$45</definedName>
    <definedName name="vl_nonstaff_indirect_inkind_cost">'PART C Non-Staff Costs'!$P$49</definedName>
    <definedName name="vl_other_ext_party_cats">'Lookup Tables'!$AO$6:$AO$10</definedName>
    <definedName name="vl_overridden_uom_oncosts_per">'Lookup Tables'!$H$27</definedName>
    <definedName name="vl_PG_Stipend_bookmark">'Lookup Tables'!$H$30</definedName>
    <definedName name="vl_prof_casual_cost">'Budget Form'!$P$85</definedName>
    <definedName name="vl_prof_cont_cost">'Budget Form'!$P$82</definedName>
    <definedName name="vl_prof_fixed_cost">'Budget Form'!$P$83</definedName>
    <definedName name="vl_project_attribute_string">'PART A Project Details'!$G$29</definedName>
    <definedName name="vl_project_cost">'Summary of Price'!$F$34</definedName>
    <definedName name="vl_start_mon_num">'PART A Project Details'!$M$24</definedName>
    <definedName name="vl_total_cash_contri">'Summary of Price'!$F$47</definedName>
    <definedName name="vl_total_in_kind_contri">'Summary of Price'!$F$46</definedName>
    <definedName name="vl_total_non_staff_costs">'Budget Form'!$P$118</definedName>
    <definedName name="vl_total_project_months">'Lookup Tables'!$O$125</definedName>
    <definedName name="vl_total_staff_costs">'Budget Form'!$P$94</definedName>
    <definedName name="vl_uni_position">'Summary of Price'!$F$48</definedName>
    <definedName name="vl_working_days_per_year">'Lookup Tables'!$H$115</definedName>
    <definedName name="Z_14CC7D48_F74C_409C_986F_C21E8F9D3A08_.wvu.Cols" localSheetId="4">'Budget Form'!$K:$O</definedName>
    <definedName name="Z_14CC7D48_F74C_409C_986F_C21E8F9D3A08_.wvu.Cols" localSheetId="1">'PART B Staff Costs'!$S:$AB</definedName>
    <definedName name="Z_14CC7D48_F74C_409C_986F_C21E8F9D3A08_.wvu.Cols" localSheetId="2">'PART C Non-Staff Costs'!$K:$O</definedName>
    <definedName name="Z_14CC7D48_F74C_409C_986F_C21E8F9D3A08_.wvu.FilterData" localSheetId="15">'Lookup Tables'!$C$4:$F$74</definedName>
    <definedName name="Z_14CC7D48_F74C_409C_986F_C21E8F9D3A08_.wvu.Rows" localSheetId="1">'PART B Staff Costs'!$8:$10,'PART B Staff Costs'!$31:$40,'PART B Staff Costs'!$63:$72</definedName>
    <definedName name="Z_14CC7D48_F74C_409C_986F_C21E8F9D3A08_.wvu.Rows" localSheetId="2">'PART C Non-Staff Costs'!$19:$35,'PART C Non-Staff Costs'!#REF!,'PART C Non-Staff Costs'!#REF!,'PART C Non-Staff Costs'!#REF!,'PART C Non-Staff Costs'!#REF!,'PART C Non-Staff Costs'!#REF!</definedName>
  </definedNames>
  <calcPr calcId="191029"/>
  <customWorkbookViews>
    <customWorkbookView name="Frank Anastasopoulos - Personal View" guid="{14CC7D48-F74C-409C-986F-C21E8F9D3A08}" mergeInterval="0" personalView="1" xWindow="360" yWindow="98" windowWidth="1723" windowHeight="822"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4" i="1" l="1"/>
  <c r="M24" i="1"/>
  <c r="AJ177" i="21"/>
  <c r="AJ176" i="21"/>
  <c r="AJ175" i="21"/>
  <c r="AJ174" i="21"/>
  <c r="AJ173" i="21"/>
  <c r="AJ172" i="21"/>
  <c r="AJ171" i="21"/>
  <c r="AJ170" i="21"/>
  <c r="AJ169" i="21"/>
  <c r="AJ168" i="21"/>
  <c r="AJ167" i="21"/>
  <c r="AJ166" i="21"/>
  <c r="AJ165" i="21"/>
  <c r="AJ164" i="21"/>
  <c r="AJ163" i="21"/>
  <c r="AJ162" i="21"/>
  <c r="AJ161" i="21"/>
  <c r="AJ160" i="21"/>
  <c r="AJ159" i="21"/>
  <c r="AJ158" i="21"/>
  <c r="AJ157" i="21"/>
  <c r="AJ156" i="21"/>
  <c r="AJ155" i="21"/>
  <c r="AJ154" i="21"/>
  <c r="AJ153" i="21"/>
  <c r="AJ152" i="21"/>
  <c r="AJ151" i="21"/>
  <c r="AJ150" i="21"/>
  <c r="AJ149" i="21"/>
  <c r="AJ148" i="21"/>
  <c r="AJ147" i="21"/>
  <c r="AJ146" i="21"/>
  <c r="AJ145" i="21"/>
  <c r="B145" i="21"/>
  <c r="AJ144" i="21"/>
  <c r="B144" i="21"/>
  <c r="AJ143" i="21"/>
  <c r="B143" i="21"/>
  <c r="AJ142" i="21"/>
  <c r="B142" i="21"/>
  <c r="AJ141" i="21"/>
  <c r="B141" i="21"/>
  <c r="AJ140" i="21"/>
  <c r="B140" i="21"/>
  <c r="AJ139" i="21"/>
  <c r="B139" i="21"/>
  <c r="AJ138" i="21"/>
  <c r="B138" i="21"/>
  <c r="AJ137" i="21"/>
  <c r="B137" i="21"/>
  <c r="AJ136" i="21"/>
  <c r="B136" i="21"/>
  <c r="AJ135" i="21"/>
  <c r="B135" i="21"/>
  <c r="AJ134" i="21"/>
  <c r="B134" i="21"/>
  <c r="AJ133" i="21"/>
  <c r="B133" i="21"/>
  <c r="AJ132" i="21"/>
  <c r="B132" i="21"/>
  <c r="AJ131" i="21"/>
  <c r="B131" i="21"/>
  <c r="AJ130" i="21"/>
  <c r="B130" i="21"/>
  <c r="AJ129" i="21"/>
  <c r="B129" i="21"/>
  <c r="AJ128" i="21"/>
  <c r="B128" i="21"/>
  <c r="AJ127" i="21"/>
  <c r="B127" i="21"/>
  <c r="AJ126" i="21"/>
  <c r="B126" i="21"/>
  <c r="AJ125" i="21"/>
  <c r="K125" i="21"/>
  <c r="J125" i="21"/>
  <c r="I125" i="21"/>
  <c r="H125" i="21"/>
  <c r="N125" i="21" s="1"/>
  <c r="B125" i="21"/>
  <c r="AJ124" i="21"/>
  <c r="B124" i="21"/>
  <c r="AJ123" i="21"/>
  <c r="B123" i="21"/>
  <c r="AJ122" i="21"/>
  <c r="B122" i="21"/>
  <c r="AJ121" i="21"/>
  <c r="B121" i="21"/>
  <c r="AJ120" i="21"/>
  <c r="B120" i="21"/>
  <c r="AJ119" i="21"/>
  <c r="B119" i="21"/>
  <c r="AJ118" i="21"/>
  <c r="B118" i="21"/>
  <c r="AJ117" i="21"/>
  <c r="B117" i="21"/>
  <c r="AJ116" i="21"/>
  <c r="B116" i="21"/>
  <c r="AJ115" i="21"/>
  <c r="B115" i="21"/>
  <c r="AJ114" i="21"/>
  <c r="B114" i="21"/>
  <c r="AJ113" i="21"/>
  <c r="B113" i="21"/>
  <c r="AJ112" i="21"/>
  <c r="B112" i="21"/>
  <c r="AJ111" i="21"/>
  <c r="B111" i="21"/>
  <c r="AJ110" i="21"/>
  <c r="B110" i="21"/>
  <c r="AJ109" i="21"/>
  <c r="B109" i="21"/>
  <c r="AJ108" i="21"/>
  <c r="B108" i="21"/>
  <c r="AJ107" i="21"/>
  <c r="B107" i="21"/>
  <c r="AJ106" i="21"/>
  <c r="B106" i="21"/>
  <c r="AJ105" i="21"/>
  <c r="B105" i="21"/>
  <c r="AJ104" i="21"/>
  <c r="B104" i="21"/>
  <c r="AJ103" i="21"/>
  <c r="B103" i="21"/>
  <c r="AJ102" i="21"/>
  <c r="B102" i="21"/>
  <c r="AJ101" i="21"/>
  <c r="B101" i="21"/>
  <c r="AJ100" i="21"/>
  <c r="B100" i="21"/>
  <c r="AJ99" i="21"/>
  <c r="B99" i="21"/>
  <c r="AJ98" i="21"/>
  <c r="B98" i="21"/>
  <c r="AJ97" i="21"/>
  <c r="B97" i="21"/>
  <c r="AJ96" i="21"/>
  <c r="B96" i="21"/>
  <c r="AJ95" i="21"/>
  <c r="B95" i="21"/>
  <c r="AJ94" i="21"/>
  <c r="B94" i="21"/>
  <c r="AJ93" i="21"/>
  <c r="B93" i="21"/>
  <c r="AJ92" i="21"/>
  <c r="B92" i="21"/>
  <c r="AJ91" i="21"/>
  <c r="B91" i="21"/>
  <c r="AJ90" i="21"/>
  <c r="B90" i="21"/>
  <c r="AJ89" i="21"/>
  <c r="B89" i="21"/>
  <c r="AJ88" i="21"/>
  <c r="B88" i="21"/>
  <c r="AJ87" i="21"/>
  <c r="B87" i="21"/>
  <c r="AJ86" i="21"/>
  <c r="B86" i="21"/>
  <c r="AJ85" i="21"/>
  <c r="B85" i="21"/>
  <c r="AJ84" i="21"/>
  <c r="B84" i="21"/>
  <c r="AJ83" i="21"/>
  <c r="B83" i="21"/>
  <c r="AJ82" i="21"/>
  <c r="H82" i="21"/>
  <c r="H83" i="21" s="1"/>
  <c r="B82" i="21"/>
  <c r="AJ81" i="21"/>
  <c r="B81" i="21"/>
  <c r="AJ80" i="21"/>
  <c r="B80" i="21"/>
  <c r="AJ79" i="21"/>
  <c r="B79" i="21"/>
  <c r="AJ78" i="21"/>
  <c r="B78" i="21"/>
  <c r="AJ77" i="21"/>
  <c r="B77" i="21"/>
  <c r="AJ76" i="21"/>
  <c r="W76" i="21"/>
  <c r="B76" i="21"/>
  <c r="AJ75" i="21"/>
  <c r="W75" i="21"/>
  <c r="B75" i="21"/>
  <c r="AJ74" i="21"/>
  <c r="W74" i="21"/>
  <c r="B74" i="21"/>
  <c r="AJ73" i="21"/>
  <c r="W73" i="21"/>
  <c r="B73" i="21"/>
  <c r="AJ72" i="21"/>
  <c r="W72" i="21"/>
  <c r="B72" i="21"/>
  <c r="AJ71" i="21"/>
  <c r="W71" i="21"/>
  <c r="B71" i="21"/>
  <c r="AJ70" i="21"/>
  <c r="W70" i="21"/>
  <c r="B70" i="21"/>
  <c r="AJ69" i="21"/>
  <c r="W69" i="21"/>
  <c r="B69" i="21"/>
  <c r="AJ68" i="21"/>
  <c r="W68" i="21"/>
  <c r="B68" i="21"/>
  <c r="AJ67" i="21"/>
  <c r="W67" i="21"/>
  <c r="H67" i="21"/>
  <c r="B67" i="21"/>
  <c r="AJ66" i="21"/>
  <c r="W66" i="21"/>
  <c r="H66" i="21"/>
  <c r="B66" i="21"/>
  <c r="AJ65" i="21"/>
  <c r="W65" i="21"/>
  <c r="H65" i="21"/>
  <c r="B65" i="21"/>
  <c r="AJ64" i="21"/>
  <c r="H64" i="21"/>
  <c r="B64" i="21"/>
  <c r="AJ63" i="21"/>
  <c r="H63" i="21"/>
  <c r="B63" i="21"/>
  <c r="AJ62" i="21"/>
  <c r="H62" i="21"/>
  <c r="B62" i="21"/>
  <c r="AJ61" i="21"/>
  <c r="H61" i="21"/>
  <c r="B61" i="21"/>
  <c r="AJ60" i="21"/>
  <c r="H60" i="21"/>
  <c r="B60" i="21"/>
  <c r="AJ59" i="21"/>
  <c r="H59" i="21"/>
  <c r="B59" i="21"/>
  <c r="AJ58" i="21"/>
  <c r="H58" i="21"/>
  <c r="B58" i="21"/>
  <c r="AJ57" i="21"/>
  <c r="H57" i="21"/>
  <c r="B57" i="21"/>
  <c r="AJ56" i="21"/>
  <c r="Y56" i="21"/>
  <c r="X56" i="21"/>
  <c r="H56" i="21"/>
  <c r="B56" i="21"/>
  <c r="AJ55" i="21"/>
  <c r="Y55" i="21"/>
  <c r="X55" i="21"/>
  <c r="H55" i="21"/>
  <c r="B55" i="21"/>
  <c r="AJ54" i="21"/>
  <c r="Y54" i="21"/>
  <c r="X54" i="21"/>
  <c r="H54" i="21"/>
  <c r="B54" i="21"/>
  <c r="AJ53" i="21"/>
  <c r="Y53" i="21"/>
  <c r="X53" i="21"/>
  <c r="H53" i="21"/>
  <c r="B53" i="21"/>
  <c r="AJ52" i="21"/>
  <c r="Y52" i="21"/>
  <c r="X52" i="21"/>
  <c r="B52" i="21"/>
  <c r="AJ51" i="21"/>
  <c r="Y51" i="21"/>
  <c r="X51" i="21"/>
  <c r="B51" i="21"/>
  <c r="AJ50" i="21"/>
  <c r="Y50" i="21"/>
  <c r="X50" i="21"/>
  <c r="B50" i="21"/>
  <c r="AJ49" i="21"/>
  <c r="Y49" i="21"/>
  <c r="X49" i="21"/>
  <c r="B49" i="21"/>
  <c r="AJ48" i="21"/>
  <c r="Y48" i="21"/>
  <c r="X48" i="21"/>
  <c r="B48" i="21"/>
  <c r="AJ47" i="21"/>
  <c r="Y47" i="21"/>
  <c r="X47" i="21"/>
  <c r="B47" i="21"/>
  <c r="AJ46" i="21"/>
  <c r="Y46" i="21"/>
  <c r="X46" i="21"/>
  <c r="B46" i="21"/>
  <c r="AJ45" i="21"/>
  <c r="Y45" i="21"/>
  <c r="X45" i="21"/>
  <c r="B45" i="21"/>
  <c r="AJ44" i="21"/>
  <c r="Y44" i="21"/>
  <c r="X44" i="21"/>
  <c r="B44" i="21"/>
  <c r="AJ43" i="21"/>
  <c r="Y43" i="21"/>
  <c r="X43" i="21"/>
  <c r="B43" i="21"/>
  <c r="AJ42" i="21"/>
  <c r="Y42" i="21"/>
  <c r="X42" i="21"/>
  <c r="B42" i="21"/>
  <c r="AJ41" i="21"/>
  <c r="Y41" i="21"/>
  <c r="X41" i="21"/>
  <c r="B41" i="21"/>
  <c r="AJ40" i="21"/>
  <c r="Y40" i="21"/>
  <c r="X40" i="21"/>
  <c r="B40" i="21"/>
  <c r="AJ39" i="21"/>
  <c r="Y39" i="21"/>
  <c r="X39" i="21"/>
  <c r="L39" i="21"/>
  <c r="B39" i="21"/>
  <c r="AJ38" i="21"/>
  <c r="Y38" i="21"/>
  <c r="X38" i="21"/>
  <c r="B38" i="21"/>
  <c r="AJ37" i="21"/>
  <c r="Y37" i="21"/>
  <c r="X37" i="21"/>
  <c r="B37" i="21"/>
  <c r="AJ36" i="21"/>
  <c r="B36" i="21"/>
  <c r="AJ35" i="21"/>
  <c r="B35" i="21"/>
  <c r="AJ34" i="21"/>
  <c r="B34" i="21"/>
  <c r="AJ33" i="21"/>
  <c r="J33" i="21"/>
  <c r="J34" i="21" s="1"/>
  <c r="J35" i="21" s="1"/>
  <c r="J36" i="21" s="1"/>
  <c r="J37" i="21" s="1"/>
  <c r="J38" i="21" s="1"/>
  <c r="I33" i="21"/>
  <c r="I34" i="21" s="1"/>
  <c r="I35" i="21" s="1"/>
  <c r="I36" i="21" s="1"/>
  <c r="I37" i="21" s="1"/>
  <c r="I38" i="21" s="1"/>
  <c r="B33" i="21"/>
  <c r="AJ32" i="21"/>
  <c r="B32" i="21"/>
  <c r="AJ31" i="21"/>
  <c r="V31" i="21"/>
  <c r="B31" i="21"/>
  <c r="AJ30" i="21"/>
  <c r="V30" i="21"/>
  <c r="B30" i="21"/>
  <c r="AJ29" i="21"/>
  <c r="V29" i="21"/>
  <c r="B29" i="21"/>
  <c r="AJ28" i="21"/>
  <c r="B28" i="21"/>
  <c r="AJ27" i="21"/>
  <c r="B27" i="21"/>
  <c r="AJ26" i="21"/>
  <c r="B26" i="21"/>
  <c r="AJ25" i="21"/>
  <c r="B25" i="21"/>
  <c r="AJ24" i="21"/>
  <c r="B24" i="21"/>
  <c r="AJ23" i="21"/>
  <c r="B23" i="21"/>
  <c r="AJ22" i="21"/>
  <c r="B22" i="21"/>
  <c r="AJ21" i="21"/>
  <c r="B21" i="21"/>
  <c r="AJ20" i="21"/>
  <c r="B20" i="21"/>
  <c r="AJ19" i="21"/>
  <c r="B19" i="21"/>
  <c r="AJ18" i="21"/>
  <c r="B18" i="21"/>
  <c r="AJ17" i="21"/>
  <c r="B17" i="21"/>
  <c r="AJ16" i="21"/>
  <c r="B16" i="21"/>
  <c r="AJ15" i="21"/>
  <c r="B15" i="21"/>
  <c r="AJ14" i="21"/>
  <c r="B14" i="21"/>
  <c r="AJ13" i="21"/>
  <c r="B13" i="21"/>
  <c r="AJ12" i="21"/>
  <c r="B12" i="21"/>
  <c r="AJ11" i="21"/>
  <c r="B11" i="21"/>
  <c r="AJ10" i="21"/>
  <c r="B10" i="21"/>
  <c r="AJ9" i="21"/>
  <c r="B9" i="21"/>
  <c r="AJ8" i="21"/>
  <c r="B8" i="21"/>
  <c r="AJ7" i="21"/>
  <c r="B7" i="21"/>
  <c r="AJ6" i="21"/>
  <c r="B6" i="21"/>
  <c r="AJ5" i="21"/>
  <c r="M5" i="21"/>
  <c r="J5" i="21"/>
  <c r="J6" i="21" s="1"/>
  <c r="J7" i="21" s="1"/>
  <c r="J8" i="21" s="1"/>
  <c r="J9" i="21" s="1"/>
  <c r="J10" i="21" s="1"/>
  <c r="J11" i="21" s="1"/>
  <c r="J12" i="21" s="1"/>
  <c r="J13" i="21" s="1"/>
  <c r="J14" i="21" s="1"/>
  <c r="J15" i="21" s="1"/>
  <c r="J16" i="21" s="1"/>
  <c r="J17" i="21" s="1"/>
  <c r="J18" i="21" s="1"/>
  <c r="J19" i="21" s="1"/>
  <c r="J20" i="21" s="1"/>
  <c r="J21" i="21" s="1"/>
  <c r="J22" i="21" s="1"/>
  <c r="H5" i="21"/>
  <c r="H6" i="21" s="1"/>
  <c r="H7" i="21" s="1"/>
  <c r="H8" i="21" s="1"/>
  <c r="H9" i="21" s="1"/>
  <c r="H10" i="21" s="1"/>
  <c r="H11" i="21" s="1"/>
  <c r="H12" i="21" s="1"/>
  <c r="H13" i="21" s="1"/>
  <c r="H14" i="21" s="1"/>
  <c r="H15" i="21" s="1"/>
  <c r="H16" i="21" s="1"/>
  <c r="H17" i="21" s="1"/>
  <c r="H18" i="21" s="1"/>
  <c r="H19" i="21" s="1"/>
  <c r="H20" i="21" s="1"/>
  <c r="H21" i="21" s="1"/>
  <c r="H22" i="21" s="1"/>
  <c r="B5" i="21"/>
  <c r="AJ4" i="21"/>
  <c r="B4" i="21"/>
  <c r="J33" i="6"/>
  <c r="J34" i="6" s="1"/>
  <c r="J35" i="6" s="1"/>
  <c r="J36" i="6" s="1"/>
  <c r="J37" i="6" s="1"/>
  <c r="J38" i="6" s="1"/>
  <c r="I33" i="6"/>
  <c r="I34" i="6" s="1"/>
  <c r="I35" i="6" s="1"/>
  <c r="I36" i="6" s="1"/>
  <c r="I37" i="6" s="1"/>
  <c r="I38" i="6" s="1"/>
  <c r="K46" i="42" a="1"/>
  <c r="K46" i="42" s="1"/>
  <c r="L46" i="42" a="1"/>
  <c r="L46" i="42" s="1"/>
  <c r="M46" i="42" a="1"/>
  <c r="M46" i="42" s="1"/>
  <c r="N46" i="42" a="1"/>
  <c r="N46" i="42" s="1"/>
  <c r="O46" i="42" a="1"/>
  <c r="O46" i="42" s="1"/>
  <c r="G46" i="42" a="1"/>
  <c r="G46" i="42" s="1"/>
  <c r="H46" i="42" a="1"/>
  <c r="H46" i="42" s="1"/>
  <c r="I46" i="42" a="1"/>
  <c r="I46" i="42" s="1"/>
  <c r="J46" i="42" a="1"/>
  <c r="J46" i="42" s="1"/>
  <c r="G110" i="5"/>
  <c r="H110" i="5"/>
  <c r="I110" i="5"/>
  <c r="J110" i="5"/>
  <c r="K110" i="5"/>
  <c r="L110" i="5"/>
  <c r="M110" i="5"/>
  <c r="N110" i="5"/>
  <c r="O110" i="5"/>
  <c r="D15" i="2"/>
  <c r="H9" i="43" a="1"/>
  <c r="H9" i="43" s="1"/>
  <c r="G10" i="5"/>
  <c r="AJ177" i="6"/>
  <c r="AJ176" i="6"/>
  <c r="AJ175" i="6"/>
  <c r="AJ174" i="6"/>
  <c r="AJ173" i="6"/>
  <c r="AJ172" i="6"/>
  <c r="AJ171" i="6"/>
  <c r="AJ170" i="6"/>
  <c r="AJ169" i="6"/>
  <c r="AJ168" i="6"/>
  <c r="AJ167" i="6"/>
  <c r="AJ166" i="6"/>
  <c r="AJ165" i="6"/>
  <c r="AJ164" i="6"/>
  <c r="AJ163" i="6"/>
  <c r="AJ162" i="6"/>
  <c r="AJ161" i="6"/>
  <c r="AJ160" i="6"/>
  <c r="AJ159" i="6"/>
  <c r="AJ158" i="6"/>
  <c r="AJ157" i="6"/>
  <c r="AJ156" i="6"/>
  <c r="AJ155" i="6"/>
  <c r="AJ154" i="6"/>
  <c r="AJ153" i="6"/>
  <c r="AJ152" i="6"/>
  <c r="AJ151" i="6"/>
  <c r="AJ150" i="6"/>
  <c r="AJ149" i="6"/>
  <c r="AJ148" i="6"/>
  <c r="AJ147" i="6"/>
  <c r="AJ146" i="6"/>
  <c r="AJ145" i="6"/>
  <c r="AJ144" i="6"/>
  <c r="AJ143" i="6"/>
  <c r="AJ142" i="6"/>
  <c r="AJ141" i="6"/>
  <c r="AJ140" i="6"/>
  <c r="AJ139" i="6"/>
  <c r="AJ138" i="6"/>
  <c r="AJ137" i="6"/>
  <c r="AJ136" i="6"/>
  <c r="AJ135" i="6"/>
  <c r="AJ134" i="6"/>
  <c r="AJ133" i="6"/>
  <c r="AJ132" i="6"/>
  <c r="AJ131" i="6"/>
  <c r="AJ130" i="6"/>
  <c r="AJ129" i="6"/>
  <c r="AJ128" i="6"/>
  <c r="AJ127" i="6"/>
  <c r="AJ126" i="6"/>
  <c r="AJ125" i="6"/>
  <c r="AJ124" i="6"/>
  <c r="AJ123" i="6"/>
  <c r="AJ122" i="6"/>
  <c r="AJ121" i="6"/>
  <c r="AJ120" i="6"/>
  <c r="AJ119" i="6"/>
  <c r="AJ118" i="6"/>
  <c r="AJ117" i="6"/>
  <c r="AJ116" i="6"/>
  <c r="AJ115" i="6"/>
  <c r="AJ114" i="6"/>
  <c r="AJ113" i="6"/>
  <c r="AJ112" i="6"/>
  <c r="AJ111" i="6"/>
  <c r="AJ110" i="6"/>
  <c r="AJ109" i="6"/>
  <c r="AJ108" i="6"/>
  <c r="AJ107" i="6"/>
  <c r="AJ106" i="6"/>
  <c r="AJ105" i="6"/>
  <c r="AJ104" i="6"/>
  <c r="AJ103" i="6"/>
  <c r="AJ102" i="6"/>
  <c r="AJ101" i="6"/>
  <c r="AJ100" i="6"/>
  <c r="AJ99" i="6"/>
  <c r="AJ98" i="6"/>
  <c r="AJ97" i="6"/>
  <c r="AJ96" i="6"/>
  <c r="AJ95" i="6"/>
  <c r="AJ94" i="6"/>
  <c r="AJ93" i="6"/>
  <c r="AJ92" i="6"/>
  <c r="AJ91" i="6"/>
  <c r="AJ90" i="6"/>
  <c r="AJ89" i="6"/>
  <c r="AJ88" i="6"/>
  <c r="AJ87" i="6"/>
  <c r="AJ86" i="6"/>
  <c r="AJ85" i="6"/>
  <c r="AJ84" i="6"/>
  <c r="AJ83" i="6"/>
  <c r="AJ82" i="6"/>
  <c r="AJ81" i="6"/>
  <c r="AJ80" i="6"/>
  <c r="AJ79" i="6"/>
  <c r="AJ78" i="6"/>
  <c r="AJ77" i="6"/>
  <c r="AJ76" i="6"/>
  <c r="AJ75" i="6"/>
  <c r="AJ74" i="6"/>
  <c r="AJ73" i="6"/>
  <c r="AJ72" i="6"/>
  <c r="AJ71" i="6"/>
  <c r="AJ70" i="6"/>
  <c r="AJ69" i="6"/>
  <c r="AJ68" i="6"/>
  <c r="AJ67" i="6"/>
  <c r="AJ66" i="6"/>
  <c r="AJ65" i="6"/>
  <c r="AJ64" i="6"/>
  <c r="AJ63" i="6"/>
  <c r="AJ62" i="6"/>
  <c r="AJ61" i="6"/>
  <c r="AJ60" i="6"/>
  <c r="AJ59" i="6"/>
  <c r="AJ58" i="6"/>
  <c r="AJ57" i="6"/>
  <c r="AJ56" i="6"/>
  <c r="AJ55" i="6"/>
  <c r="AJ54" i="6"/>
  <c r="AJ53" i="6"/>
  <c r="AJ52" i="6"/>
  <c r="AJ51" i="6"/>
  <c r="AJ50" i="6"/>
  <c r="AJ49" i="6"/>
  <c r="AJ48" i="6"/>
  <c r="AJ47" i="6"/>
  <c r="AJ46" i="6"/>
  <c r="AJ45" i="6"/>
  <c r="AJ44" i="6"/>
  <c r="AJ43" i="6"/>
  <c r="AJ42" i="6"/>
  <c r="AJ41" i="6"/>
  <c r="AJ40" i="6"/>
  <c r="AJ39" i="6"/>
  <c r="AJ38" i="6"/>
  <c r="AJ37" i="6"/>
  <c r="AJ36" i="6"/>
  <c r="AJ35" i="6"/>
  <c r="AJ34" i="6"/>
  <c r="AJ33" i="6"/>
  <c r="AJ32" i="6"/>
  <c r="AJ31" i="6"/>
  <c r="AJ30" i="6"/>
  <c r="AJ29" i="6"/>
  <c r="AJ28" i="6"/>
  <c r="AJ27" i="6"/>
  <c r="AJ26" i="6"/>
  <c r="AJ25" i="6"/>
  <c r="AJ24" i="6"/>
  <c r="AJ23" i="6"/>
  <c r="AJ22" i="6"/>
  <c r="AJ21" i="6"/>
  <c r="AJ20" i="6"/>
  <c r="AJ19" i="6"/>
  <c r="AJ18" i="6"/>
  <c r="AJ17" i="6"/>
  <c r="AJ16" i="6"/>
  <c r="AJ15" i="6"/>
  <c r="AJ14" i="6"/>
  <c r="AJ13" i="6"/>
  <c r="AJ12" i="6"/>
  <c r="AJ11" i="6"/>
  <c r="AJ10" i="6"/>
  <c r="AJ9" i="6"/>
  <c r="AJ8" i="6"/>
  <c r="AJ7" i="6"/>
  <c r="AJ6" i="6"/>
  <c r="AJ5" i="6"/>
  <c r="AJ4" i="6"/>
  <c r="L125" i="21" l="1"/>
  <c r="M125" i="21"/>
  <c r="D8" i="5"/>
  <c r="E1" i="24"/>
  <c r="K24" i="30"/>
  <c r="O125" i="21" l="1"/>
  <c r="H17" i="2"/>
  <c r="I755" i="25"/>
  <c r="I736" i="25"/>
  <c r="I717" i="25"/>
  <c r="I698" i="25"/>
  <c r="I679" i="25"/>
  <c r="I660" i="25"/>
  <c r="I641" i="25"/>
  <c r="I622" i="25"/>
  <c r="I603" i="25"/>
  <c r="I584" i="25"/>
  <c r="I565" i="25"/>
  <c r="I546" i="25"/>
  <c r="I527" i="25"/>
  <c r="I508" i="25"/>
  <c r="I489" i="25"/>
  <c r="I470" i="25"/>
  <c r="I451" i="25"/>
  <c r="I432" i="25"/>
  <c r="I413" i="25"/>
  <c r="I394" i="25"/>
  <c r="I370" i="25"/>
  <c r="I351" i="25"/>
  <c r="I332" i="25"/>
  <c r="I313" i="25"/>
  <c r="I294" i="25"/>
  <c r="I275" i="25"/>
  <c r="I256" i="25"/>
  <c r="I237" i="25"/>
  <c r="I218" i="25"/>
  <c r="I199" i="25"/>
  <c r="I180" i="25"/>
  <c r="I161" i="25"/>
  <c r="I142" i="25"/>
  <c r="I123" i="25"/>
  <c r="I104" i="25"/>
  <c r="I85" i="25"/>
  <c r="I66" i="25"/>
  <c r="I47" i="25"/>
  <c r="I28" i="25"/>
  <c r="I9" i="25"/>
  <c r="AD4" i="25"/>
  <c r="K3" i="25"/>
  <c r="B21" i="2"/>
  <c r="B1" i="9" l="1"/>
  <c r="B4" i="2" l="1"/>
  <c r="C53" i="2"/>
  <c r="C54" i="2"/>
  <c r="C55" i="2"/>
  <c r="C56" i="2"/>
  <c r="C57" i="2"/>
  <c r="C58" i="2"/>
  <c r="C59" i="2"/>
  <c r="C60" i="2"/>
  <c r="C61" i="2"/>
  <c r="C62" i="2"/>
  <c r="C63" i="2"/>
  <c r="C64" i="2"/>
  <c r="C65" i="2"/>
  <c r="C66" i="2"/>
  <c r="C67" i="2"/>
  <c r="C68" i="2"/>
  <c r="C69" i="2"/>
  <c r="C70" i="2"/>
  <c r="C21" i="2"/>
  <c r="C22" i="2"/>
  <c r="C23" i="2"/>
  <c r="C24" i="2"/>
  <c r="C25" i="2"/>
  <c r="C26" i="2"/>
  <c r="C27" i="2"/>
  <c r="C28" i="2"/>
  <c r="C29" i="2"/>
  <c r="C30" i="2"/>
  <c r="C31" i="2"/>
  <c r="C32" i="2"/>
  <c r="C33" i="2"/>
  <c r="C34" i="2"/>
  <c r="C35" i="2"/>
  <c r="C36" i="2"/>
  <c r="C37" i="2"/>
  <c r="C38" i="2"/>
  <c r="Z3" i="42" l="1"/>
  <c r="B1" i="1" l="1"/>
  <c r="D3" i="25"/>
  <c r="F44" i="42" a="1"/>
  <c r="F44" i="42" s="1"/>
  <c r="P32" i="42" l="1"/>
  <c r="P33" i="42"/>
  <c r="P34" i="42"/>
  <c r="P35" i="42"/>
  <c r="P36" i="42"/>
  <c r="P37" i="42"/>
  <c r="P38" i="42"/>
  <c r="P39" i="42"/>
  <c r="P40" i="42"/>
  <c r="P41" i="42"/>
  <c r="P42" i="42"/>
  <c r="P43" i="42"/>
  <c r="H38" i="37"/>
  <c r="H37" i="37"/>
  <c r="H36" i="37"/>
  <c r="F110" i="5"/>
  <c r="P110" i="5" s="1"/>
  <c r="E43" i="43" l="1"/>
  <c r="C11" i="43"/>
  <c r="D11" i="43"/>
  <c r="C5" i="43"/>
  <c r="F43" i="43" l="1"/>
  <c r="D16" i="44" l="1"/>
  <c r="F21" i="37" l="1"/>
  <c r="F33" i="37"/>
  <c r="F11" i="37"/>
  <c r="F14" i="37"/>
  <c r="F17" i="37"/>
  <c r="F31" i="37"/>
  <c r="F22" i="37"/>
  <c r="F34" i="37"/>
  <c r="F23" i="37"/>
  <c r="F35" i="37"/>
  <c r="F12" i="37"/>
  <c r="F26" i="37"/>
  <c r="F13" i="37"/>
  <c r="F27" i="37"/>
  <c r="F28" i="37"/>
  <c r="F15" i="37"/>
  <c r="F29" i="37"/>
  <c r="F16" i="37"/>
  <c r="F18" i="37"/>
  <c r="F30" i="37"/>
  <c r="F32" i="37"/>
  <c r="F24" i="37"/>
  <c r="F25" i="37"/>
  <c r="F19" i="37"/>
  <c r="F20" i="37"/>
  <c r="B1" i="25"/>
  <c r="B1" i="5"/>
  <c r="B1" i="20"/>
  <c r="F5" i="37" a="1"/>
  <c r="F5" i="37" s="1"/>
  <c r="D13" i="44"/>
  <c r="D12" i="44"/>
  <c r="B1" i="44"/>
  <c r="B1" i="21" l="1"/>
  <c r="B1" i="6"/>
  <c r="F47" i="43"/>
  <c r="P47" i="5" s="1"/>
  <c r="E19" i="43"/>
  <c r="F18" i="43"/>
  <c r="E18" i="43"/>
  <c r="B1" i="43"/>
  <c r="O254" i="42" a="1"/>
  <c r="O254" i="42" s="1"/>
  <c r="N254" i="42" a="1"/>
  <c r="N254" i="42" s="1"/>
  <c r="M254" i="42" a="1"/>
  <c r="M254" i="42" s="1"/>
  <c r="L254" i="42" a="1"/>
  <c r="L254" i="42" s="1"/>
  <c r="K254" i="42" a="1"/>
  <c r="K254" i="42" s="1"/>
  <c r="J254" i="42" a="1"/>
  <c r="J254" i="42" s="1"/>
  <c r="I254" i="42" a="1"/>
  <c r="I254" i="42" s="1"/>
  <c r="H254" i="42" a="1"/>
  <c r="H254" i="42" s="1"/>
  <c r="G254" i="42" a="1"/>
  <c r="G254" i="42" s="1"/>
  <c r="F254" i="42" a="1"/>
  <c r="F254" i="42" s="1"/>
  <c r="O253" i="42" a="1"/>
  <c r="O253" i="42" s="1"/>
  <c r="N253" i="42" a="1"/>
  <c r="N253" i="42" s="1"/>
  <c r="M253" i="42" a="1"/>
  <c r="M253" i="42" s="1"/>
  <c r="L253" i="42" a="1"/>
  <c r="L253" i="42" s="1"/>
  <c r="K253" i="42" a="1"/>
  <c r="K253" i="42" s="1"/>
  <c r="J253" i="42" a="1"/>
  <c r="J253" i="42" s="1"/>
  <c r="I253" i="42" a="1"/>
  <c r="I253" i="42" s="1"/>
  <c r="H253" i="42" a="1"/>
  <c r="H253" i="42" s="1"/>
  <c r="G253" i="42" a="1"/>
  <c r="G253" i="42" s="1"/>
  <c r="F253" i="42" a="1"/>
  <c r="F253" i="42" s="1"/>
  <c r="O252" i="42" a="1"/>
  <c r="O252" i="42" s="1"/>
  <c r="N252" i="42" a="1"/>
  <c r="N252" i="42" s="1"/>
  <c r="M252" i="42" a="1"/>
  <c r="M252" i="42" s="1"/>
  <c r="L252" i="42" a="1"/>
  <c r="L252" i="42" s="1"/>
  <c r="K252" i="42" a="1"/>
  <c r="K252" i="42" s="1"/>
  <c r="J252" i="42" a="1"/>
  <c r="J252" i="42" s="1"/>
  <c r="I252" i="42" a="1"/>
  <c r="I252" i="42" s="1"/>
  <c r="H252" i="42" a="1"/>
  <c r="H252" i="42" s="1"/>
  <c r="G252" i="42" a="1"/>
  <c r="G252" i="42" s="1"/>
  <c r="F252" i="42" a="1"/>
  <c r="F252" i="42" s="1"/>
  <c r="O250" i="42" a="1"/>
  <c r="O250" i="42" s="1"/>
  <c r="N250" i="42" a="1"/>
  <c r="N250" i="42" s="1"/>
  <c r="M250" i="42" a="1"/>
  <c r="M250" i="42" s="1"/>
  <c r="L250" i="42" a="1"/>
  <c r="L250" i="42" s="1"/>
  <c r="K250" i="42" a="1"/>
  <c r="K250" i="42" s="1"/>
  <c r="J250" i="42" a="1"/>
  <c r="J250" i="42" s="1"/>
  <c r="I250" i="42" a="1"/>
  <c r="I250" i="42" s="1"/>
  <c r="H250" i="42" a="1"/>
  <c r="H250" i="42" s="1"/>
  <c r="G250" i="42" a="1"/>
  <c r="G250" i="42" s="1"/>
  <c r="F250" i="42" a="1"/>
  <c r="F250" i="42" s="1"/>
  <c r="O249" i="42" a="1"/>
  <c r="O249" i="42" s="1"/>
  <c r="N249" i="42" a="1"/>
  <c r="N249" i="42" s="1"/>
  <c r="M249" i="42" a="1"/>
  <c r="M249" i="42" s="1"/>
  <c r="L249" i="42" a="1"/>
  <c r="L249" i="42" s="1"/>
  <c r="K249" i="42" a="1"/>
  <c r="K249" i="42" s="1"/>
  <c r="J249" i="42" a="1"/>
  <c r="J249" i="42" s="1"/>
  <c r="I249" i="42" a="1"/>
  <c r="I249" i="42" s="1"/>
  <c r="H249" i="42" a="1"/>
  <c r="H249" i="42" s="1"/>
  <c r="G249" i="42" a="1"/>
  <c r="G249" i="42" s="1"/>
  <c r="F249" i="42" a="1"/>
  <c r="F249" i="42" s="1"/>
  <c r="O248" i="42" a="1"/>
  <c r="O248" i="42" s="1"/>
  <c r="N248" i="42" a="1"/>
  <c r="N248" i="42" s="1"/>
  <c r="M248" i="42" a="1"/>
  <c r="M248" i="42" s="1"/>
  <c r="L248" i="42" a="1"/>
  <c r="L248" i="42" s="1"/>
  <c r="K248" i="42" a="1"/>
  <c r="K248" i="42" s="1"/>
  <c r="J248" i="42" a="1"/>
  <c r="J248" i="42" s="1"/>
  <c r="I248" i="42" a="1"/>
  <c r="I248" i="42" s="1"/>
  <c r="H248" i="42" a="1"/>
  <c r="H248" i="42" s="1"/>
  <c r="G248" i="42" a="1"/>
  <c r="G248" i="42" s="1"/>
  <c r="F248" i="42" a="1"/>
  <c r="F248" i="42" s="1"/>
  <c r="O246" i="42" a="1"/>
  <c r="O246" i="42" s="1"/>
  <c r="N246" i="42" a="1"/>
  <c r="N246" i="42" s="1"/>
  <c r="M246" i="42" a="1"/>
  <c r="M246" i="42" s="1"/>
  <c r="L246" i="42" a="1"/>
  <c r="L246" i="42" s="1"/>
  <c r="K246" i="42" a="1"/>
  <c r="K246" i="42" s="1"/>
  <c r="J246" i="42" a="1"/>
  <c r="J246" i="42" s="1"/>
  <c r="I246" i="42" a="1"/>
  <c r="I246" i="42" s="1"/>
  <c r="H246" i="42" a="1"/>
  <c r="H246" i="42" s="1"/>
  <c r="G246" i="42" a="1"/>
  <c r="G246" i="42" s="1"/>
  <c r="F246" i="42" a="1"/>
  <c r="F246" i="42" s="1"/>
  <c r="O245" i="42" a="1"/>
  <c r="O245" i="42" s="1"/>
  <c r="N245" i="42" a="1"/>
  <c r="N245" i="42" s="1"/>
  <c r="M245" i="42" a="1"/>
  <c r="M245" i="42" s="1"/>
  <c r="L245" i="42" a="1"/>
  <c r="L245" i="42" s="1"/>
  <c r="K245" i="42" a="1"/>
  <c r="K245" i="42" s="1"/>
  <c r="J245" i="42" a="1"/>
  <c r="J245" i="42" s="1"/>
  <c r="I245" i="42" a="1"/>
  <c r="I245" i="42" s="1"/>
  <c r="H245" i="42" a="1"/>
  <c r="H245" i="42" s="1"/>
  <c r="G245" i="42" a="1"/>
  <c r="G245" i="42" s="1"/>
  <c r="F245" i="42" a="1"/>
  <c r="F245" i="42" s="1"/>
  <c r="O244" i="42" a="1"/>
  <c r="O244" i="42" s="1"/>
  <c r="N244" i="42" a="1"/>
  <c r="N244" i="42" s="1"/>
  <c r="M244" i="42" a="1"/>
  <c r="M244" i="42" s="1"/>
  <c r="L244" i="42" a="1"/>
  <c r="L244" i="42" s="1"/>
  <c r="K244" i="42" a="1"/>
  <c r="K244" i="42" s="1"/>
  <c r="J244" i="42" a="1"/>
  <c r="J244" i="42" s="1"/>
  <c r="I244" i="42" a="1"/>
  <c r="I244" i="42" s="1"/>
  <c r="H244" i="42" a="1"/>
  <c r="H244" i="42" s="1"/>
  <c r="G244" i="42" a="1"/>
  <c r="G244" i="42" s="1"/>
  <c r="F244" i="42" a="1"/>
  <c r="F244" i="42" s="1"/>
  <c r="O242" i="42" a="1"/>
  <c r="O242" i="42" s="1"/>
  <c r="N242" i="42" a="1"/>
  <c r="N242" i="42" s="1"/>
  <c r="M242" i="42" a="1"/>
  <c r="M242" i="42" s="1"/>
  <c r="L242" i="42" a="1"/>
  <c r="L242" i="42" s="1"/>
  <c r="K242" i="42" a="1"/>
  <c r="K242" i="42" s="1"/>
  <c r="J242" i="42" a="1"/>
  <c r="J242" i="42" s="1"/>
  <c r="I242" i="42" a="1"/>
  <c r="I242" i="42" s="1"/>
  <c r="H242" i="42" a="1"/>
  <c r="H242" i="42" s="1"/>
  <c r="G242" i="42" a="1"/>
  <c r="G242" i="42" s="1"/>
  <c r="F242" i="42" a="1"/>
  <c r="F242" i="42" s="1"/>
  <c r="O241" i="42" a="1"/>
  <c r="O241" i="42" s="1"/>
  <c r="N241" i="42" a="1"/>
  <c r="N241" i="42" s="1"/>
  <c r="M241" i="42" a="1"/>
  <c r="M241" i="42" s="1"/>
  <c r="L241" i="42" a="1"/>
  <c r="L241" i="42" s="1"/>
  <c r="K241" i="42" a="1"/>
  <c r="K241" i="42" s="1"/>
  <c r="J241" i="42" a="1"/>
  <c r="J241" i="42" s="1"/>
  <c r="I241" i="42" a="1"/>
  <c r="I241" i="42" s="1"/>
  <c r="H241" i="42" a="1"/>
  <c r="H241" i="42" s="1"/>
  <c r="G241" i="42" a="1"/>
  <c r="G241" i="42" s="1"/>
  <c r="F241" i="42" a="1"/>
  <c r="F241" i="42" s="1"/>
  <c r="O240" i="42" a="1"/>
  <c r="O240" i="42" s="1"/>
  <c r="N240" i="42" a="1"/>
  <c r="N240" i="42" s="1"/>
  <c r="M240" i="42" a="1"/>
  <c r="M240" i="42" s="1"/>
  <c r="L240" i="42" a="1"/>
  <c r="L240" i="42" s="1"/>
  <c r="K240" i="42" a="1"/>
  <c r="K240" i="42" s="1"/>
  <c r="J240" i="42" a="1"/>
  <c r="J240" i="42" s="1"/>
  <c r="I240" i="42" a="1"/>
  <c r="I240" i="42" s="1"/>
  <c r="H240" i="42" a="1"/>
  <c r="H240" i="42" s="1"/>
  <c r="G240" i="42" a="1"/>
  <c r="G240" i="42" s="1"/>
  <c r="F240" i="42" a="1"/>
  <c r="F240" i="42" s="1"/>
  <c r="P239" i="42"/>
  <c r="P237" i="42"/>
  <c r="O233" i="42" a="1"/>
  <c r="O233" i="42" s="1"/>
  <c r="N233" i="42" a="1"/>
  <c r="N233" i="42" s="1"/>
  <c r="M233" i="42" a="1"/>
  <c r="M233" i="42" s="1"/>
  <c r="L233" i="42" a="1"/>
  <c r="L233" i="42" s="1"/>
  <c r="K233" i="42" a="1"/>
  <c r="K233" i="42" s="1"/>
  <c r="J233" i="42" a="1"/>
  <c r="J233" i="42" s="1"/>
  <c r="I233" i="42" a="1"/>
  <c r="I233" i="42" s="1"/>
  <c r="H233" i="42" a="1"/>
  <c r="H233" i="42" s="1"/>
  <c r="G233" i="42" a="1"/>
  <c r="G233" i="42" s="1"/>
  <c r="F233" i="42" a="1"/>
  <c r="F233" i="42" s="1"/>
  <c r="O232" i="42" a="1"/>
  <c r="O232" i="42" s="1"/>
  <c r="N232" i="42" a="1"/>
  <c r="N232" i="42" s="1"/>
  <c r="M232" i="42" a="1"/>
  <c r="M232" i="42" s="1"/>
  <c r="L232" i="42" a="1"/>
  <c r="L232" i="42" s="1"/>
  <c r="K232" i="42" a="1"/>
  <c r="K232" i="42" s="1"/>
  <c r="J232" i="42" a="1"/>
  <c r="J232" i="42" s="1"/>
  <c r="I232" i="42" a="1"/>
  <c r="I232" i="42" s="1"/>
  <c r="H232" i="42" a="1"/>
  <c r="H232" i="42" s="1"/>
  <c r="G232" i="42" a="1"/>
  <c r="G232" i="42" s="1"/>
  <c r="F232" i="42" a="1"/>
  <c r="F232" i="42" s="1"/>
  <c r="O231" i="42" a="1"/>
  <c r="O231" i="42" s="1"/>
  <c r="O225" i="42" s="1"/>
  <c r="N231" i="42" a="1"/>
  <c r="N231" i="42" s="1"/>
  <c r="N225" i="42" s="1"/>
  <c r="M231" i="42" a="1"/>
  <c r="M231" i="42" s="1"/>
  <c r="M225" i="42" s="1"/>
  <c r="L231" i="42" a="1"/>
  <c r="L231" i="42" s="1"/>
  <c r="L225" i="42" s="1"/>
  <c r="K231" i="42" a="1"/>
  <c r="K231" i="42" s="1"/>
  <c r="K225" i="42" s="1"/>
  <c r="J231" i="42" a="1"/>
  <c r="J231" i="42" s="1"/>
  <c r="J225" i="42" s="1"/>
  <c r="I231" i="42" a="1"/>
  <c r="I231" i="42" s="1"/>
  <c r="I225" i="42" s="1"/>
  <c r="H231" i="42" a="1"/>
  <c r="H231" i="42" s="1"/>
  <c r="H225" i="42" s="1"/>
  <c r="G231" i="42" a="1"/>
  <c r="G231" i="42" s="1"/>
  <c r="G225" i="42" s="1"/>
  <c r="F231" i="42" a="1"/>
  <c r="F231" i="42" s="1"/>
  <c r="F225" i="42" s="1"/>
  <c r="O229" i="42" a="1"/>
  <c r="O229" i="42" s="1"/>
  <c r="N229" i="42" a="1"/>
  <c r="N229" i="42" s="1"/>
  <c r="M229" i="42" a="1"/>
  <c r="M229" i="42" s="1"/>
  <c r="L229" i="42" a="1"/>
  <c r="L229" i="42" s="1"/>
  <c r="K229" i="42" a="1"/>
  <c r="K229" i="42" s="1"/>
  <c r="J229" i="42" a="1"/>
  <c r="J229" i="42" s="1"/>
  <c r="I229" i="42" a="1"/>
  <c r="I229" i="42" s="1"/>
  <c r="H229" i="42" a="1"/>
  <c r="H229" i="42" s="1"/>
  <c r="G229" i="42" a="1"/>
  <c r="G229" i="42" s="1"/>
  <c r="F229" i="42" a="1"/>
  <c r="F229" i="42" s="1"/>
  <c r="O228" i="42" a="1"/>
  <c r="O228" i="42" s="1"/>
  <c r="N228" i="42" a="1"/>
  <c r="N228" i="42" s="1"/>
  <c r="M228" i="42" a="1"/>
  <c r="M228" i="42" s="1"/>
  <c r="L228" i="42" a="1"/>
  <c r="L228" i="42" s="1"/>
  <c r="K228" i="42" a="1"/>
  <c r="K228" i="42" s="1"/>
  <c r="J228" i="42" a="1"/>
  <c r="J228" i="42" s="1"/>
  <c r="I228" i="42" a="1"/>
  <c r="I228" i="42" s="1"/>
  <c r="H228" i="42" a="1"/>
  <c r="H228" i="42" s="1"/>
  <c r="G228" i="42" a="1"/>
  <c r="G228" i="42" s="1"/>
  <c r="F228" i="42" a="1"/>
  <c r="F228" i="42" s="1"/>
  <c r="O227" i="42" a="1"/>
  <c r="O227" i="42" s="1"/>
  <c r="O223" i="42" s="1"/>
  <c r="N227" i="42" a="1"/>
  <c r="N227" i="42" s="1"/>
  <c r="N223" i="42" s="1"/>
  <c r="M227" i="42" a="1"/>
  <c r="M227" i="42" s="1"/>
  <c r="M223" i="42" s="1"/>
  <c r="L227" i="42" a="1"/>
  <c r="L227" i="42" s="1"/>
  <c r="L223" i="42" s="1"/>
  <c r="K227" i="42" a="1"/>
  <c r="K227" i="42" s="1"/>
  <c r="K223" i="42" s="1"/>
  <c r="J227" i="42" a="1"/>
  <c r="J227" i="42" s="1"/>
  <c r="J223" i="42" s="1"/>
  <c r="I227" i="42" a="1"/>
  <c r="I227" i="42" s="1"/>
  <c r="I223" i="42" s="1"/>
  <c r="H227" i="42" a="1"/>
  <c r="H227" i="42" s="1"/>
  <c r="H223" i="42" s="1"/>
  <c r="G227" i="42" a="1"/>
  <c r="G227" i="42" s="1"/>
  <c r="G223" i="42" s="1"/>
  <c r="F227" i="42" a="1"/>
  <c r="F227" i="42" s="1"/>
  <c r="F223" i="42" s="1"/>
  <c r="P226" i="42"/>
  <c r="P224" i="42"/>
  <c r="O220" i="42" a="1"/>
  <c r="O220" i="42" s="1"/>
  <c r="N220" i="42" a="1"/>
  <c r="N220" i="42" s="1"/>
  <c r="M220" i="42" a="1"/>
  <c r="M220" i="42" s="1"/>
  <c r="L220" i="42" a="1"/>
  <c r="L220" i="42" s="1"/>
  <c r="K220" i="42" a="1"/>
  <c r="K220" i="42" s="1"/>
  <c r="J220" i="42" a="1"/>
  <c r="J220" i="42" s="1"/>
  <c r="I220" i="42" a="1"/>
  <c r="I220" i="42" s="1"/>
  <c r="H220" i="42" a="1"/>
  <c r="H220" i="42" s="1"/>
  <c r="G220" i="42" a="1"/>
  <c r="G220" i="42" s="1"/>
  <c r="F220" i="42" a="1"/>
  <c r="F220" i="42" s="1"/>
  <c r="O219" i="42" a="1"/>
  <c r="O219" i="42" s="1"/>
  <c r="N219" i="42" a="1"/>
  <c r="N219" i="42" s="1"/>
  <c r="M219" i="42" a="1"/>
  <c r="M219" i="42" s="1"/>
  <c r="L219" i="42" a="1"/>
  <c r="L219" i="42" s="1"/>
  <c r="K219" i="42" a="1"/>
  <c r="K219" i="42" s="1"/>
  <c r="J219" i="42" a="1"/>
  <c r="J219" i="42" s="1"/>
  <c r="I219" i="42" a="1"/>
  <c r="I219" i="42" s="1"/>
  <c r="H219" i="42" a="1"/>
  <c r="H219" i="42" s="1"/>
  <c r="G219" i="42" a="1"/>
  <c r="G219" i="42" s="1"/>
  <c r="F219" i="42" a="1"/>
  <c r="F219" i="42" s="1"/>
  <c r="O218" i="42" a="1"/>
  <c r="O218" i="42" s="1"/>
  <c r="O212" i="42" s="1"/>
  <c r="N218" i="42" a="1"/>
  <c r="N218" i="42" s="1"/>
  <c r="N212" i="42" s="1"/>
  <c r="M218" i="42" a="1"/>
  <c r="M218" i="42" s="1"/>
  <c r="M212" i="42" s="1"/>
  <c r="L218" i="42" a="1"/>
  <c r="L218" i="42" s="1"/>
  <c r="L212" i="42" s="1"/>
  <c r="K218" i="42" a="1"/>
  <c r="K218" i="42" s="1"/>
  <c r="K212" i="42" s="1"/>
  <c r="J218" i="42" a="1"/>
  <c r="J218" i="42" s="1"/>
  <c r="J212" i="42" s="1"/>
  <c r="I218" i="42" a="1"/>
  <c r="I218" i="42" s="1"/>
  <c r="I212" i="42" s="1"/>
  <c r="H218" i="42" a="1"/>
  <c r="H218" i="42" s="1"/>
  <c r="H212" i="42" s="1"/>
  <c r="G218" i="42" a="1"/>
  <c r="G218" i="42" s="1"/>
  <c r="G212" i="42" s="1"/>
  <c r="F218" i="42" a="1"/>
  <c r="F218" i="42" s="1"/>
  <c r="F212" i="42" s="1"/>
  <c r="O216" i="42" a="1"/>
  <c r="O216" i="42" s="1"/>
  <c r="N216" i="42" a="1"/>
  <c r="N216" i="42" s="1"/>
  <c r="M216" i="42" a="1"/>
  <c r="M216" i="42" s="1"/>
  <c r="L216" i="42" a="1"/>
  <c r="L216" i="42" s="1"/>
  <c r="K216" i="42" a="1"/>
  <c r="K216" i="42" s="1"/>
  <c r="J216" i="42" a="1"/>
  <c r="J216" i="42" s="1"/>
  <c r="I216" i="42" a="1"/>
  <c r="I216" i="42" s="1"/>
  <c r="H216" i="42" a="1"/>
  <c r="H216" i="42" s="1"/>
  <c r="G216" i="42" a="1"/>
  <c r="G216" i="42" s="1"/>
  <c r="F216" i="42" a="1"/>
  <c r="F216" i="42" s="1"/>
  <c r="O215" i="42" a="1"/>
  <c r="O215" i="42" s="1"/>
  <c r="N215" i="42" a="1"/>
  <c r="N215" i="42" s="1"/>
  <c r="M215" i="42" a="1"/>
  <c r="M215" i="42" s="1"/>
  <c r="L215" i="42" a="1"/>
  <c r="L215" i="42" s="1"/>
  <c r="K215" i="42" a="1"/>
  <c r="K215" i="42" s="1"/>
  <c r="J215" i="42" a="1"/>
  <c r="J215" i="42" s="1"/>
  <c r="I215" i="42" a="1"/>
  <c r="I215" i="42" s="1"/>
  <c r="H215" i="42" a="1"/>
  <c r="H215" i="42" s="1"/>
  <c r="G215" i="42" a="1"/>
  <c r="G215" i="42" s="1"/>
  <c r="F215" i="42" a="1"/>
  <c r="F215" i="42" s="1"/>
  <c r="O214" i="42" a="1"/>
  <c r="O214" i="42" s="1"/>
  <c r="O210" i="42" s="1"/>
  <c r="N214" i="42" a="1"/>
  <c r="N214" i="42" s="1"/>
  <c r="N210" i="42" s="1"/>
  <c r="M214" i="42" a="1"/>
  <c r="M214" i="42" s="1"/>
  <c r="M210" i="42" s="1"/>
  <c r="L214" i="42" a="1"/>
  <c r="L214" i="42" s="1"/>
  <c r="L210" i="42" s="1"/>
  <c r="K214" i="42" a="1"/>
  <c r="K214" i="42" s="1"/>
  <c r="K210" i="42" s="1"/>
  <c r="J214" i="42" a="1"/>
  <c r="J214" i="42" s="1"/>
  <c r="J210" i="42" s="1"/>
  <c r="I214" i="42" a="1"/>
  <c r="I214" i="42" s="1"/>
  <c r="I210" i="42" s="1"/>
  <c r="H214" i="42" a="1"/>
  <c r="H214" i="42" s="1"/>
  <c r="H210" i="42" s="1"/>
  <c r="G214" i="42" a="1"/>
  <c r="G214" i="42" s="1"/>
  <c r="G210" i="42" s="1"/>
  <c r="F214" i="42" a="1"/>
  <c r="F214" i="42" s="1"/>
  <c r="F210" i="42" s="1"/>
  <c r="P213" i="42"/>
  <c r="P211" i="42"/>
  <c r="O207" i="42" a="1"/>
  <c r="O207" i="42" s="1"/>
  <c r="N207" i="42" a="1"/>
  <c r="N207" i="42" s="1"/>
  <c r="M207" i="42" a="1"/>
  <c r="M207" i="42" s="1"/>
  <c r="L207" i="42" a="1"/>
  <c r="L207" i="42" s="1"/>
  <c r="K207" i="42" a="1"/>
  <c r="K207" i="42" s="1"/>
  <c r="J207" i="42" a="1"/>
  <c r="J207" i="42" s="1"/>
  <c r="I207" i="42" a="1"/>
  <c r="I207" i="42" s="1"/>
  <c r="H207" i="42" a="1"/>
  <c r="H207" i="42" s="1"/>
  <c r="G207" i="42" a="1"/>
  <c r="G207" i="42" s="1"/>
  <c r="F207" i="42" a="1"/>
  <c r="F207" i="42" s="1"/>
  <c r="O206" i="42" a="1"/>
  <c r="O206" i="42" s="1"/>
  <c r="N206" i="42" a="1"/>
  <c r="N206" i="42" s="1"/>
  <c r="M206" i="42" a="1"/>
  <c r="M206" i="42" s="1"/>
  <c r="L206" i="42" a="1"/>
  <c r="L206" i="42" s="1"/>
  <c r="K206" i="42" a="1"/>
  <c r="K206" i="42" s="1"/>
  <c r="J206" i="42" a="1"/>
  <c r="J206" i="42" s="1"/>
  <c r="I206" i="42" a="1"/>
  <c r="I206" i="42" s="1"/>
  <c r="H206" i="42" a="1"/>
  <c r="H206" i="42" s="1"/>
  <c r="G206" i="42" a="1"/>
  <c r="G206" i="42" s="1"/>
  <c r="F206" i="42" a="1"/>
  <c r="F206" i="42" s="1"/>
  <c r="O205" i="42" a="1"/>
  <c r="O205" i="42" s="1"/>
  <c r="N205" i="42" a="1"/>
  <c r="N205" i="42" s="1"/>
  <c r="M205" i="42" a="1"/>
  <c r="M205" i="42" s="1"/>
  <c r="L205" i="42" a="1"/>
  <c r="L205" i="42" s="1"/>
  <c r="K205" i="42" a="1"/>
  <c r="K205" i="42" s="1"/>
  <c r="J205" i="42" a="1"/>
  <c r="J205" i="42" s="1"/>
  <c r="I205" i="42" a="1"/>
  <c r="I205" i="42" s="1"/>
  <c r="H205" i="42" a="1"/>
  <c r="H205" i="42" s="1"/>
  <c r="G205" i="42" a="1"/>
  <c r="G205" i="42" s="1"/>
  <c r="F205" i="42" a="1"/>
  <c r="F205" i="42" s="1"/>
  <c r="O203" i="42" a="1"/>
  <c r="O203" i="42" s="1"/>
  <c r="N203" i="42" a="1"/>
  <c r="N203" i="42" s="1"/>
  <c r="M203" i="42" a="1"/>
  <c r="M203" i="42" s="1"/>
  <c r="L203" i="42" a="1"/>
  <c r="L203" i="42" s="1"/>
  <c r="K203" i="42" a="1"/>
  <c r="K203" i="42" s="1"/>
  <c r="J203" i="42" a="1"/>
  <c r="J203" i="42" s="1"/>
  <c r="I203" i="42" a="1"/>
  <c r="I203" i="42" s="1"/>
  <c r="H203" i="42" a="1"/>
  <c r="H203" i="42" s="1"/>
  <c r="G203" i="42" a="1"/>
  <c r="G203" i="42" s="1"/>
  <c r="F203" i="42" a="1"/>
  <c r="F203" i="42" s="1"/>
  <c r="O202" i="42" a="1"/>
  <c r="O202" i="42" s="1"/>
  <c r="N202" i="42" a="1"/>
  <c r="N202" i="42" s="1"/>
  <c r="M202" i="42" a="1"/>
  <c r="M202" i="42" s="1"/>
  <c r="L202" i="42" a="1"/>
  <c r="L202" i="42" s="1"/>
  <c r="K202" i="42" a="1"/>
  <c r="K202" i="42" s="1"/>
  <c r="J202" i="42" a="1"/>
  <c r="J202" i="42" s="1"/>
  <c r="I202" i="42" a="1"/>
  <c r="I202" i="42" s="1"/>
  <c r="H202" i="42" a="1"/>
  <c r="H202" i="42" s="1"/>
  <c r="G202" i="42" a="1"/>
  <c r="G202" i="42" s="1"/>
  <c r="F202" i="42" a="1"/>
  <c r="F202" i="42" s="1"/>
  <c r="O201" i="42" a="1"/>
  <c r="O201" i="42" s="1"/>
  <c r="N201" i="42" a="1"/>
  <c r="N201" i="42" s="1"/>
  <c r="M201" i="42" a="1"/>
  <c r="M201" i="42" s="1"/>
  <c r="L201" i="42" a="1"/>
  <c r="L201" i="42" s="1"/>
  <c r="K201" i="42" a="1"/>
  <c r="K201" i="42" s="1"/>
  <c r="J201" i="42" a="1"/>
  <c r="J201" i="42" s="1"/>
  <c r="I201" i="42" a="1"/>
  <c r="I201" i="42" s="1"/>
  <c r="H201" i="42" a="1"/>
  <c r="H201" i="42" s="1"/>
  <c r="G201" i="42" a="1"/>
  <c r="G201" i="42" s="1"/>
  <c r="F201" i="42" a="1"/>
  <c r="F201" i="42" s="1"/>
  <c r="O199" i="42" a="1"/>
  <c r="O199" i="42" s="1"/>
  <c r="N199" i="42" a="1"/>
  <c r="N199" i="42" s="1"/>
  <c r="M199" i="42" a="1"/>
  <c r="M199" i="42" s="1"/>
  <c r="L199" i="42" a="1"/>
  <c r="L199" i="42" s="1"/>
  <c r="K199" i="42" a="1"/>
  <c r="K199" i="42" s="1"/>
  <c r="J199" i="42" a="1"/>
  <c r="J199" i="42" s="1"/>
  <c r="I199" i="42" a="1"/>
  <c r="I199" i="42" s="1"/>
  <c r="H199" i="42" a="1"/>
  <c r="H199" i="42" s="1"/>
  <c r="G199" i="42" a="1"/>
  <c r="G199" i="42" s="1"/>
  <c r="F199" i="42" a="1"/>
  <c r="F199" i="42" s="1"/>
  <c r="O198" i="42" a="1"/>
  <c r="O198" i="42" s="1"/>
  <c r="N198" i="42" a="1"/>
  <c r="N198" i="42" s="1"/>
  <c r="M198" i="42" a="1"/>
  <c r="M198" i="42" s="1"/>
  <c r="L198" i="42" a="1"/>
  <c r="L198" i="42" s="1"/>
  <c r="K198" i="42" a="1"/>
  <c r="K198" i="42" s="1"/>
  <c r="J198" i="42" a="1"/>
  <c r="J198" i="42" s="1"/>
  <c r="I198" i="42" a="1"/>
  <c r="I198" i="42" s="1"/>
  <c r="H198" i="42" a="1"/>
  <c r="H198" i="42" s="1"/>
  <c r="G198" i="42" a="1"/>
  <c r="G198" i="42" s="1"/>
  <c r="F198" i="42" a="1"/>
  <c r="F198" i="42" s="1"/>
  <c r="O197" i="42" a="1"/>
  <c r="O197" i="42" s="1"/>
  <c r="N197" i="42" a="1"/>
  <c r="N197" i="42" s="1"/>
  <c r="M197" i="42" a="1"/>
  <c r="M197" i="42" s="1"/>
  <c r="L197" i="42" a="1"/>
  <c r="L197" i="42" s="1"/>
  <c r="K197" i="42" a="1"/>
  <c r="K197" i="42" s="1"/>
  <c r="J197" i="42" a="1"/>
  <c r="J197" i="42" s="1"/>
  <c r="I197" i="42" a="1"/>
  <c r="I197" i="42" s="1"/>
  <c r="H197" i="42" a="1"/>
  <c r="H197" i="42" s="1"/>
  <c r="G197" i="42" a="1"/>
  <c r="G197" i="42" s="1"/>
  <c r="F197" i="42" a="1"/>
  <c r="F197" i="42" s="1"/>
  <c r="O195" i="42" a="1"/>
  <c r="O195" i="42" s="1"/>
  <c r="N195" i="42" a="1"/>
  <c r="N195" i="42" s="1"/>
  <c r="M195" i="42" a="1"/>
  <c r="M195" i="42" s="1"/>
  <c r="L195" i="42" a="1"/>
  <c r="L195" i="42" s="1"/>
  <c r="K195" i="42" a="1"/>
  <c r="K195" i="42" s="1"/>
  <c r="J195" i="42" a="1"/>
  <c r="J195" i="42" s="1"/>
  <c r="I195" i="42" a="1"/>
  <c r="I195" i="42" s="1"/>
  <c r="H195" i="42" a="1"/>
  <c r="H195" i="42" s="1"/>
  <c r="G195" i="42" a="1"/>
  <c r="G195" i="42" s="1"/>
  <c r="F195" i="42" a="1"/>
  <c r="F195" i="42" s="1"/>
  <c r="O194" i="42" a="1"/>
  <c r="O194" i="42" s="1"/>
  <c r="N194" i="42" a="1"/>
  <c r="N194" i="42" s="1"/>
  <c r="M194" i="42" a="1"/>
  <c r="M194" i="42" s="1"/>
  <c r="L194" i="42" a="1"/>
  <c r="L194" i="42" s="1"/>
  <c r="K194" i="42" a="1"/>
  <c r="K194" i="42" s="1"/>
  <c r="J194" i="42" a="1"/>
  <c r="J194" i="42" s="1"/>
  <c r="I194" i="42" a="1"/>
  <c r="I194" i="42" s="1"/>
  <c r="H194" i="42" a="1"/>
  <c r="H194" i="42" s="1"/>
  <c r="G194" i="42" a="1"/>
  <c r="G194" i="42" s="1"/>
  <c r="F194" i="42" a="1"/>
  <c r="F194" i="42" s="1"/>
  <c r="O193" i="42" a="1"/>
  <c r="O193" i="42" s="1"/>
  <c r="N193" i="42" a="1"/>
  <c r="N193" i="42" s="1"/>
  <c r="M193" i="42" a="1"/>
  <c r="M193" i="42" s="1"/>
  <c r="L193" i="42" a="1"/>
  <c r="L193" i="42" s="1"/>
  <c r="K193" i="42" a="1"/>
  <c r="K193" i="42" s="1"/>
  <c r="J193" i="42" a="1"/>
  <c r="J193" i="42" s="1"/>
  <c r="I193" i="42" a="1"/>
  <c r="I193" i="42" s="1"/>
  <c r="H193" i="42" a="1"/>
  <c r="H193" i="42" s="1"/>
  <c r="G193" i="42" a="1"/>
  <c r="G193" i="42" s="1"/>
  <c r="F193" i="42" a="1"/>
  <c r="F193" i="42" s="1"/>
  <c r="P192" i="42"/>
  <c r="P190" i="42"/>
  <c r="O186" i="42" a="1"/>
  <c r="O186" i="42" s="1"/>
  <c r="N186" i="42" a="1"/>
  <c r="N186" i="42" s="1"/>
  <c r="M186" i="42" a="1"/>
  <c r="M186" i="42" s="1"/>
  <c r="L186" i="42" a="1"/>
  <c r="L186" i="42" s="1"/>
  <c r="K186" i="42" a="1"/>
  <c r="K186" i="42" s="1"/>
  <c r="J186" i="42" a="1"/>
  <c r="J186" i="42" s="1"/>
  <c r="I186" i="42" a="1"/>
  <c r="I186" i="42" s="1"/>
  <c r="H186" i="42" a="1"/>
  <c r="H186" i="42" s="1"/>
  <c r="G186" i="42" a="1"/>
  <c r="G186" i="42" s="1"/>
  <c r="F186" i="42" a="1"/>
  <c r="F186" i="42" s="1"/>
  <c r="O185" i="42" a="1"/>
  <c r="O185" i="42" s="1"/>
  <c r="N185" i="42" a="1"/>
  <c r="N185" i="42" s="1"/>
  <c r="M185" i="42" a="1"/>
  <c r="M185" i="42" s="1"/>
  <c r="L185" i="42" a="1"/>
  <c r="L185" i="42" s="1"/>
  <c r="K185" i="42" a="1"/>
  <c r="K185" i="42" s="1"/>
  <c r="J185" i="42" a="1"/>
  <c r="J185" i="42" s="1"/>
  <c r="I185" i="42" a="1"/>
  <c r="I185" i="42" s="1"/>
  <c r="H185" i="42" a="1"/>
  <c r="H185" i="42" s="1"/>
  <c r="G185" i="42" a="1"/>
  <c r="G185" i="42" s="1"/>
  <c r="F185" i="42" a="1"/>
  <c r="F185" i="42" s="1"/>
  <c r="O184" i="42" a="1"/>
  <c r="O184" i="42" s="1"/>
  <c r="N184" i="42" a="1"/>
  <c r="N184" i="42" s="1"/>
  <c r="M184" i="42" a="1"/>
  <c r="M184" i="42" s="1"/>
  <c r="L184" i="42" a="1"/>
  <c r="L184" i="42" s="1"/>
  <c r="K184" i="42" a="1"/>
  <c r="K184" i="42" s="1"/>
  <c r="J184" i="42" a="1"/>
  <c r="J184" i="42" s="1"/>
  <c r="I184" i="42" a="1"/>
  <c r="I184" i="42" s="1"/>
  <c r="H184" i="42" a="1"/>
  <c r="H184" i="42" s="1"/>
  <c r="G184" i="42" a="1"/>
  <c r="G184" i="42" s="1"/>
  <c r="F184" i="42" a="1"/>
  <c r="F184" i="42" s="1"/>
  <c r="O182" i="42" a="1"/>
  <c r="O182" i="42" s="1"/>
  <c r="N182" i="42" a="1"/>
  <c r="N182" i="42" s="1"/>
  <c r="M182" i="42" a="1"/>
  <c r="M182" i="42" s="1"/>
  <c r="L182" i="42" a="1"/>
  <c r="L182" i="42" s="1"/>
  <c r="K182" i="42" a="1"/>
  <c r="K182" i="42" s="1"/>
  <c r="J182" i="42" a="1"/>
  <c r="J182" i="42" s="1"/>
  <c r="I182" i="42" a="1"/>
  <c r="I182" i="42" s="1"/>
  <c r="H182" i="42" a="1"/>
  <c r="H182" i="42" s="1"/>
  <c r="G182" i="42" a="1"/>
  <c r="G182" i="42" s="1"/>
  <c r="F182" i="42" a="1"/>
  <c r="F182" i="42" s="1"/>
  <c r="O181" i="42" a="1"/>
  <c r="O181" i="42" s="1"/>
  <c r="N181" i="42" a="1"/>
  <c r="N181" i="42" s="1"/>
  <c r="M181" i="42" a="1"/>
  <c r="M181" i="42" s="1"/>
  <c r="L181" i="42" a="1"/>
  <c r="L181" i="42" s="1"/>
  <c r="K181" i="42" a="1"/>
  <c r="K181" i="42" s="1"/>
  <c r="J181" i="42" a="1"/>
  <c r="J181" i="42" s="1"/>
  <c r="I181" i="42" a="1"/>
  <c r="I181" i="42" s="1"/>
  <c r="H181" i="42" a="1"/>
  <c r="H181" i="42" s="1"/>
  <c r="G181" i="42" a="1"/>
  <c r="G181" i="42" s="1"/>
  <c r="F181" i="42" a="1"/>
  <c r="F181" i="42" s="1"/>
  <c r="O180" i="42" a="1"/>
  <c r="O180" i="42" s="1"/>
  <c r="N180" i="42" a="1"/>
  <c r="N180" i="42" s="1"/>
  <c r="M180" i="42" a="1"/>
  <c r="M180" i="42" s="1"/>
  <c r="L180" i="42" a="1"/>
  <c r="L180" i="42" s="1"/>
  <c r="K180" i="42" a="1"/>
  <c r="K180" i="42" s="1"/>
  <c r="J180" i="42" a="1"/>
  <c r="J180" i="42" s="1"/>
  <c r="I180" i="42" a="1"/>
  <c r="I180" i="42" s="1"/>
  <c r="H180" i="42" a="1"/>
  <c r="H180" i="42" s="1"/>
  <c r="G180" i="42" a="1"/>
  <c r="G180" i="42" s="1"/>
  <c r="F180" i="42" a="1"/>
  <c r="F180" i="42" s="1"/>
  <c r="O178" i="42" a="1"/>
  <c r="O178" i="42" s="1"/>
  <c r="N178" i="42" a="1"/>
  <c r="N178" i="42" s="1"/>
  <c r="M178" i="42" a="1"/>
  <c r="M178" i="42" s="1"/>
  <c r="L178" i="42" a="1"/>
  <c r="L178" i="42" s="1"/>
  <c r="K178" i="42" a="1"/>
  <c r="K178" i="42" s="1"/>
  <c r="J178" i="42" a="1"/>
  <c r="J178" i="42" s="1"/>
  <c r="I178" i="42" a="1"/>
  <c r="I178" i="42" s="1"/>
  <c r="H178" i="42" a="1"/>
  <c r="H178" i="42" s="1"/>
  <c r="G178" i="42" a="1"/>
  <c r="G178" i="42" s="1"/>
  <c r="F178" i="42" a="1"/>
  <c r="F178" i="42" s="1"/>
  <c r="O177" i="42" a="1"/>
  <c r="O177" i="42" s="1"/>
  <c r="N177" i="42" a="1"/>
  <c r="N177" i="42" s="1"/>
  <c r="M177" i="42" a="1"/>
  <c r="M177" i="42" s="1"/>
  <c r="L177" i="42" a="1"/>
  <c r="L177" i="42" s="1"/>
  <c r="K177" i="42" a="1"/>
  <c r="K177" i="42" s="1"/>
  <c r="J177" i="42" a="1"/>
  <c r="J177" i="42" s="1"/>
  <c r="I177" i="42" a="1"/>
  <c r="I177" i="42" s="1"/>
  <c r="H177" i="42" a="1"/>
  <c r="H177" i="42" s="1"/>
  <c r="G177" i="42" a="1"/>
  <c r="G177" i="42" s="1"/>
  <c r="F177" i="42" a="1"/>
  <c r="F177" i="42" s="1"/>
  <c r="O176" i="42" a="1"/>
  <c r="O176" i="42" s="1"/>
  <c r="N176" i="42" a="1"/>
  <c r="N176" i="42" s="1"/>
  <c r="M176" i="42" a="1"/>
  <c r="M176" i="42" s="1"/>
  <c r="L176" i="42" a="1"/>
  <c r="L176" i="42" s="1"/>
  <c r="K176" i="42" a="1"/>
  <c r="K176" i="42" s="1"/>
  <c r="J176" i="42" a="1"/>
  <c r="J176" i="42" s="1"/>
  <c r="I176" i="42" a="1"/>
  <c r="I176" i="42" s="1"/>
  <c r="H176" i="42" a="1"/>
  <c r="H176" i="42" s="1"/>
  <c r="G176" i="42" a="1"/>
  <c r="G176" i="42" s="1"/>
  <c r="F176" i="42" a="1"/>
  <c r="F176" i="42" s="1"/>
  <c r="O174" i="42" a="1"/>
  <c r="O174" i="42" s="1"/>
  <c r="N174" i="42" a="1"/>
  <c r="N174" i="42" s="1"/>
  <c r="M174" i="42" a="1"/>
  <c r="M174" i="42" s="1"/>
  <c r="L174" i="42" a="1"/>
  <c r="L174" i="42" s="1"/>
  <c r="K174" i="42" a="1"/>
  <c r="K174" i="42" s="1"/>
  <c r="J174" i="42" a="1"/>
  <c r="J174" i="42" s="1"/>
  <c r="I174" i="42" a="1"/>
  <c r="I174" i="42" s="1"/>
  <c r="H174" i="42" a="1"/>
  <c r="H174" i="42" s="1"/>
  <c r="G174" i="42" a="1"/>
  <c r="G174" i="42" s="1"/>
  <c r="F174" i="42" a="1"/>
  <c r="F174" i="42" s="1"/>
  <c r="O173" i="42" a="1"/>
  <c r="O173" i="42" s="1"/>
  <c r="N173" i="42" a="1"/>
  <c r="N173" i="42" s="1"/>
  <c r="M173" i="42" a="1"/>
  <c r="M173" i="42" s="1"/>
  <c r="L173" i="42" a="1"/>
  <c r="L173" i="42" s="1"/>
  <c r="K173" i="42" a="1"/>
  <c r="K173" i="42" s="1"/>
  <c r="J173" i="42" a="1"/>
  <c r="J173" i="42" s="1"/>
  <c r="I173" i="42" a="1"/>
  <c r="I173" i="42" s="1"/>
  <c r="H173" i="42" a="1"/>
  <c r="H173" i="42" s="1"/>
  <c r="G173" i="42" a="1"/>
  <c r="G173" i="42" s="1"/>
  <c r="F173" i="42" a="1"/>
  <c r="F173" i="42" s="1"/>
  <c r="O172" i="42" a="1"/>
  <c r="O172" i="42" s="1"/>
  <c r="N172" i="42" a="1"/>
  <c r="N172" i="42" s="1"/>
  <c r="M172" i="42" a="1"/>
  <c r="M172" i="42" s="1"/>
  <c r="L172" i="42" a="1"/>
  <c r="L172" i="42" s="1"/>
  <c r="K172" i="42" a="1"/>
  <c r="K172" i="42" s="1"/>
  <c r="J172" i="42" a="1"/>
  <c r="J172" i="42" s="1"/>
  <c r="I172" i="42" a="1"/>
  <c r="I172" i="42" s="1"/>
  <c r="H172" i="42" a="1"/>
  <c r="H172" i="42" s="1"/>
  <c r="G172" i="42" a="1"/>
  <c r="G172" i="42" s="1"/>
  <c r="F172" i="42" a="1"/>
  <c r="F172" i="42" s="1"/>
  <c r="O170" i="42" a="1"/>
  <c r="O170" i="42" s="1"/>
  <c r="N170" i="42" a="1"/>
  <c r="N170" i="42" s="1"/>
  <c r="M170" i="42" a="1"/>
  <c r="M170" i="42" s="1"/>
  <c r="L170" i="42" a="1"/>
  <c r="L170" i="42" s="1"/>
  <c r="K170" i="42" a="1"/>
  <c r="K170" i="42" s="1"/>
  <c r="J170" i="42" a="1"/>
  <c r="J170" i="42" s="1"/>
  <c r="I170" i="42" a="1"/>
  <c r="I170" i="42" s="1"/>
  <c r="H170" i="42" a="1"/>
  <c r="H170" i="42" s="1"/>
  <c r="G170" i="42" a="1"/>
  <c r="G170" i="42" s="1"/>
  <c r="F170" i="42" a="1"/>
  <c r="F170" i="42" s="1"/>
  <c r="O169" i="42" a="1"/>
  <c r="O169" i="42" s="1"/>
  <c r="N169" i="42" a="1"/>
  <c r="N169" i="42" s="1"/>
  <c r="M169" i="42" a="1"/>
  <c r="M169" i="42" s="1"/>
  <c r="L169" i="42" a="1"/>
  <c r="L169" i="42" s="1"/>
  <c r="K169" i="42" a="1"/>
  <c r="K169" i="42" s="1"/>
  <c r="J169" i="42" a="1"/>
  <c r="J169" i="42" s="1"/>
  <c r="I169" i="42" a="1"/>
  <c r="I169" i="42" s="1"/>
  <c r="H169" i="42" a="1"/>
  <c r="H169" i="42" s="1"/>
  <c r="G169" i="42" a="1"/>
  <c r="G169" i="42" s="1"/>
  <c r="F169" i="42" a="1"/>
  <c r="F169" i="42" s="1"/>
  <c r="O168" i="42" a="1"/>
  <c r="O168" i="42" s="1"/>
  <c r="N168" i="42" a="1"/>
  <c r="N168" i="42" s="1"/>
  <c r="M168" i="42" a="1"/>
  <c r="M168" i="42" s="1"/>
  <c r="L168" i="42" a="1"/>
  <c r="L168" i="42" s="1"/>
  <c r="K168" i="42" a="1"/>
  <c r="K168" i="42" s="1"/>
  <c r="J168" i="42" a="1"/>
  <c r="J168" i="42" s="1"/>
  <c r="I168" i="42" a="1"/>
  <c r="I168" i="42" s="1"/>
  <c r="H168" i="42" a="1"/>
  <c r="H168" i="42" s="1"/>
  <c r="G168" i="42" a="1"/>
  <c r="G168" i="42" s="1"/>
  <c r="F168" i="42" a="1"/>
  <c r="F168" i="42" s="1"/>
  <c r="O166" i="42" a="1"/>
  <c r="O166" i="42" s="1"/>
  <c r="N166" i="42" a="1"/>
  <c r="N166" i="42" s="1"/>
  <c r="M166" i="42" a="1"/>
  <c r="M166" i="42" s="1"/>
  <c r="L166" i="42" a="1"/>
  <c r="L166" i="42" s="1"/>
  <c r="K166" i="42" a="1"/>
  <c r="K166" i="42" s="1"/>
  <c r="J166" i="42" a="1"/>
  <c r="J166" i="42" s="1"/>
  <c r="I166" i="42" a="1"/>
  <c r="I166" i="42" s="1"/>
  <c r="H166" i="42" a="1"/>
  <c r="H166" i="42" s="1"/>
  <c r="G166" i="42" a="1"/>
  <c r="G166" i="42" s="1"/>
  <c r="F166" i="42" a="1"/>
  <c r="F166" i="42" s="1"/>
  <c r="O165" i="42" a="1"/>
  <c r="O165" i="42" s="1"/>
  <c r="N165" i="42" a="1"/>
  <c r="N165" i="42" s="1"/>
  <c r="M165" i="42" a="1"/>
  <c r="M165" i="42" s="1"/>
  <c r="L165" i="42" a="1"/>
  <c r="L165" i="42" s="1"/>
  <c r="K165" i="42" a="1"/>
  <c r="K165" i="42" s="1"/>
  <c r="J165" i="42" a="1"/>
  <c r="J165" i="42" s="1"/>
  <c r="I165" i="42" a="1"/>
  <c r="I165" i="42" s="1"/>
  <c r="H165" i="42" a="1"/>
  <c r="H165" i="42" s="1"/>
  <c r="G165" i="42" a="1"/>
  <c r="G165" i="42" s="1"/>
  <c r="F165" i="42" a="1"/>
  <c r="F165" i="42" s="1"/>
  <c r="O164" i="42" a="1"/>
  <c r="O164" i="42" s="1"/>
  <c r="N164" i="42" a="1"/>
  <c r="N164" i="42" s="1"/>
  <c r="M164" i="42" a="1"/>
  <c r="M164" i="42" s="1"/>
  <c r="L164" i="42" a="1"/>
  <c r="L164" i="42" s="1"/>
  <c r="K164" i="42" a="1"/>
  <c r="K164" i="42" s="1"/>
  <c r="J164" i="42" a="1"/>
  <c r="J164" i="42" s="1"/>
  <c r="I164" i="42" a="1"/>
  <c r="I164" i="42" s="1"/>
  <c r="H164" i="42" a="1"/>
  <c r="H164" i="42" s="1"/>
  <c r="G164" i="42" a="1"/>
  <c r="G164" i="42" s="1"/>
  <c r="F164" i="42" a="1"/>
  <c r="F164" i="42" s="1"/>
  <c r="O162" i="42" a="1"/>
  <c r="O162" i="42" s="1"/>
  <c r="N162" i="42" a="1"/>
  <c r="N162" i="42" s="1"/>
  <c r="M162" i="42" a="1"/>
  <c r="M162" i="42" s="1"/>
  <c r="L162" i="42" a="1"/>
  <c r="L162" i="42" s="1"/>
  <c r="K162" i="42" a="1"/>
  <c r="K162" i="42" s="1"/>
  <c r="J162" i="42" a="1"/>
  <c r="J162" i="42" s="1"/>
  <c r="I162" i="42" a="1"/>
  <c r="I162" i="42" s="1"/>
  <c r="H162" i="42" a="1"/>
  <c r="H162" i="42" s="1"/>
  <c r="G162" i="42" a="1"/>
  <c r="G162" i="42" s="1"/>
  <c r="F162" i="42" a="1"/>
  <c r="F162" i="42" s="1"/>
  <c r="O161" i="42" a="1"/>
  <c r="O161" i="42" s="1"/>
  <c r="N161" i="42" a="1"/>
  <c r="N161" i="42" s="1"/>
  <c r="M161" i="42" a="1"/>
  <c r="M161" i="42" s="1"/>
  <c r="L161" i="42" a="1"/>
  <c r="L161" i="42" s="1"/>
  <c r="K161" i="42" a="1"/>
  <c r="K161" i="42" s="1"/>
  <c r="J161" i="42" a="1"/>
  <c r="J161" i="42" s="1"/>
  <c r="I161" i="42" a="1"/>
  <c r="I161" i="42" s="1"/>
  <c r="H161" i="42" a="1"/>
  <c r="H161" i="42" s="1"/>
  <c r="G161" i="42" a="1"/>
  <c r="G161" i="42" s="1"/>
  <c r="F161" i="42" a="1"/>
  <c r="F161" i="42" s="1"/>
  <c r="O160" i="42" a="1"/>
  <c r="O160" i="42" s="1"/>
  <c r="N160" i="42" a="1"/>
  <c r="N160" i="42" s="1"/>
  <c r="M160" i="42" a="1"/>
  <c r="M160" i="42" s="1"/>
  <c r="L160" i="42" a="1"/>
  <c r="L160" i="42" s="1"/>
  <c r="K160" i="42" a="1"/>
  <c r="K160" i="42" s="1"/>
  <c r="J160" i="42" a="1"/>
  <c r="J160" i="42" s="1"/>
  <c r="I160" i="42" a="1"/>
  <c r="I160" i="42" s="1"/>
  <c r="H160" i="42" a="1"/>
  <c r="H160" i="42" s="1"/>
  <c r="G160" i="42" a="1"/>
  <c r="G160" i="42" s="1"/>
  <c r="F160" i="42" a="1"/>
  <c r="F160" i="42" s="1"/>
  <c r="O158" i="42" a="1"/>
  <c r="O158" i="42" s="1"/>
  <c r="N158" i="42" a="1"/>
  <c r="N158" i="42" s="1"/>
  <c r="M158" i="42" a="1"/>
  <c r="M158" i="42" s="1"/>
  <c r="L158" i="42" a="1"/>
  <c r="L158" i="42" s="1"/>
  <c r="K158" i="42" a="1"/>
  <c r="K158" i="42" s="1"/>
  <c r="J158" i="42" a="1"/>
  <c r="J158" i="42" s="1"/>
  <c r="I158" i="42" a="1"/>
  <c r="I158" i="42" s="1"/>
  <c r="H158" i="42" a="1"/>
  <c r="H158" i="42" s="1"/>
  <c r="G158" i="42" a="1"/>
  <c r="G158" i="42" s="1"/>
  <c r="F158" i="42" a="1"/>
  <c r="F158" i="42" s="1"/>
  <c r="O157" i="42" a="1"/>
  <c r="O157" i="42" s="1"/>
  <c r="N157" i="42" a="1"/>
  <c r="N157" i="42" s="1"/>
  <c r="M157" i="42" a="1"/>
  <c r="M157" i="42" s="1"/>
  <c r="L157" i="42" a="1"/>
  <c r="L157" i="42" s="1"/>
  <c r="K157" i="42" a="1"/>
  <c r="K157" i="42" s="1"/>
  <c r="J157" i="42" a="1"/>
  <c r="J157" i="42" s="1"/>
  <c r="I157" i="42" a="1"/>
  <c r="I157" i="42" s="1"/>
  <c r="H157" i="42" a="1"/>
  <c r="H157" i="42" s="1"/>
  <c r="G157" i="42" a="1"/>
  <c r="G157" i="42" s="1"/>
  <c r="F157" i="42" a="1"/>
  <c r="F157" i="42" s="1"/>
  <c r="O156" i="42" a="1"/>
  <c r="O156" i="42" s="1"/>
  <c r="N156" i="42" a="1"/>
  <c r="N156" i="42" s="1"/>
  <c r="M156" i="42" a="1"/>
  <c r="M156" i="42" s="1"/>
  <c r="L156" i="42" a="1"/>
  <c r="L156" i="42" s="1"/>
  <c r="K156" i="42" a="1"/>
  <c r="K156" i="42" s="1"/>
  <c r="J156" i="42" a="1"/>
  <c r="J156" i="42" s="1"/>
  <c r="I156" i="42" a="1"/>
  <c r="I156" i="42" s="1"/>
  <c r="H156" i="42" a="1"/>
  <c r="H156" i="42" s="1"/>
  <c r="G156" i="42" a="1"/>
  <c r="G156" i="42" s="1"/>
  <c r="F156" i="42" a="1"/>
  <c r="F156" i="42" s="1"/>
  <c r="P155" i="42"/>
  <c r="P153" i="42"/>
  <c r="O149" i="42" a="1"/>
  <c r="O149" i="42" s="1"/>
  <c r="N149" i="42" a="1"/>
  <c r="N149" i="42" s="1"/>
  <c r="M149" i="42" a="1"/>
  <c r="M149" i="42" s="1"/>
  <c r="L149" i="42" a="1"/>
  <c r="L149" i="42" s="1"/>
  <c r="K149" i="42" a="1"/>
  <c r="K149" i="42" s="1"/>
  <c r="J149" i="42" a="1"/>
  <c r="J149" i="42" s="1"/>
  <c r="I149" i="42" a="1"/>
  <c r="I149" i="42" s="1"/>
  <c r="H149" i="42" a="1"/>
  <c r="H149" i="42" s="1"/>
  <c r="G149" i="42" a="1"/>
  <c r="G149" i="42" s="1"/>
  <c r="F149" i="42" a="1"/>
  <c r="F149" i="42" s="1"/>
  <c r="O148" i="42" a="1"/>
  <c r="O148" i="42" s="1"/>
  <c r="N148" i="42" a="1"/>
  <c r="N148" i="42" s="1"/>
  <c r="M148" i="42" a="1"/>
  <c r="M148" i="42" s="1"/>
  <c r="L148" i="42" a="1"/>
  <c r="L148" i="42" s="1"/>
  <c r="K148" i="42" a="1"/>
  <c r="K148" i="42" s="1"/>
  <c r="J148" i="42" a="1"/>
  <c r="J148" i="42" s="1"/>
  <c r="I148" i="42" a="1"/>
  <c r="I148" i="42" s="1"/>
  <c r="H148" i="42" a="1"/>
  <c r="H148" i="42" s="1"/>
  <c r="G148" i="42" a="1"/>
  <c r="G148" i="42" s="1"/>
  <c r="F148" i="42" a="1"/>
  <c r="F148" i="42" s="1"/>
  <c r="O147" i="42" a="1"/>
  <c r="O147" i="42" s="1"/>
  <c r="N147" i="42" a="1"/>
  <c r="N147" i="42" s="1"/>
  <c r="M147" i="42" a="1"/>
  <c r="M147" i="42" s="1"/>
  <c r="L147" i="42" a="1"/>
  <c r="L147" i="42" s="1"/>
  <c r="K147" i="42" a="1"/>
  <c r="K147" i="42" s="1"/>
  <c r="J147" i="42" a="1"/>
  <c r="J147" i="42" s="1"/>
  <c r="I147" i="42" a="1"/>
  <c r="I147" i="42" s="1"/>
  <c r="H147" i="42" a="1"/>
  <c r="H147" i="42" s="1"/>
  <c r="G147" i="42" a="1"/>
  <c r="G147" i="42" s="1"/>
  <c r="F147" i="42" a="1"/>
  <c r="F147" i="42" s="1"/>
  <c r="O145" i="42" a="1"/>
  <c r="O145" i="42" s="1"/>
  <c r="N145" i="42" a="1"/>
  <c r="N145" i="42" s="1"/>
  <c r="M145" i="42" a="1"/>
  <c r="M145" i="42" s="1"/>
  <c r="L145" i="42" a="1"/>
  <c r="L145" i="42" s="1"/>
  <c r="K145" i="42" a="1"/>
  <c r="K145" i="42" s="1"/>
  <c r="J145" i="42" a="1"/>
  <c r="J145" i="42" s="1"/>
  <c r="I145" i="42" a="1"/>
  <c r="I145" i="42" s="1"/>
  <c r="H145" i="42" a="1"/>
  <c r="H145" i="42" s="1"/>
  <c r="G145" i="42" a="1"/>
  <c r="G145" i="42" s="1"/>
  <c r="F145" i="42" a="1"/>
  <c r="F145" i="42" s="1"/>
  <c r="O144" i="42" a="1"/>
  <c r="O144" i="42" s="1"/>
  <c r="N144" i="42" a="1"/>
  <c r="N144" i="42" s="1"/>
  <c r="M144" i="42" a="1"/>
  <c r="M144" i="42" s="1"/>
  <c r="L144" i="42" a="1"/>
  <c r="L144" i="42" s="1"/>
  <c r="K144" i="42" a="1"/>
  <c r="K144" i="42" s="1"/>
  <c r="J144" i="42" a="1"/>
  <c r="J144" i="42" s="1"/>
  <c r="I144" i="42" a="1"/>
  <c r="I144" i="42" s="1"/>
  <c r="H144" i="42" a="1"/>
  <c r="H144" i="42" s="1"/>
  <c r="G144" i="42" a="1"/>
  <c r="G144" i="42" s="1"/>
  <c r="F144" i="42" a="1"/>
  <c r="F144" i="42" s="1"/>
  <c r="O143" i="42" a="1"/>
  <c r="O143" i="42" s="1"/>
  <c r="N143" i="42" a="1"/>
  <c r="N143" i="42" s="1"/>
  <c r="M143" i="42" a="1"/>
  <c r="M143" i="42" s="1"/>
  <c r="L143" i="42" a="1"/>
  <c r="L143" i="42" s="1"/>
  <c r="K143" i="42" a="1"/>
  <c r="K143" i="42" s="1"/>
  <c r="J143" i="42" a="1"/>
  <c r="J143" i="42" s="1"/>
  <c r="I143" i="42" a="1"/>
  <c r="I143" i="42" s="1"/>
  <c r="H143" i="42" a="1"/>
  <c r="H143" i="42" s="1"/>
  <c r="G143" i="42" a="1"/>
  <c r="G143" i="42" s="1"/>
  <c r="F143" i="42" a="1"/>
  <c r="F143" i="42" s="1"/>
  <c r="O141" i="42" a="1"/>
  <c r="O141" i="42" s="1"/>
  <c r="N141" i="42" a="1"/>
  <c r="N141" i="42" s="1"/>
  <c r="M141" i="42" a="1"/>
  <c r="M141" i="42" s="1"/>
  <c r="L141" i="42" a="1"/>
  <c r="L141" i="42" s="1"/>
  <c r="K141" i="42" a="1"/>
  <c r="K141" i="42" s="1"/>
  <c r="J141" i="42" a="1"/>
  <c r="J141" i="42" s="1"/>
  <c r="I141" i="42" a="1"/>
  <c r="I141" i="42" s="1"/>
  <c r="H141" i="42" a="1"/>
  <c r="H141" i="42" s="1"/>
  <c r="G141" i="42" a="1"/>
  <c r="G141" i="42" s="1"/>
  <c r="F141" i="42" a="1"/>
  <c r="F141" i="42" s="1"/>
  <c r="O140" i="42" a="1"/>
  <c r="O140" i="42" s="1"/>
  <c r="N140" i="42" a="1"/>
  <c r="N140" i="42" s="1"/>
  <c r="M140" i="42" a="1"/>
  <c r="M140" i="42" s="1"/>
  <c r="L140" i="42" a="1"/>
  <c r="L140" i="42" s="1"/>
  <c r="K140" i="42" a="1"/>
  <c r="K140" i="42" s="1"/>
  <c r="J140" i="42" a="1"/>
  <c r="J140" i="42" s="1"/>
  <c r="I140" i="42" a="1"/>
  <c r="I140" i="42" s="1"/>
  <c r="H140" i="42" a="1"/>
  <c r="H140" i="42" s="1"/>
  <c r="G140" i="42" a="1"/>
  <c r="G140" i="42" s="1"/>
  <c r="F140" i="42" a="1"/>
  <c r="F140" i="42" s="1"/>
  <c r="O139" i="42" a="1"/>
  <c r="O139" i="42" s="1"/>
  <c r="N139" i="42" a="1"/>
  <c r="N139" i="42" s="1"/>
  <c r="M139" i="42" a="1"/>
  <c r="M139" i="42" s="1"/>
  <c r="L139" i="42" a="1"/>
  <c r="L139" i="42" s="1"/>
  <c r="K139" i="42" a="1"/>
  <c r="K139" i="42" s="1"/>
  <c r="J139" i="42" a="1"/>
  <c r="J139" i="42" s="1"/>
  <c r="I139" i="42" a="1"/>
  <c r="I139" i="42" s="1"/>
  <c r="H139" i="42" a="1"/>
  <c r="H139" i="42" s="1"/>
  <c r="G139" i="42" a="1"/>
  <c r="G139" i="42" s="1"/>
  <c r="F139" i="42" a="1"/>
  <c r="F139" i="42" s="1"/>
  <c r="O137" i="42" a="1"/>
  <c r="O137" i="42" s="1"/>
  <c r="N137" i="42" a="1"/>
  <c r="N137" i="42" s="1"/>
  <c r="M137" i="42" a="1"/>
  <c r="M137" i="42" s="1"/>
  <c r="L137" i="42" a="1"/>
  <c r="L137" i="42" s="1"/>
  <c r="K137" i="42" a="1"/>
  <c r="K137" i="42" s="1"/>
  <c r="J137" i="42" a="1"/>
  <c r="J137" i="42" s="1"/>
  <c r="I137" i="42" a="1"/>
  <c r="I137" i="42" s="1"/>
  <c r="H137" i="42" a="1"/>
  <c r="H137" i="42" s="1"/>
  <c r="G137" i="42" a="1"/>
  <c r="G137" i="42" s="1"/>
  <c r="F137" i="42" a="1"/>
  <c r="F137" i="42" s="1"/>
  <c r="O136" i="42" a="1"/>
  <c r="O136" i="42" s="1"/>
  <c r="N136" i="42" a="1"/>
  <c r="N136" i="42" s="1"/>
  <c r="M136" i="42" a="1"/>
  <c r="M136" i="42" s="1"/>
  <c r="L136" i="42" a="1"/>
  <c r="L136" i="42" s="1"/>
  <c r="K136" i="42" a="1"/>
  <c r="K136" i="42" s="1"/>
  <c r="J136" i="42" a="1"/>
  <c r="J136" i="42" s="1"/>
  <c r="I136" i="42" a="1"/>
  <c r="I136" i="42" s="1"/>
  <c r="H136" i="42" a="1"/>
  <c r="H136" i="42" s="1"/>
  <c r="G136" i="42" a="1"/>
  <c r="G136" i="42" s="1"/>
  <c r="F136" i="42" a="1"/>
  <c r="F136" i="42" s="1"/>
  <c r="O135" i="42" a="1"/>
  <c r="O135" i="42" s="1"/>
  <c r="N135" i="42" a="1"/>
  <c r="N135" i="42" s="1"/>
  <c r="M135" i="42" a="1"/>
  <c r="M135" i="42" s="1"/>
  <c r="L135" i="42" a="1"/>
  <c r="L135" i="42" s="1"/>
  <c r="K135" i="42" a="1"/>
  <c r="K135" i="42" s="1"/>
  <c r="J135" i="42" a="1"/>
  <c r="J135" i="42" s="1"/>
  <c r="I135" i="42" a="1"/>
  <c r="I135" i="42" s="1"/>
  <c r="H135" i="42" a="1"/>
  <c r="H135" i="42" s="1"/>
  <c r="G135" i="42" a="1"/>
  <c r="G135" i="42" s="1"/>
  <c r="F135" i="42" a="1"/>
  <c r="F135" i="42" s="1"/>
  <c r="O133" i="42" a="1"/>
  <c r="O133" i="42" s="1"/>
  <c r="N133" i="42" a="1"/>
  <c r="N133" i="42" s="1"/>
  <c r="M133" i="42" a="1"/>
  <c r="M133" i="42" s="1"/>
  <c r="L133" i="42" a="1"/>
  <c r="L133" i="42" s="1"/>
  <c r="K133" i="42" a="1"/>
  <c r="K133" i="42" s="1"/>
  <c r="J133" i="42" a="1"/>
  <c r="J133" i="42" s="1"/>
  <c r="I133" i="42" a="1"/>
  <c r="I133" i="42" s="1"/>
  <c r="H133" i="42" a="1"/>
  <c r="H133" i="42" s="1"/>
  <c r="G133" i="42" a="1"/>
  <c r="G133" i="42" s="1"/>
  <c r="F133" i="42" a="1"/>
  <c r="F133" i="42" s="1"/>
  <c r="O132" i="42" a="1"/>
  <c r="O132" i="42" s="1"/>
  <c r="N132" i="42" a="1"/>
  <c r="N132" i="42" s="1"/>
  <c r="M132" i="42" a="1"/>
  <c r="M132" i="42" s="1"/>
  <c r="L132" i="42" a="1"/>
  <c r="L132" i="42" s="1"/>
  <c r="K132" i="42" a="1"/>
  <c r="K132" i="42" s="1"/>
  <c r="J132" i="42" a="1"/>
  <c r="J132" i="42" s="1"/>
  <c r="I132" i="42" a="1"/>
  <c r="I132" i="42" s="1"/>
  <c r="H132" i="42" a="1"/>
  <c r="H132" i="42" s="1"/>
  <c r="G132" i="42" a="1"/>
  <c r="G132" i="42" s="1"/>
  <c r="F132" i="42" a="1"/>
  <c r="F132" i="42" s="1"/>
  <c r="O131" i="42" a="1"/>
  <c r="O131" i="42" s="1"/>
  <c r="N131" i="42" a="1"/>
  <c r="N131" i="42" s="1"/>
  <c r="M131" i="42" a="1"/>
  <c r="M131" i="42" s="1"/>
  <c r="L131" i="42" a="1"/>
  <c r="L131" i="42" s="1"/>
  <c r="K131" i="42" a="1"/>
  <c r="K131" i="42" s="1"/>
  <c r="J131" i="42" a="1"/>
  <c r="J131" i="42" s="1"/>
  <c r="I131" i="42" a="1"/>
  <c r="I131" i="42" s="1"/>
  <c r="H131" i="42" a="1"/>
  <c r="H131" i="42" s="1"/>
  <c r="G131" i="42" a="1"/>
  <c r="G131" i="42" s="1"/>
  <c r="F131" i="42" a="1"/>
  <c r="F131" i="42" s="1"/>
  <c r="O129" i="42" a="1"/>
  <c r="O129" i="42" s="1"/>
  <c r="N129" i="42" a="1"/>
  <c r="N129" i="42" s="1"/>
  <c r="M129" i="42" a="1"/>
  <c r="M129" i="42" s="1"/>
  <c r="L129" i="42" a="1"/>
  <c r="L129" i="42" s="1"/>
  <c r="K129" i="42" a="1"/>
  <c r="K129" i="42" s="1"/>
  <c r="J129" i="42" a="1"/>
  <c r="J129" i="42" s="1"/>
  <c r="I129" i="42" a="1"/>
  <c r="I129" i="42" s="1"/>
  <c r="H129" i="42" a="1"/>
  <c r="H129" i="42" s="1"/>
  <c r="G129" i="42" a="1"/>
  <c r="G129" i="42" s="1"/>
  <c r="F129" i="42" a="1"/>
  <c r="F129" i="42" s="1"/>
  <c r="O128" i="42" a="1"/>
  <c r="O128" i="42" s="1"/>
  <c r="N128" i="42" a="1"/>
  <c r="N128" i="42" s="1"/>
  <c r="M128" i="42" a="1"/>
  <c r="M128" i="42" s="1"/>
  <c r="L128" i="42" a="1"/>
  <c r="L128" i="42" s="1"/>
  <c r="K128" i="42" a="1"/>
  <c r="K128" i="42" s="1"/>
  <c r="J128" i="42" a="1"/>
  <c r="J128" i="42" s="1"/>
  <c r="I128" i="42" a="1"/>
  <c r="I128" i="42" s="1"/>
  <c r="H128" i="42" a="1"/>
  <c r="H128" i="42" s="1"/>
  <c r="G128" i="42" a="1"/>
  <c r="G128" i="42" s="1"/>
  <c r="F128" i="42" a="1"/>
  <c r="F128" i="42" s="1"/>
  <c r="O127" i="42" a="1"/>
  <c r="O127" i="42" s="1"/>
  <c r="N127" i="42" a="1"/>
  <c r="N127" i="42" s="1"/>
  <c r="M127" i="42" a="1"/>
  <c r="M127" i="42" s="1"/>
  <c r="L127" i="42" a="1"/>
  <c r="L127" i="42" s="1"/>
  <c r="K127" i="42" a="1"/>
  <c r="K127" i="42" s="1"/>
  <c r="J127" i="42" a="1"/>
  <c r="J127" i="42" s="1"/>
  <c r="I127" i="42" a="1"/>
  <c r="I127" i="42" s="1"/>
  <c r="H127" i="42" a="1"/>
  <c r="H127" i="42" s="1"/>
  <c r="G127" i="42" a="1"/>
  <c r="G127" i="42" s="1"/>
  <c r="F127" i="42" a="1"/>
  <c r="F127" i="42" s="1"/>
  <c r="O125" i="42" a="1"/>
  <c r="O125" i="42" s="1"/>
  <c r="N125" i="42" a="1"/>
  <c r="N125" i="42" s="1"/>
  <c r="M125" i="42" a="1"/>
  <c r="M125" i="42" s="1"/>
  <c r="L125" i="42" a="1"/>
  <c r="L125" i="42" s="1"/>
  <c r="K125" i="42" a="1"/>
  <c r="K125" i="42" s="1"/>
  <c r="J125" i="42" a="1"/>
  <c r="J125" i="42" s="1"/>
  <c r="I125" i="42" a="1"/>
  <c r="I125" i="42" s="1"/>
  <c r="H125" i="42" a="1"/>
  <c r="H125" i="42" s="1"/>
  <c r="G125" i="42" a="1"/>
  <c r="G125" i="42" s="1"/>
  <c r="F125" i="42" a="1"/>
  <c r="F125" i="42" s="1"/>
  <c r="O124" i="42" a="1"/>
  <c r="O124" i="42" s="1"/>
  <c r="N124" i="42" a="1"/>
  <c r="N124" i="42" s="1"/>
  <c r="M124" i="42" a="1"/>
  <c r="M124" i="42" s="1"/>
  <c r="L124" i="42" a="1"/>
  <c r="L124" i="42" s="1"/>
  <c r="K124" i="42" a="1"/>
  <c r="K124" i="42" s="1"/>
  <c r="J124" i="42" a="1"/>
  <c r="J124" i="42" s="1"/>
  <c r="I124" i="42" a="1"/>
  <c r="I124" i="42" s="1"/>
  <c r="H124" i="42" a="1"/>
  <c r="H124" i="42" s="1"/>
  <c r="G124" i="42" a="1"/>
  <c r="G124" i="42" s="1"/>
  <c r="F124" i="42" a="1"/>
  <c r="F124" i="42" s="1"/>
  <c r="O123" i="42" a="1"/>
  <c r="O123" i="42" s="1"/>
  <c r="N123" i="42" a="1"/>
  <c r="N123" i="42" s="1"/>
  <c r="M123" i="42" a="1"/>
  <c r="M123" i="42" s="1"/>
  <c r="L123" i="42" a="1"/>
  <c r="L123" i="42" s="1"/>
  <c r="K123" i="42" a="1"/>
  <c r="K123" i="42" s="1"/>
  <c r="J123" i="42" a="1"/>
  <c r="J123" i="42" s="1"/>
  <c r="I123" i="42" a="1"/>
  <c r="I123" i="42" s="1"/>
  <c r="H123" i="42" a="1"/>
  <c r="H123" i="42" s="1"/>
  <c r="G123" i="42" a="1"/>
  <c r="G123" i="42" s="1"/>
  <c r="F123" i="42" a="1"/>
  <c r="F123" i="42" s="1"/>
  <c r="O121" i="42" a="1"/>
  <c r="O121" i="42" s="1"/>
  <c r="N121" i="42" a="1"/>
  <c r="N121" i="42" s="1"/>
  <c r="M121" i="42" a="1"/>
  <c r="M121" i="42" s="1"/>
  <c r="L121" i="42" a="1"/>
  <c r="L121" i="42" s="1"/>
  <c r="K121" i="42" a="1"/>
  <c r="K121" i="42" s="1"/>
  <c r="J121" i="42" a="1"/>
  <c r="J121" i="42" s="1"/>
  <c r="I121" i="42" a="1"/>
  <c r="I121" i="42" s="1"/>
  <c r="H121" i="42" a="1"/>
  <c r="H121" i="42" s="1"/>
  <c r="G121" i="42" a="1"/>
  <c r="G121" i="42" s="1"/>
  <c r="F121" i="42" a="1"/>
  <c r="F121" i="42" s="1"/>
  <c r="O120" i="42" a="1"/>
  <c r="O120" i="42" s="1"/>
  <c r="N120" i="42" a="1"/>
  <c r="N120" i="42" s="1"/>
  <c r="M120" i="42" a="1"/>
  <c r="M120" i="42" s="1"/>
  <c r="L120" i="42" a="1"/>
  <c r="L120" i="42" s="1"/>
  <c r="K120" i="42" a="1"/>
  <c r="K120" i="42" s="1"/>
  <c r="J120" i="42" a="1"/>
  <c r="J120" i="42" s="1"/>
  <c r="I120" i="42" a="1"/>
  <c r="I120" i="42" s="1"/>
  <c r="H120" i="42" a="1"/>
  <c r="H120" i="42" s="1"/>
  <c r="G120" i="42" a="1"/>
  <c r="G120" i="42" s="1"/>
  <c r="F120" i="42" a="1"/>
  <c r="F120" i="42" s="1"/>
  <c r="O119" i="42" a="1"/>
  <c r="O119" i="42" s="1"/>
  <c r="N119" i="42" a="1"/>
  <c r="N119" i="42" s="1"/>
  <c r="M119" i="42" a="1"/>
  <c r="M119" i="42" s="1"/>
  <c r="L119" i="42" a="1"/>
  <c r="L119" i="42" s="1"/>
  <c r="K119" i="42" a="1"/>
  <c r="K119" i="42" s="1"/>
  <c r="J119" i="42" a="1"/>
  <c r="J119" i="42" s="1"/>
  <c r="I119" i="42" a="1"/>
  <c r="I119" i="42" s="1"/>
  <c r="H119" i="42" a="1"/>
  <c r="H119" i="42" s="1"/>
  <c r="G119" i="42" a="1"/>
  <c r="G119" i="42" s="1"/>
  <c r="F119" i="42" a="1"/>
  <c r="F119" i="42" s="1"/>
  <c r="O117" i="42" a="1"/>
  <c r="O117" i="42" s="1"/>
  <c r="N117" i="42" a="1"/>
  <c r="N117" i="42" s="1"/>
  <c r="M117" i="42" a="1"/>
  <c r="M117" i="42" s="1"/>
  <c r="L117" i="42" a="1"/>
  <c r="L117" i="42" s="1"/>
  <c r="K117" i="42" a="1"/>
  <c r="K117" i="42" s="1"/>
  <c r="J117" i="42" a="1"/>
  <c r="J117" i="42" s="1"/>
  <c r="I117" i="42" a="1"/>
  <c r="I117" i="42" s="1"/>
  <c r="H117" i="42" a="1"/>
  <c r="H117" i="42" s="1"/>
  <c r="G117" i="42" a="1"/>
  <c r="G117" i="42" s="1"/>
  <c r="F117" i="42" a="1"/>
  <c r="F117" i="42" s="1"/>
  <c r="O116" i="42" a="1"/>
  <c r="O116" i="42" s="1"/>
  <c r="N116" i="42" a="1"/>
  <c r="N116" i="42" s="1"/>
  <c r="M116" i="42" a="1"/>
  <c r="M116" i="42" s="1"/>
  <c r="L116" i="42" a="1"/>
  <c r="L116" i="42" s="1"/>
  <c r="K116" i="42" a="1"/>
  <c r="K116" i="42" s="1"/>
  <c r="J116" i="42" a="1"/>
  <c r="J116" i="42" s="1"/>
  <c r="I116" i="42" a="1"/>
  <c r="I116" i="42" s="1"/>
  <c r="H116" i="42" a="1"/>
  <c r="H116" i="42" s="1"/>
  <c r="G116" i="42" a="1"/>
  <c r="G116" i="42" s="1"/>
  <c r="F116" i="42" a="1"/>
  <c r="F116" i="42" s="1"/>
  <c r="O115" i="42" a="1"/>
  <c r="O115" i="42" s="1"/>
  <c r="N115" i="42" a="1"/>
  <c r="N115" i="42" s="1"/>
  <c r="M115" i="42" a="1"/>
  <c r="M115" i="42" s="1"/>
  <c r="L115" i="42" a="1"/>
  <c r="L115" i="42" s="1"/>
  <c r="L109" i="42" s="1"/>
  <c r="K115" i="42" a="1"/>
  <c r="K115" i="42" s="1"/>
  <c r="J115" i="42" a="1"/>
  <c r="J115" i="42" s="1"/>
  <c r="I115" i="42" a="1"/>
  <c r="I115" i="42" s="1"/>
  <c r="H115" i="42" a="1"/>
  <c r="H115" i="42" s="1"/>
  <c r="G115" i="42" a="1"/>
  <c r="G115" i="42" s="1"/>
  <c r="F115" i="42" a="1"/>
  <c r="F115" i="42" s="1"/>
  <c r="O113" i="42" a="1"/>
  <c r="O113" i="42" s="1"/>
  <c r="N113" i="42" a="1"/>
  <c r="N113" i="42" s="1"/>
  <c r="M113" i="42" a="1"/>
  <c r="M113" i="42" s="1"/>
  <c r="L113" i="42" a="1"/>
  <c r="L113" i="42" s="1"/>
  <c r="K113" i="42" a="1"/>
  <c r="K113" i="42" s="1"/>
  <c r="J113" i="42" a="1"/>
  <c r="J113" i="42" s="1"/>
  <c r="I113" i="42" a="1"/>
  <c r="I113" i="42" s="1"/>
  <c r="H113" i="42" a="1"/>
  <c r="H113" i="42" s="1"/>
  <c r="G113" i="42" a="1"/>
  <c r="G113" i="42" s="1"/>
  <c r="F113" i="42" a="1"/>
  <c r="F113" i="42" s="1"/>
  <c r="O112" i="42" a="1"/>
  <c r="O112" i="42" s="1"/>
  <c r="N112" i="42" a="1"/>
  <c r="N112" i="42" s="1"/>
  <c r="M112" i="42" a="1"/>
  <c r="M112" i="42" s="1"/>
  <c r="L112" i="42" a="1"/>
  <c r="L112" i="42" s="1"/>
  <c r="K112" i="42" a="1"/>
  <c r="K112" i="42" s="1"/>
  <c r="J112" i="42" a="1"/>
  <c r="J112" i="42" s="1"/>
  <c r="I112" i="42" a="1"/>
  <c r="I112" i="42" s="1"/>
  <c r="H112" i="42" a="1"/>
  <c r="H112" i="42" s="1"/>
  <c r="G112" i="42" a="1"/>
  <c r="G112" i="42" s="1"/>
  <c r="F112" i="42" a="1"/>
  <c r="F112" i="42" s="1"/>
  <c r="O111" i="42" a="1"/>
  <c r="O111" i="42" s="1"/>
  <c r="N111" i="42" a="1"/>
  <c r="N111" i="42" s="1"/>
  <c r="M111" i="42" a="1"/>
  <c r="M111" i="42" s="1"/>
  <c r="L111" i="42" a="1"/>
  <c r="L111" i="42" s="1"/>
  <c r="K111" i="42" a="1"/>
  <c r="K111" i="42" s="1"/>
  <c r="J111" i="42" a="1"/>
  <c r="J111" i="42" s="1"/>
  <c r="I111" i="42" a="1"/>
  <c r="I111" i="42" s="1"/>
  <c r="H111" i="42" a="1"/>
  <c r="H111" i="42" s="1"/>
  <c r="G111" i="42" a="1"/>
  <c r="G111" i="42" s="1"/>
  <c r="F111" i="42" a="1"/>
  <c r="F111" i="42" s="1"/>
  <c r="F107" i="42" s="1"/>
  <c r="P110" i="42"/>
  <c r="P108" i="42"/>
  <c r="O104" i="42" a="1"/>
  <c r="O104" i="42" s="1"/>
  <c r="N104" i="42" a="1"/>
  <c r="N104" i="42" s="1"/>
  <c r="M104" i="42" a="1"/>
  <c r="M104" i="42" s="1"/>
  <c r="L104" i="42" a="1"/>
  <c r="L104" i="42" s="1"/>
  <c r="K104" i="42" a="1"/>
  <c r="K104" i="42" s="1"/>
  <c r="J104" i="42" a="1"/>
  <c r="J104" i="42" s="1"/>
  <c r="I104" i="42" a="1"/>
  <c r="I104" i="42" s="1"/>
  <c r="H104" i="42" a="1"/>
  <c r="H104" i="42" s="1"/>
  <c r="G104" i="42" a="1"/>
  <c r="G104" i="42" s="1"/>
  <c r="F104" i="42" a="1"/>
  <c r="F104" i="42" s="1"/>
  <c r="O103" i="42" a="1"/>
  <c r="O103" i="42" s="1"/>
  <c r="N103" i="42" a="1"/>
  <c r="N103" i="42" s="1"/>
  <c r="M103" i="42" a="1"/>
  <c r="M103" i="42" s="1"/>
  <c r="L103" i="42" a="1"/>
  <c r="L103" i="42" s="1"/>
  <c r="K103" i="42" a="1"/>
  <c r="K103" i="42" s="1"/>
  <c r="J103" i="42" a="1"/>
  <c r="J103" i="42" s="1"/>
  <c r="I103" i="42" a="1"/>
  <c r="I103" i="42" s="1"/>
  <c r="H103" i="42" a="1"/>
  <c r="H103" i="42" s="1"/>
  <c r="G103" i="42" a="1"/>
  <c r="G103" i="42" s="1"/>
  <c r="F103" i="42" a="1"/>
  <c r="F103" i="42" s="1"/>
  <c r="O102" i="42" a="1"/>
  <c r="O102" i="42" s="1"/>
  <c r="O96" i="42" s="1"/>
  <c r="N102" i="42" a="1"/>
  <c r="N102" i="42" s="1"/>
  <c r="N96" i="42" s="1"/>
  <c r="M102" i="42" a="1"/>
  <c r="M102" i="42" s="1"/>
  <c r="M96" i="42" s="1"/>
  <c r="L102" i="42" a="1"/>
  <c r="L102" i="42" s="1"/>
  <c r="L96" i="42" s="1"/>
  <c r="K102" i="42" a="1"/>
  <c r="K102" i="42" s="1"/>
  <c r="J102" i="42" a="1"/>
  <c r="J102" i="42" s="1"/>
  <c r="I102" i="42" a="1"/>
  <c r="I102" i="42" s="1"/>
  <c r="H102" i="42" a="1"/>
  <c r="H102" i="42" s="1"/>
  <c r="H96" i="42" s="1"/>
  <c r="G102" i="42" a="1"/>
  <c r="G102" i="42" s="1"/>
  <c r="G96" i="42" s="1"/>
  <c r="F102" i="42" a="1"/>
  <c r="F102" i="42" s="1"/>
  <c r="F96" i="42" s="1"/>
  <c r="O100" i="42" a="1"/>
  <c r="O100" i="42" s="1"/>
  <c r="N100" i="42" a="1"/>
  <c r="N100" i="42" s="1"/>
  <c r="M100" i="42" a="1"/>
  <c r="M100" i="42" s="1"/>
  <c r="L100" i="42" a="1"/>
  <c r="L100" i="42" s="1"/>
  <c r="K100" i="42" a="1"/>
  <c r="K100" i="42" s="1"/>
  <c r="J100" i="42" a="1"/>
  <c r="J100" i="42" s="1"/>
  <c r="I100" i="42" a="1"/>
  <c r="I100" i="42" s="1"/>
  <c r="H100" i="42" a="1"/>
  <c r="H100" i="42" s="1"/>
  <c r="G100" i="42" a="1"/>
  <c r="G100" i="42" s="1"/>
  <c r="F100" i="42" a="1"/>
  <c r="F100" i="42" s="1"/>
  <c r="O99" i="42" a="1"/>
  <c r="O99" i="42" s="1"/>
  <c r="N99" i="42" a="1"/>
  <c r="N99" i="42" s="1"/>
  <c r="M99" i="42" a="1"/>
  <c r="M99" i="42" s="1"/>
  <c r="L99" i="42" a="1"/>
  <c r="L99" i="42" s="1"/>
  <c r="K99" i="42" a="1"/>
  <c r="K99" i="42" s="1"/>
  <c r="J99" i="42" a="1"/>
  <c r="J99" i="42" s="1"/>
  <c r="I99" i="42" a="1"/>
  <c r="I99" i="42" s="1"/>
  <c r="H99" i="42" a="1"/>
  <c r="H99" i="42" s="1"/>
  <c r="G99" i="42" a="1"/>
  <c r="G99" i="42" s="1"/>
  <c r="F99" i="42" a="1"/>
  <c r="F99" i="42" s="1"/>
  <c r="O98" i="42" a="1"/>
  <c r="O98" i="42" s="1"/>
  <c r="N98" i="42" a="1"/>
  <c r="N98" i="42" s="1"/>
  <c r="N94" i="42" s="1"/>
  <c r="M98" i="42" a="1"/>
  <c r="M98" i="42" s="1"/>
  <c r="M94" i="42" s="1"/>
  <c r="L98" i="42" a="1"/>
  <c r="L98" i="42" s="1"/>
  <c r="L94" i="42" s="1"/>
  <c r="K98" i="42" a="1"/>
  <c r="K98" i="42" s="1"/>
  <c r="J98" i="42" a="1"/>
  <c r="J98" i="42" s="1"/>
  <c r="J94" i="42" s="1"/>
  <c r="I98" i="42" a="1"/>
  <c r="I98" i="42" s="1"/>
  <c r="H98" i="42" a="1"/>
  <c r="H98" i="42" s="1"/>
  <c r="G98" i="42" a="1"/>
  <c r="G98" i="42" s="1"/>
  <c r="G94" i="42" s="1"/>
  <c r="F98" i="42" a="1"/>
  <c r="F98" i="42" s="1"/>
  <c r="F94" i="42" s="1"/>
  <c r="P97" i="42"/>
  <c r="P95" i="42"/>
  <c r="P92" i="42"/>
  <c r="O90" i="42" a="1"/>
  <c r="O90" i="42" s="1"/>
  <c r="N90" i="42" a="1"/>
  <c r="N90" i="42" s="1"/>
  <c r="M90" i="42" a="1"/>
  <c r="M90" i="42" s="1"/>
  <c r="L90" i="42" a="1"/>
  <c r="L90" i="42" s="1"/>
  <c r="K90" i="42" a="1"/>
  <c r="K90" i="42" s="1"/>
  <c r="J90" i="42" a="1"/>
  <c r="J90" i="42" s="1"/>
  <c r="I90" i="42" a="1"/>
  <c r="I90" i="42" s="1"/>
  <c r="H90" i="42" a="1"/>
  <c r="H90" i="42" s="1"/>
  <c r="G90" i="42" a="1"/>
  <c r="G90" i="42" s="1"/>
  <c r="F90" i="42" a="1"/>
  <c r="F90" i="42" s="1"/>
  <c r="O89" i="42" a="1"/>
  <c r="O89" i="42" s="1"/>
  <c r="N89" i="42" a="1"/>
  <c r="N89" i="42" s="1"/>
  <c r="M89" i="42" a="1"/>
  <c r="M89" i="42" s="1"/>
  <c r="L89" i="42" a="1"/>
  <c r="L89" i="42" s="1"/>
  <c r="K89" i="42" a="1"/>
  <c r="K89" i="42" s="1"/>
  <c r="J89" i="42" a="1"/>
  <c r="J89" i="42" s="1"/>
  <c r="I89" i="42" a="1"/>
  <c r="I89" i="42" s="1"/>
  <c r="H89" i="42" a="1"/>
  <c r="H89" i="42" s="1"/>
  <c r="G89" i="42" a="1"/>
  <c r="G89" i="42" s="1"/>
  <c r="F89" i="42" a="1"/>
  <c r="F89" i="42" s="1"/>
  <c r="O88" i="42" a="1"/>
  <c r="O88" i="42" s="1"/>
  <c r="N88" i="42" a="1"/>
  <c r="N88" i="42" s="1"/>
  <c r="M88" i="42" a="1"/>
  <c r="M88" i="42" s="1"/>
  <c r="L88" i="42" a="1"/>
  <c r="L88" i="42" s="1"/>
  <c r="K88" i="42" a="1"/>
  <c r="K88" i="42" s="1"/>
  <c r="J88" i="42" a="1"/>
  <c r="J88" i="42" s="1"/>
  <c r="I88" i="42" a="1"/>
  <c r="I88" i="42" s="1"/>
  <c r="H88" i="42" a="1"/>
  <c r="H88" i="42" s="1"/>
  <c r="G88" i="42" a="1"/>
  <c r="G88" i="42" s="1"/>
  <c r="F88" i="42" a="1"/>
  <c r="F88" i="42" s="1"/>
  <c r="O86" i="42" a="1"/>
  <c r="O86" i="42" s="1"/>
  <c r="N86" i="42" a="1"/>
  <c r="N86" i="42" s="1"/>
  <c r="M86" i="42" a="1"/>
  <c r="M86" i="42" s="1"/>
  <c r="L86" i="42" a="1"/>
  <c r="L86" i="42" s="1"/>
  <c r="K86" i="42" a="1"/>
  <c r="K86" i="42" s="1"/>
  <c r="J86" i="42" a="1"/>
  <c r="J86" i="42" s="1"/>
  <c r="I86" i="42" a="1"/>
  <c r="I86" i="42" s="1"/>
  <c r="H86" i="42" a="1"/>
  <c r="H86" i="42" s="1"/>
  <c r="G86" i="42" a="1"/>
  <c r="G86" i="42" s="1"/>
  <c r="F86" i="42" a="1"/>
  <c r="F86" i="42" s="1"/>
  <c r="O85" i="42" a="1"/>
  <c r="O85" i="42" s="1"/>
  <c r="N85" i="42" a="1"/>
  <c r="N85" i="42" s="1"/>
  <c r="M85" i="42" a="1"/>
  <c r="M85" i="42" s="1"/>
  <c r="L85" i="42" a="1"/>
  <c r="L85" i="42" s="1"/>
  <c r="K85" i="42" a="1"/>
  <c r="K85" i="42" s="1"/>
  <c r="J85" i="42" a="1"/>
  <c r="J85" i="42" s="1"/>
  <c r="I85" i="42" a="1"/>
  <c r="I85" i="42" s="1"/>
  <c r="H85" i="42" a="1"/>
  <c r="H85" i="42" s="1"/>
  <c r="G85" i="42" a="1"/>
  <c r="G85" i="42" s="1"/>
  <c r="F85" i="42" a="1"/>
  <c r="F85" i="42" s="1"/>
  <c r="O84" i="42" a="1"/>
  <c r="O84" i="42" s="1"/>
  <c r="N84" i="42" a="1"/>
  <c r="N84" i="42" s="1"/>
  <c r="M84" i="42" a="1"/>
  <c r="M84" i="42" s="1"/>
  <c r="L84" i="42" a="1"/>
  <c r="L84" i="42" s="1"/>
  <c r="K84" i="42" a="1"/>
  <c r="K84" i="42" s="1"/>
  <c r="J84" i="42" a="1"/>
  <c r="J84" i="42" s="1"/>
  <c r="I84" i="42" a="1"/>
  <c r="I84" i="42" s="1"/>
  <c r="H84" i="42" a="1"/>
  <c r="H84" i="42" s="1"/>
  <c r="G84" i="42" a="1"/>
  <c r="G84" i="42" s="1"/>
  <c r="F84" i="42" a="1"/>
  <c r="F84" i="42" s="1"/>
  <c r="O82" i="42" a="1"/>
  <c r="O82" i="42" s="1"/>
  <c r="N82" i="42" a="1"/>
  <c r="N82" i="42" s="1"/>
  <c r="M82" i="42" a="1"/>
  <c r="M82" i="42" s="1"/>
  <c r="L82" i="42" a="1"/>
  <c r="L82" i="42" s="1"/>
  <c r="K82" i="42" a="1"/>
  <c r="K82" i="42" s="1"/>
  <c r="J82" i="42" a="1"/>
  <c r="J82" i="42" s="1"/>
  <c r="I82" i="42" a="1"/>
  <c r="I82" i="42" s="1"/>
  <c r="H82" i="42" a="1"/>
  <c r="H82" i="42" s="1"/>
  <c r="G82" i="42" a="1"/>
  <c r="G82" i="42" s="1"/>
  <c r="F82" i="42" a="1"/>
  <c r="F82" i="42" s="1"/>
  <c r="O81" i="42" a="1"/>
  <c r="O81" i="42" s="1"/>
  <c r="N81" i="42" a="1"/>
  <c r="N81" i="42" s="1"/>
  <c r="M81" i="42" a="1"/>
  <c r="M81" i="42" s="1"/>
  <c r="L81" i="42" a="1"/>
  <c r="L81" i="42" s="1"/>
  <c r="K81" i="42" a="1"/>
  <c r="K81" i="42" s="1"/>
  <c r="J81" i="42" a="1"/>
  <c r="J81" i="42" s="1"/>
  <c r="I81" i="42" a="1"/>
  <c r="I81" i="42" s="1"/>
  <c r="H81" i="42" a="1"/>
  <c r="H81" i="42" s="1"/>
  <c r="G81" i="42" a="1"/>
  <c r="G81" i="42" s="1"/>
  <c r="F81" i="42" a="1"/>
  <c r="F81" i="42" s="1"/>
  <c r="O80" i="42" a="1"/>
  <c r="O80" i="42" s="1"/>
  <c r="N80" i="42" a="1"/>
  <c r="N80" i="42" s="1"/>
  <c r="M80" i="42" a="1"/>
  <c r="M80" i="42" s="1"/>
  <c r="L80" i="42" a="1"/>
  <c r="L80" i="42" s="1"/>
  <c r="K80" i="42" a="1"/>
  <c r="K80" i="42" s="1"/>
  <c r="J80" i="42" a="1"/>
  <c r="J80" i="42" s="1"/>
  <c r="I80" i="42" a="1"/>
  <c r="I80" i="42" s="1"/>
  <c r="H80" i="42" a="1"/>
  <c r="H80" i="42" s="1"/>
  <c r="G80" i="42" a="1"/>
  <c r="G80" i="42" s="1"/>
  <c r="F80" i="42" a="1"/>
  <c r="F80" i="42" s="1"/>
  <c r="O78" i="42" a="1"/>
  <c r="O78" i="42" s="1"/>
  <c r="N78" i="42" a="1"/>
  <c r="N78" i="42" s="1"/>
  <c r="M78" i="42" a="1"/>
  <c r="M78" i="42" s="1"/>
  <c r="L78" i="42" a="1"/>
  <c r="L78" i="42" s="1"/>
  <c r="K78" i="42" a="1"/>
  <c r="K78" i="42" s="1"/>
  <c r="J78" i="42" a="1"/>
  <c r="J78" i="42" s="1"/>
  <c r="I78" i="42" a="1"/>
  <c r="I78" i="42" s="1"/>
  <c r="H78" i="42" a="1"/>
  <c r="H78" i="42" s="1"/>
  <c r="G78" i="42" a="1"/>
  <c r="G78" i="42" s="1"/>
  <c r="F78" i="42" a="1"/>
  <c r="F78" i="42" s="1"/>
  <c r="O77" i="42" a="1"/>
  <c r="O77" i="42" s="1"/>
  <c r="N77" i="42" a="1"/>
  <c r="N77" i="42" s="1"/>
  <c r="M77" i="42" a="1"/>
  <c r="M77" i="42" s="1"/>
  <c r="L77" i="42" a="1"/>
  <c r="L77" i="42" s="1"/>
  <c r="K77" i="42" a="1"/>
  <c r="K77" i="42" s="1"/>
  <c r="J77" i="42" a="1"/>
  <c r="J77" i="42" s="1"/>
  <c r="I77" i="42" a="1"/>
  <c r="I77" i="42" s="1"/>
  <c r="H77" i="42" a="1"/>
  <c r="H77" i="42" s="1"/>
  <c r="G77" i="42" a="1"/>
  <c r="G77" i="42" s="1"/>
  <c r="F77" i="42" a="1"/>
  <c r="F77" i="42" s="1"/>
  <c r="O76" i="42" a="1"/>
  <c r="O76" i="42" s="1"/>
  <c r="N76" i="42" a="1"/>
  <c r="N76" i="42" s="1"/>
  <c r="M76" i="42" a="1"/>
  <c r="M76" i="42" s="1"/>
  <c r="L76" i="42" a="1"/>
  <c r="L76" i="42" s="1"/>
  <c r="K76" i="42" a="1"/>
  <c r="K76" i="42" s="1"/>
  <c r="J76" i="42" a="1"/>
  <c r="J76" i="42" s="1"/>
  <c r="I76" i="42" a="1"/>
  <c r="I76" i="42" s="1"/>
  <c r="H76" i="42" a="1"/>
  <c r="H76" i="42" s="1"/>
  <c r="G76" i="42" a="1"/>
  <c r="G76" i="42" s="1"/>
  <c r="F76" i="42" a="1"/>
  <c r="F76" i="42" s="1"/>
  <c r="P73" i="42"/>
  <c r="O69" i="42" a="1"/>
  <c r="O69" i="42" s="1"/>
  <c r="N69" i="42" a="1"/>
  <c r="N69" i="42" s="1"/>
  <c r="M69" i="42" a="1"/>
  <c r="M69" i="42" s="1"/>
  <c r="L69" i="42" a="1"/>
  <c r="L69" i="42" s="1"/>
  <c r="K69" i="42" a="1"/>
  <c r="K69" i="42" s="1"/>
  <c r="J69" i="42" a="1"/>
  <c r="J69" i="42" s="1"/>
  <c r="I69" i="42" a="1"/>
  <c r="I69" i="42" s="1"/>
  <c r="H69" i="42" a="1"/>
  <c r="H69" i="42" s="1"/>
  <c r="G69" i="42" a="1"/>
  <c r="G69" i="42" s="1"/>
  <c r="F69" i="42" a="1"/>
  <c r="F69" i="42" s="1"/>
  <c r="O68" i="42" a="1"/>
  <c r="O68" i="42" s="1"/>
  <c r="N68" i="42" a="1"/>
  <c r="N68" i="42" s="1"/>
  <c r="M68" i="42" a="1"/>
  <c r="M68" i="42" s="1"/>
  <c r="L68" i="42" a="1"/>
  <c r="L68" i="42" s="1"/>
  <c r="K68" i="42" a="1"/>
  <c r="K68" i="42" s="1"/>
  <c r="J68" i="42" a="1"/>
  <c r="J68" i="42" s="1"/>
  <c r="I68" i="42" a="1"/>
  <c r="I68" i="42" s="1"/>
  <c r="H68" i="42" a="1"/>
  <c r="H68" i="42" s="1"/>
  <c r="G68" i="42" a="1"/>
  <c r="G68" i="42" s="1"/>
  <c r="F68" i="42" a="1"/>
  <c r="F68" i="42" s="1"/>
  <c r="O67" i="42" a="1"/>
  <c r="O67" i="42" s="1"/>
  <c r="N67" i="42" a="1"/>
  <c r="N67" i="42" s="1"/>
  <c r="N61" i="42" s="1"/>
  <c r="M67" i="42" a="1"/>
  <c r="M67" i="42" s="1"/>
  <c r="M61" i="42" s="1"/>
  <c r="L67" i="42" a="1"/>
  <c r="L67" i="42" s="1"/>
  <c r="K67" i="42" a="1"/>
  <c r="K67" i="42" s="1"/>
  <c r="J67" i="42" a="1"/>
  <c r="J67" i="42" s="1"/>
  <c r="J61" i="42" s="1"/>
  <c r="I67" i="42" a="1"/>
  <c r="I67" i="42" s="1"/>
  <c r="H67" i="42" a="1"/>
  <c r="H67" i="42" s="1"/>
  <c r="G67" i="42" a="1"/>
  <c r="G67" i="42" s="1"/>
  <c r="G61" i="42" s="1"/>
  <c r="F67" i="42" a="1"/>
  <c r="F67" i="42" s="1"/>
  <c r="F61" i="42" s="1"/>
  <c r="O65" i="42" a="1"/>
  <c r="O65" i="42" s="1"/>
  <c r="N65" i="42" a="1"/>
  <c r="N65" i="42" s="1"/>
  <c r="M65" i="42" a="1"/>
  <c r="M65" i="42" s="1"/>
  <c r="L65" i="42" a="1"/>
  <c r="L65" i="42" s="1"/>
  <c r="K65" i="42" a="1"/>
  <c r="K65" i="42" s="1"/>
  <c r="J65" i="42" a="1"/>
  <c r="J65" i="42" s="1"/>
  <c r="I65" i="42" a="1"/>
  <c r="I65" i="42" s="1"/>
  <c r="H65" i="42" a="1"/>
  <c r="H65" i="42" s="1"/>
  <c r="G65" i="42" a="1"/>
  <c r="G65" i="42" s="1"/>
  <c r="F65" i="42" a="1"/>
  <c r="F65" i="42" s="1"/>
  <c r="O64" i="42" a="1"/>
  <c r="O64" i="42" s="1"/>
  <c r="N64" i="42" a="1"/>
  <c r="N64" i="42" s="1"/>
  <c r="M64" i="42" a="1"/>
  <c r="M64" i="42" s="1"/>
  <c r="L64" i="42" a="1"/>
  <c r="L64" i="42" s="1"/>
  <c r="K64" i="42" a="1"/>
  <c r="K64" i="42" s="1"/>
  <c r="J64" i="42" a="1"/>
  <c r="J64" i="42" s="1"/>
  <c r="I64" i="42" a="1"/>
  <c r="I64" i="42" s="1"/>
  <c r="H64" i="42" a="1"/>
  <c r="H64" i="42" s="1"/>
  <c r="G64" i="42" a="1"/>
  <c r="G64" i="42" s="1"/>
  <c r="F64" i="42" a="1"/>
  <c r="F64" i="42" s="1"/>
  <c r="O63" i="42" a="1"/>
  <c r="O63" i="42" s="1"/>
  <c r="N63" i="42" a="1"/>
  <c r="N63" i="42" s="1"/>
  <c r="N59" i="42" s="1"/>
  <c r="M63" i="42" a="1"/>
  <c r="M63" i="42" s="1"/>
  <c r="L63" i="42" a="1"/>
  <c r="L63" i="42" s="1"/>
  <c r="K63" i="42" a="1"/>
  <c r="K63" i="42" s="1"/>
  <c r="K59" i="42" s="1"/>
  <c r="J63" i="42" a="1"/>
  <c r="J63" i="42" s="1"/>
  <c r="J59" i="42" s="1"/>
  <c r="I63" i="42" a="1"/>
  <c r="I63" i="42" s="1"/>
  <c r="H63" i="42" a="1"/>
  <c r="H63" i="42" s="1"/>
  <c r="G63" i="42" a="1"/>
  <c r="G63" i="42" s="1"/>
  <c r="F63" i="42" a="1"/>
  <c r="F63" i="42" s="1"/>
  <c r="F59" i="42" s="1"/>
  <c r="O54" i="42"/>
  <c r="N54" i="42"/>
  <c r="M54" i="42"/>
  <c r="L54" i="42"/>
  <c r="K54" i="42"/>
  <c r="J54" i="42"/>
  <c r="I54" i="42"/>
  <c r="H54" i="42"/>
  <c r="G54" i="42"/>
  <c r="F54" i="42"/>
  <c r="D54" i="42"/>
  <c r="P53" i="42"/>
  <c r="P54" i="42" s="1"/>
  <c r="E51" i="42"/>
  <c r="O50" i="42" a="1"/>
  <c r="O50" i="42" s="1"/>
  <c r="O49" i="42" s="1" a="1"/>
  <c r="O49" i="42" s="1"/>
  <c r="N50" i="42" a="1"/>
  <c r="N50" i="42" s="1"/>
  <c r="N49" i="42" s="1" a="1"/>
  <c r="N49" i="42" s="1"/>
  <c r="M50" i="42" a="1"/>
  <c r="M50" i="42" s="1"/>
  <c r="M49" i="42" s="1" a="1"/>
  <c r="M49" i="42" s="1"/>
  <c r="L50" i="42" a="1"/>
  <c r="L50" i="42" s="1"/>
  <c r="L49" i="42" s="1" a="1"/>
  <c r="L49" i="42" s="1"/>
  <c r="K50" i="42" a="1"/>
  <c r="K50" i="42" s="1"/>
  <c r="K49" i="42" s="1" a="1"/>
  <c r="K49" i="42" s="1"/>
  <c r="J50" i="42" a="1"/>
  <c r="J50" i="42" s="1"/>
  <c r="I50" i="42" a="1"/>
  <c r="I50" i="42" s="1"/>
  <c r="I49" i="42" s="1" a="1"/>
  <c r="I49" i="42" s="1"/>
  <c r="H50" i="42" a="1"/>
  <c r="H50" i="42" s="1"/>
  <c r="H49" i="42" s="1" a="1"/>
  <c r="H49" i="42" s="1"/>
  <c r="G50" i="42" a="1"/>
  <c r="G50" i="42" s="1"/>
  <c r="G49" i="42" s="1" a="1"/>
  <c r="G49" i="42" s="1"/>
  <c r="F50" i="42" a="1"/>
  <c r="F50" i="42" s="1"/>
  <c r="F49" i="42" s="1" a="1"/>
  <c r="F49" i="42" s="1"/>
  <c r="O48" i="42" a="1"/>
  <c r="O48" i="42" s="1"/>
  <c r="N48" i="42" a="1"/>
  <c r="N48" i="42" s="1"/>
  <c r="M48" i="42" a="1"/>
  <c r="M48" i="42" s="1"/>
  <c r="L48" i="42" a="1"/>
  <c r="L48" i="42" s="1"/>
  <c r="K48" i="42" a="1"/>
  <c r="K48" i="42" s="1"/>
  <c r="J48" i="42" a="1"/>
  <c r="J48" i="42" s="1"/>
  <c r="I48" i="42" a="1"/>
  <c r="I48" i="42" s="1"/>
  <c r="H48" i="42" a="1"/>
  <c r="H48" i="42" s="1"/>
  <c r="G48" i="42" a="1"/>
  <c r="G48" i="42" s="1"/>
  <c r="F48" i="42" a="1"/>
  <c r="F48" i="42" s="1"/>
  <c r="D47" i="42"/>
  <c r="O47" i="42"/>
  <c r="N47" i="42"/>
  <c r="M47" i="42"/>
  <c r="L47" i="42"/>
  <c r="K47" i="42"/>
  <c r="J47" i="42"/>
  <c r="I47" i="42"/>
  <c r="G47" i="42"/>
  <c r="F46" i="42" a="1"/>
  <c r="F46" i="42" s="1"/>
  <c r="F47" i="42" s="1"/>
  <c r="O44" i="42" a="1"/>
  <c r="O44" i="42" s="1"/>
  <c r="N44" i="42" a="1"/>
  <c r="N44" i="42" s="1"/>
  <c r="M44" i="42" a="1"/>
  <c r="M44" i="42" s="1"/>
  <c r="L44" i="42" a="1"/>
  <c r="L44" i="42" s="1"/>
  <c r="K44" i="42" a="1"/>
  <c r="K44" i="42" s="1"/>
  <c r="J44" i="42" a="1"/>
  <c r="J44" i="42" s="1"/>
  <c r="I44" i="42" a="1"/>
  <c r="I44" i="42" s="1"/>
  <c r="H44" i="42" a="1"/>
  <c r="H44" i="42" s="1"/>
  <c r="G44" i="42" a="1"/>
  <c r="G44" i="42" s="1"/>
  <c r="P31" i="42"/>
  <c r="P30" i="42"/>
  <c r="P29" i="42"/>
  <c r="P28" i="42"/>
  <c r="P27" i="42"/>
  <c r="P26" i="42"/>
  <c r="P25" i="42"/>
  <c r="P24" i="42"/>
  <c r="P23" i="42"/>
  <c r="P22" i="42"/>
  <c r="P21" i="42"/>
  <c r="P20" i="42"/>
  <c r="P19" i="42"/>
  <c r="P18" i="42"/>
  <c r="P17" i="42"/>
  <c r="P16" i="42"/>
  <c r="P15" i="42"/>
  <c r="P14" i="42"/>
  <c r="P13" i="42"/>
  <c r="P12" i="42"/>
  <c r="B5" i="42"/>
  <c r="A3" i="42"/>
  <c r="B1" i="42"/>
  <c r="I168" i="5" l="1"/>
  <c r="O109" i="5"/>
  <c r="J105" i="5"/>
  <c r="L166" i="5"/>
  <c r="J167" i="5"/>
  <c r="N109" i="5"/>
  <c r="L162" i="5"/>
  <c r="J163" i="5"/>
  <c r="N105" i="5"/>
  <c r="H164" i="5"/>
  <c r="I102" i="5"/>
  <c r="O161" i="5"/>
  <c r="J106" i="5"/>
  <c r="J101" i="5"/>
  <c r="H105" i="5"/>
  <c r="N164" i="5"/>
  <c r="I164" i="5"/>
  <c r="G165" i="5"/>
  <c r="K107" i="5"/>
  <c r="G109" i="5"/>
  <c r="J164" i="5"/>
  <c r="H109" i="5"/>
  <c r="N168" i="5"/>
  <c r="O105" i="5"/>
  <c r="K101" i="5"/>
  <c r="J102" i="5"/>
  <c r="N101" i="5"/>
  <c r="H160" i="5"/>
  <c r="M102" i="5"/>
  <c r="G161" i="5"/>
  <c r="J103" i="5"/>
  <c r="H104" i="5"/>
  <c r="N163" i="5"/>
  <c r="J165" i="5"/>
  <c r="K163" i="5"/>
  <c r="O101" i="5"/>
  <c r="I160" i="5"/>
  <c r="N102" i="5"/>
  <c r="H161" i="5"/>
  <c r="K103" i="5"/>
  <c r="I104" i="5"/>
  <c r="O163" i="5"/>
  <c r="K165" i="5"/>
  <c r="O107" i="5"/>
  <c r="G167" i="5"/>
  <c r="G103" i="5"/>
  <c r="M162" i="5"/>
  <c r="J160" i="5"/>
  <c r="I161" i="5"/>
  <c r="M103" i="5"/>
  <c r="G101" i="5"/>
  <c r="M160" i="5"/>
  <c r="L161" i="5"/>
  <c r="O103" i="5"/>
  <c r="I162" i="5"/>
  <c r="M104" i="5"/>
  <c r="G163" i="5"/>
  <c r="K105" i="5"/>
  <c r="I106" i="5"/>
  <c r="O165" i="5"/>
  <c r="G107" i="5"/>
  <c r="M166" i="5"/>
  <c r="K167" i="5"/>
  <c r="O102" i="5"/>
  <c r="K160" i="5"/>
  <c r="M161" i="5"/>
  <c r="L167" i="5"/>
  <c r="J168" i="5"/>
  <c r="G102" i="5"/>
  <c r="J162" i="5"/>
  <c r="N104" i="5"/>
  <c r="H163" i="5"/>
  <c r="L106" i="5"/>
  <c r="J107" i="5"/>
  <c r="H108" i="5"/>
  <c r="M168" i="5"/>
  <c r="K164" i="5"/>
  <c r="O106" i="5"/>
  <c r="I165" i="5"/>
  <c r="G166" i="5"/>
  <c r="K108" i="5"/>
  <c r="K109" i="5"/>
  <c r="L103" i="5"/>
  <c r="J104" i="5"/>
  <c r="J166" i="5"/>
  <c r="N108" i="5"/>
  <c r="J161" i="5"/>
  <c r="G162" i="5"/>
  <c r="K104" i="5"/>
  <c r="I105" i="5"/>
  <c r="O164" i="5"/>
  <c r="H101" i="5"/>
  <c r="N160" i="5"/>
  <c r="L105" i="5"/>
  <c r="H107" i="5"/>
  <c r="N166" i="5"/>
  <c r="I101" i="5"/>
  <c r="O160" i="5"/>
  <c r="H102" i="5"/>
  <c r="N161" i="5"/>
  <c r="K162" i="5"/>
  <c r="O104" i="5"/>
  <c r="I163" i="5"/>
  <c r="M105" i="5"/>
  <c r="G164" i="5"/>
  <c r="K106" i="5"/>
  <c r="I107" i="5"/>
  <c r="O166" i="5"/>
  <c r="G108" i="5"/>
  <c r="M167" i="5"/>
  <c r="K168" i="5"/>
  <c r="N167" i="5"/>
  <c r="L168" i="5"/>
  <c r="M106" i="5"/>
  <c r="I108" i="5"/>
  <c r="O167" i="5"/>
  <c r="L101" i="5"/>
  <c r="K102" i="5"/>
  <c r="H103" i="5"/>
  <c r="N162" i="5"/>
  <c r="L163" i="5"/>
  <c r="N106" i="5"/>
  <c r="H165" i="5"/>
  <c r="L107" i="5"/>
  <c r="J108" i="5"/>
  <c r="M101" i="5"/>
  <c r="G160" i="5"/>
  <c r="L102" i="5"/>
  <c r="I103" i="5"/>
  <c r="O162" i="5"/>
  <c r="G104" i="5"/>
  <c r="M163" i="5"/>
  <c r="M107" i="5"/>
  <c r="I109" i="5"/>
  <c r="O168" i="5"/>
  <c r="F105" i="5"/>
  <c r="L164" i="5"/>
  <c r="N107" i="5"/>
  <c r="H166" i="5"/>
  <c r="L108" i="5"/>
  <c r="J109" i="5"/>
  <c r="G105" i="5"/>
  <c r="M164" i="5"/>
  <c r="I166" i="5"/>
  <c r="M108" i="5"/>
  <c r="F106" i="5"/>
  <c r="L165" i="5"/>
  <c r="H167" i="5"/>
  <c r="L109" i="5"/>
  <c r="G106" i="5"/>
  <c r="M165" i="5"/>
  <c r="K166" i="5"/>
  <c r="O108" i="5"/>
  <c r="I167" i="5"/>
  <c r="M109" i="5"/>
  <c r="G168" i="5"/>
  <c r="L160" i="5"/>
  <c r="K161" i="5"/>
  <c r="N103" i="5"/>
  <c r="H162" i="5"/>
  <c r="L104" i="5"/>
  <c r="H106" i="5"/>
  <c r="N165" i="5"/>
  <c r="H168" i="5"/>
  <c r="F163" i="5"/>
  <c r="F164" i="5"/>
  <c r="F168" i="5"/>
  <c r="F165" i="5"/>
  <c r="F166" i="5"/>
  <c r="F167" i="5"/>
  <c r="F162" i="5"/>
  <c r="F108" i="5"/>
  <c r="F160" i="5"/>
  <c r="F161" i="5"/>
  <c r="F107" i="5"/>
  <c r="F109" i="5"/>
  <c r="F104" i="5"/>
  <c r="F103" i="5"/>
  <c r="F102" i="5"/>
  <c r="F101" i="5"/>
  <c r="O107" i="42"/>
  <c r="J109" i="42"/>
  <c r="I107" i="42"/>
  <c r="N107" i="42"/>
  <c r="K107" i="42"/>
  <c r="M109" i="42"/>
  <c r="F109" i="42"/>
  <c r="G107" i="42"/>
  <c r="L107" i="42"/>
  <c r="M107" i="42"/>
  <c r="H109" i="42"/>
  <c r="J107" i="42"/>
  <c r="H107" i="42"/>
  <c r="H94" i="42"/>
  <c r="K94" i="42"/>
  <c r="O109" i="42"/>
  <c r="O94" i="42"/>
  <c r="I96" i="42"/>
  <c r="J96" i="42"/>
  <c r="K96" i="42"/>
  <c r="I94" i="42"/>
  <c r="K109" i="42"/>
  <c r="N109" i="42"/>
  <c r="I109" i="42"/>
  <c r="G109" i="42"/>
  <c r="L191" i="42"/>
  <c r="L152" i="42"/>
  <c r="N154" i="42"/>
  <c r="J152" i="42"/>
  <c r="F154" i="42"/>
  <c r="G154" i="42"/>
  <c r="O154" i="42"/>
  <c r="G152" i="42"/>
  <c r="O191" i="42"/>
  <c r="H152" i="42"/>
  <c r="F152" i="42"/>
  <c r="N152" i="42"/>
  <c r="I152" i="42"/>
  <c r="K152" i="42"/>
  <c r="M154" i="42"/>
  <c r="M152" i="42"/>
  <c r="G236" i="42"/>
  <c r="F236" i="42"/>
  <c r="H154" i="42"/>
  <c r="K154" i="42"/>
  <c r="L154" i="42"/>
  <c r="F19" i="43"/>
  <c r="H7" i="43"/>
  <c r="O152" i="42"/>
  <c r="I154" i="42"/>
  <c r="J154" i="42"/>
  <c r="J191" i="42"/>
  <c r="L189" i="42"/>
  <c r="N238" i="42"/>
  <c r="P241" i="42"/>
  <c r="P131" i="42"/>
  <c r="H51" i="37" s="1"/>
  <c r="P246" i="42"/>
  <c r="B4" i="42"/>
  <c r="L175" i="42"/>
  <c r="I175" i="42"/>
  <c r="K138" i="42"/>
  <c r="J159" i="42"/>
  <c r="M179" i="42"/>
  <c r="H45" i="42"/>
  <c r="H115" i="5" s="1"/>
  <c r="M72" i="42"/>
  <c r="O146" i="42"/>
  <c r="I217" i="42"/>
  <c r="J146" i="42"/>
  <c r="O122" i="42"/>
  <c r="O142" i="42"/>
  <c r="L122" i="42"/>
  <c r="G204" i="42"/>
  <c r="J238" i="42"/>
  <c r="F51" i="42"/>
  <c r="I70" i="42"/>
  <c r="K150" i="42"/>
  <c r="O189" i="42"/>
  <c r="H91" i="42"/>
  <c r="O118" i="42"/>
  <c r="J183" i="42"/>
  <c r="M189" i="42"/>
  <c r="M204" i="42"/>
  <c r="L236" i="42"/>
  <c r="N175" i="42"/>
  <c r="J130" i="42"/>
  <c r="M251" i="42"/>
  <c r="H51" i="42"/>
  <c r="H191" i="42"/>
  <c r="N51" i="42"/>
  <c r="G87" i="42"/>
  <c r="M91" i="42"/>
  <c r="M130" i="42"/>
  <c r="I150" i="42"/>
  <c r="J49" i="42" a="1"/>
  <c r="J49" i="42" s="1"/>
  <c r="P49" i="42" s="1"/>
  <c r="J51" i="42"/>
  <c r="I51" i="42"/>
  <c r="I126" i="42"/>
  <c r="H130" i="42"/>
  <c r="M146" i="42"/>
  <c r="G171" i="42"/>
  <c r="M200" i="42"/>
  <c r="H171" i="42"/>
  <c r="M236" i="42"/>
  <c r="I171" i="42"/>
  <c r="K183" i="42"/>
  <c r="L51" i="42"/>
  <c r="K51" i="42"/>
  <c r="M51" i="42"/>
  <c r="I87" i="42"/>
  <c r="M230" i="42"/>
  <c r="O234" i="42"/>
  <c r="G251" i="42"/>
  <c r="K126" i="42"/>
  <c r="I101" i="42"/>
  <c r="I163" i="42"/>
  <c r="I204" i="42"/>
  <c r="O51" i="42"/>
  <c r="L91" i="42"/>
  <c r="M171" i="42"/>
  <c r="N179" i="42"/>
  <c r="J204" i="42"/>
  <c r="I114" i="42"/>
  <c r="O171" i="42"/>
  <c r="G230" i="42"/>
  <c r="I243" i="42"/>
  <c r="H47" i="42"/>
  <c r="G51" i="42"/>
  <c r="O72" i="42"/>
  <c r="H134" i="42"/>
  <c r="F175" i="42"/>
  <c r="F179" i="42"/>
  <c r="O208" i="42"/>
  <c r="J236" i="42"/>
  <c r="O74" i="42"/>
  <c r="G130" i="42"/>
  <c r="N251" i="42"/>
  <c r="O61" i="42"/>
  <c r="O70" i="42"/>
  <c r="M138" i="42"/>
  <c r="K167" i="42"/>
  <c r="O159" i="42"/>
  <c r="P215" i="42"/>
  <c r="P86" i="42"/>
  <c r="G45" i="42"/>
  <c r="G115" i="5" s="1"/>
  <c r="I66" i="42"/>
  <c r="P120" i="42"/>
  <c r="O126" i="42"/>
  <c r="L179" i="42"/>
  <c r="O221" i="42"/>
  <c r="P65" i="42"/>
  <c r="N72" i="42"/>
  <c r="N79" i="42"/>
  <c r="F45" i="42"/>
  <c r="F115" i="5" s="1"/>
  <c r="H70" i="42"/>
  <c r="H61" i="42"/>
  <c r="F105" i="42"/>
  <c r="P132" i="42"/>
  <c r="P185" i="42"/>
  <c r="P193" i="42"/>
  <c r="H30" i="37" s="1"/>
  <c r="G105" i="42"/>
  <c r="I59" i="42"/>
  <c r="K159" i="42"/>
  <c r="O91" i="42"/>
  <c r="P85" i="42"/>
  <c r="P129" i="42"/>
  <c r="I138" i="42"/>
  <c r="O66" i="42"/>
  <c r="O59" i="42"/>
  <c r="L45" i="42"/>
  <c r="L115" i="5" s="1"/>
  <c r="I61" i="42"/>
  <c r="J105" i="42"/>
  <c r="P149" i="42"/>
  <c r="M159" i="42"/>
  <c r="P161" i="42"/>
  <c r="I189" i="42"/>
  <c r="I196" i="42"/>
  <c r="I91" i="42"/>
  <c r="P112" i="42"/>
  <c r="J126" i="42"/>
  <c r="O79" i="42"/>
  <c r="H87" i="42"/>
  <c r="N91" i="42"/>
  <c r="O130" i="42"/>
  <c r="M196" i="42"/>
  <c r="H122" i="42"/>
  <c r="G122" i="42"/>
  <c r="N138" i="42"/>
  <c r="I146" i="42"/>
  <c r="L150" i="42"/>
  <c r="H167" i="42"/>
  <c r="M167" i="42"/>
  <c r="K208" i="42"/>
  <c r="N236" i="42"/>
  <c r="I238" i="42"/>
  <c r="P103" i="42"/>
  <c r="N70" i="42"/>
  <c r="N146" i="42"/>
  <c r="M150" i="42"/>
  <c r="G150" i="42"/>
  <c r="N159" i="42"/>
  <c r="K175" i="42"/>
  <c r="G183" i="42"/>
  <c r="J247" i="42"/>
  <c r="J87" i="42"/>
  <c r="F130" i="42"/>
  <c r="L134" i="42"/>
  <c r="L142" i="42"/>
  <c r="K87" i="42"/>
  <c r="N114" i="42"/>
  <c r="J118" i="42"/>
  <c r="J122" i="42"/>
  <c r="M126" i="42"/>
  <c r="N150" i="42"/>
  <c r="H221" i="42"/>
  <c r="K238" i="42"/>
  <c r="H251" i="42"/>
  <c r="I251" i="42"/>
  <c r="M255" i="42"/>
  <c r="N142" i="42"/>
  <c r="M175" i="42"/>
  <c r="G187" i="42"/>
  <c r="M187" i="42"/>
  <c r="G189" i="42"/>
  <c r="P199" i="42"/>
  <c r="H204" i="42"/>
  <c r="I45" i="42"/>
  <c r="I115" i="5" s="1"/>
  <c r="M122" i="42"/>
  <c r="I130" i="42"/>
  <c r="L138" i="42"/>
  <c r="G142" i="42"/>
  <c r="N171" i="42"/>
  <c r="P170" i="42"/>
  <c r="P182" i="42"/>
  <c r="H189" i="42"/>
  <c r="N200" i="42"/>
  <c r="F234" i="42"/>
  <c r="J251" i="42"/>
  <c r="N255" i="42"/>
  <c r="P220" i="42"/>
  <c r="I230" i="42"/>
  <c r="M243" i="42"/>
  <c r="O247" i="42"/>
  <c r="K251" i="42"/>
  <c r="O255" i="42"/>
  <c r="I187" i="42"/>
  <c r="H101" i="42"/>
  <c r="K105" i="42"/>
  <c r="G126" i="42"/>
  <c r="L126" i="42"/>
  <c r="K130" i="42"/>
  <c r="F171" i="42"/>
  <c r="O175" i="42"/>
  <c r="G179" i="42"/>
  <c r="L183" i="42"/>
  <c r="J187" i="42"/>
  <c r="J189" i="42"/>
  <c r="O196" i="42"/>
  <c r="K204" i="42"/>
  <c r="P229" i="42"/>
  <c r="H234" i="42"/>
  <c r="L251" i="42"/>
  <c r="G255" i="42"/>
  <c r="L130" i="42"/>
  <c r="G134" i="42"/>
  <c r="O134" i="42"/>
  <c r="I142" i="42"/>
  <c r="I159" i="42"/>
  <c r="P168" i="42"/>
  <c r="H55" i="37" s="1"/>
  <c r="G175" i="42"/>
  <c r="M183" i="42"/>
  <c r="I183" i="42"/>
  <c r="K187" i="42"/>
  <c r="L204" i="42"/>
  <c r="P203" i="42"/>
  <c r="L163" i="42"/>
  <c r="N183" i="42"/>
  <c r="F200" i="42"/>
  <c r="H208" i="42"/>
  <c r="G217" i="42"/>
  <c r="M217" i="42"/>
  <c r="F247" i="42"/>
  <c r="I255" i="42"/>
  <c r="N130" i="42"/>
  <c r="I134" i="42"/>
  <c r="K142" i="42"/>
  <c r="G146" i="42"/>
  <c r="H163" i="42"/>
  <c r="O183" i="42"/>
  <c r="F191" i="42"/>
  <c r="N204" i="42"/>
  <c r="I208" i="42"/>
  <c r="P254" i="42"/>
  <c r="P44" i="42"/>
  <c r="G101" i="42"/>
  <c r="L118" i="42"/>
  <c r="J74" i="42"/>
  <c r="J83" i="42"/>
  <c r="P80" i="42"/>
  <c r="H46" i="37" s="1"/>
  <c r="P102" i="42"/>
  <c r="H48" i="37" s="1"/>
  <c r="H105" i="42"/>
  <c r="I122" i="42"/>
  <c r="P119" i="42"/>
  <c r="H22" i="37" s="1"/>
  <c r="J138" i="42"/>
  <c r="G59" i="42"/>
  <c r="G66" i="42"/>
  <c r="L61" i="42"/>
  <c r="L70" i="42"/>
  <c r="J79" i="42"/>
  <c r="J72" i="42"/>
  <c r="N83" i="42"/>
  <c r="N74" i="42"/>
  <c r="L101" i="42"/>
  <c r="G114" i="42"/>
  <c r="O114" i="42"/>
  <c r="K118" i="42"/>
  <c r="F126" i="42"/>
  <c r="P123" i="42"/>
  <c r="H50" i="37" s="1"/>
  <c r="P124" i="42"/>
  <c r="N134" i="42"/>
  <c r="O138" i="42"/>
  <c r="G159" i="42"/>
  <c r="J45" i="42"/>
  <c r="J115" i="5" s="1"/>
  <c r="K72" i="42"/>
  <c r="K79" i="42"/>
  <c r="P67" i="42"/>
  <c r="H45" i="37" s="1"/>
  <c r="F70" i="42"/>
  <c r="P78" i="42"/>
  <c r="M79" i="42"/>
  <c r="O83" i="42"/>
  <c r="J91" i="42"/>
  <c r="P89" i="42"/>
  <c r="K101" i="42"/>
  <c r="N105" i="42"/>
  <c r="P141" i="42"/>
  <c r="P144" i="42"/>
  <c r="P174" i="42"/>
  <c r="K45" i="42"/>
  <c r="K115" i="5" s="1"/>
  <c r="G70" i="42"/>
  <c r="G83" i="42"/>
  <c r="G74" i="42"/>
  <c r="P98" i="42"/>
  <c r="H20" i="37" s="1"/>
  <c r="F101" i="42"/>
  <c r="J114" i="42"/>
  <c r="N122" i="42"/>
  <c r="P140" i="42"/>
  <c r="M142" i="42"/>
  <c r="P162" i="42"/>
  <c r="L72" i="42"/>
  <c r="L79" i="42"/>
  <c r="M45" i="42"/>
  <c r="M115" i="5" s="1"/>
  <c r="P99" i="42"/>
  <c r="I105" i="42"/>
  <c r="K114" i="42"/>
  <c r="P125" i="42"/>
  <c r="P133" i="42"/>
  <c r="M163" i="42"/>
  <c r="K91" i="42"/>
  <c r="P90" i="42"/>
  <c r="M101" i="42"/>
  <c r="H126" i="42"/>
  <c r="P81" i="42"/>
  <c r="P64" i="42"/>
  <c r="H83" i="42"/>
  <c r="H74" i="42"/>
  <c r="N45" i="42"/>
  <c r="N115" i="5" s="1"/>
  <c r="N163" i="42"/>
  <c r="K189" i="42"/>
  <c r="K196" i="42"/>
  <c r="H66" i="42"/>
  <c r="K146" i="42"/>
  <c r="O45" i="42"/>
  <c r="O115" i="5" s="1"/>
  <c r="P69" i="42"/>
  <c r="F79" i="42"/>
  <c r="F72" i="42"/>
  <c r="P76" i="42"/>
  <c r="H18" i="37" s="1"/>
  <c r="P77" i="42"/>
  <c r="L114" i="42"/>
  <c r="P158" i="42"/>
  <c r="O105" i="42"/>
  <c r="P137" i="42"/>
  <c r="I74" i="42"/>
  <c r="I83" i="42"/>
  <c r="L87" i="42"/>
  <c r="P68" i="42"/>
  <c r="N87" i="42"/>
  <c r="P88" i="42"/>
  <c r="H47" i="37" s="1"/>
  <c r="F91" i="42"/>
  <c r="J134" i="42"/>
  <c r="J66" i="42"/>
  <c r="J70" i="42"/>
  <c r="G79" i="42"/>
  <c r="G72" i="42"/>
  <c r="K74" i="42"/>
  <c r="P82" i="42"/>
  <c r="K83" i="42"/>
  <c r="G91" i="42"/>
  <c r="P100" i="42"/>
  <c r="P104" i="42"/>
  <c r="P117" i="42"/>
  <c r="K134" i="42"/>
  <c r="P135" i="42"/>
  <c r="H24" i="37" s="1"/>
  <c r="P145" i="42"/>
  <c r="O150" i="42"/>
  <c r="N101" i="42"/>
  <c r="M87" i="42"/>
  <c r="P113" i="42"/>
  <c r="K122" i="42"/>
  <c r="P46" i="42"/>
  <c r="F22" i="43" s="1"/>
  <c r="P48" i="42"/>
  <c r="L66" i="42"/>
  <c r="L59" i="42"/>
  <c r="H79" i="42"/>
  <c r="H72" i="42"/>
  <c r="L74" i="42"/>
  <c r="L83" i="42"/>
  <c r="O87" i="42"/>
  <c r="J101" i="42"/>
  <c r="L105" i="42"/>
  <c r="M118" i="42"/>
  <c r="I118" i="42"/>
  <c r="N126" i="42"/>
  <c r="I167" i="42"/>
  <c r="P164" i="42"/>
  <c r="H27" i="37" s="1"/>
  <c r="F83" i="42"/>
  <c r="F74" i="42"/>
  <c r="F243" i="42"/>
  <c r="P240" i="42"/>
  <c r="H34" i="37" s="1"/>
  <c r="P63" i="42"/>
  <c r="H17" i="37" s="1"/>
  <c r="F66" i="42"/>
  <c r="M66" i="42"/>
  <c r="M59" i="42"/>
  <c r="K70" i="42"/>
  <c r="K61" i="42"/>
  <c r="I72" i="42"/>
  <c r="I79" i="42"/>
  <c r="M83" i="42"/>
  <c r="M74" i="42"/>
  <c r="F87" i="42"/>
  <c r="P84" i="42"/>
  <c r="H19" i="37" s="1"/>
  <c r="M105" i="42"/>
  <c r="F114" i="42"/>
  <c r="P111" i="42"/>
  <c r="H21" i="37" s="1"/>
  <c r="F118" i="42"/>
  <c r="P115" i="42"/>
  <c r="H49" i="37" s="1"/>
  <c r="N118" i="42"/>
  <c r="P121" i="42"/>
  <c r="P128" i="42"/>
  <c r="M134" i="42"/>
  <c r="G138" i="42"/>
  <c r="J142" i="42"/>
  <c r="F159" i="42"/>
  <c r="P156" i="42"/>
  <c r="H26" i="37" s="1"/>
  <c r="J167" i="42"/>
  <c r="N66" i="42"/>
  <c r="F134" i="42"/>
  <c r="H138" i="42"/>
  <c r="F138" i="42"/>
  <c r="G167" i="42"/>
  <c r="K179" i="42"/>
  <c r="L217" i="42"/>
  <c r="P216" i="42"/>
  <c r="P50" i="42"/>
  <c r="M70" i="42"/>
  <c r="G118" i="42"/>
  <c r="P136" i="42"/>
  <c r="P165" i="42"/>
  <c r="P184" i="42"/>
  <c r="H57" i="37" s="1"/>
  <c r="I221" i="42"/>
  <c r="H230" i="42"/>
  <c r="H159" i="42"/>
  <c r="P157" i="42"/>
  <c r="G234" i="42"/>
  <c r="P231" i="42"/>
  <c r="H61" i="37" s="1"/>
  <c r="H59" i="42"/>
  <c r="L146" i="42"/>
  <c r="F150" i="42"/>
  <c r="O163" i="42"/>
  <c r="P169" i="42"/>
  <c r="P172" i="42"/>
  <c r="H28" i="37" s="1"/>
  <c r="O179" i="42"/>
  <c r="P195" i="42"/>
  <c r="G208" i="42"/>
  <c r="P205" i="42"/>
  <c r="H59" i="37" s="1"/>
  <c r="H243" i="42"/>
  <c r="H236" i="42"/>
  <c r="P147" i="42"/>
  <c r="H53" i="37" s="1"/>
  <c r="F163" i="42"/>
  <c r="P160" i="42"/>
  <c r="H54" i="37" s="1"/>
  <c r="L167" i="42"/>
  <c r="P166" i="42"/>
  <c r="P176" i="42"/>
  <c r="H56" i="37" s="1"/>
  <c r="P178" i="42"/>
  <c r="P181" i="42"/>
  <c r="N191" i="42"/>
  <c r="N196" i="42"/>
  <c r="N189" i="42"/>
  <c r="G191" i="42"/>
  <c r="G200" i="42"/>
  <c r="F217" i="42"/>
  <c r="P214" i="42"/>
  <c r="H32" i="37" s="1"/>
  <c r="I234" i="42"/>
  <c r="H114" i="42"/>
  <c r="H118" i="42"/>
  <c r="G163" i="42"/>
  <c r="J171" i="42"/>
  <c r="O187" i="42"/>
  <c r="O101" i="42"/>
  <c r="F146" i="42"/>
  <c r="H150" i="42"/>
  <c r="P148" i="42"/>
  <c r="K163" i="42"/>
  <c r="K171" i="42"/>
  <c r="L187" i="42"/>
  <c r="P186" i="42"/>
  <c r="O204" i="42"/>
  <c r="H217" i="42"/>
  <c r="K66" i="42"/>
  <c r="F142" i="42"/>
  <c r="L159" i="42"/>
  <c r="N167" i="42"/>
  <c r="H175" i="42"/>
  <c r="I179" i="42"/>
  <c r="F196" i="42"/>
  <c r="F189" i="42"/>
  <c r="P242" i="42"/>
  <c r="H247" i="42"/>
  <c r="H238" i="42"/>
  <c r="F122" i="42"/>
  <c r="P127" i="42"/>
  <c r="H23" i="37" s="1"/>
  <c r="P139" i="42"/>
  <c r="H52" i="37" s="1"/>
  <c r="H146" i="42"/>
  <c r="P143" i="42"/>
  <c r="H25" i="37" s="1"/>
  <c r="F167" i="42"/>
  <c r="O167" i="42"/>
  <c r="J179" i="42"/>
  <c r="N187" i="42"/>
  <c r="P194" i="42"/>
  <c r="K191" i="42"/>
  <c r="K200" i="42"/>
  <c r="P202" i="42"/>
  <c r="P207" i="42"/>
  <c r="P228" i="42"/>
  <c r="P233" i="42"/>
  <c r="M114" i="42"/>
  <c r="P116" i="42"/>
  <c r="H142" i="42"/>
  <c r="J150" i="42"/>
  <c r="J163" i="42"/>
  <c r="J175" i="42"/>
  <c r="H196" i="42"/>
  <c r="F204" i="42"/>
  <c r="P201" i="42"/>
  <c r="H31" i="37" s="1"/>
  <c r="M208" i="42"/>
  <c r="M191" i="42"/>
  <c r="G221" i="42"/>
  <c r="P218" i="42"/>
  <c r="H60" i="37" s="1"/>
  <c r="F230" i="42"/>
  <c r="P227" i="42"/>
  <c r="H33" i="37" s="1"/>
  <c r="O243" i="42"/>
  <c r="O236" i="42"/>
  <c r="L255" i="42"/>
  <c r="O217" i="42"/>
  <c r="O230" i="42"/>
  <c r="P245" i="42"/>
  <c r="P197" i="42"/>
  <c r="H58" i="37" s="1"/>
  <c r="O200" i="42"/>
  <c r="F208" i="42"/>
  <c r="P206" i="42"/>
  <c r="F221" i="42"/>
  <c r="P219" i="42"/>
  <c r="P232" i="42"/>
  <c r="G247" i="42"/>
  <c r="G238" i="42"/>
  <c r="P252" i="42"/>
  <c r="H63" i="37" s="1"/>
  <c r="F255" i="42"/>
  <c r="P173" i="42"/>
  <c r="F183" i="42"/>
  <c r="P180" i="42"/>
  <c r="H29" i="37" s="1"/>
  <c r="P198" i="42"/>
  <c r="P250" i="42"/>
  <c r="P253" i="42"/>
  <c r="H255" i="42"/>
  <c r="L171" i="42"/>
  <c r="H183" i="42"/>
  <c r="H200" i="42"/>
  <c r="J208" i="42"/>
  <c r="J221" i="42"/>
  <c r="J234" i="42"/>
  <c r="I236" i="42"/>
  <c r="I191" i="42"/>
  <c r="J217" i="42"/>
  <c r="J230" i="42"/>
  <c r="J243" i="42"/>
  <c r="L247" i="42"/>
  <c r="I247" i="42"/>
  <c r="O251" i="42"/>
  <c r="F187" i="42"/>
  <c r="J196" i="42"/>
  <c r="J200" i="42"/>
  <c r="L208" i="42"/>
  <c r="L221" i="42"/>
  <c r="L234" i="42"/>
  <c r="F238" i="42"/>
  <c r="K236" i="42"/>
  <c r="M238" i="42"/>
  <c r="M247" i="42"/>
  <c r="K247" i="42"/>
  <c r="J255" i="42"/>
  <c r="L230" i="42"/>
  <c r="L243" i="42"/>
  <c r="G243" i="42"/>
  <c r="N247" i="42"/>
  <c r="P249" i="42"/>
  <c r="H187" i="42"/>
  <c r="L196" i="42"/>
  <c r="L200" i="42"/>
  <c r="N208" i="42"/>
  <c r="N221" i="42"/>
  <c r="K221" i="42"/>
  <c r="N234" i="42"/>
  <c r="K234" i="42"/>
  <c r="O238" i="42"/>
  <c r="F251" i="42"/>
  <c r="P248" i="42"/>
  <c r="H35" i="37" s="1"/>
  <c r="K255" i="42"/>
  <c r="H179" i="42"/>
  <c r="P177" i="42"/>
  <c r="G196" i="42"/>
  <c r="I200" i="42"/>
  <c r="N217" i="42"/>
  <c r="K217" i="42"/>
  <c r="M221" i="42"/>
  <c r="N230" i="42"/>
  <c r="K230" i="42"/>
  <c r="M234" i="42"/>
  <c r="L238" i="42"/>
  <c r="N243" i="42"/>
  <c r="K243" i="42"/>
  <c r="P244" i="42"/>
  <c r="H62" i="37" s="1"/>
  <c r="H169" i="5" l="1"/>
  <c r="M169" i="5"/>
  <c r="I169" i="5"/>
  <c r="K169" i="5"/>
  <c r="L169" i="5"/>
  <c r="J169" i="5"/>
  <c r="O169" i="5"/>
  <c r="F169" i="5"/>
  <c r="N169" i="5"/>
  <c r="G169" i="5"/>
  <c r="P107" i="5"/>
  <c r="P108" i="5"/>
  <c r="P106" i="5"/>
  <c r="P109" i="5"/>
  <c r="P51" i="42"/>
  <c r="F28" i="43"/>
  <c r="P47" i="42"/>
  <c r="P61" i="42"/>
  <c r="P130" i="42"/>
  <c r="P179" i="42"/>
  <c r="P126" i="42"/>
  <c r="P175" i="42"/>
  <c r="P210" i="42"/>
  <c r="P91" i="42"/>
  <c r="P59" i="42"/>
  <c r="P45" i="42"/>
  <c r="P163" i="42"/>
  <c r="P234" i="42"/>
  <c r="P142" i="42"/>
  <c r="P150" i="42"/>
  <c r="P204" i="42"/>
  <c r="P247" i="42"/>
  <c r="P171" i="42"/>
  <c r="P96" i="42"/>
  <c r="P200" i="42"/>
  <c r="P154" i="42"/>
  <c r="P105" i="42"/>
  <c r="P223" i="42"/>
  <c r="P255" i="42"/>
  <c r="P101" i="42"/>
  <c r="P187" i="42"/>
  <c r="P236" i="42"/>
  <c r="P146" i="42"/>
  <c r="P217" i="42"/>
  <c r="P138" i="42"/>
  <c r="P87" i="42"/>
  <c r="P243" i="42"/>
  <c r="P191" i="42"/>
  <c r="P134" i="42"/>
  <c r="P238" i="42"/>
  <c r="P122" i="42"/>
  <c r="P109" i="42"/>
  <c r="P74" i="42"/>
  <c r="P83" i="42"/>
  <c r="P72" i="42"/>
  <c r="P70" i="42"/>
  <c r="P225" i="42"/>
  <c r="P221" i="42"/>
  <c r="P118" i="42"/>
  <c r="P79" i="42"/>
  <c r="P251" i="42"/>
  <c r="P212" i="42"/>
  <c r="P208" i="42"/>
  <c r="P230" i="42"/>
  <c r="P189" i="42"/>
  <c r="P152" i="42"/>
  <c r="P114" i="42"/>
  <c r="P183" i="42"/>
  <c r="P196" i="42"/>
  <c r="P159" i="42"/>
  <c r="P107" i="42"/>
  <c r="P167" i="42"/>
  <c r="P66" i="42"/>
  <c r="P94" i="42"/>
  <c r="E22" i="43" l="1"/>
  <c r="E28" i="43"/>
  <c r="B1" i="2"/>
  <c r="A3" i="1"/>
  <c r="F6" i="37" l="1"/>
  <c r="F10" i="37" l="1"/>
  <c r="F9" i="37"/>
  <c r="F8" i="37"/>
  <c r="F7" i="37"/>
  <c r="B188" i="30" l="1"/>
  <c r="B189" i="30"/>
  <c r="B190" i="30"/>
  <c r="B191" i="30"/>
  <c r="B192" i="30"/>
  <c r="B193" i="30"/>
  <c r="B194" i="30"/>
  <c r="B195" i="30"/>
  <c r="B74" i="30"/>
  <c r="B75" i="30"/>
  <c r="B76" i="30"/>
  <c r="B77" i="30"/>
  <c r="B78" i="30"/>
  <c r="B79" i="30"/>
  <c r="B80" i="30"/>
  <c r="B81" i="30"/>
  <c r="B82" i="30"/>
  <c r="B73" i="30"/>
  <c r="J7" i="38"/>
  <c r="J8" i="38"/>
  <c r="G82" i="30" l="1"/>
  <c r="H82" i="30"/>
  <c r="I82" i="30"/>
  <c r="J82" i="30"/>
  <c r="K82" i="30"/>
  <c r="L82" i="30"/>
  <c r="M82" i="30"/>
  <c r="N82" i="30"/>
  <c r="O82" i="30"/>
  <c r="F82" i="30"/>
  <c r="P82" i="30" l="1"/>
  <c r="J79" i="30"/>
  <c r="K79" i="30"/>
  <c r="G194" i="30"/>
  <c r="O194" i="30"/>
  <c r="L194" i="30"/>
  <c r="G79" i="30"/>
  <c r="M194" i="30"/>
  <c r="K194" i="30"/>
  <c r="N194" i="30"/>
  <c r="O80" i="30"/>
  <c r="M80" i="30"/>
  <c r="K80" i="30"/>
  <c r="J194" i="30"/>
  <c r="L80" i="30"/>
  <c r="H79" i="30"/>
  <c r="M79" i="30"/>
  <c r="N80" i="30"/>
  <c r="N189" i="30"/>
  <c r="O189" i="30"/>
  <c r="G189" i="30"/>
  <c r="H189" i="30"/>
  <c r="I189" i="30"/>
  <c r="J189" i="30"/>
  <c r="K189" i="30"/>
  <c r="L189" i="30"/>
  <c r="M189" i="30"/>
  <c r="N193" i="30"/>
  <c r="O193" i="30"/>
  <c r="N79" i="30"/>
  <c r="O79" i="30"/>
  <c r="G193" i="30"/>
  <c r="H193" i="30"/>
  <c r="I193" i="30"/>
  <c r="J193" i="30"/>
  <c r="K193" i="30"/>
  <c r="L193" i="30"/>
  <c r="I79" i="30"/>
  <c r="M193" i="30"/>
  <c r="G80" i="30"/>
  <c r="I80" i="30"/>
  <c r="H194" i="30"/>
  <c r="J80" i="30"/>
  <c r="I194" i="30"/>
  <c r="H80" i="30"/>
  <c r="L79" i="30"/>
  <c r="L188" i="30" l="1"/>
  <c r="O188" i="30"/>
  <c r="H188" i="30"/>
  <c r="M188" i="30"/>
  <c r="N188" i="30"/>
  <c r="K188" i="30"/>
  <c r="G188" i="30"/>
  <c r="J188" i="30"/>
  <c r="I188" i="30"/>
  <c r="X55" i="37"/>
  <c r="O190" i="30"/>
  <c r="L81" i="30"/>
  <c r="M191" i="30"/>
  <c r="N195" i="30"/>
  <c r="N191" i="30"/>
  <c r="I81" i="30"/>
  <c r="N81" i="30"/>
  <c r="M192" i="30"/>
  <c r="O195" i="30"/>
  <c r="L191" i="30"/>
  <c r="M190" i="30"/>
  <c r="O81" i="30"/>
  <c r="X57" i="37"/>
  <c r="I190" i="30"/>
  <c r="H190" i="30"/>
  <c r="X50" i="37"/>
  <c r="L190" i="30"/>
  <c r="N190" i="30"/>
  <c r="G190" i="30"/>
  <c r="K190" i="30"/>
  <c r="J190" i="30"/>
  <c r="X51" i="37"/>
  <c r="X52" i="37"/>
  <c r="X53" i="37"/>
  <c r="G191" i="30"/>
  <c r="K191" i="30"/>
  <c r="I191" i="30"/>
  <c r="O191" i="30"/>
  <c r="H191" i="30"/>
  <c r="J191" i="30"/>
  <c r="I192" i="30"/>
  <c r="O192" i="30"/>
  <c r="N192" i="30"/>
  <c r="H192" i="30"/>
  <c r="L192" i="30"/>
  <c r="K192" i="30"/>
  <c r="G192" i="30"/>
  <c r="X59" i="37"/>
  <c r="J192" i="30"/>
  <c r="X63" i="37"/>
  <c r="K81" i="30"/>
  <c r="M81" i="30"/>
  <c r="H81" i="30"/>
  <c r="H195" i="30"/>
  <c r="K195" i="30"/>
  <c r="I195" i="30"/>
  <c r="M195" i="30"/>
  <c r="J81" i="30"/>
  <c r="G195" i="30"/>
  <c r="G81" i="30"/>
  <c r="J195" i="30"/>
  <c r="L195" i="30"/>
  <c r="X62" i="37"/>
  <c r="F195" i="30"/>
  <c r="X47" i="37"/>
  <c r="F193" i="30" l="1"/>
  <c r="P193" i="30" s="1"/>
  <c r="S25" i="37" a="1"/>
  <c r="S25" i="37" s="1"/>
  <c r="W25" i="37"/>
  <c r="U25" i="37" a="1"/>
  <c r="U25" i="37" s="1"/>
  <c r="X25" i="37"/>
  <c r="V25" i="37"/>
  <c r="T25" i="37"/>
  <c r="V55" i="37"/>
  <c r="S55" i="37" a="1"/>
  <c r="S55" i="37" s="1"/>
  <c r="T55" i="37"/>
  <c r="U55" i="37" a="1"/>
  <c r="U55" i="37" s="1"/>
  <c r="W55" i="37"/>
  <c r="T63" i="37"/>
  <c r="U63" i="37" a="1"/>
  <c r="U63" i="37" s="1"/>
  <c r="V63" i="37"/>
  <c r="W63" i="37"/>
  <c r="S63" i="37" a="1"/>
  <c r="S63" i="37" s="1"/>
  <c r="V50" i="37"/>
  <c r="W50" i="37"/>
  <c r="S50" i="37" a="1"/>
  <c r="S50" i="37" s="1"/>
  <c r="T50" i="37"/>
  <c r="U50" i="37" a="1"/>
  <c r="U50" i="37" s="1"/>
  <c r="T57" i="37"/>
  <c r="U57" i="37" a="1"/>
  <c r="U57" i="37" s="1"/>
  <c r="S57" i="37" a="1"/>
  <c r="S57" i="37" s="1"/>
  <c r="V57" i="37"/>
  <c r="W57" i="37"/>
  <c r="S47" i="37" a="1"/>
  <c r="S47" i="37" s="1"/>
  <c r="T47" i="37"/>
  <c r="U47" i="37" a="1"/>
  <c r="U47" i="37" s="1"/>
  <c r="V47" i="37"/>
  <c r="W47" i="37"/>
  <c r="V62" i="37"/>
  <c r="W62" i="37"/>
  <c r="S62" i="37" a="1"/>
  <c r="S62" i="37" s="1"/>
  <c r="U62" i="37" a="1"/>
  <c r="U62" i="37" s="1"/>
  <c r="T62" i="37"/>
  <c r="S51" i="37" a="1"/>
  <c r="S51" i="37" s="1"/>
  <c r="T51" i="37"/>
  <c r="U51" i="37" a="1"/>
  <c r="U51" i="37" s="1"/>
  <c r="V51" i="37"/>
  <c r="W51" i="37"/>
  <c r="S24" i="37" a="1"/>
  <c r="S24" i="37" s="1"/>
  <c r="W24" i="37"/>
  <c r="X24" i="37"/>
  <c r="V24" i="37"/>
  <c r="U24" i="37" a="1"/>
  <c r="U24" i="37" s="1"/>
  <c r="T24" i="37"/>
  <c r="V53" i="37"/>
  <c r="W53" i="37"/>
  <c r="S53" i="37" a="1"/>
  <c r="S53" i="37" s="1"/>
  <c r="T53" i="37"/>
  <c r="U53" i="37" a="1"/>
  <c r="U53" i="37" s="1"/>
  <c r="V59" i="37"/>
  <c r="W59" i="37"/>
  <c r="S59" i="37" a="1"/>
  <c r="S59" i="37" s="1"/>
  <c r="T59" i="37"/>
  <c r="U59" i="37" a="1"/>
  <c r="U59" i="37" s="1"/>
  <c r="V52" i="37"/>
  <c r="W52" i="37"/>
  <c r="S52" i="37" a="1"/>
  <c r="S52" i="37" s="1"/>
  <c r="T52" i="37"/>
  <c r="U52" i="37" a="1"/>
  <c r="U52" i="37" s="1"/>
  <c r="S26" i="37" a="1"/>
  <c r="S26" i="37" s="1"/>
  <c r="U26" i="37" a="1"/>
  <c r="U26" i="37" s="1"/>
  <c r="T26" i="37"/>
  <c r="W26" i="37"/>
  <c r="X26" i="37"/>
  <c r="V26" i="37"/>
  <c r="T34" i="37"/>
  <c r="X34" i="37"/>
  <c r="W34" i="37"/>
  <c r="U34" i="37" a="1"/>
  <c r="U34" i="37" s="1"/>
  <c r="S34" i="37" a="1"/>
  <c r="S34" i="37" s="1"/>
  <c r="V34" i="37"/>
  <c r="X29" i="37"/>
  <c r="W29" i="37"/>
  <c r="T29" i="37"/>
  <c r="S29" i="37" a="1"/>
  <c r="S29" i="37" s="1"/>
  <c r="U29" i="37" a="1"/>
  <c r="U29" i="37" s="1"/>
  <c r="V29" i="37"/>
  <c r="X46" i="37"/>
  <c r="X61" i="37"/>
  <c r="X58" i="37"/>
  <c r="X54" i="37"/>
  <c r="X49" i="37"/>
  <c r="W30" i="37" l="1"/>
  <c r="T30" i="37"/>
  <c r="V30" i="37"/>
  <c r="S30" i="37" a="1"/>
  <c r="S30" i="37" s="1"/>
  <c r="U30" i="37" a="1"/>
  <c r="U30" i="37" s="1"/>
  <c r="X30" i="37"/>
  <c r="F189" i="30"/>
  <c r="P189" i="30" s="1"/>
  <c r="F190" i="30"/>
  <c r="P190" i="30" s="1"/>
  <c r="F194" i="30"/>
  <c r="S58" i="37" a="1"/>
  <c r="S58" i="37" s="1"/>
  <c r="T58" i="37"/>
  <c r="U58" i="37" a="1"/>
  <c r="U58" i="37" s="1"/>
  <c r="W58" i="37"/>
  <c r="V58" i="37"/>
  <c r="S49" i="37" a="1"/>
  <c r="S49" i="37" s="1"/>
  <c r="T49" i="37"/>
  <c r="U49" i="37" a="1"/>
  <c r="U49" i="37" s="1"/>
  <c r="W49" i="37"/>
  <c r="V49" i="37"/>
  <c r="V61" i="37"/>
  <c r="W61" i="37"/>
  <c r="S61" i="37" a="1"/>
  <c r="S61" i="37" s="1"/>
  <c r="T61" i="37"/>
  <c r="U61" i="37" a="1"/>
  <c r="U61" i="37" s="1"/>
  <c r="T54" i="37"/>
  <c r="U54" i="37" a="1"/>
  <c r="U54" i="37" s="1"/>
  <c r="V54" i="37"/>
  <c r="W54" i="37"/>
  <c r="S54" i="37" a="1"/>
  <c r="S54" i="37" s="1"/>
  <c r="F188" i="30"/>
  <c r="P188" i="30" s="1"/>
  <c r="V46" i="37"/>
  <c r="S46" i="37" a="1"/>
  <c r="S46" i="37" s="1"/>
  <c r="T46" i="37"/>
  <c r="U46" i="37" a="1"/>
  <c r="U46" i="37" s="1"/>
  <c r="W46" i="37"/>
  <c r="T21" i="37"/>
  <c r="U21" i="37" a="1"/>
  <c r="U21" i="37" s="1"/>
  <c r="X21" i="37"/>
  <c r="W21" i="37"/>
  <c r="S21" i="37" a="1"/>
  <c r="S21" i="37" s="1"/>
  <c r="V21" i="37"/>
  <c r="F191" i="30"/>
  <c r="P191" i="30" s="1"/>
  <c r="F192" i="30"/>
  <c r="P192" i="30" s="1"/>
  <c r="F80" i="30"/>
  <c r="P80" i="30" s="1"/>
  <c r="F79" i="30"/>
  <c r="P79" i="30" s="1"/>
  <c r="F81" i="30"/>
  <c r="P81" i="30" s="1"/>
  <c r="W76" i="6" l="1"/>
  <c r="W66" i="6"/>
  <c r="W67" i="6"/>
  <c r="W68" i="6"/>
  <c r="W69" i="6"/>
  <c r="W70" i="6"/>
  <c r="W71" i="6"/>
  <c r="W72" i="6"/>
  <c r="W73" i="6"/>
  <c r="W74" i="6"/>
  <c r="W75" i="6"/>
  <c r="W65" i="6"/>
  <c r="F58" i="37"/>
  <c r="F59" i="37"/>
  <c r="F62" i="37"/>
  <c r="F63" i="37"/>
  <c r="F61" i="37"/>
  <c r="F60" i="37"/>
  <c r="F52" i="37"/>
  <c r="F49" i="37"/>
  <c r="F50" i="37"/>
  <c r="F51" i="37"/>
  <c r="F53" i="37"/>
  <c r="F47" i="37"/>
  <c r="F45" i="37"/>
  <c r="F48" i="37"/>
  <c r="F46" i="37"/>
  <c r="F57" i="37"/>
  <c r="F55" i="37"/>
  <c r="F54" i="37"/>
  <c r="F56" i="37"/>
  <c r="F44" i="37"/>
  <c r="F43" i="37"/>
  <c r="F42" i="37"/>
  <c r="F41" i="37"/>
  <c r="F40" i="37"/>
  <c r="F39" i="37"/>
  <c r="F38" i="37"/>
  <c r="F37" i="37"/>
  <c r="F36" i="37"/>
  <c r="B118" i="30" l="1"/>
  <c r="B110" i="30"/>
  <c r="B53" i="30"/>
  <c r="B54" i="30"/>
  <c r="B55" i="30"/>
  <c r="B56" i="30"/>
  <c r="B57" i="30"/>
  <c r="B58" i="30"/>
  <c r="B60" i="30"/>
  <c r="B61" i="30"/>
  <c r="B63" i="30"/>
  <c r="B65" i="30"/>
  <c r="B179" i="30"/>
  <c r="B180" i="30"/>
  <c r="B181" i="30"/>
  <c r="B182" i="30"/>
  <c r="B183" i="30"/>
  <c r="B184" i="30"/>
  <c r="B185" i="30"/>
  <c r="B186" i="30"/>
  <c r="B187" i="30"/>
  <c r="B196" i="30"/>
  <c r="B178" i="30"/>
  <c r="B47" i="30"/>
  <c r="B44" i="30"/>
  <c r="B45" i="30"/>
  <c r="B46" i="30"/>
  <c r="B43" i="30"/>
  <c r="B52" i="30"/>
  <c r="C7" i="25"/>
  <c r="B62" i="5" a="1"/>
  <c r="B62" i="5" s="1"/>
  <c r="C71" i="2"/>
  <c r="C72" i="2"/>
  <c r="C39" i="2"/>
  <c r="C40" i="2"/>
  <c r="C149" i="5"/>
  <c r="G19" i="1"/>
  <c r="D29" i="1"/>
  <c r="G29" i="1" l="1"/>
  <c r="D8" i="44" s="1"/>
  <c r="E34" i="5"/>
  <c r="C34" i="5"/>
  <c r="AB769" i="25"/>
  <c r="Z769" i="25"/>
  <c r="X769" i="25"/>
  <c r="V769" i="25"/>
  <c r="T769" i="25"/>
  <c r="R769" i="25"/>
  <c r="P769" i="25"/>
  <c r="N769" i="25"/>
  <c r="L769" i="25"/>
  <c r="J769" i="25"/>
  <c r="AB750" i="25"/>
  <c r="Z750" i="25"/>
  <c r="X750" i="25"/>
  <c r="V750" i="25"/>
  <c r="T750" i="25"/>
  <c r="R750" i="25"/>
  <c r="P750" i="25"/>
  <c r="N750" i="25"/>
  <c r="L750" i="25"/>
  <c r="J750" i="25"/>
  <c r="AB731" i="25"/>
  <c r="Z731" i="25"/>
  <c r="X731" i="25"/>
  <c r="V731" i="25"/>
  <c r="T731" i="25"/>
  <c r="R731" i="25"/>
  <c r="P731" i="25"/>
  <c r="N731" i="25"/>
  <c r="L731" i="25"/>
  <c r="J731" i="25"/>
  <c r="AB712" i="25"/>
  <c r="Z712" i="25"/>
  <c r="X712" i="25"/>
  <c r="V712" i="25"/>
  <c r="T712" i="25"/>
  <c r="R712" i="25"/>
  <c r="P712" i="25"/>
  <c r="N712" i="25"/>
  <c r="L712" i="25"/>
  <c r="J712" i="25"/>
  <c r="AB693" i="25"/>
  <c r="Z693" i="25"/>
  <c r="X693" i="25"/>
  <c r="V693" i="25"/>
  <c r="T693" i="25"/>
  <c r="R693" i="25"/>
  <c r="P693" i="25"/>
  <c r="N693" i="25"/>
  <c r="L693" i="25"/>
  <c r="J693" i="25"/>
  <c r="AB674" i="25"/>
  <c r="Z674" i="25"/>
  <c r="X674" i="25"/>
  <c r="V674" i="25"/>
  <c r="T674" i="25"/>
  <c r="R674" i="25"/>
  <c r="P674" i="25"/>
  <c r="N674" i="25"/>
  <c r="L674" i="25"/>
  <c r="J674" i="25"/>
  <c r="AB655" i="25"/>
  <c r="Z655" i="25"/>
  <c r="X655" i="25"/>
  <c r="V655" i="25"/>
  <c r="T655" i="25"/>
  <c r="R655" i="25"/>
  <c r="P655" i="25"/>
  <c r="N655" i="25"/>
  <c r="L655" i="25"/>
  <c r="J655" i="25"/>
  <c r="AB636" i="25"/>
  <c r="Z636" i="25"/>
  <c r="X636" i="25"/>
  <c r="V636" i="25"/>
  <c r="T636" i="25"/>
  <c r="R636" i="25"/>
  <c r="P636" i="25"/>
  <c r="N636" i="25"/>
  <c r="L636" i="25"/>
  <c r="J636" i="25"/>
  <c r="AB617" i="25"/>
  <c r="Z617" i="25"/>
  <c r="X617" i="25"/>
  <c r="V617" i="25"/>
  <c r="T617" i="25"/>
  <c r="R617" i="25"/>
  <c r="P617" i="25"/>
  <c r="N617" i="25"/>
  <c r="L617" i="25"/>
  <c r="J617" i="25"/>
  <c r="AB598" i="25"/>
  <c r="Z598" i="25"/>
  <c r="X598" i="25"/>
  <c r="V598" i="25"/>
  <c r="T598" i="25"/>
  <c r="R598" i="25"/>
  <c r="P598" i="25"/>
  <c r="N598" i="25"/>
  <c r="L598" i="25"/>
  <c r="J598" i="25"/>
  <c r="AB579" i="25"/>
  <c r="Z579" i="25"/>
  <c r="X579" i="25"/>
  <c r="V579" i="25"/>
  <c r="T579" i="25"/>
  <c r="R579" i="25"/>
  <c r="P579" i="25"/>
  <c r="N579" i="25"/>
  <c r="L579" i="25"/>
  <c r="J579" i="25"/>
  <c r="AB560" i="25"/>
  <c r="Z560" i="25"/>
  <c r="X560" i="25"/>
  <c r="V560" i="25"/>
  <c r="T560" i="25"/>
  <c r="R560" i="25"/>
  <c r="P560" i="25"/>
  <c r="N560" i="25"/>
  <c r="L560" i="25"/>
  <c r="J560" i="25"/>
  <c r="AB541" i="25"/>
  <c r="Z541" i="25"/>
  <c r="X541" i="25"/>
  <c r="V541" i="25"/>
  <c r="T541" i="25"/>
  <c r="R541" i="25"/>
  <c r="P541" i="25"/>
  <c r="N541" i="25"/>
  <c r="L541" i="25"/>
  <c r="J541" i="25"/>
  <c r="AB522" i="25"/>
  <c r="Z522" i="25"/>
  <c r="X522" i="25"/>
  <c r="V522" i="25"/>
  <c r="T522" i="25"/>
  <c r="R522" i="25"/>
  <c r="P522" i="25"/>
  <c r="N522" i="25"/>
  <c r="L522" i="25"/>
  <c r="J522" i="25"/>
  <c r="AB503" i="25"/>
  <c r="Z503" i="25"/>
  <c r="X503" i="25"/>
  <c r="V503" i="25"/>
  <c r="T503" i="25"/>
  <c r="R503" i="25"/>
  <c r="P503" i="25"/>
  <c r="N503" i="25"/>
  <c r="L503" i="25"/>
  <c r="J503" i="25"/>
  <c r="AB484" i="25"/>
  <c r="Z484" i="25"/>
  <c r="X484" i="25"/>
  <c r="V484" i="25"/>
  <c r="T484" i="25"/>
  <c r="R484" i="25"/>
  <c r="P484" i="25"/>
  <c r="N484" i="25"/>
  <c r="L484" i="25"/>
  <c r="J484" i="25"/>
  <c r="AB465" i="25"/>
  <c r="Z465" i="25"/>
  <c r="X465" i="25"/>
  <c r="V465" i="25"/>
  <c r="T465" i="25"/>
  <c r="R465" i="25"/>
  <c r="P465" i="25"/>
  <c r="N465" i="25"/>
  <c r="L465" i="25"/>
  <c r="J465" i="25"/>
  <c r="AB446" i="25"/>
  <c r="Z446" i="25"/>
  <c r="X446" i="25"/>
  <c r="V446" i="25"/>
  <c r="T446" i="25"/>
  <c r="R446" i="25"/>
  <c r="P446" i="25"/>
  <c r="N446" i="25"/>
  <c r="L446" i="25"/>
  <c r="J446" i="25"/>
  <c r="AB427" i="25"/>
  <c r="Z427" i="25"/>
  <c r="X427" i="25"/>
  <c r="V427" i="25"/>
  <c r="T427" i="25"/>
  <c r="R427" i="25"/>
  <c r="P427" i="25"/>
  <c r="N427" i="25"/>
  <c r="L427" i="25"/>
  <c r="J427" i="25"/>
  <c r="AB408" i="25"/>
  <c r="Z408" i="25"/>
  <c r="X408" i="25"/>
  <c r="V408" i="25"/>
  <c r="T408" i="25"/>
  <c r="R408" i="25"/>
  <c r="P408" i="25"/>
  <c r="N408" i="25"/>
  <c r="L408" i="25"/>
  <c r="J408" i="25"/>
  <c r="AC52" i="2"/>
  <c r="H28" i="5" l="1"/>
  <c r="H27" i="30" s="1"/>
  <c r="P36" i="30"/>
  <c r="P159" i="5"/>
  <c r="P150" i="5"/>
  <c r="P128" i="5"/>
  <c r="P122" i="5"/>
  <c r="P79" i="5"/>
  <c r="P93" i="5"/>
  <c r="P37" i="5"/>
  <c r="AC51" i="2"/>
  <c r="I754" i="25"/>
  <c r="I735" i="25"/>
  <c r="I716" i="25"/>
  <c r="I697" i="25"/>
  <c r="I678" i="25"/>
  <c r="I659" i="25"/>
  <c r="I640" i="25"/>
  <c r="I621" i="25"/>
  <c r="I602" i="25"/>
  <c r="I583" i="25"/>
  <c r="I564" i="25"/>
  <c r="I545" i="25"/>
  <c r="I526" i="25"/>
  <c r="I507" i="25"/>
  <c r="I488" i="25"/>
  <c r="I469" i="25"/>
  <c r="I450" i="25"/>
  <c r="I431" i="25"/>
  <c r="I412" i="25"/>
  <c r="I393" i="25"/>
  <c r="I369" i="25"/>
  <c r="I350" i="25"/>
  <c r="I331" i="25"/>
  <c r="I312" i="25"/>
  <c r="I293" i="25"/>
  <c r="I274" i="25"/>
  <c r="I255" i="25"/>
  <c r="I236" i="25"/>
  <c r="I217" i="25"/>
  <c r="I198" i="25"/>
  <c r="I179" i="25"/>
  <c r="I160" i="25"/>
  <c r="I141" i="25"/>
  <c r="I122" i="25"/>
  <c r="I103" i="25"/>
  <c r="I84" i="25"/>
  <c r="I65" i="25"/>
  <c r="I46" i="25"/>
  <c r="B5" i="2"/>
  <c r="H72" i="2" l="1"/>
  <c r="H64" i="2"/>
  <c r="H56" i="2"/>
  <c r="H63" i="2"/>
  <c r="H71" i="2"/>
  <c r="H70" i="2"/>
  <c r="H62" i="2"/>
  <c r="H54" i="2"/>
  <c r="H69" i="2"/>
  <c r="H61" i="2"/>
  <c r="H53" i="2"/>
  <c r="H68" i="2"/>
  <c r="H60" i="2"/>
  <c r="H59" i="2"/>
  <c r="H66" i="2"/>
  <c r="H65" i="2"/>
  <c r="H55" i="2"/>
  <c r="H67" i="2"/>
  <c r="H58" i="2"/>
  <c r="H57" i="2"/>
  <c r="AB762" i="25"/>
  <c r="Z762" i="25"/>
  <c r="X762" i="25"/>
  <c r="V762" i="25"/>
  <c r="T762" i="25"/>
  <c r="R762" i="25"/>
  <c r="P762" i="25"/>
  <c r="N762" i="25"/>
  <c r="L762" i="25"/>
  <c r="J762" i="25"/>
  <c r="AB743" i="25"/>
  <c r="Z743" i="25"/>
  <c r="X743" i="25"/>
  <c r="V743" i="25"/>
  <c r="T743" i="25"/>
  <c r="R743" i="25"/>
  <c r="P743" i="25"/>
  <c r="N743" i="25"/>
  <c r="L743" i="25"/>
  <c r="J743" i="25"/>
  <c r="AB724" i="25"/>
  <c r="Z724" i="25"/>
  <c r="X724" i="25"/>
  <c r="V724" i="25"/>
  <c r="T724" i="25"/>
  <c r="R724" i="25"/>
  <c r="P724" i="25"/>
  <c r="N724" i="25"/>
  <c r="L724" i="25"/>
  <c r="J724" i="25"/>
  <c r="AB705" i="25"/>
  <c r="Z705" i="25"/>
  <c r="X705" i="25"/>
  <c r="V705" i="25"/>
  <c r="T705" i="25"/>
  <c r="R705" i="25"/>
  <c r="P705" i="25"/>
  <c r="N705" i="25"/>
  <c r="L705" i="25"/>
  <c r="J705" i="25"/>
  <c r="AB686" i="25"/>
  <c r="Z686" i="25"/>
  <c r="X686" i="25"/>
  <c r="V686" i="25"/>
  <c r="T686" i="25"/>
  <c r="R686" i="25"/>
  <c r="P686" i="25"/>
  <c r="N686" i="25"/>
  <c r="L686" i="25"/>
  <c r="J686" i="25"/>
  <c r="AB667" i="25"/>
  <c r="Z667" i="25"/>
  <c r="X667" i="25"/>
  <c r="V667" i="25"/>
  <c r="T667" i="25"/>
  <c r="R667" i="25"/>
  <c r="P667" i="25"/>
  <c r="N667" i="25"/>
  <c r="L667" i="25"/>
  <c r="J667" i="25"/>
  <c r="AB648" i="25"/>
  <c r="Z648" i="25"/>
  <c r="X648" i="25"/>
  <c r="V648" i="25"/>
  <c r="T648" i="25"/>
  <c r="R648" i="25"/>
  <c r="P648" i="25"/>
  <c r="N648" i="25"/>
  <c r="L648" i="25"/>
  <c r="J648" i="25"/>
  <c r="AB629" i="25"/>
  <c r="Z629" i="25"/>
  <c r="X629" i="25"/>
  <c r="V629" i="25"/>
  <c r="T629" i="25"/>
  <c r="R629" i="25"/>
  <c r="P629" i="25"/>
  <c r="N629" i="25"/>
  <c r="L629" i="25"/>
  <c r="J629" i="25"/>
  <c r="AB610" i="25"/>
  <c r="Z610" i="25"/>
  <c r="X610" i="25"/>
  <c r="V610" i="25"/>
  <c r="T610" i="25"/>
  <c r="R610" i="25"/>
  <c r="P610" i="25"/>
  <c r="N610" i="25"/>
  <c r="L610" i="25"/>
  <c r="J610" i="25"/>
  <c r="AB591" i="25"/>
  <c r="Z591" i="25"/>
  <c r="X591" i="25"/>
  <c r="V591" i="25"/>
  <c r="T591" i="25"/>
  <c r="R591" i="25"/>
  <c r="P591" i="25"/>
  <c r="N591" i="25"/>
  <c r="L591" i="25"/>
  <c r="J591" i="25"/>
  <c r="AB572" i="25"/>
  <c r="Z572" i="25"/>
  <c r="X572" i="25"/>
  <c r="V572" i="25"/>
  <c r="T572" i="25"/>
  <c r="R572" i="25"/>
  <c r="P572" i="25"/>
  <c r="N572" i="25"/>
  <c r="L572" i="25"/>
  <c r="J572" i="25"/>
  <c r="AB553" i="25"/>
  <c r="Z553" i="25"/>
  <c r="X553" i="25"/>
  <c r="V553" i="25"/>
  <c r="T553" i="25"/>
  <c r="R553" i="25"/>
  <c r="P553" i="25"/>
  <c r="N553" i="25"/>
  <c r="L553" i="25"/>
  <c r="J553" i="25"/>
  <c r="AB534" i="25"/>
  <c r="Z534" i="25"/>
  <c r="X534" i="25"/>
  <c r="V534" i="25"/>
  <c r="T534" i="25"/>
  <c r="R534" i="25"/>
  <c r="P534" i="25"/>
  <c r="N534" i="25"/>
  <c r="L534" i="25"/>
  <c r="J534" i="25"/>
  <c r="AB515" i="25"/>
  <c r="Z515" i="25"/>
  <c r="X515" i="25"/>
  <c r="V515" i="25"/>
  <c r="T515" i="25"/>
  <c r="R515" i="25"/>
  <c r="P515" i="25"/>
  <c r="N515" i="25"/>
  <c r="L515" i="25"/>
  <c r="J515" i="25"/>
  <c r="AB496" i="25"/>
  <c r="Z496" i="25"/>
  <c r="X496" i="25"/>
  <c r="V496" i="25"/>
  <c r="T496" i="25"/>
  <c r="R496" i="25"/>
  <c r="P496" i="25"/>
  <c r="N496" i="25"/>
  <c r="L496" i="25"/>
  <c r="J496" i="25"/>
  <c r="AB477" i="25"/>
  <c r="Z477" i="25"/>
  <c r="X477" i="25"/>
  <c r="V477" i="25"/>
  <c r="T477" i="25"/>
  <c r="R477" i="25"/>
  <c r="P477" i="25"/>
  <c r="N477" i="25"/>
  <c r="L477" i="25"/>
  <c r="J477" i="25"/>
  <c r="AB458" i="25"/>
  <c r="Z458" i="25"/>
  <c r="X458" i="25"/>
  <c r="V458" i="25"/>
  <c r="T458" i="25"/>
  <c r="R458" i="25"/>
  <c r="P458" i="25"/>
  <c r="N458" i="25"/>
  <c r="L458" i="25"/>
  <c r="J458" i="25"/>
  <c r="AB439" i="25"/>
  <c r="Z439" i="25"/>
  <c r="X439" i="25"/>
  <c r="V439" i="25"/>
  <c r="T439" i="25"/>
  <c r="R439" i="25"/>
  <c r="P439" i="25"/>
  <c r="N439" i="25"/>
  <c r="L439" i="25"/>
  <c r="J439" i="25"/>
  <c r="AB420" i="25"/>
  <c r="Z420" i="25"/>
  <c r="X420" i="25"/>
  <c r="V420" i="25"/>
  <c r="T420" i="25"/>
  <c r="R420" i="25"/>
  <c r="P420" i="25"/>
  <c r="N420" i="25"/>
  <c r="L420" i="25"/>
  <c r="J420" i="25"/>
  <c r="AB401" i="25"/>
  <c r="Z401" i="25"/>
  <c r="X401" i="25"/>
  <c r="V401" i="25"/>
  <c r="T401" i="25"/>
  <c r="R401" i="25"/>
  <c r="P401" i="25"/>
  <c r="N401" i="25"/>
  <c r="L401" i="25"/>
  <c r="J401" i="25"/>
  <c r="AB377" i="25"/>
  <c r="Z377" i="25"/>
  <c r="X377" i="25"/>
  <c r="V377" i="25"/>
  <c r="T377" i="25"/>
  <c r="R377" i="25"/>
  <c r="P377" i="25"/>
  <c r="N377" i="25"/>
  <c r="L377" i="25"/>
  <c r="J377" i="25"/>
  <c r="AB358" i="25"/>
  <c r="Z358" i="25"/>
  <c r="X358" i="25"/>
  <c r="V358" i="25"/>
  <c r="T358" i="25"/>
  <c r="R358" i="25"/>
  <c r="P358" i="25"/>
  <c r="N358" i="25"/>
  <c r="L358" i="25"/>
  <c r="J358" i="25"/>
  <c r="AB339" i="25"/>
  <c r="Z339" i="25"/>
  <c r="X339" i="25"/>
  <c r="V339" i="25"/>
  <c r="T339" i="25"/>
  <c r="R339" i="25"/>
  <c r="P339" i="25"/>
  <c r="N339" i="25"/>
  <c r="L339" i="25"/>
  <c r="J339" i="25"/>
  <c r="AB320" i="25"/>
  <c r="Z320" i="25"/>
  <c r="X320" i="25"/>
  <c r="V320" i="25"/>
  <c r="T320" i="25"/>
  <c r="R320" i="25"/>
  <c r="P320" i="25"/>
  <c r="N320" i="25"/>
  <c r="L320" i="25"/>
  <c r="J320" i="25"/>
  <c r="AB301" i="25"/>
  <c r="Z301" i="25"/>
  <c r="X301" i="25"/>
  <c r="V301" i="25"/>
  <c r="T301" i="25"/>
  <c r="R301" i="25"/>
  <c r="P301" i="25"/>
  <c r="N301" i="25"/>
  <c r="L301" i="25"/>
  <c r="J301" i="25"/>
  <c r="AB282" i="25"/>
  <c r="Z282" i="25"/>
  <c r="X282" i="25"/>
  <c r="V282" i="25"/>
  <c r="T282" i="25"/>
  <c r="R282" i="25"/>
  <c r="P282" i="25"/>
  <c r="N282" i="25"/>
  <c r="L282" i="25"/>
  <c r="J282" i="25"/>
  <c r="AB263" i="25"/>
  <c r="Z263" i="25"/>
  <c r="X263" i="25"/>
  <c r="V263" i="25"/>
  <c r="T263" i="25"/>
  <c r="R263" i="25"/>
  <c r="P263" i="25"/>
  <c r="N263" i="25"/>
  <c r="L263" i="25"/>
  <c r="J263" i="25"/>
  <c r="AB244" i="25"/>
  <c r="Z244" i="25"/>
  <c r="X244" i="25"/>
  <c r="V244" i="25"/>
  <c r="T244" i="25"/>
  <c r="R244" i="25"/>
  <c r="P244" i="25"/>
  <c r="N244" i="25"/>
  <c r="L244" i="25"/>
  <c r="J244" i="25"/>
  <c r="AB225" i="25"/>
  <c r="Z225" i="25"/>
  <c r="X225" i="25"/>
  <c r="V225" i="25"/>
  <c r="T225" i="25"/>
  <c r="R225" i="25"/>
  <c r="P225" i="25"/>
  <c r="N225" i="25"/>
  <c r="L225" i="25"/>
  <c r="J225" i="25"/>
  <c r="AB206" i="25"/>
  <c r="Z206" i="25"/>
  <c r="X206" i="25"/>
  <c r="V206" i="25"/>
  <c r="T206" i="25"/>
  <c r="R206" i="25"/>
  <c r="P206" i="25"/>
  <c r="N206" i="25"/>
  <c r="L206" i="25"/>
  <c r="J206" i="25"/>
  <c r="AB187" i="25"/>
  <c r="Z187" i="25"/>
  <c r="X187" i="25"/>
  <c r="V187" i="25"/>
  <c r="T187" i="25"/>
  <c r="R187" i="25"/>
  <c r="P187" i="25"/>
  <c r="N187" i="25"/>
  <c r="L187" i="25"/>
  <c r="J187" i="25"/>
  <c r="AB168" i="25"/>
  <c r="Z168" i="25"/>
  <c r="X168" i="25"/>
  <c r="V168" i="25"/>
  <c r="T168" i="25"/>
  <c r="R168" i="25"/>
  <c r="P168" i="25"/>
  <c r="N168" i="25"/>
  <c r="L168" i="25"/>
  <c r="J168" i="25"/>
  <c r="AB149" i="25"/>
  <c r="Z149" i="25"/>
  <c r="X149" i="25"/>
  <c r="V149" i="25"/>
  <c r="T149" i="25"/>
  <c r="R149" i="25"/>
  <c r="P149" i="25"/>
  <c r="N149" i="25"/>
  <c r="L149" i="25"/>
  <c r="J149" i="25"/>
  <c r="AB130" i="25"/>
  <c r="Z130" i="25"/>
  <c r="X130" i="25"/>
  <c r="V130" i="25"/>
  <c r="T130" i="25"/>
  <c r="R130" i="25"/>
  <c r="P130" i="25"/>
  <c r="N130" i="25"/>
  <c r="L130" i="25"/>
  <c r="J130" i="25"/>
  <c r="AB111" i="25"/>
  <c r="Z111" i="25"/>
  <c r="X111" i="25"/>
  <c r="V111" i="25"/>
  <c r="T111" i="25"/>
  <c r="R111" i="25"/>
  <c r="P111" i="25"/>
  <c r="N111" i="25"/>
  <c r="L111" i="25"/>
  <c r="J111" i="25"/>
  <c r="AB92" i="25"/>
  <c r="Z92" i="25"/>
  <c r="X92" i="25"/>
  <c r="V92" i="25"/>
  <c r="T92" i="25"/>
  <c r="R92" i="25"/>
  <c r="P92" i="25"/>
  <c r="N92" i="25"/>
  <c r="L92" i="25"/>
  <c r="J92" i="25"/>
  <c r="AB73" i="25"/>
  <c r="Z73" i="25"/>
  <c r="X73" i="25"/>
  <c r="V73" i="25"/>
  <c r="T73" i="25"/>
  <c r="R73" i="25"/>
  <c r="P73" i="25"/>
  <c r="N73" i="25"/>
  <c r="L73" i="25"/>
  <c r="J73" i="25"/>
  <c r="AB54" i="25"/>
  <c r="Z54" i="25"/>
  <c r="X54" i="25"/>
  <c r="V54" i="25"/>
  <c r="T54" i="25"/>
  <c r="R54" i="25"/>
  <c r="P54" i="25"/>
  <c r="N54" i="25"/>
  <c r="L54" i="25"/>
  <c r="J54" i="25"/>
  <c r="AB35" i="25"/>
  <c r="Z35" i="25"/>
  <c r="X35" i="25"/>
  <c r="V35" i="25"/>
  <c r="T35" i="25"/>
  <c r="R35" i="25"/>
  <c r="P35" i="25"/>
  <c r="N35" i="25"/>
  <c r="L35" i="25"/>
  <c r="J35" i="25"/>
  <c r="B78" i="5" l="1"/>
  <c r="AB16" i="25"/>
  <c r="Z16" i="25"/>
  <c r="X16" i="25"/>
  <c r="V16" i="25"/>
  <c r="T16" i="25"/>
  <c r="R16" i="25"/>
  <c r="P16" i="25"/>
  <c r="N16" i="25"/>
  <c r="L16" i="25"/>
  <c r="J4" i="25"/>
  <c r="J16" i="25"/>
  <c r="Z308" i="25" l="1"/>
  <c r="R118" i="25"/>
  <c r="X42" i="25"/>
  <c r="T194" i="25"/>
  <c r="N289" i="25"/>
  <c r="T42" i="25"/>
  <c r="R194" i="25"/>
  <c r="R270" i="25"/>
  <c r="J80" i="25"/>
  <c r="T23" i="25"/>
  <c r="J156" i="25"/>
  <c r="N175" i="25"/>
  <c r="Z194" i="25"/>
  <c r="J308" i="25"/>
  <c r="Z23" i="25"/>
  <c r="V137" i="25"/>
  <c r="L175" i="25"/>
  <c r="X118" i="25"/>
  <c r="R23" i="25"/>
  <c r="L61" i="25"/>
  <c r="P80" i="25"/>
  <c r="V99" i="25"/>
  <c r="Z118" i="25"/>
  <c r="L156" i="25"/>
  <c r="T175" i="25"/>
  <c r="AB384" i="25"/>
  <c r="L384" i="25"/>
  <c r="P365" i="25"/>
  <c r="X327" i="25"/>
  <c r="AB308" i="25"/>
  <c r="L308" i="25"/>
  <c r="P289" i="25"/>
  <c r="T270" i="25"/>
  <c r="X251" i="25"/>
  <c r="AB232" i="25"/>
  <c r="L232" i="25"/>
  <c r="Z384" i="25"/>
  <c r="X384" i="25"/>
  <c r="AB365" i="25"/>
  <c r="L365" i="25"/>
  <c r="P346" i="25"/>
  <c r="T327" i="25"/>
  <c r="X308" i="25"/>
  <c r="AB289" i="25"/>
  <c r="L289" i="25"/>
  <c r="P270" i="25"/>
  <c r="T251" i="25"/>
  <c r="X232" i="25"/>
  <c r="AB213" i="25"/>
  <c r="L213" i="25"/>
  <c r="V384" i="25"/>
  <c r="Z365" i="25"/>
  <c r="J365" i="25"/>
  <c r="N346" i="25"/>
  <c r="R327" i="25"/>
  <c r="V308" i="25"/>
  <c r="Z289" i="25"/>
  <c r="J289" i="25"/>
  <c r="N270" i="25"/>
  <c r="R251" i="25"/>
  <c r="V232" i="25"/>
  <c r="Z213" i="25"/>
  <c r="J213" i="25"/>
  <c r="N194" i="25"/>
  <c r="R175" i="25"/>
  <c r="V156" i="25"/>
  <c r="Z137" i="25"/>
  <c r="J137" i="25"/>
  <c r="N118" i="25"/>
  <c r="R99" i="25"/>
  <c r="V80" i="25"/>
  <c r="Z61" i="25"/>
  <c r="J61" i="25"/>
  <c r="N42" i="25"/>
  <c r="X23" i="25"/>
  <c r="X365" i="25"/>
  <c r="AB346" i="25"/>
  <c r="L346" i="25"/>
  <c r="P327" i="25"/>
  <c r="T308" i="25"/>
  <c r="X289" i="25"/>
  <c r="AB270" i="25"/>
  <c r="L270" i="25"/>
  <c r="T232" i="25"/>
  <c r="X213" i="25"/>
  <c r="AB194" i="25"/>
  <c r="P175" i="25"/>
  <c r="X137" i="25"/>
  <c r="AB118" i="25"/>
  <c r="P99" i="25"/>
  <c r="X61" i="25"/>
  <c r="AB42" i="25"/>
  <c r="T384" i="25"/>
  <c r="P251" i="25"/>
  <c r="L194" i="25"/>
  <c r="T156" i="25"/>
  <c r="L118" i="25"/>
  <c r="T80" i="25"/>
  <c r="L42" i="25"/>
  <c r="R384" i="25"/>
  <c r="V365" i="25"/>
  <c r="Z346" i="25"/>
  <c r="J346" i="25"/>
  <c r="N327" i="25"/>
  <c r="R308" i="25"/>
  <c r="V289" i="25"/>
  <c r="Z270" i="25"/>
  <c r="J270" i="25"/>
  <c r="N251" i="25"/>
  <c r="R232" i="25"/>
  <c r="V213" i="25"/>
  <c r="P384" i="25"/>
  <c r="T365" i="25"/>
  <c r="X346" i="25"/>
  <c r="AB327" i="25"/>
  <c r="L327" i="25"/>
  <c r="P308" i="25"/>
  <c r="T289" i="25"/>
  <c r="X270" i="25"/>
  <c r="AB251" i="25"/>
  <c r="L251" i="25"/>
  <c r="P232" i="25"/>
  <c r="T213" i="25"/>
  <c r="X194" i="25"/>
  <c r="AB175" i="25"/>
  <c r="N384" i="25"/>
  <c r="R365" i="25"/>
  <c r="V346" i="25"/>
  <c r="Z327" i="25"/>
  <c r="J327" i="25"/>
  <c r="N308" i="25"/>
  <c r="R289" i="25"/>
  <c r="V270" i="25"/>
  <c r="Z251" i="25"/>
  <c r="J251" i="25"/>
  <c r="N232" i="25"/>
  <c r="R213" i="25"/>
  <c r="V194" i="25"/>
  <c r="Z175" i="25"/>
  <c r="J175" i="25"/>
  <c r="N156" i="25"/>
  <c r="R137" i="25"/>
  <c r="V118" i="25"/>
  <c r="Z99" i="25"/>
  <c r="J99" i="25"/>
  <c r="N80" i="25"/>
  <c r="R61" i="25"/>
  <c r="V42" i="25"/>
  <c r="P23" i="25"/>
  <c r="T346" i="25"/>
  <c r="P213" i="25"/>
  <c r="N23" i="25"/>
  <c r="N61" i="25"/>
  <c r="R80" i="25"/>
  <c r="X99" i="25"/>
  <c r="L137" i="25"/>
  <c r="P156" i="25"/>
  <c r="V175" i="25"/>
  <c r="N213" i="25"/>
  <c r="V327" i="25"/>
  <c r="AB156" i="25"/>
  <c r="T118" i="25"/>
  <c r="L80" i="25"/>
  <c r="J42" i="25"/>
  <c r="P61" i="25"/>
  <c r="X80" i="25"/>
  <c r="AB99" i="25"/>
  <c r="N137" i="25"/>
  <c r="R156" i="25"/>
  <c r="X175" i="25"/>
  <c r="J232" i="25"/>
  <c r="R346" i="25"/>
  <c r="L99" i="25"/>
  <c r="V23" i="25"/>
  <c r="AB137" i="25"/>
  <c r="T99" i="25"/>
  <c r="P42" i="25"/>
  <c r="T61" i="25"/>
  <c r="Z80" i="25"/>
  <c r="J118" i="25"/>
  <c r="P137" i="25"/>
  <c r="X156" i="25"/>
  <c r="J194" i="25"/>
  <c r="Z232" i="25"/>
  <c r="N365" i="25"/>
  <c r="AB61" i="25"/>
  <c r="N99" i="25"/>
  <c r="Z42" i="25"/>
  <c r="AB23" i="25"/>
  <c r="R42" i="25"/>
  <c r="V61" i="25"/>
  <c r="AB80" i="25"/>
  <c r="P118" i="25"/>
  <c r="T137" i="25"/>
  <c r="Z156" i="25"/>
  <c r="P194" i="25"/>
  <c r="V251" i="25"/>
  <c r="J384" i="25"/>
  <c r="O87" i="30" l="1"/>
  <c r="L87" i="30"/>
  <c r="M87" i="30"/>
  <c r="I87" i="30"/>
  <c r="J87" i="30"/>
  <c r="K87" i="30"/>
  <c r="N87" i="30"/>
  <c r="G87" i="30"/>
  <c r="H87" i="30"/>
  <c r="P114" i="5"/>
  <c r="AB754" i="25"/>
  <c r="Z754" i="25"/>
  <c r="X754" i="25"/>
  <c r="V754" i="25"/>
  <c r="T754" i="25"/>
  <c r="R754" i="25"/>
  <c r="P754" i="25"/>
  <c r="N754" i="25"/>
  <c r="L754" i="25"/>
  <c r="J754" i="25"/>
  <c r="AB735" i="25"/>
  <c r="Z735" i="25"/>
  <c r="X735" i="25"/>
  <c r="V735" i="25"/>
  <c r="T735" i="25"/>
  <c r="R735" i="25"/>
  <c r="P735" i="25"/>
  <c r="N735" i="25"/>
  <c r="L735" i="25"/>
  <c r="J735" i="25"/>
  <c r="AB716" i="25"/>
  <c r="Z716" i="25"/>
  <c r="X716" i="25"/>
  <c r="V716" i="25"/>
  <c r="T716" i="25"/>
  <c r="R716" i="25"/>
  <c r="P716" i="25"/>
  <c r="N716" i="25"/>
  <c r="L716" i="25"/>
  <c r="J716" i="25"/>
  <c r="AB697" i="25"/>
  <c r="Z697" i="25"/>
  <c r="X697" i="25"/>
  <c r="V697" i="25"/>
  <c r="T697" i="25"/>
  <c r="R697" i="25"/>
  <c r="P697" i="25"/>
  <c r="N697" i="25"/>
  <c r="L697" i="25"/>
  <c r="J697" i="25"/>
  <c r="AB678" i="25"/>
  <c r="Z678" i="25"/>
  <c r="X678" i="25"/>
  <c r="V678" i="25"/>
  <c r="T678" i="25"/>
  <c r="R678" i="25"/>
  <c r="P678" i="25"/>
  <c r="N678" i="25"/>
  <c r="L678" i="25"/>
  <c r="J678" i="25"/>
  <c r="AB659" i="25"/>
  <c r="Z659" i="25"/>
  <c r="X659" i="25"/>
  <c r="V659" i="25"/>
  <c r="T659" i="25"/>
  <c r="R659" i="25"/>
  <c r="P659" i="25"/>
  <c r="N659" i="25"/>
  <c r="L659" i="25"/>
  <c r="J659" i="25"/>
  <c r="AB640" i="25"/>
  <c r="Z640" i="25"/>
  <c r="X640" i="25"/>
  <c r="V640" i="25"/>
  <c r="T640" i="25"/>
  <c r="R640" i="25"/>
  <c r="P640" i="25"/>
  <c r="N640" i="25"/>
  <c r="L640" i="25"/>
  <c r="J640" i="25"/>
  <c r="AB621" i="25"/>
  <c r="Z621" i="25"/>
  <c r="X621" i="25"/>
  <c r="V621" i="25"/>
  <c r="T621" i="25"/>
  <c r="R621" i="25"/>
  <c r="P621" i="25"/>
  <c r="N621" i="25"/>
  <c r="L621" i="25"/>
  <c r="J621" i="25"/>
  <c r="AB602" i="25"/>
  <c r="Z602" i="25"/>
  <c r="X602" i="25"/>
  <c r="V602" i="25"/>
  <c r="T602" i="25"/>
  <c r="R602" i="25"/>
  <c r="P602" i="25"/>
  <c r="N602" i="25"/>
  <c r="L602" i="25"/>
  <c r="J602" i="25"/>
  <c r="AB583" i="25"/>
  <c r="Z583" i="25"/>
  <c r="X583" i="25"/>
  <c r="V583" i="25"/>
  <c r="T583" i="25"/>
  <c r="R583" i="25"/>
  <c r="P583" i="25"/>
  <c r="N583" i="25"/>
  <c r="L583" i="25"/>
  <c r="J583" i="25"/>
  <c r="AB564" i="25"/>
  <c r="Z564" i="25"/>
  <c r="X564" i="25"/>
  <c r="V564" i="25"/>
  <c r="T564" i="25"/>
  <c r="R564" i="25"/>
  <c r="P564" i="25"/>
  <c r="N564" i="25"/>
  <c r="L564" i="25"/>
  <c r="J564" i="25"/>
  <c r="AB545" i="25"/>
  <c r="Z545" i="25"/>
  <c r="X545" i="25"/>
  <c r="V545" i="25"/>
  <c r="T545" i="25"/>
  <c r="R545" i="25"/>
  <c r="P545" i="25"/>
  <c r="N545" i="25"/>
  <c r="L545" i="25"/>
  <c r="J545" i="25"/>
  <c r="AB526" i="25"/>
  <c r="Z526" i="25"/>
  <c r="X526" i="25"/>
  <c r="V526" i="25"/>
  <c r="T526" i="25"/>
  <c r="R526" i="25"/>
  <c r="P526" i="25"/>
  <c r="N526" i="25"/>
  <c r="L526" i="25"/>
  <c r="J526" i="25"/>
  <c r="AB507" i="25"/>
  <c r="Z507" i="25"/>
  <c r="X507" i="25"/>
  <c r="V507" i="25"/>
  <c r="T507" i="25"/>
  <c r="R507" i="25"/>
  <c r="P507" i="25"/>
  <c r="N507" i="25"/>
  <c r="L507" i="25"/>
  <c r="J507" i="25"/>
  <c r="AB488" i="25"/>
  <c r="Z488" i="25"/>
  <c r="X488" i="25"/>
  <c r="V488" i="25"/>
  <c r="T488" i="25"/>
  <c r="R488" i="25"/>
  <c r="P488" i="25"/>
  <c r="N488" i="25"/>
  <c r="L488" i="25"/>
  <c r="J488" i="25"/>
  <c r="AB469" i="25"/>
  <c r="Z469" i="25"/>
  <c r="X469" i="25"/>
  <c r="V469" i="25"/>
  <c r="T469" i="25"/>
  <c r="R469" i="25"/>
  <c r="P469" i="25"/>
  <c r="N469" i="25"/>
  <c r="L469" i="25"/>
  <c r="J469" i="25"/>
  <c r="AB450" i="25"/>
  <c r="Z450" i="25"/>
  <c r="X450" i="25"/>
  <c r="V450" i="25"/>
  <c r="T450" i="25"/>
  <c r="R450" i="25"/>
  <c r="P450" i="25"/>
  <c r="N450" i="25"/>
  <c r="L450" i="25"/>
  <c r="J450" i="25"/>
  <c r="AB431" i="25"/>
  <c r="Z431" i="25"/>
  <c r="X431" i="25"/>
  <c r="V431" i="25"/>
  <c r="T431" i="25"/>
  <c r="R431" i="25"/>
  <c r="P431" i="25"/>
  <c r="N431" i="25"/>
  <c r="L431" i="25"/>
  <c r="J431" i="25"/>
  <c r="AB412" i="25"/>
  <c r="Z412" i="25"/>
  <c r="X412" i="25"/>
  <c r="V412" i="25"/>
  <c r="T412" i="25"/>
  <c r="R412" i="25"/>
  <c r="P412" i="25"/>
  <c r="N412" i="25"/>
  <c r="L412" i="25"/>
  <c r="J412" i="25"/>
  <c r="AB393" i="25"/>
  <c r="Z393" i="25"/>
  <c r="X393" i="25"/>
  <c r="V393" i="25"/>
  <c r="T393" i="25"/>
  <c r="R393" i="25"/>
  <c r="P393" i="25"/>
  <c r="N393" i="25"/>
  <c r="L393" i="25"/>
  <c r="J393" i="25"/>
  <c r="AB369" i="25"/>
  <c r="Z369" i="25"/>
  <c r="X369" i="25"/>
  <c r="V369" i="25"/>
  <c r="T369" i="25"/>
  <c r="R369" i="25"/>
  <c r="P369" i="25"/>
  <c r="N369" i="25"/>
  <c r="L369" i="25"/>
  <c r="J369" i="25"/>
  <c r="AB350" i="25"/>
  <c r="Z350" i="25"/>
  <c r="X350" i="25"/>
  <c r="V350" i="25"/>
  <c r="T350" i="25"/>
  <c r="R350" i="25"/>
  <c r="P350" i="25"/>
  <c r="N350" i="25"/>
  <c r="L350" i="25"/>
  <c r="J350" i="25"/>
  <c r="AB331" i="25"/>
  <c r="Z331" i="25"/>
  <c r="X331" i="25"/>
  <c r="V331" i="25"/>
  <c r="T331" i="25"/>
  <c r="R331" i="25"/>
  <c r="P331" i="25"/>
  <c r="N331" i="25"/>
  <c r="L331" i="25"/>
  <c r="J331" i="25"/>
  <c r="AB312" i="25"/>
  <c r="Z312" i="25"/>
  <c r="X312" i="25"/>
  <c r="V312" i="25"/>
  <c r="T312" i="25"/>
  <c r="R312" i="25"/>
  <c r="P312" i="25"/>
  <c r="N312" i="25"/>
  <c r="L312" i="25"/>
  <c r="J312" i="25"/>
  <c r="AB293" i="25"/>
  <c r="Z293" i="25"/>
  <c r="X293" i="25"/>
  <c r="V293" i="25"/>
  <c r="T293" i="25"/>
  <c r="R293" i="25"/>
  <c r="P293" i="25"/>
  <c r="N293" i="25"/>
  <c r="L293" i="25"/>
  <c r="J293" i="25"/>
  <c r="AB274" i="25"/>
  <c r="Z274" i="25"/>
  <c r="X274" i="25"/>
  <c r="V274" i="25"/>
  <c r="T274" i="25"/>
  <c r="R274" i="25"/>
  <c r="P274" i="25"/>
  <c r="N274" i="25"/>
  <c r="L274" i="25"/>
  <c r="J274" i="25"/>
  <c r="AB255" i="25"/>
  <c r="Z255" i="25"/>
  <c r="X255" i="25"/>
  <c r="V255" i="25"/>
  <c r="T255" i="25"/>
  <c r="R255" i="25"/>
  <c r="P255" i="25"/>
  <c r="N255" i="25"/>
  <c r="L255" i="25"/>
  <c r="J255" i="25"/>
  <c r="AB236" i="25"/>
  <c r="Z236" i="25"/>
  <c r="X236" i="25"/>
  <c r="V236" i="25"/>
  <c r="T236" i="25"/>
  <c r="R236" i="25"/>
  <c r="P236" i="25"/>
  <c r="N236" i="25"/>
  <c r="L236" i="25"/>
  <c r="J236" i="25"/>
  <c r="AB217" i="25"/>
  <c r="Z217" i="25"/>
  <c r="X217" i="25"/>
  <c r="V217" i="25"/>
  <c r="T217" i="25"/>
  <c r="R217" i="25"/>
  <c r="P217" i="25"/>
  <c r="N217" i="25"/>
  <c r="L217" i="25"/>
  <c r="J217" i="25"/>
  <c r="AB198" i="25"/>
  <c r="Z198" i="25"/>
  <c r="X198" i="25"/>
  <c r="V198" i="25"/>
  <c r="T198" i="25"/>
  <c r="R198" i="25"/>
  <c r="P198" i="25"/>
  <c r="N198" i="25"/>
  <c r="L198" i="25"/>
  <c r="J198" i="25"/>
  <c r="AB179" i="25"/>
  <c r="Z179" i="25"/>
  <c r="X179" i="25"/>
  <c r="V179" i="25"/>
  <c r="T179" i="25"/>
  <c r="R179" i="25"/>
  <c r="P179" i="25"/>
  <c r="N179" i="25"/>
  <c r="L179" i="25"/>
  <c r="J179" i="25"/>
  <c r="AB160" i="25"/>
  <c r="Z160" i="25"/>
  <c r="X160" i="25"/>
  <c r="V160" i="25"/>
  <c r="T160" i="25"/>
  <c r="R160" i="25"/>
  <c r="P160" i="25"/>
  <c r="N160" i="25"/>
  <c r="L160" i="25"/>
  <c r="J160" i="25"/>
  <c r="AB141" i="25"/>
  <c r="Z141" i="25"/>
  <c r="X141" i="25"/>
  <c r="V141" i="25"/>
  <c r="T141" i="25"/>
  <c r="R141" i="25"/>
  <c r="P141" i="25"/>
  <c r="N141" i="25"/>
  <c r="L141" i="25"/>
  <c r="J141" i="25"/>
  <c r="AB122" i="25"/>
  <c r="Z122" i="25"/>
  <c r="X122" i="25"/>
  <c r="V122" i="25"/>
  <c r="T122" i="25"/>
  <c r="R122" i="25"/>
  <c r="P122" i="25"/>
  <c r="N122" i="25"/>
  <c r="L122" i="25"/>
  <c r="J122" i="25"/>
  <c r="AB103" i="25"/>
  <c r="Z103" i="25"/>
  <c r="X103" i="25"/>
  <c r="V103" i="25"/>
  <c r="T103" i="25"/>
  <c r="R103" i="25"/>
  <c r="P103" i="25"/>
  <c r="N103" i="25"/>
  <c r="L103" i="25"/>
  <c r="J103" i="25"/>
  <c r="AB84" i="25"/>
  <c r="Z84" i="25"/>
  <c r="X84" i="25"/>
  <c r="V84" i="25"/>
  <c r="T84" i="25"/>
  <c r="R84" i="25"/>
  <c r="P84" i="25"/>
  <c r="N84" i="25"/>
  <c r="L84" i="25"/>
  <c r="J84" i="25"/>
  <c r="AB65" i="25"/>
  <c r="Z65" i="25"/>
  <c r="X65" i="25"/>
  <c r="V65" i="25"/>
  <c r="T65" i="25"/>
  <c r="R65" i="25"/>
  <c r="P65" i="25"/>
  <c r="N65" i="25"/>
  <c r="L65" i="25"/>
  <c r="J65" i="25"/>
  <c r="AB46" i="25"/>
  <c r="Z46" i="25"/>
  <c r="X46" i="25"/>
  <c r="V46" i="25"/>
  <c r="T46" i="25"/>
  <c r="R46" i="25"/>
  <c r="P46" i="25"/>
  <c r="N46" i="25"/>
  <c r="L46" i="25"/>
  <c r="J46" i="25"/>
  <c r="AB27" i="25"/>
  <c r="Z27" i="25"/>
  <c r="X27" i="25"/>
  <c r="V27" i="25"/>
  <c r="T27" i="25"/>
  <c r="R27" i="25"/>
  <c r="P27" i="25"/>
  <c r="N27" i="25"/>
  <c r="L27" i="25"/>
  <c r="G753" i="25"/>
  <c r="F753" i="25"/>
  <c r="E753" i="25"/>
  <c r="D753" i="25"/>
  <c r="C753" i="25"/>
  <c r="B753" i="25"/>
  <c r="G734" i="25"/>
  <c r="F734" i="25"/>
  <c r="E734" i="25"/>
  <c r="D734" i="25"/>
  <c r="P741" i="25" s="1"/>
  <c r="C734" i="25"/>
  <c r="B734" i="25"/>
  <c r="G715" i="25"/>
  <c r="F715" i="25"/>
  <c r="E715" i="25"/>
  <c r="D715" i="25"/>
  <c r="T717" i="25" s="1"/>
  <c r="C715" i="25"/>
  <c r="B715" i="25"/>
  <c r="G696" i="25"/>
  <c r="F696" i="25"/>
  <c r="E696" i="25"/>
  <c r="D696" i="25"/>
  <c r="AB698" i="25" s="1"/>
  <c r="C696" i="25"/>
  <c r="B696" i="25"/>
  <c r="G677" i="25"/>
  <c r="F677" i="25"/>
  <c r="E677" i="25"/>
  <c r="D677" i="25"/>
  <c r="Z688" i="25" s="1"/>
  <c r="C677" i="25"/>
  <c r="B677" i="25"/>
  <c r="G658" i="25"/>
  <c r="F658" i="25"/>
  <c r="E658" i="25"/>
  <c r="D658" i="25"/>
  <c r="V669" i="25" s="1"/>
  <c r="C658" i="25"/>
  <c r="B658" i="25"/>
  <c r="G639" i="25"/>
  <c r="F639" i="25"/>
  <c r="E639" i="25"/>
  <c r="D639" i="25"/>
  <c r="T650" i="25" s="1"/>
  <c r="C639" i="25"/>
  <c r="B639" i="25"/>
  <c r="G620" i="25"/>
  <c r="F620" i="25"/>
  <c r="E620" i="25"/>
  <c r="D620" i="25"/>
  <c r="Z628" i="25" s="1"/>
  <c r="C620" i="25"/>
  <c r="B620" i="25"/>
  <c r="G601" i="25"/>
  <c r="F601" i="25"/>
  <c r="E601" i="25"/>
  <c r="D601" i="25"/>
  <c r="V603" i="25" s="1"/>
  <c r="C601" i="25"/>
  <c r="B601" i="25"/>
  <c r="G582" i="25"/>
  <c r="F582" i="25"/>
  <c r="E582" i="25"/>
  <c r="D582" i="25"/>
  <c r="Z589" i="25" s="1"/>
  <c r="C582" i="25"/>
  <c r="B582" i="25"/>
  <c r="G563" i="25"/>
  <c r="F563" i="25"/>
  <c r="E563" i="25"/>
  <c r="D563" i="25"/>
  <c r="L565" i="25" s="1"/>
  <c r="C563" i="25"/>
  <c r="B563" i="25"/>
  <c r="G544" i="25"/>
  <c r="F544" i="25"/>
  <c r="E544" i="25"/>
  <c r="D544" i="25"/>
  <c r="V552" i="25" s="1"/>
  <c r="C544" i="25"/>
  <c r="B544" i="25"/>
  <c r="G525" i="25"/>
  <c r="F525" i="25"/>
  <c r="E525" i="25"/>
  <c r="D525" i="25"/>
  <c r="Z532" i="25" s="1"/>
  <c r="C525" i="25"/>
  <c r="B525" i="25"/>
  <c r="G506" i="25"/>
  <c r="F506" i="25"/>
  <c r="E506" i="25"/>
  <c r="D506" i="25"/>
  <c r="T513" i="25" s="1"/>
  <c r="C506" i="25"/>
  <c r="B506" i="25"/>
  <c r="G487" i="25"/>
  <c r="F487" i="25"/>
  <c r="E487" i="25"/>
  <c r="D487" i="25"/>
  <c r="C487" i="25"/>
  <c r="B487" i="25"/>
  <c r="G468" i="25"/>
  <c r="F468" i="25"/>
  <c r="E468" i="25"/>
  <c r="D468" i="25"/>
  <c r="X470" i="25" s="1"/>
  <c r="C468" i="25"/>
  <c r="B468" i="25"/>
  <c r="G449" i="25"/>
  <c r="F449" i="25"/>
  <c r="E449" i="25"/>
  <c r="D449" i="25"/>
  <c r="J460" i="25" s="1"/>
  <c r="C449" i="25"/>
  <c r="B449" i="25"/>
  <c r="G430" i="25"/>
  <c r="F430" i="25"/>
  <c r="E430" i="25"/>
  <c r="D430" i="25"/>
  <c r="Z441" i="25" s="1"/>
  <c r="C430" i="25"/>
  <c r="B430" i="25"/>
  <c r="G411" i="25"/>
  <c r="F411" i="25"/>
  <c r="E411" i="25"/>
  <c r="D411" i="25"/>
  <c r="C411" i="25"/>
  <c r="B411" i="25"/>
  <c r="G392" i="25"/>
  <c r="F392" i="25"/>
  <c r="E392" i="25"/>
  <c r="D392" i="25"/>
  <c r="AB403" i="25" s="1"/>
  <c r="C392" i="25"/>
  <c r="G368" i="25"/>
  <c r="F368" i="25"/>
  <c r="E368" i="25"/>
  <c r="D368" i="25"/>
  <c r="Z379" i="25" s="1"/>
  <c r="C368" i="25"/>
  <c r="B368" i="25"/>
  <c r="G349" i="25"/>
  <c r="F349" i="25"/>
  <c r="E349" i="25"/>
  <c r="D349" i="25"/>
  <c r="AB360" i="25" s="1"/>
  <c r="C349" i="25"/>
  <c r="B349" i="25"/>
  <c r="G330" i="25"/>
  <c r="F330" i="25"/>
  <c r="E330" i="25"/>
  <c r="D330" i="25"/>
  <c r="X337" i="25" s="1"/>
  <c r="C330" i="25"/>
  <c r="B330" i="25"/>
  <c r="G311" i="25"/>
  <c r="F311" i="25"/>
  <c r="E311" i="25"/>
  <c r="D311" i="25"/>
  <c r="L322" i="25" s="1"/>
  <c r="C311" i="25"/>
  <c r="B311" i="25"/>
  <c r="G292" i="25"/>
  <c r="F292" i="25"/>
  <c r="E292" i="25"/>
  <c r="D292" i="25"/>
  <c r="X294" i="25" s="1"/>
  <c r="C292" i="25"/>
  <c r="B292" i="25"/>
  <c r="G273" i="25"/>
  <c r="F273" i="25"/>
  <c r="E273" i="25"/>
  <c r="D273" i="25"/>
  <c r="J284" i="25" s="1"/>
  <c r="C273" i="25"/>
  <c r="B273" i="25"/>
  <c r="G254" i="25"/>
  <c r="F254" i="25"/>
  <c r="E254" i="25"/>
  <c r="D254" i="25"/>
  <c r="T260" i="25" s="1"/>
  <c r="C254" i="25"/>
  <c r="B254" i="25"/>
  <c r="G235" i="25"/>
  <c r="F235" i="25"/>
  <c r="E235" i="25"/>
  <c r="D235" i="25"/>
  <c r="V237" i="25" s="1"/>
  <c r="C235" i="25"/>
  <c r="B235" i="25"/>
  <c r="G216" i="25"/>
  <c r="F216" i="25"/>
  <c r="E216" i="25"/>
  <c r="D216" i="25"/>
  <c r="T227" i="25" s="1"/>
  <c r="C216" i="25"/>
  <c r="B216" i="25"/>
  <c r="G197" i="25"/>
  <c r="F197" i="25"/>
  <c r="E197" i="25"/>
  <c r="D197" i="25"/>
  <c r="J205" i="25" s="1"/>
  <c r="C197" i="25"/>
  <c r="B197" i="25"/>
  <c r="G178" i="25"/>
  <c r="F178" i="25"/>
  <c r="E178" i="25"/>
  <c r="D178" i="25"/>
  <c r="J189" i="25" s="1"/>
  <c r="C178" i="25"/>
  <c r="B178" i="25"/>
  <c r="G159" i="25"/>
  <c r="F159" i="25"/>
  <c r="E159" i="25"/>
  <c r="D159" i="25"/>
  <c r="X167" i="25" s="1"/>
  <c r="C159" i="25"/>
  <c r="B159" i="25"/>
  <c r="G140" i="25"/>
  <c r="F140" i="25"/>
  <c r="E140" i="25"/>
  <c r="D140" i="25"/>
  <c r="R151" i="25" s="1"/>
  <c r="C140" i="25"/>
  <c r="B140" i="25"/>
  <c r="G121" i="25"/>
  <c r="F121" i="25"/>
  <c r="E121" i="25"/>
  <c r="D121" i="25"/>
  <c r="R129" i="25" s="1"/>
  <c r="C121" i="25"/>
  <c r="B121" i="25"/>
  <c r="G102" i="25"/>
  <c r="F102" i="25"/>
  <c r="E102" i="25"/>
  <c r="D102" i="25"/>
  <c r="L113" i="25" s="1"/>
  <c r="C102" i="25"/>
  <c r="B102" i="25"/>
  <c r="G83" i="25"/>
  <c r="F83" i="25"/>
  <c r="E83" i="25"/>
  <c r="D83" i="25"/>
  <c r="Z91" i="25" s="1"/>
  <c r="C83" i="25"/>
  <c r="B83" i="25"/>
  <c r="G64" i="25"/>
  <c r="F64" i="25"/>
  <c r="E64" i="25"/>
  <c r="D64" i="25"/>
  <c r="AB75" i="25" s="1"/>
  <c r="C64" i="25"/>
  <c r="B64" i="25"/>
  <c r="G45" i="25"/>
  <c r="F45" i="25"/>
  <c r="E45" i="25"/>
  <c r="D45" i="25"/>
  <c r="L52" i="25" s="1"/>
  <c r="C45" i="25"/>
  <c r="B45" i="25"/>
  <c r="J27" i="25"/>
  <c r="I27" i="25"/>
  <c r="G26" i="25"/>
  <c r="F26" i="25"/>
  <c r="E26" i="25"/>
  <c r="D26" i="25"/>
  <c r="R37" i="25" s="1"/>
  <c r="C26" i="25"/>
  <c r="B26" i="25"/>
  <c r="V485" i="25"/>
  <c r="AC391" i="25"/>
  <c r="AA391" i="25"/>
  <c r="Y391" i="25"/>
  <c r="W391" i="25"/>
  <c r="U391" i="25"/>
  <c r="S391" i="25"/>
  <c r="Q391" i="25"/>
  <c r="O391" i="25"/>
  <c r="M391" i="25"/>
  <c r="K391" i="25"/>
  <c r="V100" i="25"/>
  <c r="P351" i="25" l="1"/>
  <c r="T351" i="25"/>
  <c r="V32" i="25"/>
  <c r="X33" i="25"/>
  <c r="Z33" i="25"/>
  <c r="P53" i="25"/>
  <c r="AB351" i="25"/>
  <c r="Z37" i="25"/>
  <c r="AB32" i="25"/>
  <c r="AB37" i="25"/>
  <c r="AB33" i="25"/>
  <c r="V28" i="25"/>
  <c r="L34" i="25"/>
  <c r="X199" i="25"/>
  <c r="J631" i="25"/>
  <c r="X203" i="25"/>
  <c r="T28" i="25"/>
  <c r="P199" i="25"/>
  <c r="Z28" i="25"/>
  <c r="T37" i="25"/>
  <c r="AB28" i="25"/>
  <c r="V37" i="25"/>
  <c r="L338" i="25"/>
  <c r="J646" i="25"/>
  <c r="T647" i="25"/>
  <c r="X34" i="25"/>
  <c r="J451" i="25"/>
  <c r="V432" i="25"/>
  <c r="AB740" i="25"/>
  <c r="N437" i="25"/>
  <c r="R441" i="25"/>
  <c r="V90" i="25"/>
  <c r="R437" i="25"/>
  <c r="Z90" i="25"/>
  <c r="X717" i="25"/>
  <c r="T740" i="25"/>
  <c r="T441" i="25"/>
  <c r="L438" i="25"/>
  <c r="V441" i="25"/>
  <c r="J438" i="25"/>
  <c r="T184" i="25"/>
  <c r="Z432" i="25"/>
  <c r="T148" i="25"/>
  <c r="R436" i="25"/>
  <c r="N438" i="25"/>
  <c r="X432" i="25"/>
  <c r="T436" i="25"/>
  <c r="Z438" i="25"/>
  <c r="X476" i="25"/>
  <c r="V436" i="25"/>
  <c r="AB438" i="25"/>
  <c r="J432" i="25"/>
  <c r="P437" i="25"/>
  <c r="AB593" i="25"/>
  <c r="L584" i="25"/>
  <c r="V722" i="25"/>
  <c r="P123" i="25"/>
  <c r="R199" i="25"/>
  <c r="H411" i="25"/>
  <c r="Z129" i="25"/>
  <c r="T275" i="25"/>
  <c r="R284" i="25"/>
  <c r="V279" i="25"/>
  <c r="P726" i="25"/>
  <c r="AB279" i="25"/>
  <c r="Z374" i="25"/>
  <c r="J717" i="25"/>
  <c r="R275" i="25"/>
  <c r="L281" i="25"/>
  <c r="R123" i="25"/>
  <c r="N284" i="25"/>
  <c r="R717" i="25"/>
  <c r="P281" i="25"/>
  <c r="N627" i="25"/>
  <c r="X669" i="25"/>
  <c r="T631" i="25"/>
  <c r="P432" i="25"/>
  <c r="L436" i="25"/>
  <c r="AB436" i="25"/>
  <c r="X437" i="25"/>
  <c r="T438" i="25"/>
  <c r="L441" i="25"/>
  <c r="AB441" i="25"/>
  <c r="P474" i="25"/>
  <c r="AB589" i="25"/>
  <c r="J626" i="25"/>
  <c r="AB628" i="25"/>
  <c r="Z745" i="25"/>
  <c r="V622" i="25"/>
  <c r="Z436" i="25"/>
  <c r="R142" i="25"/>
  <c r="R432" i="25"/>
  <c r="N436" i="25"/>
  <c r="J437" i="25"/>
  <c r="Z437" i="25"/>
  <c r="V438" i="25"/>
  <c r="N441" i="25"/>
  <c r="T475" i="25"/>
  <c r="V590" i="25"/>
  <c r="L626" i="25"/>
  <c r="R438" i="25"/>
  <c r="AB146" i="25"/>
  <c r="X147" i="25"/>
  <c r="R298" i="25"/>
  <c r="J338" i="25"/>
  <c r="T432" i="25"/>
  <c r="P436" i="25"/>
  <c r="L437" i="25"/>
  <c r="AB437" i="25"/>
  <c r="X438" i="25"/>
  <c r="P441" i="25"/>
  <c r="N460" i="25"/>
  <c r="P476" i="25"/>
  <c r="Z626" i="25"/>
  <c r="Z736" i="25"/>
  <c r="V627" i="25"/>
  <c r="T151" i="25"/>
  <c r="AB313" i="25"/>
  <c r="L432" i="25"/>
  <c r="AB432" i="25"/>
  <c r="X436" i="25"/>
  <c r="T437" i="25"/>
  <c r="P438" i="25"/>
  <c r="X441" i="25"/>
  <c r="T455" i="25"/>
  <c r="V470" i="25"/>
  <c r="V584" i="25"/>
  <c r="X622" i="25"/>
  <c r="P628" i="25"/>
  <c r="P627" i="25"/>
  <c r="R455" i="25"/>
  <c r="N432" i="25"/>
  <c r="J436" i="25"/>
  <c r="V437" i="25"/>
  <c r="J441" i="25"/>
  <c r="AB456" i="25"/>
  <c r="R589" i="25"/>
  <c r="N607" i="25"/>
  <c r="Z622" i="25"/>
  <c r="R745" i="25"/>
  <c r="R241" i="25"/>
  <c r="T113" i="25"/>
  <c r="X32" i="25"/>
  <c r="AB34" i="25"/>
  <c r="T52" i="25"/>
  <c r="N94" i="25"/>
  <c r="R356" i="25"/>
  <c r="Z456" i="25"/>
  <c r="J33" i="25"/>
  <c r="X53" i="25"/>
  <c r="Z85" i="25"/>
  <c r="J104" i="25"/>
  <c r="R394" i="25"/>
  <c r="J457" i="25"/>
  <c r="L89" i="25"/>
  <c r="T399" i="25"/>
  <c r="Z457" i="25"/>
  <c r="V399" i="25"/>
  <c r="V104" i="25"/>
  <c r="V394" i="25"/>
  <c r="P403" i="25"/>
  <c r="P85" i="25"/>
  <c r="X94" i="25"/>
  <c r="L204" i="25"/>
  <c r="AB262" i="25"/>
  <c r="N357" i="25"/>
  <c r="R398" i="25"/>
  <c r="V400" i="25"/>
  <c r="T403" i="25"/>
  <c r="T514" i="25"/>
  <c r="Z650" i="25"/>
  <c r="L104" i="25"/>
  <c r="L85" i="25"/>
  <c r="J91" i="25"/>
  <c r="V94" i="25"/>
  <c r="P398" i="25"/>
  <c r="J514" i="25"/>
  <c r="J28" i="25"/>
  <c r="N34" i="25"/>
  <c r="L91" i="25"/>
  <c r="L28" i="25"/>
  <c r="N32" i="25"/>
  <c r="P33" i="25"/>
  <c r="P34" i="25"/>
  <c r="L37" i="25"/>
  <c r="V47" i="25"/>
  <c r="V56" i="25"/>
  <c r="R85" i="25"/>
  <c r="AB89" i="25"/>
  <c r="T91" i="25"/>
  <c r="Z94" i="25"/>
  <c r="R109" i="25"/>
  <c r="N204" i="25"/>
  <c r="R357" i="25"/>
  <c r="T398" i="25"/>
  <c r="X400" i="25"/>
  <c r="AB113" i="25"/>
  <c r="N403" i="25"/>
  <c r="N89" i="25"/>
  <c r="Z399" i="25"/>
  <c r="R89" i="25"/>
  <c r="V108" i="25"/>
  <c r="R403" i="25"/>
  <c r="L33" i="25"/>
  <c r="J37" i="25"/>
  <c r="X89" i="25"/>
  <c r="J109" i="25"/>
  <c r="N28" i="25"/>
  <c r="P32" i="25"/>
  <c r="R33" i="25"/>
  <c r="N37" i="25"/>
  <c r="P51" i="25"/>
  <c r="J90" i="25"/>
  <c r="P205" i="25"/>
  <c r="X398" i="25"/>
  <c r="Z400" i="25"/>
  <c r="T394" i="25"/>
  <c r="AB90" i="25"/>
  <c r="P94" i="25"/>
  <c r="J218" i="25"/>
  <c r="R400" i="25"/>
  <c r="L32" i="25"/>
  <c r="T34" i="25"/>
  <c r="T85" i="25"/>
  <c r="X91" i="25"/>
  <c r="R28" i="25"/>
  <c r="T32" i="25"/>
  <c r="T33" i="25"/>
  <c r="V34" i="25"/>
  <c r="X85" i="25"/>
  <c r="L90" i="25"/>
  <c r="AB205" i="25"/>
  <c r="N394" i="25"/>
  <c r="P399" i="25"/>
  <c r="R641" i="25"/>
  <c r="H83" i="25"/>
  <c r="H368" i="25"/>
  <c r="H216" i="25"/>
  <c r="N531" i="25"/>
  <c r="T451" i="25"/>
  <c r="P688" i="25"/>
  <c r="H449" i="25"/>
  <c r="J527" i="25"/>
  <c r="J683" i="25"/>
  <c r="T555" i="25"/>
  <c r="AB532" i="25"/>
  <c r="X584" i="25"/>
  <c r="V683" i="25"/>
  <c r="X741" i="25"/>
  <c r="H582" i="25"/>
  <c r="P588" i="25"/>
  <c r="J684" i="25"/>
  <c r="J736" i="25"/>
  <c r="L742" i="25"/>
  <c r="X588" i="25"/>
  <c r="L593" i="25"/>
  <c r="N736" i="25"/>
  <c r="AB742" i="25"/>
  <c r="J589" i="25"/>
  <c r="R736" i="25"/>
  <c r="AB688" i="25"/>
  <c r="L740" i="25"/>
  <c r="J745" i="25"/>
  <c r="H235" i="25"/>
  <c r="Z123" i="25"/>
  <c r="Z142" i="25"/>
  <c r="P147" i="25"/>
  <c r="AB148" i="25"/>
  <c r="AB151" i="25"/>
  <c r="V275" i="25"/>
  <c r="J280" i="25"/>
  <c r="T281" i="25"/>
  <c r="T284" i="25"/>
  <c r="J300" i="25"/>
  <c r="V148" i="25"/>
  <c r="N299" i="25"/>
  <c r="H140" i="25"/>
  <c r="J127" i="25"/>
  <c r="P132" i="25"/>
  <c r="AB142" i="25"/>
  <c r="R147" i="25"/>
  <c r="X284" i="25"/>
  <c r="Z275" i="25"/>
  <c r="P280" i="25"/>
  <c r="V281" i="25"/>
  <c r="Z284" i="25"/>
  <c r="Z300" i="25"/>
  <c r="AB275" i="25"/>
  <c r="R280" i="25"/>
  <c r="X281" i="25"/>
  <c r="AB284" i="25"/>
  <c r="J147" i="25"/>
  <c r="L146" i="25"/>
  <c r="Z127" i="25"/>
  <c r="N146" i="25"/>
  <c r="Z147" i="25"/>
  <c r="J151" i="25"/>
  <c r="J275" i="25"/>
  <c r="N279" i="25"/>
  <c r="T280" i="25"/>
  <c r="P303" i="25"/>
  <c r="T142" i="25"/>
  <c r="Z151" i="25"/>
  <c r="X151" i="25"/>
  <c r="Z132" i="25"/>
  <c r="V128" i="25"/>
  <c r="J142" i="25"/>
  <c r="T146" i="25"/>
  <c r="L148" i="25"/>
  <c r="L151" i="25"/>
  <c r="L275" i="25"/>
  <c r="P279" i="25"/>
  <c r="X280" i="25"/>
  <c r="X303" i="25"/>
  <c r="R127" i="25"/>
  <c r="J129" i="25"/>
  <c r="L142" i="25"/>
  <c r="V146" i="25"/>
  <c r="N148" i="25"/>
  <c r="P275" i="25"/>
  <c r="T279" i="25"/>
  <c r="AB280" i="25"/>
  <c r="L284" i="25"/>
  <c r="X374" i="25"/>
  <c r="H292" i="25"/>
  <c r="V376" i="25"/>
  <c r="R218" i="25"/>
  <c r="V379" i="25"/>
  <c r="L224" i="25"/>
  <c r="L370" i="25"/>
  <c r="T224" i="25"/>
  <c r="J374" i="25"/>
  <c r="AB224" i="25"/>
  <c r="P374" i="25"/>
  <c r="L166" i="25"/>
  <c r="J203" i="25"/>
  <c r="Z204" i="25"/>
  <c r="N208" i="25"/>
  <c r="Z218" i="25"/>
  <c r="R322" i="25"/>
  <c r="P341" i="25"/>
  <c r="R355" i="25"/>
  <c r="P370" i="25"/>
  <c r="T375" i="25"/>
  <c r="X394" i="25"/>
  <c r="Z398" i="25"/>
  <c r="AB399" i="25"/>
  <c r="AB400" i="25"/>
  <c r="X403" i="25"/>
  <c r="X533" i="25"/>
  <c r="J550" i="25"/>
  <c r="P645" i="25"/>
  <c r="Z646" i="25"/>
  <c r="V684" i="25"/>
  <c r="V736" i="25"/>
  <c r="T742" i="25"/>
  <c r="P646" i="25"/>
  <c r="Z199" i="25"/>
  <c r="AB357" i="25"/>
  <c r="Z167" i="25"/>
  <c r="N203" i="25"/>
  <c r="AB204" i="25"/>
  <c r="P208" i="25"/>
  <c r="L222" i="25"/>
  <c r="L227" i="25"/>
  <c r="R341" i="25"/>
  <c r="Z355" i="25"/>
  <c r="T370" i="25"/>
  <c r="AB375" i="25"/>
  <c r="H392" i="25"/>
  <c r="AB394" i="25"/>
  <c r="J399" i="25"/>
  <c r="J400" i="25"/>
  <c r="Z403" i="25"/>
  <c r="AB551" i="25"/>
  <c r="J641" i="25"/>
  <c r="T645" i="25"/>
  <c r="AB646" i="25"/>
  <c r="N650" i="25"/>
  <c r="T665" i="25"/>
  <c r="N679" i="25"/>
  <c r="R685" i="25"/>
  <c r="V641" i="25"/>
  <c r="V647" i="25"/>
  <c r="N161" i="25"/>
  <c r="P204" i="25"/>
  <c r="J355" i="25"/>
  <c r="N645" i="25"/>
  <c r="T684" i="25"/>
  <c r="J199" i="25"/>
  <c r="P203" i="25"/>
  <c r="L205" i="25"/>
  <c r="R208" i="25"/>
  <c r="AB222" i="25"/>
  <c r="R227" i="25"/>
  <c r="J336" i="25"/>
  <c r="N356" i="25"/>
  <c r="P360" i="25"/>
  <c r="X370" i="25"/>
  <c r="P376" i="25"/>
  <c r="J398" i="25"/>
  <c r="L399" i="25"/>
  <c r="L400" i="25"/>
  <c r="V508" i="25"/>
  <c r="AB536" i="25"/>
  <c r="L641" i="25"/>
  <c r="X645" i="25"/>
  <c r="L647" i="25"/>
  <c r="P650" i="25"/>
  <c r="J666" i="25"/>
  <c r="Z679" i="25"/>
  <c r="X685" i="25"/>
  <c r="N698" i="25"/>
  <c r="AB318" i="25"/>
  <c r="AB650" i="25"/>
  <c r="X185" i="25"/>
  <c r="AB641" i="25"/>
  <c r="R646" i="25"/>
  <c r="AB647" i="25"/>
  <c r="V533" i="25"/>
  <c r="T646" i="25"/>
  <c r="N199" i="25"/>
  <c r="V203" i="25"/>
  <c r="N205" i="25"/>
  <c r="N227" i="25"/>
  <c r="P223" i="25"/>
  <c r="V227" i="25"/>
  <c r="L336" i="25"/>
  <c r="L351" i="25"/>
  <c r="P356" i="25"/>
  <c r="X360" i="25"/>
  <c r="AB370" i="25"/>
  <c r="X376" i="25"/>
  <c r="L394" i="25"/>
  <c r="N398" i="25"/>
  <c r="N399" i="25"/>
  <c r="P400" i="25"/>
  <c r="J403" i="25"/>
  <c r="Z508" i="25"/>
  <c r="T536" i="25"/>
  <c r="N641" i="25"/>
  <c r="AB645" i="25"/>
  <c r="P647" i="25"/>
  <c r="AB679" i="25"/>
  <c r="V698" i="25"/>
  <c r="AB745" i="25"/>
  <c r="T161" i="25"/>
  <c r="T166" i="25"/>
  <c r="V322" i="25"/>
  <c r="R317" i="25"/>
  <c r="P319" i="25"/>
  <c r="J332" i="25"/>
  <c r="R336" i="25"/>
  <c r="R338" i="25"/>
  <c r="Z341" i="25"/>
  <c r="AB508" i="25"/>
  <c r="X514" i="25"/>
  <c r="P666" i="25"/>
  <c r="N104" i="25"/>
  <c r="Z109" i="25"/>
  <c r="X161" i="25"/>
  <c r="V166" i="25"/>
  <c r="N170" i="25"/>
  <c r="T199" i="25"/>
  <c r="R203" i="25"/>
  <c r="R204" i="25"/>
  <c r="X205" i="25"/>
  <c r="T208" i="25"/>
  <c r="T317" i="25"/>
  <c r="AB319" i="25"/>
  <c r="N332" i="25"/>
  <c r="Z336" i="25"/>
  <c r="T338" i="25"/>
  <c r="V360" i="25"/>
  <c r="L355" i="25"/>
  <c r="Z356" i="25"/>
  <c r="J360" i="25"/>
  <c r="P512" i="25"/>
  <c r="R527" i="25"/>
  <c r="R666" i="25"/>
  <c r="P683" i="25"/>
  <c r="AB684" i="25"/>
  <c r="L688" i="25"/>
  <c r="T104" i="25"/>
  <c r="N110" i="25"/>
  <c r="J123" i="25"/>
  <c r="N128" i="25"/>
  <c r="X132" i="25"/>
  <c r="J165" i="25"/>
  <c r="AB166" i="25"/>
  <c r="V170" i="25"/>
  <c r="H197" i="25"/>
  <c r="V199" i="25"/>
  <c r="T203" i="25"/>
  <c r="T204" i="25"/>
  <c r="Z205" i="25"/>
  <c r="Z208" i="25"/>
  <c r="T222" i="25"/>
  <c r="X275" i="25"/>
  <c r="X279" i="25"/>
  <c r="Z280" i="25"/>
  <c r="AB281" i="25"/>
  <c r="V284" i="25"/>
  <c r="P313" i="25"/>
  <c r="V317" i="25"/>
  <c r="P332" i="25"/>
  <c r="AB336" i="25"/>
  <c r="Z338" i="25"/>
  <c r="N355" i="25"/>
  <c r="L357" i="25"/>
  <c r="L360" i="25"/>
  <c r="N370" i="25"/>
  <c r="R374" i="25"/>
  <c r="J394" i="25"/>
  <c r="Z394" i="25"/>
  <c r="V398" i="25"/>
  <c r="R399" i="25"/>
  <c r="N400" i="25"/>
  <c r="V403" i="25"/>
  <c r="Z451" i="25"/>
  <c r="AB457" i="25"/>
  <c r="P517" i="25"/>
  <c r="Z512" i="25"/>
  <c r="Z527" i="25"/>
  <c r="X660" i="25"/>
  <c r="L679" i="25"/>
  <c r="T683" i="25"/>
  <c r="N685" i="25"/>
  <c r="N688" i="25"/>
  <c r="L698" i="25"/>
  <c r="N166" i="25"/>
  <c r="L317" i="25"/>
  <c r="L319" i="25"/>
  <c r="Z317" i="25"/>
  <c r="AB512" i="25"/>
  <c r="R664" i="25"/>
  <c r="R167" i="25"/>
  <c r="P161" i="25"/>
  <c r="H159" i="25"/>
  <c r="P165" i="25"/>
  <c r="J167" i="25"/>
  <c r="X170" i="25"/>
  <c r="T313" i="25"/>
  <c r="V332" i="25"/>
  <c r="P337" i="25"/>
  <c r="AB338" i="25"/>
  <c r="R517" i="25"/>
  <c r="AB104" i="25"/>
  <c r="R165" i="25"/>
  <c r="X313" i="25"/>
  <c r="P318" i="25"/>
  <c r="J322" i="25"/>
  <c r="X332" i="25"/>
  <c r="V337" i="25"/>
  <c r="N508" i="25"/>
  <c r="L513" i="25"/>
  <c r="L532" i="25"/>
  <c r="X664" i="25"/>
  <c r="P669" i="25"/>
  <c r="P679" i="25"/>
  <c r="Z683" i="25"/>
  <c r="T685" i="25"/>
  <c r="V688" i="25"/>
  <c r="N108" i="25"/>
  <c r="X123" i="25"/>
  <c r="L161" i="25"/>
  <c r="X165" i="25"/>
  <c r="L199" i="25"/>
  <c r="AB199" i="25"/>
  <c r="J204" i="25"/>
  <c r="X223" i="25"/>
  <c r="N275" i="25"/>
  <c r="L279" i="25"/>
  <c r="L280" i="25"/>
  <c r="N281" i="25"/>
  <c r="Z313" i="25"/>
  <c r="Z318" i="25"/>
  <c r="Z332" i="25"/>
  <c r="R351" i="25"/>
  <c r="J356" i="25"/>
  <c r="T357" i="25"/>
  <c r="V370" i="25"/>
  <c r="L375" i="25"/>
  <c r="P394" i="25"/>
  <c r="L398" i="25"/>
  <c r="AB398" i="25"/>
  <c r="X399" i="25"/>
  <c r="T400" i="25"/>
  <c r="L403" i="25"/>
  <c r="X460" i="25"/>
  <c r="L456" i="25"/>
  <c r="T508" i="25"/>
  <c r="Z664" i="25"/>
  <c r="V679" i="25"/>
  <c r="AB683" i="25"/>
  <c r="V685" i="25"/>
  <c r="P590" i="25"/>
  <c r="N588" i="25"/>
  <c r="AB584" i="25"/>
  <c r="V593" i="25"/>
  <c r="T589" i="25"/>
  <c r="T584" i="25"/>
  <c r="H696" i="25"/>
  <c r="H639" i="25"/>
  <c r="AB208" i="25"/>
  <c r="L208" i="25"/>
  <c r="V205" i="25"/>
  <c r="X208" i="25"/>
  <c r="J208" i="25"/>
  <c r="T205" i="25"/>
  <c r="X204" i="25"/>
  <c r="AB203" i="25"/>
  <c r="L203" i="25"/>
  <c r="V208" i="25"/>
  <c r="R205" i="25"/>
  <c r="V204" i="25"/>
  <c r="Z203" i="25"/>
  <c r="N669" i="25"/>
  <c r="AB665" i="25"/>
  <c r="P664" i="25"/>
  <c r="V665" i="25"/>
  <c r="J664" i="25"/>
  <c r="Z666" i="25"/>
  <c r="N665" i="25"/>
  <c r="P660" i="25"/>
  <c r="X666" i="25"/>
  <c r="L665" i="25"/>
  <c r="N660" i="25"/>
  <c r="Z360" i="25"/>
  <c r="J357" i="25"/>
  <c r="AB355" i="25"/>
  <c r="J351" i="25"/>
  <c r="T360" i="25"/>
  <c r="Z357" i="25"/>
  <c r="X356" i="25"/>
  <c r="V355" i="25"/>
  <c r="Z351" i="25"/>
  <c r="R360" i="25"/>
  <c r="V357" i="25"/>
  <c r="V356" i="25"/>
  <c r="T355" i="25"/>
  <c r="X351" i="25"/>
  <c r="AB52" i="25"/>
  <c r="L262" i="25"/>
  <c r="Z265" i="25"/>
  <c r="P261" i="25"/>
  <c r="P717" i="25"/>
  <c r="R723" i="25"/>
  <c r="L717" i="25"/>
  <c r="AB717" i="25"/>
  <c r="Z717" i="25"/>
  <c r="H753" i="25"/>
  <c r="AB475" i="25"/>
  <c r="P470" i="25"/>
  <c r="H468" i="25"/>
  <c r="L475" i="25"/>
  <c r="X474" i="25"/>
  <c r="R631" i="25"/>
  <c r="X628" i="25"/>
  <c r="N622" i="25"/>
  <c r="R628" i="25"/>
  <c r="L627" i="25"/>
  <c r="J622" i="25"/>
  <c r="AB627" i="25"/>
  <c r="X626" i="25"/>
  <c r="H620" i="25"/>
  <c r="X627" i="25"/>
  <c r="P626" i="25"/>
  <c r="X631" i="25"/>
  <c r="R318" i="25"/>
  <c r="N317" i="25"/>
  <c r="R313" i="25"/>
  <c r="AB322" i="25"/>
  <c r="V319" i="25"/>
  <c r="J318" i="25"/>
  <c r="J317" i="25"/>
  <c r="L313" i="25"/>
  <c r="T322" i="25"/>
  <c r="T319" i="25"/>
  <c r="AB317" i="25"/>
  <c r="J313" i="25"/>
  <c r="N47" i="25"/>
  <c r="X51" i="25"/>
  <c r="N56" i="25"/>
  <c r="V161" i="25"/>
  <c r="Z165" i="25"/>
  <c r="P167" i="25"/>
  <c r="P170" i="25"/>
  <c r="J265" i="25"/>
  <c r="R514" i="25"/>
  <c r="R512" i="25"/>
  <c r="R508" i="25"/>
  <c r="J517" i="25"/>
  <c r="AB513" i="25"/>
  <c r="J512" i="25"/>
  <c r="L508" i="25"/>
  <c r="V513" i="25"/>
  <c r="J508" i="25"/>
  <c r="P28" i="25"/>
  <c r="X28" i="25"/>
  <c r="J32" i="25"/>
  <c r="R32" i="25"/>
  <c r="Z32" i="25"/>
  <c r="N33" i="25"/>
  <c r="V33" i="25"/>
  <c r="J34" i="25"/>
  <c r="R34" i="25"/>
  <c r="Z34" i="25"/>
  <c r="P37" i="25"/>
  <c r="X37" i="25"/>
  <c r="N66" i="25"/>
  <c r="V66" i="25"/>
  <c r="P70" i="25"/>
  <c r="X70" i="25"/>
  <c r="L71" i="25"/>
  <c r="T71" i="25"/>
  <c r="AB71" i="25"/>
  <c r="P72" i="25"/>
  <c r="X72" i="25"/>
  <c r="N75" i="25"/>
  <c r="V75" i="25"/>
  <c r="V85" i="25"/>
  <c r="P89" i="25"/>
  <c r="N90" i="25"/>
  <c r="X90" i="25"/>
  <c r="V91" i="25"/>
  <c r="R94" i="25"/>
  <c r="T180" i="25"/>
  <c r="Z184" i="25"/>
  <c r="V186" i="25"/>
  <c r="H26" i="25"/>
  <c r="P47" i="25"/>
  <c r="X47" i="25"/>
  <c r="J51" i="25"/>
  <c r="R51" i="25"/>
  <c r="Z51" i="25"/>
  <c r="N52" i="25"/>
  <c r="V52" i="25"/>
  <c r="J53" i="25"/>
  <c r="R53" i="25"/>
  <c r="Z53" i="25"/>
  <c r="P56" i="25"/>
  <c r="X56" i="25"/>
  <c r="N85" i="25"/>
  <c r="Z89" i="25"/>
  <c r="P90" i="25"/>
  <c r="N91" i="25"/>
  <c r="J94" i="25"/>
  <c r="AB94" i="25"/>
  <c r="H102" i="25"/>
  <c r="Z180" i="25"/>
  <c r="Z186" i="25"/>
  <c r="P66" i="25"/>
  <c r="X66" i="25"/>
  <c r="J70" i="25"/>
  <c r="R70" i="25"/>
  <c r="Z70" i="25"/>
  <c r="N71" i="25"/>
  <c r="V71" i="25"/>
  <c r="J72" i="25"/>
  <c r="R72" i="25"/>
  <c r="Z72" i="25"/>
  <c r="P75" i="25"/>
  <c r="X75" i="25"/>
  <c r="T94" i="25"/>
  <c r="H45" i="25"/>
  <c r="J47" i="25"/>
  <c r="R47" i="25"/>
  <c r="Z47" i="25"/>
  <c r="L51" i="25"/>
  <c r="T51" i="25"/>
  <c r="AB51" i="25"/>
  <c r="P52" i="25"/>
  <c r="X52" i="25"/>
  <c r="L53" i="25"/>
  <c r="T53" i="25"/>
  <c r="AB53" i="25"/>
  <c r="J56" i="25"/>
  <c r="R56" i="25"/>
  <c r="Z56" i="25"/>
  <c r="H64" i="25"/>
  <c r="J89" i="25"/>
  <c r="T89" i="25"/>
  <c r="R90" i="25"/>
  <c r="P91" i="25"/>
  <c r="L94" i="25"/>
  <c r="X189" i="25"/>
  <c r="P189" i="25"/>
  <c r="V189" i="25"/>
  <c r="N189" i="25"/>
  <c r="X186" i="25"/>
  <c r="P186" i="25"/>
  <c r="AB185" i="25"/>
  <c r="T185" i="25"/>
  <c r="L185" i="25"/>
  <c r="X184" i="25"/>
  <c r="P184" i="25"/>
  <c r="V180" i="25"/>
  <c r="N180" i="25"/>
  <c r="Z185" i="25"/>
  <c r="AB184" i="25"/>
  <c r="J184" i="25"/>
  <c r="AB180" i="25"/>
  <c r="J180" i="25"/>
  <c r="AB189" i="25"/>
  <c r="R189" i="25"/>
  <c r="N186" i="25"/>
  <c r="P185" i="25"/>
  <c r="R184" i="25"/>
  <c r="R180" i="25"/>
  <c r="Z189" i="25"/>
  <c r="L186" i="25"/>
  <c r="N185" i="25"/>
  <c r="P180" i="25"/>
  <c r="T186" i="25"/>
  <c r="V185" i="25"/>
  <c r="N184" i="25"/>
  <c r="X180" i="25"/>
  <c r="L189" i="25"/>
  <c r="AB186" i="25"/>
  <c r="J186" i="25"/>
  <c r="V184" i="25"/>
  <c r="R186" i="25"/>
  <c r="J185" i="25"/>
  <c r="L184" i="25"/>
  <c r="L180" i="25"/>
  <c r="H178" i="25"/>
  <c r="R185" i="25"/>
  <c r="T189" i="25"/>
  <c r="R66" i="25"/>
  <c r="Z66" i="25"/>
  <c r="L70" i="25"/>
  <c r="T70" i="25"/>
  <c r="AB70" i="25"/>
  <c r="P71" i="25"/>
  <c r="X71" i="25"/>
  <c r="L72" i="25"/>
  <c r="T72" i="25"/>
  <c r="AB72" i="25"/>
  <c r="J75" i="25"/>
  <c r="R75" i="25"/>
  <c r="Z75" i="25"/>
  <c r="J66" i="25"/>
  <c r="L47" i="25"/>
  <c r="T47" i="25"/>
  <c r="AB47" i="25"/>
  <c r="N51" i="25"/>
  <c r="V51" i="25"/>
  <c r="J52" i="25"/>
  <c r="R52" i="25"/>
  <c r="Z52" i="25"/>
  <c r="N53" i="25"/>
  <c r="V53" i="25"/>
  <c r="L56" i="25"/>
  <c r="T56" i="25"/>
  <c r="AB56" i="25"/>
  <c r="J85" i="25"/>
  <c r="AB85" i="25"/>
  <c r="V89" i="25"/>
  <c r="T90" i="25"/>
  <c r="R91" i="25"/>
  <c r="AB91" i="25"/>
  <c r="Z113" i="25"/>
  <c r="R113" i="25"/>
  <c r="J113" i="25"/>
  <c r="AB110" i="25"/>
  <c r="T110" i="25"/>
  <c r="L110" i="25"/>
  <c r="X109" i="25"/>
  <c r="P109" i="25"/>
  <c r="AB108" i="25"/>
  <c r="T108" i="25"/>
  <c r="L108" i="25"/>
  <c r="Z104" i="25"/>
  <c r="X113" i="25"/>
  <c r="P113" i="25"/>
  <c r="Z110" i="25"/>
  <c r="R110" i="25"/>
  <c r="J110" i="25"/>
  <c r="V109" i="25"/>
  <c r="N109" i="25"/>
  <c r="Z108" i="25"/>
  <c r="R108" i="25"/>
  <c r="J108" i="25"/>
  <c r="X104" i="25"/>
  <c r="P104" i="25"/>
  <c r="V113" i="25"/>
  <c r="N113" i="25"/>
  <c r="X110" i="25"/>
  <c r="P110" i="25"/>
  <c r="AB109" i="25"/>
  <c r="T109" i="25"/>
  <c r="L109" i="25"/>
  <c r="X108" i="25"/>
  <c r="P108" i="25"/>
  <c r="R104" i="25"/>
  <c r="V110" i="25"/>
  <c r="L66" i="25"/>
  <c r="T66" i="25"/>
  <c r="AB66" i="25"/>
  <c r="N70" i="25"/>
  <c r="V70" i="25"/>
  <c r="J71" i="25"/>
  <c r="R71" i="25"/>
  <c r="Z71" i="25"/>
  <c r="N72" i="25"/>
  <c r="V72" i="25"/>
  <c r="L75" i="25"/>
  <c r="T75" i="25"/>
  <c r="L123" i="25"/>
  <c r="T123" i="25"/>
  <c r="AB123" i="25"/>
  <c r="N127" i="25"/>
  <c r="V127" i="25"/>
  <c r="J128" i="25"/>
  <c r="R128" i="25"/>
  <c r="Z128" i="25"/>
  <c r="N129" i="25"/>
  <c r="V129" i="25"/>
  <c r="L132" i="25"/>
  <c r="T132" i="25"/>
  <c r="AB132" i="25"/>
  <c r="J161" i="25"/>
  <c r="R161" i="25"/>
  <c r="Z161" i="25"/>
  <c r="L165" i="25"/>
  <c r="T165" i="25"/>
  <c r="AB165" i="25"/>
  <c r="P166" i="25"/>
  <c r="X166" i="25"/>
  <c r="L167" i="25"/>
  <c r="T167" i="25"/>
  <c r="AB167" i="25"/>
  <c r="J170" i="25"/>
  <c r="R170" i="25"/>
  <c r="Z170" i="25"/>
  <c r="R237" i="25"/>
  <c r="N123" i="25"/>
  <c r="V123" i="25"/>
  <c r="P127" i="25"/>
  <c r="X127" i="25"/>
  <c r="L128" i="25"/>
  <c r="T128" i="25"/>
  <c r="AB128" i="25"/>
  <c r="P129" i="25"/>
  <c r="X129" i="25"/>
  <c r="N132" i="25"/>
  <c r="V132" i="25"/>
  <c r="AB161" i="25"/>
  <c r="N165" i="25"/>
  <c r="V165" i="25"/>
  <c r="J166" i="25"/>
  <c r="R166" i="25"/>
  <c r="Z166" i="25"/>
  <c r="N167" i="25"/>
  <c r="V167" i="25"/>
  <c r="L170" i="25"/>
  <c r="T170" i="25"/>
  <c r="AB170" i="25"/>
  <c r="N242" i="25"/>
  <c r="N142" i="25"/>
  <c r="V142" i="25"/>
  <c r="P146" i="25"/>
  <c r="X146" i="25"/>
  <c r="L147" i="25"/>
  <c r="T147" i="25"/>
  <c r="AB147" i="25"/>
  <c r="P148" i="25"/>
  <c r="X148" i="25"/>
  <c r="N151" i="25"/>
  <c r="V151" i="25"/>
  <c r="H121" i="25"/>
  <c r="P142" i="25"/>
  <c r="X142" i="25"/>
  <c r="J146" i="25"/>
  <c r="R146" i="25"/>
  <c r="Z146" i="25"/>
  <c r="N147" i="25"/>
  <c r="V147" i="25"/>
  <c r="J148" i="25"/>
  <c r="R148" i="25"/>
  <c r="Z148" i="25"/>
  <c r="P151" i="25"/>
  <c r="Z246" i="25"/>
  <c r="R246" i="25"/>
  <c r="J246" i="25"/>
  <c r="AB243" i="25"/>
  <c r="T243" i="25"/>
  <c r="L243" i="25"/>
  <c r="X242" i="25"/>
  <c r="P242" i="25"/>
  <c r="AB241" i="25"/>
  <c r="T241" i="25"/>
  <c r="L241" i="25"/>
  <c r="T246" i="25"/>
  <c r="AB242" i="25"/>
  <c r="R242" i="25"/>
  <c r="P241" i="25"/>
  <c r="L237" i="25"/>
  <c r="R243" i="25"/>
  <c r="Z241" i="25"/>
  <c r="T237" i="25"/>
  <c r="AB246" i="25"/>
  <c r="P243" i="25"/>
  <c r="Z242" i="25"/>
  <c r="X241" i="25"/>
  <c r="N241" i="25"/>
  <c r="AB237" i="25"/>
  <c r="J237" i="25"/>
  <c r="P246" i="25"/>
  <c r="Z243" i="25"/>
  <c r="N246" i="25"/>
  <c r="X243" i="25"/>
  <c r="N243" i="25"/>
  <c r="L242" i="25"/>
  <c r="V241" i="25"/>
  <c r="Z237" i="25"/>
  <c r="X246" i="25"/>
  <c r="V242" i="25"/>
  <c r="J241" i="25"/>
  <c r="P237" i="25"/>
  <c r="V246" i="25"/>
  <c r="L246" i="25"/>
  <c r="V243" i="25"/>
  <c r="T242" i="25"/>
  <c r="J242" i="25"/>
  <c r="X237" i="25"/>
  <c r="N237" i="25"/>
  <c r="J243" i="25"/>
  <c r="L127" i="25"/>
  <c r="T127" i="25"/>
  <c r="AB127" i="25"/>
  <c r="P128" i="25"/>
  <c r="X128" i="25"/>
  <c r="L129" i="25"/>
  <c r="T129" i="25"/>
  <c r="AB129" i="25"/>
  <c r="J132" i="25"/>
  <c r="R132" i="25"/>
  <c r="L218" i="25"/>
  <c r="T218" i="25"/>
  <c r="AB218" i="25"/>
  <c r="N222" i="25"/>
  <c r="V222" i="25"/>
  <c r="J223" i="25"/>
  <c r="R223" i="25"/>
  <c r="Z223" i="25"/>
  <c r="N224" i="25"/>
  <c r="V224" i="25"/>
  <c r="T256" i="25"/>
  <c r="H311" i="25"/>
  <c r="X227" i="25"/>
  <c r="P227" i="25"/>
  <c r="J256" i="25"/>
  <c r="H273" i="25"/>
  <c r="P294" i="25"/>
  <c r="J298" i="25"/>
  <c r="Z298" i="25"/>
  <c r="V299" i="25"/>
  <c r="R300" i="25"/>
  <c r="N218" i="25"/>
  <c r="V218" i="25"/>
  <c r="P222" i="25"/>
  <c r="X222" i="25"/>
  <c r="L223" i="25"/>
  <c r="T223" i="25"/>
  <c r="AB223" i="25"/>
  <c r="P224" i="25"/>
  <c r="X224" i="25"/>
  <c r="Z227" i="25"/>
  <c r="Z303" i="25"/>
  <c r="R303" i="25"/>
  <c r="J303" i="25"/>
  <c r="AB300" i="25"/>
  <c r="T300" i="25"/>
  <c r="L300" i="25"/>
  <c r="X299" i="25"/>
  <c r="P299" i="25"/>
  <c r="AB298" i="25"/>
  <c r="T298" i="25"/>
  <c r="L298" i="25"/>
  <c r="Z294" i="25"/>
  <c r="R294" i="25"/>
  <c r="J294" i="25"/>
  <c r="V303" i="25"/>
  <c r="N303" i="25"/>
  <c r="X300" i="25"/>
  <c r="P300" i="25"/>
  <c r="AB299" i="25"/>
  <c r="T299" i="25"/>
  <c r="L299" i="25"/>
  <c r="X298" i="25"/>
  <c r="P298" i="25"/>
  <c r="V294" i="25"/>
  <c r="N294" i="25"/>
  <c r="AB303" i="25"/>
  <c r="T303" i="25"/>
  <c r="L303" i="25"/>
  <c r="V300" i="25"/>
  <c r="N300" i="25"/>
  <c r="Z299" i="25"/>
  <c r="R299" i="25"/>
  <c r="J299" i="25"/>
  <c r="V298" i="25"/>
  <c r="N298" i="25"/>
  <c r="AB294" i="25"/>
  <c r="T294" i="25"/>
  <c r="L294" i="25"/>
  <c r="AB265" i="25"/>
  <c r="T265" i="25"/>
  <c r="L265" i="25"/>
  <c r="V262" i="25"/>
  <c r="N262" i="25"/>
  <c r="Z261" i="25"/>
  <c r="R261" i="25"/>
  <c r="J261" i="25"/>
  <c r="V260" i="25"/>
  <c r="N260" i="25"/>
  <c r="H254" i="25"/>
  <c r="X265" i="25"/>
  <c r="P265" i="25"/>
  <c r="Z262" i="25"/>
  <c r="R262" i="25"/>
  <c r="J262" i="25"/>
  <c r="V261" i="25"/>
  <c r="N261" i="25"/>
  <c r="Z260" i="25"/>
  <c r="R260" i="25"/>
  <c r="J260" i="25"/>
  <c r="X256" i="25"/>
  <c r="P256" i="25"/>
  <c r="V265" i="25"/>
  <c r="N265" i="25"/>
  <c r="X262" i="25"/>
  <c r="P262" i="25"/>
  <c r="AB261" i="25"/>
  <c r="T261" i="25"/>
  <c r="L261" i="25"/>
  <c r="X260" i="25"/>
  <c r="P260" i="25"/>
  <c r="V256" i="25"/>
  <c r="N256" i="25"/>
  <c r="L256" i="25"/>
  <c r="Z256" i="25"/>
  <c r="L260" i="25"/>
  <c r="AB260" i="25"/>
  <c r="X261" i="25"/>
  <c r="T262" i="25"/>
  <c r="R265" i="25"/>
  <c r="P218" i="25"/>
  <c r="X218" i="25"/>
  <c r="J222" i="25"/>
  <c r="R222" i="25"/>
  <c r="Z222" i="25"/>
  <c r="N223" i="25"/>
  <c r="V223" i="25"/>
  <c r="J224" i="25"/>
  <c r="R224" i="25"/>
  <c r="Z224" i="25"/>
  <c r="J227" i="25"/>
  <c r="AB227" i="25"/>
  <c r="AB256" i="25"/>
  <c r="R256" i="25"/>
  <c r="T318" i="25"/>
  <c r="V341" i="25"/>
  <c r="N341" i="25"/>
  <c r="X338" i="25"/>
  <c r="P338" i="25"/>
  <c r="AB337" i="25"/>
  <c r="T337" i="25"/>
  <c r="L337" i="25"/>
  <c r="X336" i="25"/>
  <c r="P336" i="25"/>
  <c r="AB341" i="25"/>
  <c r="T341" i="25"/>
  <c r="L341" i="25"/>
  <c r="V338" i="25"/>
  <c r="N338" i="25"/>
  <c r="Z337" i="25"/>
  <c r="R337" i="25"/>
  <c r="J337" i="25"/>
  <c r="V336" i="25"/>
  <c r="N336" i="25"/>
  <c r="AB332" i="25"/>
  <c r="T332" i="25"/>
  <c r="L332" i="25"/>
  <c r="R332" i="25"/>
  <c r="T336" i="25"/>
  <c r="N337" i="25"/>
  <c r="J341" i="25"/>
  <c r="X341" i="25"/>
  <c r="X322" i="25"/>
  <c r="P322" i="25"/>
  <c r="Z319" i="25"/>
  <c r="R319" i="25"/>
  <c r="J319" i="25"/>
  <c r="V318" i="25"/>
  <c r="N318" i="25"/>
  <c r="L318" i="25"/>
  <c r="X319" i="25"/>
  <c r="N322" i="25"/>
  <c r="H349" i="25"/>
  <c r="J279" i="25"/>
  <c r="R279" i="25"/>
  <c r="Z279" i="25"/>
  <c r="N280" i="25"/>
  <c r="V280" i="25"/>
  <c r="J281" i="25"/>
  <c r="R281" i="25"/>
  <c r="Z281" i="25"/>
  <c r="P284" i="25"/>
  <c r="N313" i="25"/>
  <c r="V313" i="25"/>
  <c r="P317" i="25"/>
  <c r="X317" i="25"/>
  <c r="X318" i="25"/>
  <c r="N319" i="25"/>
  <c r="Z322" i="25"/>
  <c r="H330" i="25"/>
  <c r="J370" i="25"/>
  <c r="R370" i="25"/>
  <c r="Z370" i="25"/>
  <c r="L374" i="25"/>
  <c r="T374" i="25"/>
  <c r="AB374" i="25"/>
  <c r="P375" i="25"/>
  <c r="X375" i="25"/>
  <c r="L376" i="25"/>
  <c r="T376" i="25"/>
  <c r="AB376" i="25"/>
  <c r="J379" i="25"/>
  <c r="X451" i="25"/>
  <c r="J456" i="25"/>
  <c r="P460" i="25"/>
  <c r="V460" i="25"/>
  <c r="N374" i="25"/>
  <c r="V374" i="25"/>
  <c r="J375" i="25"/>
  <c r="R375" i="25"/>
  <c r="Z375" i="25"/>
  <c r="N376" i="25"/>
  <c r="P456" i="25"/>
  <c r="N351" i="25"/>
  <c r="V351" i="25"/>
  <c r="P355" i="25"/>
  <c r="X355" i="25"/>
  <c r="L356" i="25"/>
  <c r="T356" i="25"/>
  <c r="AB356" i="25"/>
  <c r="P357" i="25"/>
  <c r="X357" i="25"/>
  <c r="N360" i="25"/>
  <c r="X379" i="25"/>
  <c r="P379" i="25"/>
  <c r="AB379" i="25"/>
  <c r="T379" i="25"/>
  <c r="L379" i="25"/>
  <c r="N379" i="25"/>
  <c r="Z422" i="25"/>
  <c r="R422" i="25"/>
  <c r="J422" i="25"/>
  <c r="AB419" i="25"/>
  <c r="T419" i="25"/>
  <c r="L419" i="25"/>
  <c r="X418" i="25"/>
  <c r="P418" i="25"/>
  <c r="AB417" i="25"/>
  <c r="T417" i="25"/>
  <c r="L417" i="25"/>
  <c r="Z413" i="25"/>
  <c r="R413" i="25"/>
  <c r="J413" i="25"/>
  <c r="X422" i="25"/>
  <c r="P422" i="25"/>
  <c r="Z419" i="25"/>
  <c r="R419" i="25"/>
  <c r="J419" i="25"/>
  <c r="V418" i="25"/>
  <c r="N418" i="25"/>
  <c r="Z417" i="25"/>
  <c r="R417" i="25"/>
  <c r="J417" i="25"/>
  <c r="X413" i="25"/>
  <c r="P413" i="25"/>
  <c r="V422" i="25"/>
  <c r="N422" i="25"/>
  <c r="X419" i="25"/>
  <c r="P419" i="25"/>
  <c r="AB418" i="25"/>
  <c r="T418" i="25"/>
  <c r="L418" i="25"/>
  <c r="X417" i="25"/>
  <c r="P417" i="25"/>
  <c r="V413" i="25"/>
  <c r="N413" i="25"/>
  <c r="AB422" i="25"/>
  <c r="T422" i="25"/>
  <c r="L422" i="25"/>
  <c r="V419" i="25"/>
  <c r="N419" i="25"/>
  <c r="Z418" i="25"/>
  <c r="R418" i="25"/>
  <c r="J418" i="25"/>
  <c r="V417" i="25"/>
  <c r="N417" i="25"/>
  <c r="AB413" i="25"/>
  <c r="T413" i="25"/>
  <c r="L413" i="25"/>
  <c r="AB460" i="25"/>
  <c r="R457" i="25"/>
  <c r="T456" i="25"/>
  <c r="V455" i="25"/>
  <c r="L455" i="25"/>
  <c r="AB451" i="25"/>
  <c r="R451" i="25"/>
  <c r="L460" i="25"/>
  <c r="P457" i="25"/>
  <c r="R456" i="25"/>
  <c r="AB455" i="25"/>
  <c r="J455" i="25"/>
  <c r="P451" i="25"/>
  <c r="T460" i="25"/>
  <c r="N457" i="25"/>
  <c r="X456" i="25"/>
  <c r="Z455" i="25"/>
  <c r="N451" i="25"/>
  <c r="R460" i="25"/>
  <c r="V457" i="25"/>
  <c r="L457" i="25"/>
  <c r="N456" i="25"/>
  <c r="P455" i="25"/>
  <c r="V451" i="25"/>
  <c r="T457" i="25"/>
  <c r="V456" i="25"/>
  <c r="X455" i="25"/>
  <c r="L451" i="25"/>
  <c r="N455" i="25"/>
  <c r="X457" i="25"/>
  <c r="Z460" i="25"/>
  <c r="N375" i="25"/>
  <c r="V375" i="25"/>
  <c r="J376" i="25"/>
  <c r="R376" i="25"/>
  <c r="Z376" i="25"/>
  <c r="R379" i="25"/>
  <c r="H430" i="25"/>
  <c r="V498" i="25"/>
  <c r="N498" i="25"/>
  <c r="X495" i="25"/>
  <c r="P495" i="25"/>
  <c r="AB494" i="25"/>
  <c r="T494" i="25"/>
  <c r="L494" i="25"/>
  <c r="X493" i="25"/>
  <c r="P493" i="25"/>
  <c r="V489" i="25"/>
  <c r="N489" i="25"/>
  <c r="AB498" i="25"/>
  <c r="T498" i="25"/>
  <c r="L498" i="25"/>
  <c r="V495" i="25"/>
  <c r="N495" i="25"/>
  <c r="Z494" i="25"/>
  <c r="R494" i="25"/>
  <c r="J494" i="25"/>
  <c r="V493" i="25"/>
  <c r="N493" i="25"/>
  <c r="Z498" i="25"/>
  <c r="R498" i="25"/>
  <c r="J498" i="25"/>
  <c r="AB495" i="25"/>
  <c r="T495" i="25"/>
  <c r="L495" i="25"/>
  <c r="X494" i="25"/>
  <c r="P494" i="25"/>
  <c r="AB493" i="25"/>
  <c r="T493" i="25"/>
  <c r="L493" i="25"/>
  <c r="Z489" i="25"/>
  <c r="R489" i="25"/>
  <c r="J489" i="25"/>
  <c r="H487" i="25"/>
  <c r="X498" i="25"/>
  <c r="P498" i="25"/>
  <c r="Z495" i="25"/>
  <c r="R495" i="25"/>
  <c r="J495" i="25"/>
  <c r="V494" i="25"/>
  <c r="N494" i="25"/>
  <c r="Z493" i="25"/>
  <c r="R493" i="25"/>
  <c r="J493" i="25"/>
  <c r="X489" i="25"/>
  <c r="P489" i="25"/>
  <c r="X479" i="25"/>
  <c r="P479" i="25"/>
  <c r="Z476" i="25"/>
  <c r="R476" i="25"/>
  <c r="J476" i="25"/>
  <c r="V475" i="25"/>
  <c r="N475" i="25"/>
  <c r="Z474" i="25"/>
  <c r="R474" i="25"/>
  <c r="J474" i="25"/>
  <c r="AB479" i="25"/>
  <c r="T479" i="25"/>
  <c r="L479" i="25"/>
  <c r="V476" i="25"/>
  <c r="N476" i="25"/>
  <c r="Z475" i="25"/>
  <c r="R475" i="25"/>
  <c r="J475" i="25"/>
  <c r="V474" i="25"/>
  <c r="N474" i="25"/>
  <c r="AB470" i="25"/>
  <c r="T470" i="25"/>
  <c r="L470" i="25"/>
  <c r="Z479" i="25"/>
  <c r="R479" i="25"/>
  <c r="J479" i="25"/>
  <c r="AB476" i="25"/>
  <c r="T476" i="25"/>
  <c r="L476" i="25"/>
  <c r="X475" i="25"/>
  <c r="P475" i="25"/>
  <c r="AB474" i="25"/>
  <c r="T474" i="25"/>
  <c r="L474" i="25"/>
  <c r="Z470" i="25"/>
  <c r="R470" i="25"/>
  <c r="J470" i="25"/>
  <c r="N470" i="25"/>
  <c r="V479" i="25"/>
  <c r="T489" i="25"/>
  <c r="T546" i="25"/>
  <c r="P574" i="25"/>
  <c r="V571" i="25"/>
  <c r="N571" i="25"/>
  <c r="Z570" i="25"/>
  <c r="R570" i="25"/>
  <c r="J570" i="25"/>
  <c r="V569" i="25"/>
  <c r="N569" i="25"/>
  <c r="V574" i="25"/>
  <c r="H563" i="25"/>
  <c r="L574" i="25"/>
  <c r="Z571" i="25"/>
  <c r="R571" i="25"/>
  <c r="J571" i="25"/>
  <c r="V570" i="25"/>
  <c r="N570" i="25"/>
  <c r="Z569" i="25"/>
  <c r="R569" i="25"/>
  <c r="J569" i="25"/>
  <c r="X565" i="25"/>
  <c r="P565" i="25"/>
  <c r="AB574" i="25"/>
  <c r="R574" i="25"/>
  <c r="X571" i="25"/>
  <c r="P571" i="25"/>
  <c r="AB570" i="25"/>
  <c r="T570" i="25"/>
  <c r="L570" i="25"/>
  <c r="X569" i="25"/>
  <c r="P569" i="25"/>
  <c r="V565" i="25"/>
  <c r="N565" i="25"/>
  <c r="N574" i="25"/>
  <c r="J565" i="25"/>
  <c r="J574" i="25"/>
  <c r="T571" i="25"/>
  <c r="X570" i="25"/>
  <c r="AB569" i="25"/>
  <c r="L569" i="25"/>
  <c r="T565" i="25"/>
  <c r="Z574" i="25"/>
  <c r="X574" i="25"/>
  <c r="R565" i="25"/>
  <c r="AB565" i="25"/>
  <c r="T574" i="25"/>
  <c r="AB571" i="25"/>
  <c r="L571" i="25"/>
  <c r="P570" i="25"/>
  <c r="T569" i="25"/>
  <c r="N479" i="25"/>
  <c r="L489" i="25"/>
  <c r="AB489" i="25"/>
  <c r="Z555" i="25"/>
  <c r="R555" i="25"/>
  <c r="J555" i="25"/>
  <c r="AB552" i="25"/>
  <c r="T552" i="25"/>
  <c r="L552" i="25"/>
  <c r="X551" i="25"/>
  <c r="P551" i="25"/>
  <c r="AB550" i="25"/>
  <c r="T550" i="25"/>
  <c r="L550" i="25"/>
  <c r="Z546" i="25"/>
  <c r="R546" i="25"/>
  <c r="J546" i="25"/>
  <c r="H544" i="25"/>
  <c r="N551" i="25"/>
  <c r="V550" i="25"/>
  <c r="P555" i="25"/>
  <c r="R552" i="25"/>
  <c r="Z551" i="25"/>
  <c r="L551" i="25"/>
  <c r="P546" i="25"/>
  <c r="AB555" i="25"/>
  <c r="N555" i="25"/>
  <c r="P552" i="25"/>
  <c r="R550" i="25"/>
  <c r="AB546" i="25"/>
  <c r="N546" i="25"/>
  <c r="V551" i="25"/>
  <c r="J551" i="25"/>
  <c r="P550" i="25"/>
  <c r="X555" i="25"/>
  <c r="L555" i="25"/>
  <c r="Z552" i="25"/>
  <c r="N552" i="25"/>
  <c r="T551" i="25"/>
  <c r="X546" i="25"/>
  <c r="L546" i="25"/>
  <c r="V555" i="25"/>
  <c r="X552" i="25"/>
  <c r="Z550" i="25"/>
  <c r="N550" i="25"/>
  <c r="V546" i="25"/>
  <c r="J552" i="25"/>
  <c r="R551" i="25"/>
  <c r="X550" i="25"/>
  <c r="Z565" i="25"/>
  <c r="L512" i="25"/>
  <c r="X513" i="25"/>
  <c r="N517" i="25"/>
  <c r="X517" i="25"/>
  <c r="L527" i="25"/>
  <c r="V527" i="25"/>
  <c r="T532" i="25"/>
  <c r="N533" i="25"/>
  <c r="P508" i="25"/>
  <c r="X508" i="25"/>
  <c r="X512" i="25"/>
  <c r="N513" i="25"/>
  <c r="P514" i="25"/>
  <c r="Z514" i="25"/>
  <c r="Z517" i="25"/>
  <c r="P531" i="25"/>
  <c r="J532" i="25"/>
  <c r="V536" i="25"/>
  <c r="X609" i="25"/>
  <c r="H506" i="25"/>
  <c r="P513" i="25"/>
  <c r="AB514" i="25"/>
  <c r="H525" i="25"/>
  <c r="N527" i="25"/>
  <c r="P533" i="25"/>
  <c r="L536" i="25"/>
  <c r="AB527" i="25"/>
  <c r="V531" i="25"/>
  <c r="N536" i="25"/>
  <c r="AB517" i="25"/>
  <c r="T517" i="25"/>
  <c r="L517" i="25"/>
  <c r="V514" i="25"/>
  <c r="N514" i="25"/>
  <c r="Z513" i="25"/>
  <c r="R513" i="25"/>
  <c r="J513" i="25"/>
  <c r="V512" i="25"/>
  <c r="N512" i="25"/>
  <c r="T512" i="25"/>
  <c r="L514" i="25"/>
  <c r="V517" i="25"/>
  <c r="Z536" i="25"/>
  <c r="R536" i="25"/>
  <c r="J536" i="25"/>
  <c r="AB533" i="25"/>
  <c r="T533" i="25"/>
  <c r="L533" i="25"/>
  <c r="X532" i="25"/>
  <c r="P532" i="25"/>
  <c r="AB531" i="25"/>
  <c r="T531" i="25"/>
  <c r="L531" i="25"/>
  <c r="X536" i="25"/>
  <c r="P536" i="25"/>
  <c r="Z533" i="25"/>
  <c r="R533" i="25"/>
  <c r="J533" i="25"/>
  <c r="V532" i="25"/>
  <c r="N532" i="25"/>
  <c r="Z531" i="25"/>
  <c r="R531" i="25"/>
  <c r="J531" i="25"/>
  <c r="X527" i="25"/>
  <c r="P527" i="25"/>
  <c r="T527" i="25"/>
  <c r="X531" i="25"/>
  <c r="R532" i="25"/>
  <c r="N612" i="25"/>
  <c r="H601" i="25"/>
  <c r="V612" i="25"/>
  <c r="L612" i="25"/>
  <c r="Z609" i="25"/>
  <c r="R609" i="25"/>
  <c r="J609" i="25"/>
  <c r="V608" i="25"/>
  <c r="N608" i="25"/>
  <c r="Z607" i="25"/>
  <c r="R607" i="25"/>
  <c r="J607" i="25"/>
  <c r="X603" i="25"/>
  <c r="P603" i="25"/>
  <c r="T612" i="25"/>
  <c r="Z612" i="25"/>
  <c r="J612" i="25"/>
  <c r="L609" i="25"/>
  <c r="R608" i="25"/>
  <c r="X607" i="25"/>
  <c r="J603" i="25"/>
  <c r="V609" i="25"/>
  <c r="AB608" i="25"/>
  <c r="L607" i="25"/>
  <c r="T603" i="25"/>
  <c r="X612" i="25"/>
  <c r="P608" i="25"/>
  <c r="V607" i="25"/>
  <c r="T609" i="25"/>
  <c r="Z608" i="25"/>
  <c r="L608" i="25"/>
  <c r="R603" i="25"/>
  <c r="R612" i="25"/>
  <c r="P609" i="25"/>
  <c r="T607" i="25"/>
  <c r="AB603" i="25"/>
  <c r="N603" i="25"/>
  <c r="X608" i="25"/>
  <c r="J608" i="25"/>
  <c r="P607" i="25"/>
  <c r="AB612" i="25"/>
  <c r="P612" i="25"/>
  <c r="AB609" i="25"/>
  <c r="N609" i="25"/>
  <c r="T608" i="25"/>
  <c r="Z603" i="25"/>
  <c r="L603" i="25"/>
  <c r="AB607" i="25"/>
  <c r="N584" i="25"/>
  <c r="N593" i="25"/>
  <c r="Z593" i="25"/>
  <c r="R593" i="25"/>
  <c r="J593" i="25"/>
  <c r="AB590" i="25"/>
  <c r="T590" i="25"/>
  <c r="L590" i="25"/>
  <c r="X589" i="25"/>
  <c r="P589" i="25"/>
  <c r="AB588" i="25"/>
  <c r="T588" i="25"/>
  <c r="L588" i="25"/>
  <c r="Z584" i="25"/>
  <c r="R584" i="25"/>
  <c r="J584" i="25"/>
  <c r="X593" i="25"/>
  <c r="P593" i="25"/>
  <c r="Z590" i="25"/>
  <c r="R590" i="25"/>
  <c r="J590" i="25"/>
  <c r="V589" i="25"/>
  <c r="N589" i="25"/>
  <c r="Z588" i="25"/>
  <c r="R588" i="25"/>
  <c r="J588" i="25"/>
  <c r="P584" i="25"/>
  <c r="V588" i="25"/>
  <c r="L589" i="25"/>
  <c r="N590" i="25"/>
  <c r="X590" i="25"/>
  <c r="T593" i="25"/>
  <c r="P622" i="25"/>
  <c r="AB626" i="25"/>
  <c r="T628" i="25"/>
  <c r="L631" i="25"/>
  <c r="H658" i="25"/>
  <c r="Z631" i="25"/>
  <c r="P631" i="25"/>
  <c r="V628" i="25"/>
  <c r="N628" i="25"/>
  <c r="Z627" i="25"/>
  <c r="R627" i="25"/>
  <c r="J627" i="25"/>
  <c r="V626" i="25"/>
  <c r="N626" i="25"/>
  <c r="AB622" i="25"/>
  <c r="T622" i="25"/>
  <c r="L622" i="25"/>
  <c r="V631" i="25"/>
  <c r="R622" i="25"/>
  <c r="R626" i="25"/>
  <c r="T627" i="25"/>
  <c r="J628" i="25"/>
  <c r="N631" i="25"/>
  <c r="T626" i="25"/>
  <c r="L628" i="25"/>
  <c r="AB631" i="25"/>
  <c r="V650" i="25"/>
  <c r="L650" i="25"/>
  <c r="Z647" i="25"/>
  <c r="R647" i="25"/>
  <c r="J647" i="25"/>
  <c r="V646" i="25"/>
  <c r="N646" i="25"/>
  <c r="Z645" i="25"/>
  <c r="R645" i="25"/>
  <c r="J645" i="25"/>
  <c r="X641" i="25"/>
  <c r="P641" i="25"/>
  <c r="Z641" i="25"/>
  <c r="L645" i="25"/>
  <c r="V645" i="25"/>
  <c r="L646" i="25"/>
  <c r="X646" i="25"/>
  <c r="N647" i="25"/>
  <c r="X647" i="25"/>
  <c r="R650" i="25"/>
  <c r="T641" i="25"/>
  <c r="J650" i="25"/>
  <c r="X650" i="25"/>
  <c r="AB669" i="25"/>
  <c r="T669" i="25"/>
  <c r="L669" i="25"/>
  <c r="V666" i="25"/>
  <c r="N666" i="25"/>
  <c r="Z665" i="25"/>
  <c r="R665" i="25"/>
  <c r="J665" i="25"/>
  <c r="V664" i="25"/>
  <c r="N664" i="25"/>
  <c r="AB660" i="25"/>
  <c r="T660" i="25"/>
  <c r="L660" i="25"/>
  <c r="Z669" i="25"/>
  <c r="R669" i="25"/>
  <c r="J669" i="25"/>
  <c r="AB666" i="25"/>
  <c r="T666" i="25"/>
  <c r="L666" i="25"/>
  <c r="X665" i="25"/>
  <c r="P665" i="25"/>
  <c r="AB664" i="25"/>
  <c r="T664" i="25"/>
  <c r="L664" i="25"/>
  <c r="Z660" i="25"/>
  <c r="R660" i="25"/>
  <c r="J660" i="25"/>
  <c r="V660" i="25"/>
  <c r="J688" i="25"/>
  <c r="AB685" i="25"/>
  <c r="P684" i="25"/>
  <c r="T688" i="25"/>
  <c r="Z685" i="25"/>
  <c r="P685" i="25"/>
  <c r="Z684" i="25"/>
  <c r="N684" i="25"/>
  <c r="X683" i="25"/>
  <c r="N683" i="25"/>
  <c r="T679" i="25"/>
  <c r="J679" i="25"/>
  <c r="R688" i="25"/>
  <c r="X684" i="25"/>
  <c r="L683" i="25"/>
  <c r="R679" i="25"/>
  <c r="H677" i="25"/>
  <c r="X679" i="25"/>
  <c r="L684" i="25"/>
  <c r="J685" i="25"/>
  <c r="R683" i="25"/>
  <c r="R684" i="25"/>
  <c r="L685" i="25"/>
  <c r="X688" i="25"/>
  <c r="T698" i="25"/>
  <c r="AB707" i="25"/>
  <c r="T707" i="25"/>
  <c r="L707" i="25"/>
  <c r="V704" i="25"/>
  <c r="N704" i="25"/>
  <c r="Z703" i="25"/>
  <c r="R703" i="25"/>
  <c r="J703" i="25"/>
  <c r="V702" i="25"/>
  <c r="N702" i="25"/>
  <c r="Z707" i="25"/>
  <c r="R707" i="25"/>
  <c r="J707" i="25"/>
  <c r="AB704" i="25"/>
  <c r="T704" i="25"/>
  <c r="L704" i="25"/>
  <c r="X703" i="25"/>
  <c r="P703" i="25"/>
  <c r="AB702" i="25"/>
  <c r="T702" i="25"/>
  <c r="L702" i="25"/>
  <c r="Z698" i="25"/>
  <c r="R698" i="25"/>
  <c r="J698" i="25"/>
  <c r="X707" i="25"/>
  <c r="P707" i="25"/>
  <c r="Z704" i="25"/>
  <c r="R704" i="25"/>
  <c r="J704" i="25"/>
  <c r="V703" i="25"/>
  <c r="N703" i="25"/>
  <c r="Z702" i="25"/>
  <c r="R702" i="25"/>
  <c r="J702" i="25"/>
  <c r="X698" i="25"/>
  <c r="P698" i="25"/>
  <c r="V707" i="25"/>
  <c r="N707" i="25"/>
  <c r="X704" i="25"/>
  <c r="P704" i="25"/>
  <c r="AB703" i="25"/>
  <c r="T703" i="25"/>
  <c r="L703" i="25"/>
  <c r="X702" i="25"/>
  <c r="P702" i="25"/>
  <c r="AB726" i="25"/>
  <c r="T726" i="25"/>
  <c r="L726" i="25"/>
  <c r="V723" i="25"/>
  <c r="N723" i="25"/>
  <c r="Z722" i="25"/>
  <c r="R722" i="25"/>
  <c r="Z726" i="25"/>
  <c r="R726" i="25"/>
  <c r="J726" i="25"/>
  <c r="AB723" i="25"/>
  <c r="T723" i="25"/>
  <c r="L723" i="25"/>
  <c r="X722" i="25"/>
  <c r="P722" i="25"/>
  <c r="AB721" i="25"/>
  <c r="T721" i="25"/>
  <c r="L721" i="25"/>
  <c r="V726" i="25"/>
  <c r="N726" i="25"/>
  <c r="X723" i="25"/>
  <c r="P723" i="25"/>
  <c r="AB722" i="25"/>
  <c r="T722" i="25"/>
  <c r="L722" i="25"/>
  <c r="X721" i="25"/>
  <c r="P721" i="25"/>
  <c r="N721" i="25"/>
  <c r="J722" i="25"/>
  <c r="J723" i="25"/>
  <c r="X726" i="25"/>
  <c r="N717" i="25"/>
  <c r="V717" i="25"/>
  <c r="H734" i="25"/>
  <c r="R721" i="25"/>
  <c r="N722" i="25"/>
  <c r="H715" i="25"/>
  <c r="V721" i="25"/>
  <c r="J721" i="25"/>
  <c r="Z721" i="25"/>
  <c r="Z723" i="25"/>
  <c r="L755" i="25"/>
  <c r="T755" i="25"/>
  <c r="AB755" i="25"/>
  <c r="N759" i="25"/>
  <c r="V759" i="25"/>
  <c r="J760" i="25"/>
  <c r="R760" i="25"/>
  <c r="Z760" i="25"/>
  <c r="N761" i="25"/>
  <c r="V761" i="25"/>
  <c r="L764" i="25"/>
  <c r="T764" i="25"/>
  <c r="AB764" i="25"/>
  <c r="P740" i="25"/>
  <c r="X740" i="25"/>
  <c r="L741" i="25"/>
  <c r="T741" i="25"/>
  <c r="AB741" i="25"/>
  <c r="P742" i="25"/>
  <c r="X742" i="25"/>
  <c r="N745" i="25"/>
  <c r="V745" i="25"/>
  <c r="N755" i="25"/>
  <c r="V755" i="25"/>
  <c r="P759" i="25"/>
  <c r="X759" i="25"/>
  <c r="L760" i="25"/>
  <c r="T760" i="25"/>
  <c r="AB760" i="25"/>
  <c r="P761" i="25"/>
  <c r="X761" i="25"/>
  <c r="N764" i="25"/>
  <c r="V764" i="25"/>
  <c r="P736" i="25"/>
  <c r="X736" i="25"/>
  <c r="J740" i="25"/>
  <c r="R740" i="25"/>
  <c r="Z740" i="25"/>
  <c r="N741" i="25"/>
  <c r="V741" i="25"/>
  <c r="J742" i="25"/>
  <c r="R742" i="25"/>
  <c r="Z742" i="25"/>
  <c r="P745" i="25"/>
  <c r="X745" i="25"/>
  <c r="P755" i="25"/>
  <c r="X755" i="25"/>
  <c r="J759" i="25"/>
  <c r="R759" i="25"/>
  <c r="Z759" i="25"/>
  <c r="N760" i="25"/>
  <c r="V760" i="25"/>
  <c r="J761" i="25"/>
  <c r="R761" i="25"/>
  <c r="Z761" i="25"/>
  <c r="P764" i="25"/>
  <c r="X764" i="25"/>
  <c r="J755" i="25"/>
  <c r="R755" i="25"/>
  <c r="Z755" i="25"/>
  <c r="L759" i="25"/>
  <c r="T759" i="25"/>
  <c r="AB759" i="25"/>
  <c r="P760" i="25"/>
  <c r="X760" i="25"/>
  <c r="L761" i="25"/>
  <c r="T761" i="25"/>
  <c r="AB761" i="25"/>
  <c r="J764" i="25"/>
  <c r="R764" i="25"/>
  <c r="Z764" i="25"/>
  <c r="L736" i="25"/>
  <c r="T736" i="25"/>
  <c r="AB736" i="25"/>
  <c r="N740" i="25"/>
  <c r="V740" i="25"/>
  <c r="J741" i="25"/>
  <c r="R741" i="25"/>
  <c r="Z741" i="25"/>
  <c r="N742" i="25"/>
  <c r="V742" i="25"/>
  <c r="L745" i="25"/>
  <c r="T745" i="25"/>
  <c r="AD751" i="25" l="1"/>
  <c r="AD733" i="25"/>
  <c r="AD510" i="25"/>
  <c r="AB8" i="25"/>
  <c r="V8" i="25"/>
  <c r="X8" i="25"/>
  <c r="Z8" i="25"/>
  <c r="T8" i="25"/>
  <c r="I8" i="25"/>
  <c r="H82" i="6" l="1"/>
  <c r="H83" i="6" s="1"/>
  <c r="R8" i="25" l="1"/>
  <c r="P8" i="25"/>
  <c r="N8" i="25"/>
  <c r="L8" i="25"/>
  <c r="K125" i="6"/>
  <c r="J125" i="6"/>
  <c r="I125" i="6"/>
  <c r="H125" i="6"/>
  <c r="M125" i="6" l="1"/>
  <c r="L125" i="6"/>
  <c r="N125" i="6"/>
  <c r="O125" i="6" l="1"/>
  <c r="G111" i="5"/>
  <c r="H111" i="5"/>
  <c r="I111" i="5"/>
  <c r="J111" i="5"/>
  <c r="K111" i="5"/>
  <c r="L111" i="5"/>
  <c r="M111" i="5"/>
  <c r="N111" i="5"/>
  <c r="O111" i="5"/>
  <c r="J118" i="5" l="1"/>
  <c r="J83" i="30"/>
  <c r="I118" i="5"/>
  <c r="I83" i="30"/>
  <c r="F111" i="5"/>
  <c r="F83" i="30" s="1"/>
  <c r="H118" i="5"/>
  <c r="H83" i="30"/>
  <c r="L118" i="5"/>
  <c r="L83" i="30"/>
  <c r="O118" i="5"/>
  <c r="O83" i="30"/>
  <c r="G118" i="5"/>
  <c r="G83" i="30"/>
  <c r="K118" i="5"/>
  <c r="K83" i="30"/>
  <c r="N118" i="5"/>
  <c r="N83" i="30"/>
  <c r="M118" i="5"/>
  <c r="M83" i="30"/>
  <c r="H21" i="2"/>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I26" i="1"/>
  <c r="Y38" i="6"/>
  <c r="Y39" i="6"/>
  <c r="Y40" i="6"/>
  <c r="Y41" i="6"/>
  <c r="Y42" i="6"/>
  <c r="Y43" i="6"/>
  <c r="Y44" i="6"/>
  <c r="Y45" i="6"/>
  <c r="Y46" i="6"/>
  <c r="Y47" i="6"/>
  <c r="Y48" i="6"/>
  <c r="Y49" i="6"/>
  <c r="Y50" i="6"/>
  <c r="Y51" i="6"/>
  <c r="Y52" i="6"/>
  <c r="Y53" i="6"/>
  <c r="Y54" i="6"/>
  <c r="Y55" i="6"/>
  <c r="Y56" i="6"/>
  <c r="Y37" i="6"/>
  <c r="X38" i="6"/>
  <c r="X39" i="6"/>
  <c r="X40" i="6"/>
  <c r="X41" i="6"/>
  <c r="X42" i="6"/>
  <c r="X43" i="6"/>
  <c r="X44" i="6"/>
  <c r="X45" i="6"/>
  <c r="X46" i="6"/>
  <c r="X47" i="6"/>
  <c r="X48" i="6"/>
  <c r="X49" i="6"/>
  <c r="X50" i="6"/>
  <c r="X51" i="6"/>
  <c r="X52" i="6"/>
  <c r="X53" i="6"/>
  <c r="X54" i="6"/>
  <c r="X55" i="6"/>
  <c r="X56" i="6"/>
  <c r="X37" i="6"/>
  <c r="J8" i="25"/>
  <c r="P83" i="30" l="1"/>
  <c r="L23" i="25"/>
  <c r="J23" i="25"/>
  <c r="E102" i="30" l="1"/>
  <c r="E103" i="30"/>
  <c r="E104" i="30"/>
  <c r="E105" i="30"/>
  <c r="E101" i="30"/>
  <c r="G115" i="30"/>
  <c r="G116" i="30"/>
  <c r="E38" i="30"/>
  <c r="H31" i="30" s="1"/>
  <c r="B392" i="25" l="1"/>
  <c r="AD771" i="25"/>
  <c r="AD752" i="25"/>
  <c r="AD714" i="25"/>
  <c r="AD695" i="25"/>
  <c r="AD676" i="25"/>
  <c r="AD657" i="25"/>
  <c r="AD638" i="25"/>
  <c r="AD619" i="25"/>
  <c r="AD600" i="25"/>
  <c r="AD581" i="25"/>
  <c r="AD562" i="25"/>
  <c r="AD543" i="25"/>
  <c r="AD524" i="25"/>
  <c r="AD505" i="25"/>
  <c r="AD486" i="25"/>
  <c r="AD467" i="25"/>
  <c r="AD410" i="25"/>
  <c r="AD390" i="25"/>
  <c r="AD389" i="25"/>
  <c r="F160" i="30"/>
  <c r="S109" i="30"/>
  <c r="I21" i="30"/>
  <c r="B160" i="30" a="1"/>
  <c r="B160" i="30" s="1"/>
  <c r="B41" i="30"/>
  <c r="D15" i="30"/>
  <c r="D13" i="30"/>
  <c r="D11" i="30"/>
  <c r="I31" i="5" l="1"/>
  <c r="I30" i="5"/>
  <c r="C33" i="5"/>
  <c r="C31" i="5"/>
  <c r="O42" i="5"/>
  <c r="A3" i="2"/>
  <c r="AD79" i="2"/>
  <c r="AC79" i="2"/>
  <c r="H81" i="2"/>
  <c r="AC50" i="2"/>
  <c r="AC18" i="2"/>
  <c r="AD51" i="2"/>
  <c r="H74" i="2"/>
  <c r="J52" i="2"/>
  <c r="H42" i="2"/>
  <c r="AD19" i="2"/>
  <c r="AC19" i="2"/>
  <c r="J20" i="2"/>
  <c r="F139" i="5" l="1"/>
  <c r="O48" i="5"/>
  <c r="O45" i="5"/>
  <c r="O46" i="5"/>
  <c r="O47" i="5"/>
  <c r="O44" i="5"/>
  <c r="P172" i="5"/>
  <c r="P117" i="5"/>
  <c r="P100" i="5"/>
  <c r="P88" i="5"/>
  <c r="G7" i="25" l="1"/>
  <c r="F7" i="25"/>
  <c r="E7" i="25"/>
  <c r="D7" i="25"/>
  <c r="B7" i="25"/>
  <c r="AD386" i="25"/>
  <c r="AD367" i="25"/>
  <c r="AD348" i="25"/>
  <c r="AD329" i="25"/>
  <c r="AD310" i="25"/>
  <c r="AD291" i="25"/>
  <c r="AD272" i="25"/>
  <c r="AD253" i="25"/>
  <c r="AD234" i="25"/>
  <c r="AD215" i="25"/>
  <c r="AD196" i="25"/>
  <c r="AD177" i="25"/>
  <c r="AD158" i="25"/>
  <c r="AD139" i="25"/>
  <c r="AD120" i="25"/>
  <c r="AD101" i="25"/>
  <c r="AD82" i="25"/>
  <c r="Z9" i="25" l="1"/>
  <c r="V18" i="25"/>
  <c r="T15" i="25"/>
  <c r="R14" i="25"/>
  <c r="T18" i="25"/>
  <c r="R15" i="25"/>
  <c r="P14" i="25"/>
  <c r="N13" i="25"/>
  <c r="T13" i="25"/>
  <c r="R18" i="25"/>
  <c r="P15" i="25"/>
  <c r="N14" i="25"/>
  <c r="L13" i="25"/>
  <c r="V9" i="25"/>
  <c r="P18" i="25"/>
  <c r="N15" i="25"/>
  <c r="L14" i="25"/>
  <c r="J13" i="25"/>
  <c r="T9" i="25"/>
  <c r="N18" i="25"/>
  <c r="L15" i="25"/>
  <c r="J14" i="25"/>
  <c r="R9" i="25"/>
  <c r="V14" i="25"/>
  <c r="N9" i="25"/>
  <c r="L18" i="25"/>
  <c r="J15" i="25"/>
  <c r="V13" i="25"/>
  <c r="P9" i="25"/>
  <c r="V15" i="25"/>
  <c r="T14" i="25"/>
  <c r="R13" i="25"/>
  <c r="L9" i="25"/>
  <c r="P13" i="25"/>
  <c r="J9" i="25"/>
  <c r="J18" i="25"/>
  <c r="X15" i="25"/>
  <c r="Z15" i="25"/>
  <c r="AB14" i="25"/>
  <c r="H7" i="25"/>
  <c r="AB15" i="25"/>
  <c r="X14" i="25"/>
  <c r="AB13" i="25"/>
  <c r="Z18" i="25"/>
  <c r="X9" i="25"/>
  <c r="X18" i="25"/>
  <c r="X13" i="25"/>
  <c r="Z14" i="25"/>
  <c r="AB18" i="25"/>
  <c r="AB9" i="25"/>
  <c r="Z13" i="25"/>
  <c r="AD25" i="25" l="1"/>
  <c r="H67" i="6"/>
  <c r="H66" i="6"/>
  <c r="H65" i="6"/>
  <c r="H64" i="6"/>
  <c r="H63" i="6"/>
  <c r="H62" i="6"/>
  <c r="H61" i="6"/>
  <c r="H60" i="6"/>
  <c r="H59" i="6"/>
  <c r="H58" i="6"/>
  <c r="H57" i="6"/>
  <c r="H56" i="6"/>
  <c r="H55" i="6"/>
  <c r="H54" i="6"/>
  <c r="H53" i="6"/>
  <c r="AC6" i="25"/>
  <c r="AA6" i="25"/>
  <c r="Y6" i="25"/>
  <c r="W6" i="25"/>
  <c r="U6" i="25"/>
  <c r="S6" i="25"/>
  <c r="Q6" i="25"/>
  <c r="O6" i="25"/>
  <c r="M6" i="25"/>
  <c r="K6" i="25"/>
  <c r="AD5" i="25"/>
  <c r="AB52" i="2" l="1"/>
  <c r="AA52" i="2"/>
  <c r="Z52" i="2"/>
  <c r="Y52" i="2"/>
  <c r="X52" i="2"/>
  <c r="W52" i="2"/>
  <c r="V52" i="2"/>
  <c r="U52" i="2"/>
  <c r="T52" i="2"/>
  <c r="S52" i="2"/>
  <c r="R52" i="2"/>
  <c r="Q52" i="2"/>
  <c r="P52" i="2"/>
  <c r="O52" i="2"/>
  <c r="N52" i="2"/>
  <c r="M52" i="2"/>
  <c r="L52" i="2"/>
  <c r="K52" i="2"/>
  <c r="H52" i="2"/>
  <c r="H22" i="2"/>
  <c r="H23" i="2"/>
  <c r="H24" i="2"/>
  <c r="H25" i="2"/>
  <c r="H26" i="2"/>
  <c r="H27" i="2"/>
  <c r="H28" i="2"/>
  <c r="H29" i="2"/>
  <c r="H30" i="2"/>
  <c r="H31" i="2"/>
  <c r="H32" i="2"/>
  <c r="H33" i="2"/>
  <c r="H34" i="2"/>
  <c r="H35" i="2"/>
  <c r="H36" i="2"/>
  <c r="H37" i="2"/>
  <c r="H38" i="2"/>
  <c r="H39" i="2"/>
  <c r="H40" i="2"/>
  <c r="AC20" i="2"/>
  <c r="AB20" i="2"/>
  <c r="AA20" i="2"/>
  <c r="Z20" i="2"/>
  <c r="Y20" i="2"/>
  <c r="X20" i="2"/>
  <c r="W20" i="2"/>
  <c r="V20" i="2"/>
  <c r="U20" i="2"/>
  <c r="T20" i="2"/>
  <c r="S20" i="2"/>
  <c r="R20" i="2"/>
  <c r="Q20" i="2"/>
  <c r="P20" i="2"/>
  <c r="O20" i="2"/>
  <c r="N20" i="2"/>
  <c r="M20" i="2"/>
  <c r="L20" i="2"/>
  <c r="K20" i="2"/>
  <c r="H20" i="2"/>
  <c r="L39" i="6" l="1"/>
  <c r="W23" i="1"/>
  <c r="F95" i="5" l="1"/>
  <c r="F67" i="30" s="1"/>
  <c r="H15" i="2" l="1"/>
  <c r="A176" i="30" l="1"/>
  <c r="B30" i="20" l="1"/>
  <c r="C6" i="20"/>
  <c r="I74" i="30" l="1"/>
  <c r="H74" i="30"/>
  <c r="O74" i="30"/>
  <c r="G74" i="30"/>
  <c r="F74" i="30"/>
  <c r="N74" i="30"/>
  <c r="M74" i="30"/>
  <c r="L74" i="30"/>
  <c r="K74" i="30"/>
  <c r="J74" i="30"/>
  <c r="J75" i="30"/>
  <c r="K75" i="30"/>
  <c r="L75" i="30"/>
  <c r="M75" i="30"/>
  <c r="F75" i="30"/>
  <c r="N75" i="30"/>
  <c r="G75" i="30"/>
  <c r="O75" i="30"/>
  <c r="H75" i="30"/>
  <c r="I75" i="30"/>
  <c r="F76" i="30"/>
  <c r="N76" i="30"/>
  <c r="G76" i="30"/>
  <c r="O76" i="30"/>
  <c r="I76" i="30"/>
  <c r="H76" i="30"/>
  <c r="J76" i="30"/>
  <c r="K76" i="30"/>
  <c r="L76" i="30"/>
  <c r="M76" i="30"/>
  <c r="F73" i="30" l="1"/>
  <c r="P75" i="30"/>
  <c r="P76" i="30"/>
  <c r="P74" i="30"/>
  <c r="D25" i="5"/>
  <c r="G77" i="30"/>
  <c r="H77" i="30"/>
  <c r="I77" i="30"/>
  <c r="J77" i="30"/>
  <c r="K77" i="30"/>
  <c r="L77" i="30"/>
  <c r="M77" i="30"/>
  <c r="N77" i="30"/>
  <c r="O77" i="30"/>
  <c r="F77" i="30"/>
  <c r="F78" i="30"/>
  <c r="G78" i="30"/>
  <c r="H78" i="30"/>
  <c r="I78" i="30"/>
  <c r="J78" i="30"/>
  <c r="K78" i="30"/>
  <c r="L78" i="30"/>
  <c r="M78" i="30"/>
  <c r="N78" i="30"/>
  <c r="O78" i="30"/>
  <c r="E134" i="5"/>
  <c r="D12" i="5"/>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D10" i="5"/>
  <c r="D9" i="30" s="1"/>
  <c r="D18" i="5"/>
  <c r="D19" i="30"/>
  <c r="D22" i="5"/>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P46" i="30"/>
  <c r="B40" i="9"/>
  <c r="I22" i="5"/>
  <c r="D14" i="5"/>
  <c r="D16" i="5"/>
  <c r="E28" i="5"/>
  <c r="E27" i="30" s="1"/>
  <c r="F28" i="5"/>
  <c r="F27" i="30" s="1"/>
  <c r="G28" i="5"/>
  <c r="G27" i="30" s="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M5" i="6"/>
  <c r="J5" i="6"/>
  <c r="J6" i="6" s="1"/>
  <c r="J7" i="6" s="1"/>
  <c r="J8" i="6" s="1"/>
  <c r="J9" i="6" s="1"/>
  <c r="J10" i="6" s="1"/>
  <c r="J11" i="6" s="1"/>
  <c r="J12" i="6" s="1"/>
  <c r="J13" i="6" s="1"/>
  <c r="J14" i="6" s="1"/>
  <c r="J15" i="6" s="1"/>
  <c r="J16" i="6" s="1"/>
  <c r="J17" i="6" s="1"/>
  <c r="J18" i="6" s="1"/>
  <c r="J19" i="6" s="1"/>
  <c r="J20" i="6" s="1"/>
  <c r="J21" i="6" s="1"/>
  <c r="J22" i="6" s="1"/>
  <c r="D28" i="5"/>
  <c r="D27" i="30" s="1"/>
  <c r="F25" i="5"/>
  <c r="F24" i="30" s="1"/>
  <c r="G25" i="5"/>
  <c r="G24" i="30" s="1"/>
  <c r="E25" i="5"/>
  <c r="E24" i="30" s="1"/>
  <c r="V30" i="6"/>
  <c r="V31" i="6"/>
  <c r="V29" i="6"/>
  <c r="B22" i="9"/>
  <c r="B39" i="9" s="1"/>
  <c r="D22" i="9"/>
  <c r="K13" i="9"/>
  <c r="D13" i="9"/>
  <c r="I25" i="5"/>
  <c r="D14" i="9"/>
  <c r="F91" i="5"/>
  <c r="F62" i="5"/>
  <c r="H5" i="6"/>
  <c r="H6" i="6" s="1"/>
  <c r="H7" i="6" s="1"/>
  <c r="H8" i="6" s="1"/>
  <c r="H9" i="6" s="1"/>
  <c r="H10" i="6" s="1"/>
  <c r="H11" i="6" s="1"/>
  <c r="H12" i="6" s="1"/>
  <c r="H13" i="6" s="1"/>
  <c r="H14" i="6" s="1"/>
  <c r="H15" i="6" s="1"/>
  <c r="H16" i="6" s="1"/>
  <c r="H17" i="6" s="1"/>
  <c r="H18" i="6" s="1"/>
  <c r="H19" i="6" s="1"/>
  <c r="H20" i="6" s="1"/>
  <c r="H21" i="6" s="1"/>
  <c r="H22" i="6" s="1"/>
  <c r="I45" i="37" l="1"/>
  <c r="R52" i="37"/>
  <c r="Q59" i="37"/>
  <c r="Q47" i="37"/>
  <c r="P54" i="37"/>
  <c r="O61" i="37"/>
  <c r="O49" i="37"/>
  <c r="N56" i="37"/>
  <c r="M63" i="37"/>
  <c r="M51" i="37"/>
  <c r="L58" i="37"/>
  <c r="L46" i="37"/>
  <c r="K53" i="37"/>
  <c r="J60" i="37"/>
  <c r="J48" i="37"/>
  <c r="I55" i="37"/>
  <c r="R33" i="37"/>
  <c r="R21" i="37"/>
  <c r="Q28" i="37"/>
  <c r="P35" i="37"/>
  <c r="P23" i="37"/>
  <c r="O30" i="37"/>
  <c r="O18" i="37"/>
  <c r="N25" i="37"/>
  <c r="M32" i="37"/>
  <c r="M20" i="37"/>
  <c r="L27" i="37"/>
  <c r="K34" i="37"/>
  <c r="K22" i="37"/>
  <c r="J29" i="37"/>
  <c r="J17" i="37"/>
  <c r="I25" i="37"/>
  <c r="K52" i="37"/>
  <c r="R32" i="37"/>
  <c r="Q27" i="37"/>
  <c r="P22" i="37"/>
  <c r="O17" i="37"/>
  <c r="N24" i="37"/>
  <c r="M19" i="37"/>
  <c r="L26" i="37"/>
  <c r="K21" i="37"/>
  <c r="I35" i="37"/>
  <c r="I24" i="37"/>
  <c r="P45" i="37"/>
  <c r="L49" i="37"/>
  <c r="R24" i="37"/>
  <c r="N28" i="37"/>
  <c r="Q61" i="37"/>
  <c r="N46" i="37"/>
  <c r="J62" i="37"/>
  <c r="P25" i="37"/>
  <c r="L17" i="37"/>
  <c r="O50" i="37"/>
  <c r="L59" i="37"/>
  <c r="R34" i="37"/>
  <c r="N26" i="37"/>
  <c r="J30" i="37"/>
  <c r="R63" i="37"/>
  <c r="R51" i="37"/>
  <c r="Q58" i="37"/>
  <c r="Q46" i="37"/>
  <c r="P53" i="37"/>
  <c r="O60" i="37"/>
  <c r="O48" i="37"/>
  <c r="N55" i="37"/>
  <c r="M62" i="37"/>
  <c r="M50" i="37"/>
  <c r="L57" i="37"/>
  <c r="L45" i="37"/>
  <c r="J59" i="37"/>
  <c r="J47" i="37"/>
  <c r="I54" i="37"/>
  <c r="R20" i="37"/>
  <c r="P34" i="37"/>
  <c r="O29" i="37"/>
  <c r="M31" i="37"/>
  <c r="K33" i="37"/>
  <c r="J28" i="37"/>
  <c r="J33" i="37"/>
  <c r="O52" i="37"/>
  <c r="Q19" i="37"/>
  <c r="K25" i="37"/>
  <c r="P56" i="37"/>
  <c r="I57" i="37"/>
  <c r="M22" i="37"/>
  <c r="O62" i="37"/>
  <c r="K54" i="37"/>
  <c r="O31" i="37"/>
  <c r="K35" i="37"/>
  <c r="R62" i="37"/>
  <c r="R50" i="37"/>
  <c r="Q57" i="37"/>
  <c r="Q45" i="37"/>
  <c r="P52" i="37"/>
  <c r="O59" i="37"/>
  <c r="O47" i="37"/>
  <c r="N54" i="37"/>
  <c r="M61" i="37"/>
  <c r="M49" i="37"/>
  <c r="L56" i="37"/>
  <c r="K63" i="37"/>
  <c r="K51" i="37"/>
  <c r="J58" i="37"/>
  <c r="J46" i="37"/>
  <c r="I53" i="37"/>
  <c r="R31" i="37"/>
  <c r="R19" i="37"/>
  <c r="Q26" i="37"/>
  <c r="P33" i="37"/>
  <c r="P21" i="37"/>
  <c r="O28" i="37"/>
  <c r="N35" i="37"/>
  <c r="N23" i="37"/>
  <c r="M30" i="37"/>
  <c r="M18" i="37"/>
  <c r="L25" i="37"/>
  <c r="K32" i="37"/>
  <c r="K20" i="37"/>
  <c r="J27" i="37"/>
  <c r="I34" i="37"/>
  <c r="I23" i="37"/>
  <c r="R57" i="37"/>
  <c r="R45" i="37"/>
  <c r="Q52" i="37"/>
  <c r="P59" i="37"/>
  <c r="P47" i="37"/>
  <c r="O54" i="37"/>
  <c r="N61" i="37"/>
  <c r="L51" i="37"/>
  <c r="K46" i="37"/>
  <c r="J53" i="37"/>
  <c r="I48" i="37"/>
  <c r="Q33" i="37"/>
  <c r="O35" i="37"/>
  <c r="M25" i="37"/>
  <c r="J34" i="37"/>
  <c r="P46" i="37"/>
  <c r="K57" i="37"/>
  <c r="R25" i="37"/>
  <c r="O34" i="37"/>
  <c r="M24" i="37"/>
  <c r="I28" i="37"/>
  <c r="P57" i="37"/>
  <c r="M54" i="37"/>
  <c r="I58" i="37"/>
  <c r="O33" i="37"/>
  <c r="L18" i="37"/>
  <c r="Q49" i="37"/>
  <c r="M53" i="37"/>
  <c r="J50" i="37"/>
  <c r="O32" i="37"/>
  <c r="K24" i="37"/>
  <c r="R53" i="37"/>
  <c r="N45" i="37"/>
  <c r="J49" i="37"/>
  <c r="P24" i="37"/>
  <c r="L28" i="37"/>
  <c r="R61" i="37"/>
  <c r="R49" i="37"/>
  <c r="Q56" i="37"/>
  <c r="P63" i="37"/>
  <c r="P51" i="37"/>
  <c r="O58" i="37"/>
  <c r="O46" i="37"/>
  <c r="N53" i="37"/>
  <c r="M60" i="37"/>
  <c r="M48" i="37"/>
  <c r="L55" i="37"/>
  <c r="K62" i="37"/>
  <c r="K50" i="37"/>
  <c r="J57" i="37"/>
  <c r="J45" i="37"/>
  <c r="I52" i="37"/>
  <c r="R30" i="37"/>
  <c r="R18" i="37"/>
  <c r="Q25" i="37"/>
  <c r="P32" i="37"/>
  <c r="P20" i="37"/>
  <c r="O27" i="37"/>
  <c r="N34" i="37"/>
  <c r="N22" i="37"/>
  <c r="M29" i="37"/>
  <c r="M17" i="37"/>
  <c r="L24" i="37"/>
  <c r="K31" i="37"/>
  <c r="K19" i="37"/>
  <c r="J26" i="37"/>
  <c r="I33" i="37"/>
  <c r="I22" i="37"/>
  <c r="M56" i="37"/>
  <c r="R26" i="37"/>
  <c r="N30" i="37"/>
  <c r="L32" i="37"/>
  <c r="I29" i="37"/>
  <c r="R56" i="37"/>
  <c r="O53" i="37"/>
  <c r="M55" i="37"/>
  <c r="J52" i="37"/>
  <c r="Q32" i="37"/>
  <c r="O22" i="37"/>
  <c r="L31" i="37"/>
  <c r="J21" i="37"/>
  <c r="Q50" i="37"/>
  <c r="N47" i="37"/>
  <c r="J63" i="37"/>
  <c r="P26" i="37"/>
  <c r="L30" i="37"/>
  <c r="J32" i="37"/>
  <c r="Q18" i="37"/>
  <c r="J19" i="37"/>
  <c r="Q60" i="37"/>
  <c r="M52" i="37"/>
  <c r="I56" i="37"/>
  <c r="O19" i="37"/>
  <c r="K23" i="37"/>
  <c r="R60" i="37"/>
  <c r="R48" i="37"/>
  <c r="Q55" i="37"/>
  <c r="P62" i="37"/>
  <c r="P50" i="37"/>
  <c r="O57" i="37"/>
  <c r="O45" i="37"/>
  <c r="N52" i="37"/>
  <c r="M59" i="37"/>
  <c r="M47" i="37"/>
  <c r="L54" i="37"/>
  <c r="K61" i="37"/>
  <c r="K49" i="37"/>
  <c r="J56" i="37"/>
  <c r="I63" i="37"/>
  <c r="I51" i="37"/>
  <c r="R29" i="37"/>
  <c r="R17" i="37"/>
  <c r="Q24" i="37"/>
  <c r="P31" i="37"/>
  <c r="P19" i="37"/>
  <c r="O26" i="37"/>
  <c r="N33" i="37"/>
  <c r="N21" i="37"/>
  <c r="M28" i="37"/>
  <c r="L35" i="37"/>
  <c r="L23" i="37"/>
  <c r="K30" i="37"/>
  <c r="K18" i="37"/>
  <c r="J25" i="37"/>
  <c r="I32" i="37"/>
  <c r="I21" i="37"/>
  <c r="K58" i="37"/>
  <c r="P28" i="37"/>
  <c r="L20" i="37"/>
  <c r="Q63" i="37"/>
  <c r="L50" i="37"/>
  <c r="I59" i="37"/>
  <c r="P27" i="37"/>
  <c r="K26" i="37"/>
  <c r="N59" i="37"/>
  <c r="K56" i="37"/>
  <c r="Q31" i="37"/>
  <c r="M35" i="37"/>
  <c r="I27" i="37"/>
  <c r="O63" i="37"/>
  <c r="L48" i="37"/>
  <c r="Q30" i="37"/>
  <c r="M34" i="37"/>
  <c r="I26" i="37"/>
  <c r="N57" i="37"/>
  <c r="J61" i="37"/>
  <c r="Q29" i="37"/>
  <c r="M33" i="37"/>
  <c r="J18" i="37"/>
  <c r="R59" i="37"/>
  <c r="R47" i="37"/>
  <c r="Q54" i="37"/>
  <c r="P61" i="37"/>
  <c r="P49" i="37"/>
  <c r="O56" i="37"/>
  <c r="N63" i="37"/>
  <c r="N51" i="37"/>
  <c r="M58" i="37"/>
  <c r="M46" i="37"/>
  <c r="L53" i="37"/>
  <c r="K60" i="37"/>
  <c r="K48" i="37"/>
  <c r="J55" i="37"/>
  <c r="I62" i="37"/>
  <c r="I50" i="37"/>
  <c r="R28" i="37"/>
  <c r="Q35" i="37"/>
  <c r="Q23" i="37"/>
  <c r="P30" i="37"/>
  <c r="P18" i="37"/>
  <c r="O25" i="37"/>
  <c r="N32" i="37"/>
  <c r="N20" i="37"/>
  <c r="M27" i="37"/>
  <c r="L34" i="37"/>
  <c r="L22" i="37"/>
  <c r="K29" i="37"/>
  <c r="K17" i="37"/>
  <c r="J24" i="37"/>
  <c r="I31" i="37"/>
  <c r="I20" i="37"/>
  <c r="L63" i="37"/>
  <c r="O23" i="37"/>
  <c r="J22" i="37"/>
  <c r="Q51" i="37"/>
  <c r="L62" i="37"/>
  <c r="I47" i="37"/>
  <c r="N17" i="37"/>
  <c r="Q62" i="37"/>
  <c r="J51" i="37"/>
  <c r="O21" i="37"/>
  <c r="J20" i="37"/>
  <c r="O51" i="37"/>
  <c r="K55" i="37"/>
  <c r="O20" i="37"/>
  <c r="J31" i="37"/>
  <c r="P55" i="37"/>
  <c r="L47" i="37"/>
  <c r="Q17" i="37"/>
  <c r="M21" i="37"/>
  <c r="I18" i="37"/>
  <c r="R58" i="37"/>
  <c r="R46" i="37"/>
  <c r="Q53" i="37"/>
  <c r="P60" i="37"/>
  <c r="P48" i="37"/>
  <c r="O55" i="37"/>
  <c r="N62" i="37"/>
  <c r="N50" i="37"/>
  <c r="M57" i="37"/>
  <c r="M45" i="37"/>
  <c r="L52" i="37"/>
  <c r="K59" i="37"/>
  <c r="K47" i="37"/>
  <c r="J54" i="37"/>
  <c r="I61" i="37"/>
  <c r="I49" i="37"/>
  <c r="R27" i="37"/>
  <c r="Q34" i="37"/>
  <c r="Q22" i="37"/>
  <c r="P29" i="37"/>
  <c r="P17" i="37"/>
  <c r="O24" i="37"/>
  <c r="N31" i="37"/>
  <c r="N19" i="37"/>
  <c r="M26" i="37"/>
  <c r="L33" i="37"/>
  <c r="L21" i="37"/>
  <c r="K28" i="37"/>
  <c r="J35" i="37"/>
  <c r="J23" i="37"/>
  <c r="I30" i="37"/>
  <c r="I19" i="37"/>
  <c r="N49" i="37"/>
  <c r="I60" i="37"/>
  <c r="Q21" i="37"/>
  <c r="N18" i="37"/>
  <c r="K27" i="37"/>
  <c r="I17" i="37"/>
  <c r="P58" i="37"/>
  <c r="N60" i="37"/>
  <c r="N48" i="37"/>
  <c r="K45" i="37"/>
  <c r="Q20" i="37"/>
  <c r="N29" i="37"/>
  <c r="L19" i="37"/>
  <c r="R55" i="37"/>
  <c r="L61" i="37"/>
  <c r="I46" i="37"/>
  <c r="M23" i="37"/>
  <c r="R54" i="37"/>
  <c r="N58" i="37"/>
  <c r="L60" i="37"/>
  <c r="R35" i="37"/>
  <c r="N27" i="37"/>
  <c r="L29" i="37"/>
  <c r="R22" i="37"/>
  <c r="Q48" i="37"/>
  <c r="R23" i="37"/>
  <c r="F13" i="42"/>
  <c r="O13" i="42"/>
  <c r="G13" i="42"/>
  <c r="N13" i="42"/>
  <c r="H13" i="42"/>
  <c r="M13" i="42"/>
  <c r="K13" i="42"/>
  <c r="J13" i="42"/>
  <c r="L13" i="42"/>
  <c r="I13" i="42"/>
  <c r="R37" i="37"/>
  <c r="Q36" i="37"/>
  <c r="I38" i="37"/>
  <c r="P36" i="37"/>
  <c r="J38" i="37"/>
  <c r="O36" i="37"/>
  <c r="J36" i="37"/>
  <c r="I37" i="37"/>
  <c r="K38" i="37"/>
  <c r="N36" i="37"/>
  <c r="O38" i="37"/>
  <c r="J37" i="37"/>
  <c r="L38" i="37"/>
  <c r="M36" i="37"/>
  <c r="K37" i="37"/>
  <c r="M38" i="37"/>
  <c r="L36" i="37"/>
  <c r="Q38" i="37"/>
  <c r="L37" i="37"/>
  <c r="N38" i="37"/>
  <c r="K36" i="37"/>
  <c r="M37" i="37"/>
  <c r="N37" i="37"/>
  <c r="P38" i="37"/>
  <c r="I36" i="37"/>
  <c r="O37" i="37"/>
  <c r="P37" i="37"/>
  <c r="R38" i="37"/>
  <c r="Q37" i="37"/>
  <c r="R36" i="37"/>
  <c r="N4" i="37"/>
  <c r="M4" i="37"/>
  <c r="L4" i="37"/>
  <c r="K4" i="37"/>
  <c r="J4" i="37"/>
  <c r="R4" i="37"/>
  <c r="Q4" i="37"/>
  <c r="I4" i="37"/>
  <c r="P4" i="37"/>
  <c r="O4" i="37"/>
  <c r="J89" i="30"/>
  <c r="N86" i="30"/>
  <c r="F86" i="30"/>
  <c r="M36" i="30"/>
  <c r="I89" i="30"/>
  <c r="M86" i="30"/>
  <c r="L36" i="30"/>
  <c r="H89" i="30"/>
  <c r="L86" i="30"/>
  <c r="K36" i="30"/>
  <c r="O86" i="30"/>
  <c r="N36" i="30"/>
  <c r="O89" i="30"/>
  <c r="G89" i="30"/>
  <c r="K86" i="30"/>
  <c r="I36" i="30"/>
  <c r="K89" i="30"/>
  <c r="G86" i="30"/>
  <c r="N89" i="30"/>
  <c r="F89" i="30"/>
  <c r="J86" i="30"/>
  <c r="H36" i="30"/>
  <c r="M89" i="30"/>
  <c r="I86" i="30"/>
  <c r="G36" i="30"/>
  <c r="L89" i="30"/>
  <c r="H86" i="30"/>
  <c r="O36" i="30"/>
  <c r="J36" i="30"/>
  <c r="F36" i="30"/>
  <c r="AA79" i="2"/>
  <c r="AB390" i="25"/>
  <c r="N128" i="5"/>
  <c r="F128" i="5"/>
  <c r="L79" i="5"/>
  <c r="Y79" i="2"/>
  <c r="Z390" i="25"/>
  <c r="O159" i="5"/>
  <c r="G159" i="5"/>
  <c r="J150" i="5"/>
  <c r="M128" i="5"/>
  <c r="H122" i="5"/>
  <c r="K79" i="5"/>
  <c r="N93" i="5"/>
  <c r="F93" i="5"/>
  <c r="I37" i="5"/>
  <c r="L159" i="5"/>
  <c r="O150" i="5"/>
  <c r="J128" i="5"/>
  <c r="M122" i="5"/>
  <c r="K93" i="5"/>
  <c r="W79" i="2"/>
  <c r="X390" i="25"/>
  <c r="N159" i="5"/>
  <c r="F159" i="5"/>
  <c r="I150" i="5"/>
  <c r="L128" i="5"/>
  <c r="O122" i="5"/>
  <c r="G122" i="5"/>
  <c r="J79" i="5"/>
  <c r="M93" i="5"/>
  <c r="G37" i="5"/>
  <c r="T390" i="25"/>
  <c r="N37" i="5"/>
  <c r="I122" i="5"/>
  <c r="J37" i="5"/>
  <c r="U79" i="2"/>
  <c r="V390" i="25"/>
  <c r="M159" i="5"/>
  <c r="H150" i="5"/>
  <c r="K128" i="5"/>
  <c r="N122" i="5"/>
  <c r="F122" i="5"/>
  <c r="I79" i="5"/>
  <c r="L93" i="5"/>
  <c r="O37" i="5"/>
  <c r="AA19" i="2"/>
  <c r="S79" i="2"/>
  <c r="G150" i="5"/>
  <c r="H79" i="5"/>
  <c r="K150" i="5"/>
  <c r="O93" i="5"/>
  <c r="W19" i="2"/>
  <c r="Q79" i="2"/>
  <c r="R390" i="25"/>
  <c r="K159" i="5"/>
  <c r="N150" i="5"/>
  <c r="F150" i="5"/>
  <c r="I128" i="5"/>
  <c r="L122" i="5"/>
  <c r="O79" i="5"/>
  <c r="G79" i="5"/>
  <c r="J93" i="5"/>
  <c r="M37" i="5"/>
  <c r="Q19" i="2"/>
  <c r="L390" i="25"/>
  <c r="I159" i="5"/>
  <c r="O128" i="5"/>
  <c r="J122" i="5"/>
  <c r="M79" i="5"/>
  <c r="K37" i="5"/>
  <c r="H159" i="5"/>
  <c r="G93" i="5"/>
  <c r="O79" i="2"/>
  <c r="P390" i="25"/>
  <c r="J159" i="5"/>
  <c r="M150" i="5"/>
  <c r="H128" i="5"/>
  <c r="K122" i="5"/>
  <c r="N79" i="5"/>
  <c r="F79" i="5"/>
  <c r="I93" i="5"/>
  <c r="L37" i="5"/>
  <c r="O19" i="2"/>
  <c r="K79" i="2"/>
  <c r="L150" i="5"/>
  <c r="G128" i="5"/>
  <c r="H93" i="5"/>
  <c r="K19" i="2"/>
  <c r="I79" i="2"/>
  <c r="M19" i="2"/>
  <c r="H37" i="5"/>
  <c r="N390" i="25"/>
  <c r="F37" i="5"/>
  <c r="M79" i="2"/>
  <c r="J390" i="25"/>
  <c r="I19" i="2"/>
  <c r="W51" i="2"/>
  <c r="U51" i="2"/>
  <c r="K51" i="2"/>
  <c r="S51" i="2"/>
  <c r="Y51" i="2"/>
  <c r="O51" i="2"/>
  <c r="M51" i="2"/>
  <c r="AA51" i="2"/>
  <c r="I51" i="2"/>
  <c r="Q51" i="2"/>
  <c r="H114" i="5"/>
  <c r="I114" i="5"/>
  <c r="O114" i="5"/>
  <c r="G114" i="5"/>
  <c r="N114" i="5"/>
  <c r="F114" i="5"/>
  <c r="M114" i="5"/>
  <c r="L114" i="5"/>
  <c r="K114" i="5"/>
  <c r="J114" i="5"/>
  <c r="AB758" i="25"/>
  <c r="L758" i="25"/>
  <c r="Z739" i="25"/>
  <c r="J739" i="25"/>
  <c r="T720" i="25"/>
  <c r="V718" i="25"/>
  <c r="Z701" i="25"/>
  <c r="J701" i="25"/>
  <c r="Z682" i="25"/>
  <c r="J682" i="25"/>
  <c r="R663" i="25"/>
  <c r="V644" i="25"/>
  <c r="V642" i="25"/>
  <c r="X625" i="25"/>
  <c r="V623" i="25"/>
  <c r="Z606" i="25"/>
  <c r="J606" i="25"/>
  <c r="N587" i="25"/>
  <c r="Z568" i="25"/>
  <c r="J568" i="25"/>
  <c r="Z549" i="25"/>
  <c r="J549" i="25"/>
  <c r="P530" i="25"/>
  <c r="V758" i="25"/>
  <c r="T739" i="25"/>
  <c r="R737" i="25"/>
  <c r="N720" i="25"/>
  <c r="T701" i="25"/>
  <c r="P699" i="25"/>
  <c r="T682" i="25"/>
  <c r="Z680" i="25"/>
  <c r="AB663" i="25"/>
  <c r="L663" i="25"/>
  <c r="P644" i="25"/>
  <c r="J642" i="25"/>
  <c r="R625" i="25"/>
  <c r="T606" i="25"/>
  <c r="X587" i="25"/>
  <c r="AB585" i="25"/>
  <c r="T568" i="25"/>
  <c r="T549" i="25"/>
  <c r="Z530" i="25"/>
  <c r="J530" i="25"/>
  <c r="AB511" i="25"/>
  <c r="L511" i="25"/>
  <c r="X758" i="25"/>
  <c r="L739" i="25"/>
  <c r="P720" i="25"/>
  <c r="L701" i="25"/>
  <c r="R682" i="25"/>
  <c r="N680" i="25"/>
  <c r="N663" i="25"/>
  <c r="J644" i="25"/>
  <c r="T758" i="25"/>
  <c r="Z737" i="25"/>
  <c r="L720" i="25"/>
  <c r="Z699" i="25"/>
  <c r="P682" i="25"/>
  <c r="L680" i="25"/>
  <c r="J663" i="25"/>
  <c r="AB644" i="25"/>
  <c r="Z642" i="25"/>
  <c r="T625" i="25"/>
  <c r="X604" i="25"/>
  <c r="R587" i="25"/>
  <c r="P568" i="25"/>
  <c r="X549" i="25"/>
  <c r="V530" i="25"/>
  <c r="N511" i="25"/>
  <c r="Z492" i="25"/>
  <c r="J492" i="25"/>
  <c r="N473" i="25"/>
  <c r="R454" i="25"/>
  <c r="Z435" i="25"/>
  <c r="J435" i="25"/>
  <c r="N433" i="25"/>
  <c r="R416" i="25"/>
  <c r="Z397" i="25"/>
  <c r="J397" i="25"/>
  <c r="N395" i="25"/>
  <c r="Z373" i="25"/>
  <c r="J373" i="25"/>
  <c r="L371" i="25"/>
  <c r="AB354" i="25"/>
  <c r="L354" i="25"/>
  <c r="T335" i="25"/>
  <c r="V333" i="25"/>
  <c r="P316" i="25"/>
  <c r="R758" i="25"/>
  <c r="AB739" i="25"/>
  <c r="V737" i="25"/>
  <c r="P758" i="25"/>
  <c r="X739" i="25"/>
  <c r="N737" i="25"/>
  <c r="AB720" i="25"/>
  <c r="AB718" i="25"/>
  <c r="X701" i="25"/>
  <c r="X699" i="25"/>
  <c r="L682" i="25"/>
  <c r="Z663" i="25"/>
  <c r="T661" i="25"/>
  <c r="X644" i="25"/>
  <c r="N642" i="25"/>
  <c r="N625" i="25"/>
  <c r="X606" i="25"/>
  <c r="L587" i="25"/>
  <c r="L568" i="25"/>
  <c r="R549" i="25"/>
  <c r="R530" i="25"/>
  <c r="Z511" i="25"/>
  <c r="Z509" i="25"/>
  <c r="V492" i="25"/>
  <c r="Z473" i="25"/>
  <c r="J473" i="25"/>
  <c r="N454" i="25"/>
  <c r="V435" i="25"/>
  <c r="Z433" i="25"/>
  <c r="J433" i="25"/>
  <c r="N416" i="25"/>
  <c r="V397" i="25"/>
  <c r="Z395" i="25"/>
  <c r="J395" i="25"/>
  <c r="V373" i="25"/>
  <c r="X354" i="25"/>
  <c r="V352" i="25"/>
  <c r="P335" i="25"/>
  <c r="N333" i="25"/>
  <c r="AB316" i="25"/>
  <c r="L316" i="25"/>
  <c r="N758" i="25"/>
  <c r="V739" i="25"/>
  <c r="J737" i="25"/>
  <c r="Z720" i="25"/>
  <c r="X718" i="25"/>
  <c r="V701" i="25"/>
  <c r="AB680" i="25"/>
  <c r="X663" i="25"/>
  <c r="T644" i="25"/>
  <c r="L625" i="25"/>
  <c r="V606" i="25"/>
  <c r="J587" i="25"/>
  <c r="P549" i="25"/>
  <c r="N530" i="25"/>
  <c r="X511" i="25"/>
  <c r="X509" i="25"/>
  <c r="T492" i="25"/>
  <c r="X473" i="25"/>
  <c r="AB471" i="25"/>
  <c r="AB454" i="25"/>
  <c r="L454" i="25"/>
  <c r="J758" i="25"/>
  <c r="R739" i="25"/>
  <c r="X720" i="25"/>
  <c r="L718" i="25"/>
  <c r="R701" i="25"/>
  <c r="AB682" i="25"/>
  <c r="V663" i="25"/>
  <c r="R644" i="25"/>
  <c r="J625" i="25"/>
  <c r="R606" i="25"/>
  <c r="AB587" i="25"/>
  <c r="Z585" i="25"/>
  <c r="AB568" i="25"/>
  <c r="N549" i="25"/>
  <c r="L530" i="25"/>
  <c r="V511" i="25"/>
  <c r="V509" i="25"/>
  <c r="R492" i="25"/>
  <c r="V473" i="25"/>
  <c r="T471" i="25"/>
  <c r="Z454" i="25"/>
  <c r="J454" i="25"/>
  <c r="R435" i="25"/>
  <c r="V433" i="25"/>
  <c r="Z416" i="25"/>
  <c r="J416" i="25"/>
  <c r="R397" i="25"/>
  <c r="V395" i="25"/>
  <c r="R373" i="25"/>
  <c r="X371" i="25"/>
  <c r="Z758" i="25"/>
  <c r="N739" i="25"/>
  <c r="R720" i="25"/>
  <c r="N701" i="25"/>
  <c r="V682" i="25"/>
  <c r="P680" i="25"/>
  <c r="P663" i="25"/>
  <c r="L644" i="25"/>
  <c r="Z625" i="25"/>
  <c r="V720" i="25"/>
  <c r="V625" i="25"/>
  <c r="J604" i="25"/>
  <c r="V528" i="25"/>
  <c r="P492" i="25"/>
  <c r="T473" i="25"/>
  <c r="V454" i="25"/>
  <c r="L435" i="25"/>
  <c r="L416" i="25"/>
  <c r="AB395" i="25"/>
  <c r="AB371" i="25"/>
  <c r="T354" i="25"/>
  <c r="R335" i="25"/>
  <c r="J333" i="25"/>
  <c r="N316" i="25"/>
  <c r="R297" i="25"/>
  <c r="AB278" i="25"/>
  <c r="L278" i="25"/>
  <c r="P276" i="25"/>
  <c r="R259" i="25"/>
  <c r="Z240" i="25"/>
  <c r="J720" i="25"/>
  <c r="P625" i="25"/>
  <c r="Z587" i="25"/>
  <c r="N492" i="25"/>
  <c r="R473" i="25"/>
  <c r="T454" i="25"/>
  <c r="AB433" i="25"/>
  <c r="X395" i="25"/>
  <c r="Z371" i="25"/>
  <c r="P739" i="25"/>
  <c r="V587" i="25"/>
  <c r="L492" i="25"/>
  <c r="P473" i="25"/>
  <c r="P454" i="25"/>
  <c r="X433" i="25"/>
  <c r="AB397" i="25"/>
  <c r="T395" i="25"/>
  <c r="AB701" i="25"/>
  <c r="T587" i="25"/>
  <c r="X568" i="25"/>
  <c r="AB549" i="25"/>
  <c r="T511" i="25"/>
  <c r="L473" i="25"/>
  <c r="V452" i="25"/>
  <c r="AB435" i="25"/>
  <c r="T433" i="25"/>
  <c r="AB416" i="25"/>
  <c r="X397" i="25"/>
  <c r="R395" i="25"/>
  <c r="X373" i="25"/>
  <c r="R371" i="25"/>
  <c r="N354" i="25"/>
  <c r="J335" i="25"/>
  <c r="Z316" i="25"/>
  <c r="X314" i="25"/>
  <c r="AB297" i="25"/>
  <c r="L297" i="25"/>
  <c r="V278" i="25"/>
  <c r="Z276" i="25"/>
  <c r="J276" i="25"/>
  <c r="AB259" i="25"/>
  <c r="L259" i="25"/>
  <c r="T240" i="25"/>
  <c r="Z221" i="25"/>
  <c r="J221" i="25"/>
  <c r="V202" i="25"/>
  <c r="Z200" i="25"/>
  <c r="J200" i="25"/>
  <c r="P183" i="25"/>
  <c r="P164" i="25"/>
  <c r="J162" i="25"/>
  <c r="N145" i="25"/>
  <c r="R126" i="25"/>
  <c r="N124" i="25"/>
  <c r="T107" i="25"/>
  <c r="R105" i="25"/>
  <c r="N88" i="25"/>
  <c r="J86" i="25"/>
  <c r="T69" i="25"/>
  <c r="N50" i="25"/>
  <c r="P31" i="25"/>
  <c r="P29" i="25"/>
  <c r="P701" i="25"/>
  <c r="Z644" i="25"/>
  <c r="AB606" i="25"/>
  <c r="P587" i="25"/>
  <c r="V568" i="25"/>
  <c r="V549" i="25"/>
  <c r="R511" i="25"/>
  <c r="J471" i="25"/>
  <c r="R452" i="25"/>
  <c r="X435" i="25"/>
  <c r="R433" i="25"/>
  <c r="X416" i="25"/>
  <c r="T397" i="25"/>
  <c r="P395" i="25"/>
  <c r="T373" i="25"/>
  <c r="P371" i="25"/>
  <c r="J354" i="25"/>
  <c r="AB335" i="25"/>
  <c r="AB333" i="25"/>
  <c r="X316" i="25"/>
  <c r="V314" i="25"/>
  <c r="Z297" i="25"/>
  <c r="J297" i="25"/>
  <c r="T278" i="25"/>
  <c r="X276" i="25"/>
  <c r="Z259" i="25"/>
  <c r="J259" i="25"/>
  <c r="R240" i="25"/>
  <c r="R699" i="25"/>
  <c r="X682" i="25"/>
  <c r="N644" i="25"/>
  <c r="P606" i="25"/>
  <c r="T585" i="25"/>
  <c r="R568" i="25"/>
  <c r="L549" i="25"/>
  <c r="AB530" i="25"/>
  <c r="P511" i="25"/>
  <c r="P452" i="25"/>
  <c r="T435" i="25"/>
  <c r="P433" i="25"/>
  <c r="V416" i="25"/>
  <c r="P397" i="25"/>
  <c r="L395" i="25"/>
  <c r="P373" i="25"/>
  <c r="J371" i="25"/>
  <c r="T352" i="25"/>
  <c r="Z335" i="25"/>
  <c r="Z333" i="25"/>
  <c r="N682" i="25"/>
  <c r="T663" i="25"/>
  <c r="P642" i="25"/>
  <c r="N606" i="25"/>
  <c r="R585" i="25"/>
  <c r="N568" i="25"/>
  <c r="L547" i="25"/>
  <c r="X530" i="25"/>
  <c r="J511" i="25"/>
  <c r="AB492" i="25"/>
  <c r="P435" i="25"/>
  <c r="L433" i="25"/>
  <c r="T416" i="25"/>
  <c r="N397" i="25"/>
  <c r="N373" i="25"/>
  <c r="Z354" i="25"/>
  <c r="P352" i="25"/>
  <c r="X335" i="25"/>
  <c r="R333" i="25"/>
  <c r="T316" i="25"/>
  <c r="V297" i="25"/>
  <c r="R680" i="25"/>
  <c r="Z661" i="25"/>
  <c r="AB625" i="25"/>
  <c r="L606" i="25"/>
  <c r="J585" i="25"/>
  <c r="T530" i="25"/>
  <c r="P509" i="25"/>
  <c r="X492" i="25"/>
  <c r="AB473" i="25"/>
  <c r="X454" i="25"/>
  <c r="N435" i="25"/>
  <c r="P416" i="25"/>
  <c r="L397" i="25"/>
  <c r="L373" i="25"/>
  <c r="V354" i="25"/>
  <c r="N352" i="25"/>
  <c r="V335" i="25"/>
  <c r="L333" i="25"/>
  <c r="R316" i="25"/>
  <c r="T297" i="25"/>
  <c r="N278" i="25"/>
  <c r="R276" i="25"/>
  <c r="T259" i="25"/>
  <c r="AB240" i="25"/>
  <c r="L240" i="25"/>
  <c r="R221" i="25"/>
  <c r="N202" i="25"/>
  <c r="R200" i="25"/>
  <c r="X183" i="25"/>
  <c r="AB181" i="25"/>
  <c r="X164" i="25"/>
  <c r="Z162" i="25"/>
  <c r="V145" i="25"/>
  <c r="V143" i="25"/>
  <c r="Z126" i="25"/>
  <c r="J126" i="25"/>
  <c r="AB107" i="25"/>
  <c r="L107" i="25"/>
  <c r="V88" i="25"/>
  <c r="X86" i="25"/>
  <c r="AB69" i="25"/>
  <c r="L69" i="25"/>
  <c r="V50" i="25"/>
  <c r="J48" i="25"/>
  <c r="X31" i="25"/>
  <c r="Z29" i="25"/>
  <c r="L335" i="25"/>
  <c r="Z278" i="25"/>
  <c r="N276" i="25"/>
  <c r="R183" i="25"/>
  <c r="T164" i="25"/>
  <c r="P145" i="25"/>
  <c r="X126" i="25"/>
  <c r="AB221" i="25"/>
  <c r="AB202" i="25"/>
  <c r="AB200" i="25"/>
  <c r="L145" i="25"/>
  <c r="V126" i="25"/>
  <c r="L124" i="25"/>
  <c r="R69" i="25"/>
  <c r="L183" i="25"/>
  <c r="X88" i="25"/>
  <c r="Z69" i="25"/>
  <c r="R354" i="25"/>
  <c r="X278" i="25"/>
  <c r="L276" i="25"/>
  <c r="X240" i="25"/>
  <c r="V219" i="25"/>
  <c r="N183" i="25"/>
  <c r="L50" i="25"/>
  <c r="N164" i="25"/>
  <c r="J50" i="25"/>
  <c r="J29" i="25"/>
  <c r="AB124" i="25"/>
  <c r="P354" i="25"/>
  <c r="R278" i="25"/>
  <c r="X259" i="25"/>
  <c r="V240" i="25"/>
  <c r="X221" i="25"/>
  <c r="N219" i="25"/>
  <c r="Z202" i="25"/>
  <c r="X200" i="25"/>
  <c r="J145" i="25"/>
  <c r="L88" i="25"/>
  <c r="X297" i="25"/>
  <c r="P278" i="25"/>
  <c r="V259" i="25"/>
  <c r="P240" i="25"/>
  <c r="V221" i="25"/>
  <c r="X202" i="25"/>
  <c r="V200" i="25"/>
  <c r="J183" i="25"/>
  <c r="L164" i="25"/>
  <c r="AB145" i="25"/>
  <c r="X143" i="25"/>
  <c r="P126" i="25"/>
  <c r="P107" i="25"/>
  <c r="J88" i="25"/>
  <c r="N69" i="25"/>
  <c r="AB50" i="25"/>
  <c r="Z48" i="25"/>
  <c r="N31" i="25"/>
  <c r="P259" i="25"/>
  <c r="N240" i="25"/>
  <c r="L238" i="25"/>
  <c r="T221" i="25"/>
  <c r="T202" i="25"/>
  <c r="T200" i="25"/>
  <c r="AB183" i="25"/>
  <c r="J164" i="25"/>
  <c r="Z145" i="25"/>
  <c r="P143" i="25"/>
  <c r="N107" i="25"/>
  <c r="AB88" i="25"/>
  <c r="AB86" i="25"/>
  <c r="Z50" i="25"/>
  <c r="L31" i="25"/>
  <c r="R202" i="25"/>
  <c r="X50" i="25"/>
  <c r="J31" i="25"/>
  <c r="X29" i="25"/>
  <c r="V316" i="25"/>
  <c r="P297" i="25"/>
  <c r="J278" i="25"/>
  <c r="N126" i="25"/>
  <c r="J69" i="25"/>
  <c r="X145" i="25"/>
  <c r="L126" i="25"/>
  <c r="Z105" i="25"/>
  <c r="J316" i="25"/>
  <c r="N297" i="25"/>
  <c r="AB276" i="25"/>
  <c r="N259" i="25"/>
  <c r="J240" i="25"/>
  <c r="P221" i="25"/>
  <c r="P200" i="25"/>
  <c r="Z183" i="25"/>
  <c r="AB164" i="25"/>
  <c r="T162" i="25"/>
  <c r="N143" i="25"/>
  <c r="J107" i="25"/>
  <c r="Z88" i="25"/>
  <c r="R86" i="25"/>
  <c r="AB373" i="25"/>
  <c r="AB314" i="25"/>
  <c r="T295" i="25"/>
  <c r="V276" i="25"/>
  <c r="P238" i="25"/>
  <c r="N221" i="25"/>
  <c r="P202" i="25"/>
  <c r="N200" i="25"/>
  <c r="V183" i="25"/>
  <c r="Z164" i="25"/>
  <c r="R162" i="25"/>
  <c r="T145" i="25"/>
  <c r="T50" i="25"/>
  <c r="AB31" i="25"/>
  <c r="T371" i="25"/>
  <c r="N335" i="25"/>
  <c r="P314" i="25"/>
  <c r="T276" i="25"/>
  <c r="L221" i="25"/>
  <c r="L202" i="25"/>
  <c r="L200" i="25"/>
  <c r="T183" i="25"/>
  <c r="V164" i="25"/>
  <c r="L162" i="25"/>
  <c r="R145" i="25"/>
  <c r="AB126" i="25"/>
  <c r="V124" i="25"/>
  <c r="Z107" i="25"/>
  <c r="X105" i="25"/>
  <c r="T88" i="25"/>
  <c r="N86" i="25"/>
  <c r="X69" i="25"/>
  <c r="R50" i="25"/>
  <c r="Z31" i="25"/>
  <c r="V29" i="25"/>
  <c r="J202" i="25"/>
  <c r="T124" i="25"/>
  <c r="X107" i="25"/>
  <c r="P105" i="25"/>
  <c r="R88" i="25"/>
  <c r="V69" i="25"/>
  <c r="P50" i="25"/>
  <c r="V31" i="25"/>
  <c r="R29" i="25"/>
  <c r="R164" i="25"/>
  <c r="V107" i="25"/>
  <c r="J105" i="25"/>
  <c r="P88" i="25"/>
  <c r="T31" i="25"/>
  <c r="N29" i="25"/>
  <c r="T126" i="25"/>
  <c r="R107" i="25"/>
  <c r="P69" i="25"/>
  <c r="R31" i="25"/>
  <c r="P86" i="25"/>
  <c r="J661" i="25"/>
  <c r="L352" i="25"/>
  <c r="X352" i="25"/>
  <c r="R471" i="25"/>
  <c r="N623" i="25"/>
  <c r="N314" i="25"/>
  <c r="AB29" i="25"/>
  <c r="R67" i="25"/>
  <c r="L86" i="25"/>
  <c r="AB67" i="25"/>
  <c r="P257" i="25"/>
  <c r="AB352" i="25"/>
  <c r="R48" i="25"/>
  <c r="N718" i="25"/>
  <c r="AB162" i="25"/>
  <c r="R509" i="25"/>
  <c r="Z67" i="25"/>
  <c r="V86" i="25"/>
  <c r="T105" i="25"/>
  <c r="P124" i="25"/>
  <c r="N162" i="25"/>
  <c r="L471" i="25"/>
  <c r="T314" i="25"/>
  <c r="J509" i="25"/>
  <c r="L48" i="25"/>
  <c r="T48" i="25"/>
  <c r="P181" i="25"/>
  <c r="Z86" i="25"/>
  <c r="V105" i="25"/>
  <c r="X67" i="25"/>
  <c r="X162" i="25"/>
  <c r="J143" i="25"/>
  <c r="AB143" i="25"/>
  <c r="N257" i="25"/>
  <c r="Z295" i="25"/>
  <c r="P295" i="25"/>
  <c r="R661" i="25"/>
  <c r="Z471" i="25"/>
  <c r="Z623" i="25"/>
  <c r="L623" i="25"/>
  <c r="AB48" i="25"/>
  <c r="Z181" i="25"/>
  <c r="P718" i="25"/>
  <c r="L314" i="25"/>
  <c r="X257" i="25"/>
  <c r="T86" i="25"/>
  <c r="N48" i="25"/>
  <c r="R181" i="25"/>
  <c r="V181" i="25"/>
  <c r="X48" i="25"/>
  <c r="L29" i="25"/>
  <c r="AB661" i="25"/>
  <c r="N509" i="25"/>
  <c r="T29" i="25"/>
  <c r="J67" i="25"/>
  <c r="T67" i="25"/>
  <c r="AB238" i="25"/>
  <c r="N238" i="25"/>
  <c r="R219" i="25"/>
  <c r="L181" i="25"/>
  <c r="L105" i="25"/>
  <c r="N295" i="25"/>
  <c r="T257" i="25"/>
  <c r="J314" i="25"/>
  <c r="L67" i="25"/>
  <c r="P162" i="25"/>
  <c r="R238" i="25"/>
  <c r="Z238" i="25"/>
  <c r="L257" i="25"/>
  <c r="T333" i="25"/>
  <c r="R314" i="25"/>
  <c r="N371" i="25"/>
  <c r="R352" i="25"/>
  <c r="N414" i="25"/>
  <c r="L414" i="25"/>
  <c r="N67" i="25"/>
  <c r="P67" i="25"/>
  <c r="X333" i="25"/>
  <c r="Z314" i="25"/>
  <c r="V371" i="25"/>
  <c r="Z352" i="25"/>
  <c r="N105" i="25"/>
  <c r="J124" i="25"/>
  <c r="T238" i="25"/>
  <c r="X238" i="25"/>
  <c r="J219" i="25"/>
  <c r="X295" i="25"/>
  <c r="L219" i="25"/>
  <c r="P333" i="25"/>
  <c r="AB452" i="25"/>
  <c r="X471" i="25"/>
  <c r="P566" i="25"/>
  <c r="N566" i="25"/>
  <c r="P547" i="25"/>
  <c r="V48" i="25"/>
  <c r="T181" i="25"/>
  <c r="V67" i="25"/>
  <c r="R124" i="25"/>
  <c r="J238" i="25"/>
  <c r="Z219" i="25"/>
  <c r="T219" i="25"/>
  <c r="J181" i="25"/>
  <c r="X181" i="25"/>
  <c r="Z124" i="25"/>
  <c r="L143" i="25"/>
  <c r="L295" i="25"/>
  <c r="R295" i="25"/>
  <c r="Z257" i="25"/>
  <c r="AB219" i="25"/>
  <c r="V257" i="25"/>
  <c r="N181" i="25"/>
  <c r="P48" i="25"/>
  <c r="V162" i="25"/>
  <c r="R143" i="25"/>
  <c r="T143" i="25"/>
  <c r="V238" i="25"/>
  <c r="P219" i="25"/>
  <c r="AB295" i="25"/>
  <c r="J295" i="25"/>
  <c r="R257" i="25"/>
  <c r="R414" i="25"/>
  <c r="Z452" i="25"/>
  <c r="X452" i="25"/>
  <c r="Z490" i="25"/>
  <c r="AB105" i="25"/>
  <c r="X124" i="25"/>
  <c r="Z143" i="25"/>
  <c r="X219" i="25"/>
  <c r="V295" i="25"/>
  <c r="AB257" i="25"/>
  <c r="J257" i="25"/>
  <c r="AB414" i="25"/>
  <c r="J414" i="25"/>
  <c r="N452" i="25"/>
  <c r="R490" i="25"/>
  <c r="AB566" i="25"/>
  <c r="J566" i="25"/>
  <c r="T547" i="25"/>
  <c r="AB509" i="25"/>
  <c r="Z528" i="25"/>
  <c r="AB528" i="25"/>
  <c r="J452" i="25"/>
  <c r="V547" i="25"/>
  <c r="X547" i="25"/>
  <c r="R528" i="25"/>
  <c r="R604" i="25"/>
  <c r="N661" i="25"/>
  <c r="Z718" i="25"/>
  <c r="J756" i="25"/>
  <c r="AB737" i="25"/>
  <c r="V756" i="25"/>
  <c r="X737" i="25"/>
  <c r="V661" i="25"/>
  <c r="T414" i="25"/>
  <c r="P490" i="25"/>
  <c r="T566" i="25"/>
  <c r="N547" i="25"/>
  <c r="J547" i="25"/>
  <c r="R547" i="25"/>
  <c r="V604" i="25"/>
  <c r="P604" i="25"/>
  <c r="V680" i="25"/>
  <c r="R718" i="25"/>
  <c r="R756" i="25"/>
  <c r="Z756" i="25"/>
  <c r="X414" i="25"/>
  <c r="L566" i="25"/>
  <c r="Z547" i="25"/>
  <c r="P528" i="25"/>
  <c r="R642" i="25"/>
  <c r="T680" i="25"/>
  <c r="J718" i="25"/>
  <c r="V414" i="25"/>
  <c r="P414" i="25"/>
  <c r="T452" i="25"/>
  <c r="X490" i="25"/>
  <c r="N528" i="25"/>
  <c r="J528" i="25"/>
  <c r="V585" i="25"/>
  <c r="R623" i="25"/>
  <c r="J623" i="25"/>
  <c r="AB642" i="25"/>
  <c r="X642" i="25"/>
  <c r="J680" i="25"/>
  <c r="R566" i="25"/>
  <c r="L452" i="25"/>
  <c r="J490" i="25"/>
  <c r="V490" i="25"/>
  <c r="AB490" i="25"/>
  <c r="X528" i="25"/>
  <c r="L509" i="25"/>
  <c r="AB604" i="25"/>
  <c r="N604" i="25"/>
  <c r="N585" i="25"/>
  <c r="X585" i="25"/>
  <c r="P585" i="25"/>
  <c r="AB623" i="25"/>
  <c r="X623" i="25"/>
  <c r="T623" i="25"/>
  <c r="T642" i="25"/>
  <c r="X680" i="25"/>
  <c r="AB699" i="25"/>
  <c r="V699" i="25"/>
  <c r="T699" i="25"/>
  <c r="L756" i="25"/>
  <c r="Z414" i="25"/>
  <c r="N490" i="25"/>
  <c r="T490" i="25"/>
  <c r="P471" i="25"/>
  <c r="X566" i="25"/>
  <c r="V566" i="25"/>
  <c r="AB547" i="25"/>
  <c r="T509" i="25"/>
  <c r="T528" i="25"/>
  <c r="T604" i="25"/>
  <c r="P623" i="25"/>
  <c r="L642" i="25"/>
  <c r="L661" i="25"/>
  <c r="N471" i="25"/>
  <c r="Z604" i="25"/>
  <c r="J699" i="25"/>
  <c r="L490" i="25"/>
  <c r="V471" i="25"/>
  <c r="Z566" i="25"/>
  <c r="L528" i="25"/>
  <c r="L604" i="25"/>
  <c r="L585" i="25"/>
  <c r="X661" i="25"/>
  <c r="N699" i="25"/>
  <c r="L699" i="25"/>
  <c r="T718" i="25"/>
  <c r="P756" i="25"/>
  <c r="L737" i="25"/>
  <c r="T756" i="25"/>
  <c r="J352" i="25"/>
  <c r="P661" i="25"/>
  <c r="X756" i="25"/>
  <c r="P737" i="25"/>
  <c r="T737" i="25"/>
  <c r="N756" i="25"/>
  <c r="AB756" i="25"/>
  <c r="J12" i="25"/>
  <c r="X5" i="25"/>
  <c r="J5" i="25"/>
  <c r="V5" i="25"/>
  <c r="U19" i="2"/>
  <c r="T5" i="25"/>
  <c r="S19" i="2"/>
  <c r="P5" i="25"/>
  <c r="N5" i="25"/>
  <c r="L5" i="25"/>
  <c r="AB5" i="25"/>
  <c r="Z5" i="25"/>
  <c r="Y19" i="2"/>
  <c r="R5" i="25"/>
  <c r="N12" i="25"/>
  <c r="L12" i="25"/>
  <c r="V12" i="25"/>
  <c r="P12" i="25"/>
  <c r="T12" i="25"/>
  <c r="R12" i="25"/>
  <c r="L10" i="25"/>
  <c r="V10" i="25"/>
  <c r="J10" i="25"/>
  <c r="N10" i="25"/>
  <c r="T10" i="25"/>
  <c r="R10" i="25"/>
  <c r="P10" i="25"/>
  <c r="P135" i="5"/>
  <c r="E106" i="30"/>
  <c r="P107" i="30" s="1"/>
  <c r="D17" i="30"/>
  <c r="P78" i="30"/>
  <c r="D7" i="30"/>
  <c r="D21" i="30"/>
  <c r="P77" i="30"/>
  <c r="F63" i="30"/>
  <c r="S9" i="2"/>
  <c r="D24" i="30"/>
  <c r="I24" i="30"/>
  <c r="P25" i="5"/>
  <c r="L117" i="5"/>
  <c r="J21" i="9"/>
  <c r="R21" i="9"/>
  <c r="N187" i="30"/>
  <c r="M187" i="30"/>
  <c r="L187" i="30"/>
  <c r="K187" i="30"/>
  <c r="J187" i="30"/>
  <c r="I187" i="30"/>
  <c r="H187" i="30"/>
  <c r="O187" i="30"/>
  <c r="G187" i="30"/>
  <c r="AB12" i="25"/>
  <c r="X12" i="25"/>
  <c r="AB10" i="25"/>
  <c r="X10" i="25"/>
  <c r="Z12" i="25"/>
  <c r="Z10" i="25"/>
  <c r="K100" i="5"/>
  <c r="K172" i="5"/>
  <c r="N88" i="5"/>
  <c r="G172" i="5"/>
  <c r="J117" i="5"/>
  <c r="F117" i="5"/>
  <c r="M9" i="2"/>
  <c r="G100" i="5"/>
  <c r="I88" i="5"/>
  <c r="AA9" i="2"/>
  <c r="N117" i="5"/>
  <c r="N21" i="9"/>
  <c r="L172" i="5"/>
  <c r="J88" i="5"/>
  <c r="X10" i="2"/>
  <c r="R10" i="2"/>
  <c r="T10" i="2"/>
  <c r="N100" i="5"/>
  <c r="M88" i="5"/>
  <c r="J100" i="5"/>
  <c r="L100" i="5"/>
  <c r="M100" i="5"/>
  <c r="Y9" i="2"/>
  <c r="I9" i="2"/>
  <c r="D14" i="2"/>
  <c r="K9" i="2"/>
  <c r="K21" i="9"/>
  <c r="P21" i="9"/>
  <c r="S21" i="9"/>
  <c r="F172" i="5"/>
  <c r="O172" i="5"/>
  <c r="I172" i="5"/>
  <c r="P10" i="2"/>
  <c r="AB10" i="2"/>
  <c r="H88" i="5"/>
  <c r="K117" i="5"/>
  <c r="I100" i="5"/>
  <c r="G88" i="5"/>
  <c r="I117" i="5"/>
  <c r="U9" i="2"/>
  <c r="M21" i="9"/>
  <c r="O21" i="9"/>
  <c r="J172" i="5"/>
  <c r="N172" i="5"/>
  <c r="N10" i="2"/>
  <c r="V10" i="2"/>
  <c r="Z10" i="2"/>
  <c r="F100" i="5"/>
  <c r="L88" i="5"/>
  <c r="O117" i="5"/>
  <c r="F88" i="5"/>
  <c r="H117" i="5"/>
  <c r="O100" i="5"/>
  <c r="H100" i="5"/>
  <c r="K88" i="5"/>
  <c r="M117" i="5"/>
  <c r="G117" i="5"/>
  <c r="O88" i="5"/>
  <c r="Q9" i="2"/>
  <c r="O9" i="2"/>
  <c r="L21" i="9"/>
  <c r="W9" i="2"/>
  <c r="Q21" i="9"/>
  <c r="M172" i="5"/>
  <c r="H172" i="5"/>
  <c r="J10" i="2"/>
  <c r="L10" i="2"/>
  <c r="P105" i="5"/>
  <c r="S19" i="37" l="1" a="1"/>
  <c r="S19" i="37" s="1"/>
  <c r="T19" i="37" s="1"/>
  <c r="U19" i="37" a="1"/>
  <c r="U19" i="37" s="1"/>
  <c r="V19" i="37" s="1"/>
  <c r="U33" i="37" a="1"/>
  <c r="U33" i="37" s="1"/>
  <c r="V33" i="37" s="1"/>
  <c r="S33" i="37" a="1"/>
  <c r="S33" i="37" s="1"/>
  <c r="T33" i="37" s="1"/>
  <c r="U32" i="37" a="1"/>
  <c r="U32" i="37" s="1"/>
  <c r="V32" i="37" s="1"/>
  <c r="S32" i="37" a="1"/>
  <c r="S32" i="37" s="1"/>
  <c r="T32" i="37" s="1"/>
  <c r="U23" i="37" a="1"/>
  <c r="U23" i="37" s="1"/>
  <c r="V23" i="37" s="1"/>
  <c r="S23" i="37" a="1"/>
  <c r="S23" i="37" s="1"/>
  <c r="T23" i="37" s="1"/>
  <c r="U38" i="37" a="1"/>
  <c r="U38" i="37" s="1"/>
  <c r="V38" i="37" s="1"/>
  <c r="S38" i="37" a="1"/>
  <c r="S38" i="37" s="1"/>
  <c r="T38" i="37" s="1"/>
  <c r="U48" i="37" a="1"/>
  <c r="U48" i="37" s="1"/>
  <c r="V48" i="37" s="1"/>
  <c r="S48" i="37" a="1"/>
  <c r="S48" i="37" s="1"/>
  <c r="T48" i="37" s="1"/>
  <c r="S22" i="37" a="1"/>
  <c r="S22" i="37" s="1"/>
  <c r="T22" i="37" s="1"/>
  <c r="U22" i="37" a="1"/>
  <c r="U22" i="37" s="1"/>
  <c r="V22" i="37" s="1"/>
  <c r="U56" i="37" a="1"/>
  <c r="U56" i="37" s="1"/>
  <c r="V56" i="37" s="1"/>
  <c r="S56" i="37" a="1"/>
  <c r="S56" i="37" s="1"/>
  <c r="T56" i="37" s="1"/>
  <c r="U20" i="37" a="1"/>
  <c r="U20" i="37" s="1"/>
  <c r="V20" i="37" s="1"/>
  <c r="S20" i="37" a="1"/>
  <c r="S20" i="37" s="1"/>
  <c r="T20" i="37" s="1"/>
  <c r="U27" i="37" a="1"/>
  <c r="U27" i="37" s="1"/>
  <c r="V27" i="37" s="1"/>
  <c r="S27" i="37" a="1"/>
  <c r="S27" i="37" s="1"/>
  <c r="T27" i="37" s="1"/>
  <c r="U28" i="37" a="1"/>
  <c r="U28" i="37" s="1"/>
  <c r="V28" i="37" s="1"/>
  <c r="S28" i="37" a="1"/>
  <c r="S28" i="37" s="1"/>
  <c r="T28" i="37" s="1"/>
  <c r="S35" i="37" a="1"/>
  <c r="S35" i="37" s="1"/>
  <c r="T35" i="37" s="1"/>
  <c r="U35" i="37" a="1"/>
  <c r="U35" i="37" s="1"/>
  <c r="V35" i="37" s="1"/>
  <c r="S18" i="37" a="1"/>
  <c r="S18" i="37" s="1"/>
  <c r="T18" i="37" s="1"/>
  <c r="U18" i="37" a="1"/>
  <c r="U18" i="37" s="1"/>
  <c r="V18" i="37" s="1"/>
  <c r="S60" i="37" a="1"/>
  <c r="S60" i="37" s="1"/>
  <c r="T60" i="37" s="1"/>
  <c r="U60" i="37" a="1"/>
  <c r="U60" i="37" s="1"/>
  <c r="V60" i="37" s="1"/>
  <c r="S45" i="37" a="1"/>
  <c r="S45" i="37" s="1"/>
  <c r="T45" i="37" s="1"/>
  <c r="U45" i="37" a="1"/>
  <c r="U45" i="37" s="1"/>
  <c r="V45" i="37" s="1"/>
  <c r="U17" i="37" a="1"/>
  <c r="U17" i="37" s="1"/>
  <c r="V17" i="37" s="1"/>
  <c r="S17" i="37" a="1"/>
  <c r="S17" i="37" s="1"/>
  <c r="T17" i="37" s="1"/>
  <c r="S36" i="37" a="1"/>
  <c r="S36" i="37" s="1"/>
  <c r="T36" i="37" s="1"/>
  <c r="U36" i="37" a="1"/>
  <c r="U36" i="37" s="1"/>
  <c r="V36" i="37" s="1"/>
  <c r="S37" i="37" a="1"/>
  <c r="S37" i="37" s="1"/>
  <c r="T37" i="37" s="1"/>
  <c r="U37" i="37" a="1"/>
  <c r="U37" i="37" s="1"/>
  <c r="V37" i="37" s="1"/>
  <c r="S31" i="37" a="1"/>
  <c r="S31" i="37" s="1"/>
  <c r="T31" i="37" s="1"/>
  <c r="U31" i="37" a="1"/>
  <c r="U31" i="37" s="1"/>
  <c r="V31" i="37" s="1"/>
  <c r="J696" i="25"/>
  <c r="J620" i="25"/>
  <c r="K621" i="25" s="1"/>
  <c r="K629" i="25" s="1"/>
  <c r="J430" i="25"/>
  <c r="K431" i="25" s="1"/>
  <c r="K439" i="25" s="1"/>
  <c r="J468" i="25"/>
  <c r="J715" i="25"/>
  <c r="J392" i="25"/>
  <c r="K393" i="25" s="1"/>
  <c r="K401" i="25" s="1"/>
  <c r="J563" i="25"/>
  <c r="K564" i="25" s="1"/>
  <c r="K572" i="25" s="1"/>
  <c r="J753" i="25"/>
  <c r="J544" i="25"/>
  <c r="J658" i="25"/>
  <c r="K659" i="25" s="1"/>
  <c r="K667" i="25" s="1"/>
  <c r="J639" i="25"/>
  <c r="K640" i="25" s="1"/>
  <c r="K648" i="25" s="1"/>
  <c r="J487" i="25"/>
  <c r="J677" i="25"/>
  <c r="J506" i="25"/>
  <c r="K507" i="25" s="1"/>
  <c r="K515" i="25" s="1"/>
  <c r="J411" i="25"/>
  <c r="J525" i="25"/>
  <c r="K526" i="25" s="1"/>
  <c r="K534" i="25" s="1"/>
  <c r="J601" i="25"/>
  <c r="K602" i="25" s="1"/>
  <c r="J449" i="25"/>
  <c r="K450" i="25" s="1"/>
  <c r="K458" i="25" s="1"/>
  <c r="J734" i="25"/>
  <c r="K735" i="25" s="1"/>
  <c r="K743" i="25" s="1"/>
  <c r="J582" i="25"/>
  <c r="J368" i="25"/>
  <c r="K369" i="25" s="1"/>
  <c r="K377" i="25" s="1"/>
  <c r="J26" i="25"/>
  <c r="K27" i="25" s="1"/>
  <c r="K35" i="25" s="1"/>
  <c r="J121" i="25"/>
  <c r="K122" i="25" s="1"/>
  <c r="K130" i="25" s="1"/>
  <c r="J216" i="25"/>
  <c r="K217" i="25" s="1"/>
  <c r="K225" i="25" s="1"/>
  <c r="J235" i="25"/>
  <c r="K236" i="25" s="1"/>
  <c r="K244" i="25" s="1"/>
  <c r="J254" i="25"/>
  <c r="K255" i="25" s="1"/>
  <c r="K263" i="25" s="1"/>
  <c r="J64" i="25"/>
  <c r="K65" i="25" s="1"/>
  <c r="K73" i="25" s="1"/>
  <c r="J159" i="25"/>
  <c r="K160" i="25" s="1"/>
  <c r="K168" i="25" s="1"/>
  <c r="J102" i="25"/>
  <c r="K103" i="25" s="1"/>
  <c r="K111" i="25" s="1"/>
  <c r="J349" i="25"/>
  <c r="K350" i="25" s="1"/>
  <c r="K358" i="25" s="1"/>
  <c r="J140" i="25"/>
  <c r="K141" i="25" s="1"/>
  <c r="K149" i="25" s="1"/>
  <c r="J292" i="25"/>
  <c r="J273" i="25"/>
  <c r="K274" i="25" s="1"/>
  <c r="K282" i="25" s="1"/>
  <c r="J197" i="25"/>
  <c r="K198" i="25" s="1"/>
  <c r="K206" i="25" s="1"/>
  <c r="J83" i="25"/>
  <c r="K84" i="25" s="1"/>
  <c r="K92" i="25" s="1"/>
  <c r="J330" i="25"/>
  <c r="K331" i="25" s="1"/>
  <c r="J45" i="25"/>
  <c r="K46" i="25" s="1"/>
  <c r="K54" i="25" s="1"/>
  <c r="J311" i="25"/>
  <c r="K312" i="25" s="1"/>
  <c r="K320" i="25" s="1"/>
  <c r="J178" i="25"/>
  <c r="K179" i="25" s="1"/>
  <c r="K187" i="25" s="1"/>
  <c r="L658" i="25"/>
  <c r="M659" i="25" s="1"/>
  <c r="M667" i="25" s="1"/>
  <c r="K73" i="30"/>
  <c r="K90" i="30"/>
  <c r="O73" i="30"/>
  <c r="O90" i="30"/>
  <c r="I73" i="30"/>
  <c r="I90" i="30"/>
  <c r="M73" i="30"/>
  <c r="M90" i="30"/>
  <c r="L73" i="30"/>
  <c r="L90" i="30"/>
  <c r="G73" i="30"/>
  <c r="G90" i="30"/>
  <c r="H73" i="30"/>
  <c r="H90" i="30"/>
  <c r="J73" i="30"/>
  <c r="J90" i="30"/>
  <c r="N73" i="30"/>
  <c r="N90" i="30"/>
  <c r="J7" i="25"/>
  <c r="K8" i="25" s="1"/>
  <c r="K9" i="25" s="1"/>
  <c r="F187" i="30"/>
  <c r="O51" i="30"/>
  <c r="N186" i="30"/>
  <c r="M65" i="30"/>
  <c r="G100" i="30"/>
  <c r="F65" i="30"/>
  <c r="J199" i="30"/>
  <c r="J177" i="30"/>
  <c r="J60" i="30"/>
  <c r="J65" i="30"/>
  <c r="H186" i="30"/>
  <c r="I94" i="30"/>
  <c r="G177" i="30"/>
  <c r="I177" i="30"/>
  <c r="K94" i="30"/>
  <c r="I65" i="30"/>
  <c r="L60" i="30"/>
  <c r="N100" i="30"/>
  <c r="G65" i="30"/>
  <c r="F72" i="30"/>
  <c r="H100" i="30"/>
  <c r="J72" i="30"/>
  <c r="F100" i="30"/>
  <c r="K60" i="30"/>
  <c r="O177" i="30"/>
  <c r="G72" i="30"/>
  <c r="H199" i="30"/>
  <c r="I60" i="30"/>
  <c r="F186" i="30"/>
  <c r="N51" i="30"/>
  <c r="J100" i="30"/>
  <c r="N65" i="30"/>
  <c r="J186" i="30"/>
  <c r="H51" i="30"/>
  <c r="N177" i="30"/>
  <c r="H60" i="30"/>
  <c r="G186" i="30"/>
  <c r="H94" i="30"/>
  <c r="M60" i="30"/>
  <c r="L186" i="30"/>
  <c r="L100" i="30"/>
  <c r="J51" i="30"/>
  <c r="I51" i="30"/>
  <c r="H177" i="30"/>
  <c r="F177" i="30"/>
  <c r="K186" i="30"/>
  <c r="O60" i="30"/>
  <c r="G60" i="30"/>
  <c r="K199" i="30"/>
  <c r="L65" i="30"/>
  <c r="K100" i="30"/>
  <c r="O72" i="30"/>
  <c r="M177" i="30"/>
  <c r="N94" i="30"/>
  <c r="I100" i="30"/>
  <c r="G94" i="30"/>
  <c r="K72" i="30"/>
  <c r="J94" i="30"/>
  <c r="F60" i="30"/>
  <c r="H72" i="30"/>
  <c r="O65" i="30"/>
  <c r="I72" i="30"/>
  <c r="M199" i="30"/>
  <c r="M51" i="30"/>
  <c r="I199" i="30"/>
  <c r="M94" i="30"/>
  <c r="O199" i="30"/>
  <c r="F199" i="30"/>
  <c r="F51" i="30"/>
  <c r="O186" i="30"/>
  <c r="G51" i="30"/>
  <c r="L51" i="30"/>
  <c r="L177" i="30"/>
  <c r="M72" i="30"/>
  <c r="G199" i="30"/>
  <c r="N60" i="30"/>
  <c r="K177" i="30"/>
  <c r="I186" i="30"/>
  <c r="H65" i="30"/>
  <c r="L199" i="30"/>
  <c r="M186" i="30"/>
  <c r="M100" i="30"/>
  <c r="L94" i="30"/>
  <c r="N72" i="30"/>
  <c r="O94" i="30"/>
  <c r="L72" i="30"/>
  <c r="K51" i="30"/>
  <c r="O100" i="30"/>
  <c r="F94" i="30"/>
  <c r="K65" i="30"/>
  <c r="N199" i="30"/>
  <c r="P160" i="5"/>
  <c r="P111" i="5"/>
  <c r="P104" i="5"/>
  <c r="P103" i="5"/>
  <c r="P102" i="5"/>
  <c r="P101" i="5"/>
  <c r="L159" i="25" l="1"/>
  <c r="M160" i="25" s="1"/>
  <c r="M168" i="25" s="1"/>
  <c r="L45" i="25"/>
  <c r="M46" i="25" s="1"/>
  <c r="M54" i="25" s="1"/>
  <c r="L330" i="25"/>
  <c r="M331" i="25" s="1"/>
  <c r="M339" i="25" s="1"/>
  <c r="K339" i="25"/>
  <c r="L601" i="25"/>
  <c r="M602" i="25" s="1"/>
  <c r="M610" i="25" s="1"/>
  <c r="K610" i="25"/>
  <c r="N658" i="25"/>
  <c r="O659" i="25" s="1"/>
  <c r="L525" i="25"/>
  <c r="M526" i="25" s="1"/>
  <c r="M534" i="25" s="1"/>
  <c r="L563" i="25"/>
  <c r="M564" i="25" s="1"/>
  <c r="L506" i="25"/>
  <c r="M507" i="25" s="1"/>
  <c r="M515" i="25" s="1"/>
  <c r="L734" i="25"/>
  <c r="M735" i="25" s="1"/>
  <c r="M743" i="25" s="1"/>
  <c r="L639" i="25"/>
  <c r="M640" i="25" s="1"/>
  <c r="M648" i="25" s="1"/>
  <c r="L430" i="25"/>
  <c r="M431" i="25" s="1"/>
  <c r="L449" i="25"/>
  <c r="M450" i="25" s="1"/>
  <c r="M458" i="25" s="1"/>
  <c r="L620" i="25"/>
  <c r="M621" i="25" s="1"/>
  <c r="M629" i="25" s="1"/>
  <c r="L349" i="25"/>
  <c r="M350" i="25" s="1"/>
  <c r="L311" i="25"/>
  <c r="M312" i="25" s="1"/>
  <c r="L368" i="25"/>
  <c r="M369" i="25" s="1"/>
  <c r="L254" i="25"/>
  <c r="M255" i="25" s="1"/>
  <c r="M263" i="25" s="1"/>
  <c r="L235" i="25"/>
  <c r="M236" i="25" s="1"/>
  <c r="M244" i="25" s="1"/>
  <c r="L273" i="25"/>
  <c r="M274" i="25" s="1"/>
  <c r="L216" i="25"/>
  <c r="M217" i="25" s="1"/>
  <c r="L83" i="25"/>
  <c r="M84" i="25" s="1"/>
  <c r="K67" i="25"/>
  <c r="L197" i="25"/>
  <c r="M198" i="25" s="1"/>
  <c r="K181" i="25"/>
  <c r="L140" i="25"/>
  <c r="M141" i="25" s="1"/>
  <c r="M149" i="25" s="1"/>
  <c r="L121" i="25"/>
  <c r="M122" i="25" s="1"/>
  <c r="N159" i="25"/>
  <c r="O160" i="25" s="1"/>
  <c r="L102" i="25"/>
  <c r="M103" i="25" s="1"/>
  <c r="K352" i="25"/>
  <c r="K314" i="25"/>
  <c r="K238" i="25"/>
  <c r="L178" i="25"/>
  <c r="M179" i="25" s="1"/>
  <c r="M187" i="25" s="1"/>
  <c r="K488" i="25"/>
  <c r="K496" i="25" s="1"/>
  <c r="K469" i="25"/>
  <c r="K477" i="25" s="1"/>
  <c r="K545" i="25"/>
  <c r="K553" i="25" s="1"/>
  <c r="K412" i="25"/>
  <c r="K420" i="25" s="1"/>
  <c r="K678" i="25"/>
  <c r="K686" i="25" s="1"/>
  <c r="K716" i="25"/>
  <c r="K724" i="25" s="1"/>
  <c r="K583" i="25"/>
  <c r="K591" i="25" s="1"/>
  <c r="K697" i="25"/>
  <c r="K705" i="25" s="1"/>
  <c r="K754" i="25"/>
  <c r="K762" i="25" s="1"/>
  <c r="N368" i="25"/>
  <c r="O369" i="25" s="1"/>
  <c r="O377" i="25" s="1"/>
  <c r="N254" i="25"/>
  <c r="O255" i="25" s="1"/>
  <c r="O263" i="25" s="1"/>
  <c r="K293" i="25"/>
  <c r="K301" i="25" s="1"/>
  <c r="K218" i="25"/>
  <c r="K227" i="25"/>
  <c r="K224" i="25"/>
  <c r="K223" i="25"/>
  <c r="K219" i="25"/>
  <c r="K527" i="25"/>
  <c r="K533" i="25"/>
  <c r="K532" i="25"/>
  <c r="K536" i="25"/>
  <c r="K528" i="25"/>
  <c r="K189" i="25"/>
  <c r="K186" i="25"/>
  <c r="K185" i="25"/>
  <c r="K180" i="25"/>
  <c r="K147" i="25"/>
  <c r="K142" i="25"/>
  <c r="K143" i="25"/>
  <c r="K151" i="25"/>
  <c r="K148" i="25"/>
  <c r="K129" i="25"/>
  <c r="K132" i="25"/>
  <c r="K128" i="25"/>
  <c r="K123" i="25"/>
  <c r="K124" i="25"/>
  <c r="K565" i="25"/>
  <c r="K574" i="25"/>
  <c r="K571" i="25"/>
  <c r="K566" i="25"/>
  <c r="K570" i="25"/>
  <c r="K322" i="25"/>
  <c r="K318" i="25"/>
  <c r="K313" i="25"/>
  <c r="K319" i="25"/>
  <c r="K351" i="25"/>
  <c r="K356" i="25"/>
  <c r="K360" i="25"/>
  <c r="K357" i="25"/>
  <c r="K28" i="25"/>
  <c r="K29" i="25"/>
  <c r="K37" i="25"/>
  <c r="K33" i="25"/>
  <c r="K34" i="25"/>
  <c r="L26" i="25"/>
  <c r="M27" i="25" s="1"/>
  <c r="M35" i="25" s="1"/>
  <c r="K508" i="25"/>
  <c r="K509" i="25"/>
  <c r="K514" i="25"/>
  <c r="K517" i="25"/>
  <c r="K513" i="25"/>
  <c r="K403" i="25"/>
  <c r="K399" i="25"/>
  <c r="K394" i="25"/>
  <c r="K395" i="25"/>
  <c r="K400" i="25"/>
  <c r="L392" i="25"/>
  <c r="M393" i="25" s="1"/>
  <c r="M401" i="25" s="1"/>
  <c r="K48" i="25"/>
  <c r="K53" i="25"/>
  <c r="K56" i="25"/>
  <c r="K52" i="25"/>
  <c r="K47" i="25"/>
  <c r="K104" i="25"/>
  <c r="K109" i="25"/>
  <c r="K105" i="25"/>
  <c r="K110" i="25"/>
  <c r="K113" i="25"/>
  <c r="K371" i="25"/>
  <c r="K376" i="25"/>
  <c r="K375" i="25"/>
  <c r="K379" i="25"/>
  <c r="K370" i="25"/>
  <c r="K333" i="25"/>
  <c r="K338" i="25"/>
  <c r="K332" i="25"/>
  <c r="K337" i="25"/>
  <c r="K341" i="25"/>
  <c r="K161" i="25"/>
  <c r="K167" i="25"/>
  <c r="K162" i="25"/>
  <c r="K166" i="25"/>
  <c r="K170" i="25"/>
  <c r="M669" i="25"/>
  <c r="M666" i="25"/>
  <c r="M661" i="25"/>
  <c r="M660" i="25"/>
  <c r="M665" i="25"/>
  <c r="K90" i="25"/>
  <c r="K91" i="25"/>
  <c r="K86" i="25"/>
  <c r="K94" i="25"/>
  <c r="K85" i="25"/>
  <c r="K75" i="25"/>
  <c r="K72" i="25"/>
  <c r="K71" i="25"/>
  <c r="K66" i="25"/>
  <c r="L64" i="25"/>
  <c r="M65" i="25" s="1"/>
  <c r="M73" i="25" s="1"/>
  <c r="K745" i="25"/>
  <c r="K736" i="25"/>
  <c r="K737" i="25"/>
  <c r="K742" i="25"/>
  <c r="K741" i="25"/>
  <c r="K642" i="25"/>
  <c r="K641" i="25"/>
  <c r="K646" i="25"/>
  <c r="K650" i="25"/>
  <c r="K647" i="25"/>
  <c r="K433" i="25"/>
  <c r="K432" i="25"/>
  <c r="K438" i="25"/>
  <c r="K437" i="25"/>
  <c r="K441" i="25"/>
  <c r="K200" i="25"/>
  <c r="K199" i="25"/>
  <c r="K205" i="25"/>
  <c r="K204" i="25"/>
  <c r="K208" i="25"/>
  <c r="K256" i="25"/>
  <c r="K262" i="25"/>
  <c r="K261" i="25"/>
  <c r="K265" i="25"/>
  <c r="K257" i="25"/>
  <c r="K457" i="25"/>
  <c r="K451" i="25"/>
  <c r="K460" i="25"/>
  <c r="K452" i="25"/>
  <c r="K456" i="25"/>
  <c r="K666" i="25"/>
  <c r="K661" i="25"/>
  <c r="K669" i="25"/>
  <c r="K660" i="25"/>
  <c r="K665" i="25"/>
  <c r="K631" i="25"/>
  <c r="K622" i="25"/>
  <c r="K627" i="25"/>
  <c r="K628" i="25"/>
  <c r="K623" i="25"/>
  <c r="K275" i="25"/>
  <c r="K276" i="25"/>
  <c r="K280" i="25"/>
  <c r="K284" i="25"/>
  <c r="K281" i="25"/>
  <c r="K237" i="25"/>
  <c r="K246" i="25"/>
  <c r="K242" i="25"/>
  <c r="K243" i="25"/>
  <c r="K604" i="25"/>
  <c r="K612" i="25"/>
  <c r="K608" i="25"/>
  <c r="K609" i="25"/>
  <c r="K603" i="25"/>
  <c r="P73" i="30"/>
  <c r="P187" i="30"/>
  <c r="N601" i="25" l="1"/>
  <c r="O602" i="25" s="1"/>
  <c r="O608" i="25" s="1"/>
  <c r="N525" i="25"/>
  <c r="O526" i="25" s="1"/>
  <c r="O533" i="25" s="1"/>
  <c r="M341" i="25"/>
  <c r="M338" i="25"/>
  <c r="M170" i="25"/>
  <c r="M166" i="25"/>
  <c r="M161" i="25"/>
  <c r="M162" i="25"/>
  <c r="M604" i="25"/>
  <c r="M167" i="25"/>
  <c r="M333" i="25"/>
  <c r="N330" i="25"/>
  <c r="O331" i="25" s="1"/>
  <c r="O341" i="25" s="1"/>
  <c r="M337" i="25"/>
  <c r="M52" i="25"/>
  <c r="M56" i="25"/>
  <c r="N45" i="25"/>
  <c r="O46" i="25" s="1"/>
  <c r="O53" i="25" s="1"/>
  <c r="M48" i="25"/>
  <c r="M53" i="25"/>
  <c r="M47" i="25"/>
  <c r="M608" i="25"/>
  <c r="M603" i="25"/>
  <c r="M609" i="25"/>
  <c r="M612" i="25"/>
  <c r="M332" i="25"/>
  <c r="M533" i="25"/>
  <c r="M532" i="25"/>
  <c r="M528" i="25"/>
  <c r="M517" i="25"/>
  <c r="M109" i="25"/>
  <c r="M111" i="25"/>
  <c r="M219" i="25"/>
  <c r="M225" i="25"/>
  <c r="M351" i="25"/>
  <c r="M358" i="25"/>
  <c r="M570" i="25"/>
  <c r="M572" i="25"/>
  <c r="P159" i="25"/>
  <c r="Q160" i="25" s="1"/>
  <c r="Q168" i="25" s="1"/>
  <c r="O168" i="25"/>
  <c r="N273" i="25"/>
  <c r="O274" i="25" s="1"/>
  <c r="O276" i="25" s="1"/>
  <c r="M282" i="25"/>
  <c r="M85" i="25"/>
  <c r="M92" i="25"/>
  <c r="M123" i="25"/>
  <c r="M130" i="25"/>
  <c r="P658" i="25"/>
  <c r="Q659" i="25" s="1"/>
  <c r="Q661" i="25" s="1"/>
  <c r="O667" i="25"/>
  <c r="M438" i="25"/>
  <c r="M439" i="25"/>
  <c r="M375" i="25"/>
  <c r="M377" i="25"/>
  <c r="M208" i="25"/>
  <c r="M206" i="25"/>
  <c r="M313" i="25"/>
  <c r="M320" i="25"/>
  <c r="M322" i="25"/>
  <c r="O661" i="25"/>
  <c r="M246" i="25"/>
  <c r="M536" i="25"/>
  <c r="M238" i="25"/>
  <c r="M132" i="25"/>
  <c r="M319" i="25"/>
  <c r="M314" i="25"/>
  <c r="M370" i="25"/>
  <c r="M318" i="25"/>
  <c r="O666" i="25"/>
  <c r="O665" i="25"/>
  <c r="O660" i="25"/>
  <c r="O669" i="25"/>
  <c r="M379" i="25"/>
  <c r="M261" i="25"/>
  <c r="M148" i="25"/>
  <c r="M142" i="25"/>
  <c r="M527" i="25"/>
  <c r="N121" i="25"/>
  <c r="O122" i="25" s="1"/>
  <c r="M242" i="25"/>
  <c r="M151" i="25"/>
  <c r="M143" i="25"/>
  <c r="M565" i="25"/>
  <c r="M360" i="25"/>
  <c r="N349" i="25"/>
  <c r="O350" i="25" s="1"/>
  <c r="P349" i="25" s="1"/>
  <c r="Q350" i="25" s="1"/>
  <c r="M628" i="25"/>
  <c r="N311" i="25"/>
  <c r="O312" i="25" s="1"/>
  <c r="P311" i="25" s="1"/>
  <c r="Q312" i="25" s="1"/>
  <c r="M460" i="25"/>
  <c r="M356" i="25"/>
  <c r="M129" i="25"/>
  <c r="N83" i="25"/>
  <c r="O84" i="25" s="1"/>
  <c r="M433" i="25"/>
  <c r="M571" i="25"/>
  <c r="M574" i="25"/>
  <c r="M641" i="25"/>
  <c r="M352" i="25"/>
  <c r="N734" i="25"/>
  <c r="O735" i="25" s="1"/>
  <c r="M357" i="25"/>
  <c r="N563" i="25"/>
  <c r="O564" i="25" s="1"/>
  <c r="N506" i="25"/>
  <c r="O507" i="25" s="1"/>
  <c r="P506" i="25" s="1"/>
  <c r="Q507" i="25" s="1"/>
  <c r="Q515" i="25" s="1"/>
  <c r="M566" i="25"/>
  <c r="N449" i="25"/>
  <c r="O450" i="25" s="1"/>
  <c r="M456" i="25"/>
  <c r="M741" i="25"/>
  <c r="M514" i="25"/>
  <c r="M452" i="25"/>
  <c r="M509" i="25"/>
  <c r="M513" i="25"/>
  <c r="M742" i="25"/>
  <c r="M451" i="25"/>
  <c r="M457" i="25"/>
  <c r="M508" i="25"/>
  <c r="M622" i="25"/>
  <c r="M646" i="25"/>
  <c r="M631" i="25"/>
  <c r="M745" i="25"/>
  <c r="M650" i="25"/>
  <c r="N620" i="25"/>
  <c r="O621" i="25" s="1"/>
  <c r="M642" i="25"/>
  <c r="M647" i="25"/>
  <c r="M736" i="25"/>
  <c r="M623" i="25"/>
  <c r="N639" i="25"/>
  <c r="O640" i="25" s="1"/>
  <c r="M627" i="25"/>
  <c r="M737" i="25"/>
  <c r="K422" i="25"/>
  <c r="K490" i="25"/>
  <c r="L487" i="25"/>
  <c r="M488" i="25" s="1"/>
  <c r="M496" i="25" s="1"/>
  <c r="M437" i="25"/>
  <c r="N430" i="25"/>
  <c r="O431" i="25" s="1"/>
  <c r="M432" i="25"/>
  <c r="K703" i="25"/>
  <c r="K547" i="25"/>
  <c r="L544" i="25"/>
  <c r="M545" i="25" s="1"/>
  <c r="M553" i="25" s="1"/>
  <c r="K589" i="25"/>
  <c r="K718" i="25"/>
  <c r="L715" i="25"/>
  <c r="M716" i="25" s="1"/>
  <c r="M724" i="25" s="1"/>
  <c r="M441" i="25"/>
  <c r="K679" i="25"/>
  <c r="M199" i="25"/>
  <c r="M376" i="25"/>
  <c r="M205" i="25"/>
  <c r="M257" i="25"/>
  <c r="M200" i="25"/>
  <c r="M204" i="25"/>
  <c r="M262" i="25"/>
  <c r="M275" i="25"/>
  <c r="M281" i="25"/>
  <c r="M280" i="25"/>
  <c r="M276" i="25"/>
  <c r="O166" i="25"/>
  <c r="O161" i="25"/>
  <c r="M110" i="25"/>
  <c r="O170" i="25"/>
  <c r="M113" i="25"/>
  <c r="M90" i="25"/>
  <c r="M94" i="25"/>
  <c r="N140" i="25"/>
  <c r="O141" i="25" s="1"/>
  <c r="P140" i="25" s="1"/>
  <c r="Q141" i="25" s="1"/>
  <c r="M86" i="25"/>
  <c r="M91" i="25"/>
  <c r="M104" i="25"/>
  <c r="M124" i="25"/>
  <c r="M371" i="25"/>
  <c r="M284" i="25"/>
  <c r="M265" i="25"/>
  <c r="M256" i="25"/>
  <c r="M243" i="25"/>
  <c r="O162" i="25"/>
  <c r="N197" i="25"/>
  <c r="O198" i="25" s="1"/>
  <c r="O167" i="25"/>
  <c r="M147" i="25"/>
  <c r="M128" i="25"/>
  <c r="N102" i="25"/>
  <c r="O103" i="25" s="1"/>
  <c r="P330" i="25"/>
  <c r="Q331" i="25" s="1"/>
  <c r="Q339" i="25" s="1"/>
  <c r="M237" i="25"/>
  <c r="K303" i="25"/>
  <c r="P273" i="25"/>
  <c r="Q274" i="25" s="1"/>
  <c r="Q282" i="25" s="1"/>
  <c r="N235" i="25"/>
  <c r="O236" i="25" s="1"/>
  <c r="O244" i="25" s="1"/>
  <c r="M105" i="25"/>
  <c r="N216" i="25"/>
  <c r="O217" i="25" s="1"/>
  <c r="O225" i="25" s="1"/>
  <c r="K593" i="25"/>
  <c r="P525" i="25"/>
  <c r="Q526" i="25" s="1"/>
  <c r="N26" i="25"/>
  <c r="O27" i="25" s="1"/>
  <c r="O35" i="25" s="1"/>
  <c r="P254" i="25"/>
  <c r="Q255" i="25" s="1"/>
  <c r="O379" i="25"/>
  <c r="N178" i="25"/>
  <c r="O179" i="25" s="1"/>
  <c r="O187" i="25" s="1"/>
  <c r="O196" i="30"/>
  <c r="I196" i="30"/>
  <c r="M196" i="30"/>
  <c r="K196" i="30"/>
  <c r="N196" i="30"/>
  <c r="G196" i="30"/>
  <c r="H196" i="30"/>
  <c r="J196" i="30"/>
  <c r="P195" i="30"/>
  <c r="P166" i="5"/>
  <c r="P167" i="5"/>
  <c r="P165" i="5"/>
  <c r="L196" i="30"/>
  <c r="K551" i="25"/>
  <c r="K761" i="25"/>
  <c r="K555" i="25"/>
  <c r="M189" i="25"/>
  <c r="M181" i="25"/>
  <c r="M186" i="25"/>
  <c r="K353" i="25"/>
  <c r="K354" i="25" s="1"/>
  <c r="K239" i="25"/>
  <c r="K241" i="25" s="1"/>
  <c r="K419" i="25"/>
  <c r="M185" i="25"/>
  <c r="K470" i="25"/>
  <c r="K494" i="25"/>
  <c r="M180" i="25"/>
  <c r="K489" i="25"/>
  <c r="K722" i="25"/>
  <c r="K498" i="25"/>
  <c r="K717" i="25"/>
  <c r="K723" i="25"/>
  <c r="K495" i="25"/>
  <c r="K707" i="25"/>
  <c r="K704" i="25"/>
  <c r="K698" i="25"/>
  <c r="K49" i="25"/>
  <c r="K50" i="25" s="1"/>
  <c r="K552" i="25"/>
  <c r="K546" i="25"/>
  <c r="K479" i="25"/>
  <c r="K685" i="25"/>
  <c r="K476" i="25"/>
  <c r="K475" i="25"/>
  <c r="K413" i="25"/>
  <c r="K726" i="25"/>
  <c r="K418" i="25"/>
  <c r="K584" i="25"/>
  <c r="L582" i="25"/>
  <c r="M583" i="25" s="1"/>
  <c r="M591" i="25" s="1"/>
  <c r="L468" i="25"/>
  <c r="M469" i="25" s="1"/>
  <c r="M477" i="25" s="1"/>
  <c r="K471" i="25"/>
  <c r="K680" i="25"/>
  <c r="L677" i="25"/>
  <c r="M678" i="25" s="1"/>
  <c r="M686" i="25" s="1"/>
  <c r="K764" i="25"/>
  <c r="L753" i="25"/>
  <c r="M754" i="25" s="1"/>
  <c r="M762" i="25" s="1"/>
  <c r="L411" i="25"/>
  <c r="M412" i="25" s="1"/>
  <c r="M420" i="25" s="1"/>
  <c r="L696" i="25"/>
  <c r="M697" i="25" s="1"/>
  <c r="M705" i="25" s="1"/>
  <c r="K414" i="25"/>
  <c r="K699" i="25"/>
  <c r="K756" i="25"/>
  <c r="K684" i="25"/>
  <c r="K755" i="25"/>
  <c r="K590" i="25"/>
  <c r="K585" i="25"/>
  <c r="K688" i="25"/>
  <c r="K760" i="25"/>
  <c r="M223" i="25"/>
  <c r="M218" i="25"/>
  <c r="M227" i="25"/>
  <c r="M224" i="25"/>
  <c r="O256" i="25"/>
  <c r="O262" i="25"/>
  <c r="O257" i="25"/>
  <c r="O261" i="25"/>
  <c r="O265" i="25"/>
  <c r="O376" i="25"/>
  <c r="O371" i="25"/>
  <c r="K299" i="25"/>
  <c r="P83" i="25"/>
  <c r="Q84" i="25" s="1"/>
  <c r="O370" i="25"/>
  <c r="K295" i="25"/>
  <c r="L292" i="25"/>
  <c r="M293" i="25" s="1"/>
  <c r="M301" i="25" s="1"/>
  <c r="O375" i="25"/>
  <c r="K300" i="25"/>
  <c r="P368" i="25"/>
  <c r="Q369" i="25" s="1"/>
  <c r="Q377" i="25" s="1"/>
  <c r="K294" i="25"/>
  <c r="N392" i="25"/>
  <c r="N64" i="25"/>
  <c r="K125" i="25"/>
  <c r="K127" i="25" s="1"/>
  <c r="K30" i="25"/>
  <c r="K31" i="25" s="1"/>
  <c r="K434" i="25"/>
  <c r="K258" i="25"/>
  <c r="K372" i="25"/>
  <c r="K106" i="25"/>
  <c r="K529" i="25"/>
  <c r="K662" i="25"/>
  <c r="K144" i="25"/>
  <c r="K605" i="25"/>
  <c r="K277" i="25"/>
  <c r="K624" i="25"/>
  <c r="K453" i="25"/>
  <c r="K738" i="25"/>
  <c r="M662" i="25"/>
  <c r="K510" i="25"/>
  <c r="K567" i="25"/>
  <c r="K643" i="25"/>
  <c r="K87" i="25"/>
  <c r="K163" i="25"/>
  <c r="K396" i="25"/>
  <c r="K315" i="25"/>
  <c r="K182" i="25"/>
  <c r="M72" i="25"/>
  <c r="M75" i="25"/>
  <c r="M71" i="25"/>
  <c r="M66" i="25"/>
  <c r="M67" i="25"/>
  <c r="K201" i="25"/>
  <c r="K68" i="25"/>
  <c r="M33" i="25"/>
  <c r="M28" i="25"/>
  <c r="M29" i="25"/>
  <c r="M34" i="25"/>
  <c r="M37" i="25"/>
  <c r="K220" i="25"/>
  <c r="K334" i="25"/>
  <c r="M394" i="25"/>
  <c r="M400" i="25"/>
  <c r="M399" i="25"/>
  <c r="M395" i="25"/>
  <c r="M403" i="25"/>
  <c r="K16" i="25"/>
  <c r="K10" i="25"/>
  <c r="K15" i="25"/>
  <c r="K18" i="25"/>
  <c r="K14" i="25"/>
  <c r="L7" i="25"/>
  <c r="M8" i="25" s="1"/>
  <c r="M16" i="25" s="1"/>
  <c r="O536" i="25" l="1"/>
  <c r="O527" i="25"/>
  <c r="O528" i="25"/>
  <c r="O609" i="25"/>
  <c r="O610" i="25"/>
  <c r="R658" i="25"/>
  <c r="S659" i="25" s="1"/>
  <c r="S666" i="25" s="1"/>
  <c r="O612" i="25"/>
  <c r="O603" i="25"/>
  <c r="P601" i="25"/>
  <c r="Q602" i="25" s="1"/>
  <c r="Q608" i="25" s="1"/>
  <c r="O604" i="25"/>
  <c r="O532" i="25"/>
  <c r="O534" i="25"/>
  <c r="Q162" i="25"/>
  <c r="Q166" i="25"/>
  <c r="M605" i="25"/>
  <c r="M606" i="25" s="1"/>
  <c r="M163" i="25"/>
  <c r="M164" i="25" s="1"/>
  <c r="K436" i="25"/>
  <c r="O332" i="25"/>
  <c r="M334" i="25"/>
  <c r="M336" i="25" s="1"/>
  <c r="Q170" i="25"/>
  <c r="M49" i="25"/>
  <c r="Q161" i="25"/>
  <c r="O333" i="25"/>
  <c r="O339" i="25"/>
  <c r="O338" i="25"/>
  <c r="R159" i="25"/>
  <c r="S160" i="25" s="1"/>
  <c r="S168" i="25" s="1"/>
  <c r="O337" i="25"/>
  <c r="Q167" i="25"/>
  <c r="O47" i="25"/>
  <c r="O52" i="25"/>
  <c r="O48" i="25"/>
  <c r="O54" i="25"/>
  <c r="O56" i="25"/>
  <c r="P45" i="25"/>
  <c r="Q46" i="25" s="1"/>
  <c r="Q54" i="25" s="1"/>
  <c r="M125" i="25"/>
  <c r="M127" i="25" s="1"/>
  <c r="O284" i="25"/>
  <c r="O280" i="25"/>
  <c r="O275" i="25"/>
  <c r="O277" i="25" s="1"/>
  <c r="M87" i="25"/>
  <c r="M89" i="25" s="1"/>
  <c r="M353" i="25"/>
  <c r="O642" i="25"/>
  <c r="O648" i="25"/>
  <c r="R83" i="25"/>
  <c r="S84" i="25" s="1"/>
  <c r="S92" i="25" s="1"/>
  <c r="Q92" i="25"/>
  <c r="O314" i="25"/>
  <c r="O320" i="25"/>
  <c r="O129" i="25"/>
  <c r="O130" i="25"/>
  <c r="Q666" i="25"/>
  <c r="R311" i="25"/>
  <c r="S312" i="25" s="1"/>
  <c r="S320" i="25" s="1"/>
  <c r="Q320" i="25"/>
  <c r="R140" i="25"/>
  <c r="S141" i="25" s="1"/>
  <c r="S142" i="25" s="1"/>
  <c r="Q149" i="25"/>
  <c r="O113" i="25"/>
  <c r="O111" i="25"/>
  <c r="O514" i="25"/>
  <c r="O515" i="25"/>
  <c r="Q669" i="25"/>
  <c r="T159" i="25"/>
  <c r="U160" i="25" s="1"/>
  <c r="U168" i="25" s="1"/>
  <c r="O142" i="25"/>
  <c r="O149" i="25"/>
  <c r="O566" i="25"/>
  <c r="O572" i="25"/>
  <c r="O357" i="25"/>
  <c r="O358" i="25"/>
  <c r="Q665" i="25"/>
  <c r="O281" i="25"/>
  <c r="O282" i="25"/>
  <c r="R349" i="25"/>
  <c r="S350" i="25" s="1"/>
  <c r="Q358" i="25"/>
  <c r="R525" i="25"/>
  <c r="S526" i="25" s="1"/>
  <c r="S534" i="25" s="1"/>
  <c r="Q534" i="25"/>
  <c r="P430" i="25"/>
  <c r="Q431" i="25" s="1"/>
  <c r="Q439" i="25" s="1"/>
  <c r="O439" i="25"/>
  <c r="O94" i="25"/>
  <c r="O92" i="25"/>
  <c r="M315" i="25"/>
  <c r="R254" i="25"/>
  <c r="S255" i="25" s="1"/>
  <c r="S263" i="25" s="1"/>
  <c r="Q263" i="25"/>
  <c r="O622" i="25"/>
  <c r="O629" i="25"/>
  <c r="P449" i="25"/>
  <c r="Q450" i="25" s="1"/>
  <c r="Q457" i="25" s="1"/>
  <c r="O458" i="25"/>
  <c r="O741" i="25"/>
  <c r="O743" i="25"/>
  <c r="Q660" i="25"/>
  <c r="Q662" i="25" s="1"/>
  <c r="Q667" i="25"/>
  <c r="O200" i="25"/>
  <c r="O206" i="25"/>
  <c r="M567" i="25"/>
  <c r="O91" i="25"/>
  <c r="O85" i="25"/>
  <c r="M529" i="25"/>
  <c r="O124" i="25"/>
  <c r="M220" i="25"/>
  <c r="M239" i="25"/>
  <c r="K491" i="25"/>
  <c r="M510" i="25"/>
  <c r="O662" i="25"/>
  <c r="O128" i="25"/>
  <c r="K719" i="25"/>
  <c r="O90" i="25"/>
  <c r="O123" i="25"/>
  <c r="O132" i="25"/>
  <c r="O628" i="25"/>
  <c r="M258" i="25"/>
  <c r="M201" i="25"/>
  <c r="M434" i="25"/>
  <c r="M372" i="25"/>
  <c r="O163" i="25"/>
  <c r="O165" i="25" s="1"/>
  <c r="O517" i="25"/>
  <c r="O571" i="25"/>
  <c r="K681" i="25"/>
  <c r="M643" i="25"/>
  <c r="O508" i="25"/>
  <c r="O570" i="25"/>
  <c r="M624" i="25"/>
  <c r="O574" i="25"/>
  <c r="O509" i="25"/>
  <c r="O513" i="25"/>
  <c r="O565" i="25"/>
  <c r="P734" i="25"/>
  <c r="Q735" i="25" s="1"/>
  <c r="O352" i="25"/>
  <c r="O356" i="25"/>
  <c r="O360" i="25"/>
  <c r="O351" i="25"/>
  <c r="M144" i="25"/>
  <c r="O322" i="25"/>
  <c r="O318" i="25"/>
  <c r="O313" i="25"/>
  <c r="O319" i="25"/>
  <c r="O86" i="25"/>
  <c r="M277" i="25"/>
  <c r="M453" i="25"/>
  <c r="P121" i="25"/>
  <c r="Q122" i="25" s="1"/>
  <c r="Q130" i="25" s="1"/>
  <c r="O745" i="25"/>
  <c r="O737" i="25"/>
  <c r="N487" i="25"/>
  <c r="O488" i="25" s="1"/>
  <c r="P563" i="25"/>
  <c r="Q564" i="25" s="1"/>
  <c r="O736" i="25"/>
  <c r="O110" i="25"/>
  <c r="N715" i="25"/>
  <c r="O716" i="25" s="1"/>
  <c r="P715" i="25" s="1"/>
  <c r="Q716" i="25" s="1"/>
  <c r="Q724" i="25" s="1"/>
  <c r="T658" i="25"/>
  <c r="U659" i="25" s="1"/>
  <c r="O742" i="25"/>
  <c r="O148" i="25"/>
  <c r="O457" i="25"/>
  <c r="O451" i="25"/>
  <c r="O623" i="25"/>
  <c r="O646" i="25"/>
  <c r="O452" i="25"/>
  <c r="O456" i="25"/>
  <c r="O460" i="25"/>
  <c r="M738" i="25"/>
  <c r="K548" i="25"/>
  <c r="O631" i="25"/>
  <c r="O647" i="25"/>
  <c r="O641" i="25"/>
  <c r="P620" i="25"/>
  <c r="Q621" i="25" s="1"/>
  <c r="V658" i="25"/>
  <c r="W659" i="25" s="1"/>
  <c r="O627" i="25"/>
  <c r="P639" i="25"/>
  <c r="Q640" i="25" s="1"/>
  <c r="O650" i="25"/>
  <c r="N544" i="25"/>
  <c r="O545" i="25" s="1"/>
  <c r="Q527" i="25"/>
  <c r="M555" i="25"/>
  <c r="M551" i="25"/>
  <c r="M552" i="25"/>
  <c r="M547" i="25"/>
  <c r="M546" i="25"/>
  <c r="M722" i="25"/>
  <c r="M718" i="25"/>
  <c r="M726" i="25"/>
  <c r="M717" i="25"/>
  <c r="M723" i="25"/>
  <c r="M489" i="25"/>
  <c r="M498" i="25"/>
  <c r="M494" i="25"/>
  <c r="M495" i="25"/>
  <c r="M490" i="25"/>
  <c r="T601" i="25"/>
  <c r="U602" i="25" s="1"/>
  <c r="T525" i="25"/>
  <c r="U526" i="25" s="1"/>
  <c r="U534" i="25" s="1"/>
  <c r="Q514" i="25"/>
  <c r="O438" i="25"/>
  <c r="O433" i="25"/>
  <c r="O441" i="25"/>
  <c r="O432" i="25"/>
  <c r="O437" i="25"/>
  <c r="R506" i="25"/>
  <c r="S507" i="25" s="1"/>
  <c r="T449" i="25"/>
  <c r="U450" i="25" s="1"/>
  <c r="U458" i="25" s="1"/>
  <c r="O151" i="25"/>
  <c r="O147" i="25"/>
  <c r="O204" i="25"/>
  <c r="O143" i="25"/>
  <c r="O208" i="25"/>
  <c r="O237" i="25"/>
  <c r="Q143" i="25"/>
  <c r="O109" i="25"/>
  <c r="Q148" i="25"/>
  <c r="Q147" i="25"/>
  <c r="Q151" i="25"/>
  <c r="M106" i="25"/>
  <c r="M107" i="25" s="1"/>
  <c r="P102" i="25"/>
  <c r="Q103" i="25" s="1"/>
  <c r="R102" i="25" s="1"/>
  <c r="S103" i="25" s="1"/>
  <c r="O105" i="25"/>
  <c r="T45" i="25"/>
  <c r="U46" i="25" s="1"/>
  <c r="U54" i="25" s="1"/>
  <c r="R273" i="25"/>
  <c r="S274" i="25" s="1"/>
  <c r="O205" i="25"/>
  <c r="P197" i="25"/>
  <c r="Q198" i="25" s="1"/>
  <c r="O199" i="25"/>
  <c r="Q142" i="25"/>
  <c r="O104" i="25"/>
  <c r="Q280" i="25"/>
  <c r="Q281" i="25"/>
  <c r="Q284" i="25"/>
  <c r="Q276" i="25"/>
  <c r="Q275" i="25"/>
  <c r="T311" i="25"/>
  <c r="U312" i="25" s="1"/>
  <c r="U320" i="25" s="1"/>
  <c r="Q333" i="25"/>
  <c r="Q341" i="25"/>
  <c r="Q337" i="25"/>
  <c r="Q332" i="25"/>
  <c r="Q338" i="25"/>
  <c r="O238" i="25"/>
  <c r="O243" i="25"/>
  <c r="P235" i="25"/>
  <c r="Q236" i="25" s="1"/>
  <c r="O242" i="25"/>
  <c r="R330" i="25"/>
  <c r="S331" i="25" s="1"/>
  <c r="S339" i="25" s="1"/>
  <c r="T254" i="25"/>
  <c r="U255" i="25" s="1"/>
  <c r="U263" i="25" s="1"/>
  <c r="R368" i="25"/>
  <c r="S369" i="25" s="1"/>
  <c r="O246" i="25"/>
  <c r="O185" i="25"/>
  <c r="O223" i="25"/>
  <c r="O224" i="25"/>
  <c r="O227" i="25"/>
  <c r="O219" i="25"/>
  <c r="O218" i="25"/>
  <c r="P216" i="25"/>
  <c r="Q217" i="25" s="1"/>
  <c r="Q225" i="25" s="1"/>
  <c r="P178" i="25"/>
  <c r="Q179" i="25" s="1"/>
  <c r="V140" i="25"/>
  <c r="W141" i="25" s="1"/>
  <c r="W149" i="25" s="1"/>
  <c r="O28" i="25"/>
  <c r="T83" i="25"/>
  <c r="U84" i="25" s="1"/>
  <c r="V159" i="25"/>
  <c r="W160" i="25" s="1"/>
  <c r="Q313" i="25"/>
  <c r="Q533" i="25"/>
  <c r="Q528" i="25"/>
  <c r="Q536" i="25"/>
  <c r="Q517" i="25"/>
  <c r="Q513" i="25"/>
  <c r="Q508" i="25"/>
  <c r="Q509" i="25"/>
  <c r="Q532" i="25"/>
  <c r="Q262" i="25"/>
  <c r="O180" i="25"/>
  <c r="Q261" i="25"/>
  <c r="Q256" i="25"/>
  <c r="Q257" i="25"/>
  <c r="Q265" i="25"/>
  <c r="Q318" i="25"/>
  <c r="Q314" i="25"/>
  <c r="O181" i="25"/>
  <c r="Q322" i="25"/>
  <c r="Q319" i="25"/>
  <c r="O33" i="25"/>
  <c r="O37" i="25"/>
  <c r="M182" i="25"/>
  <c r="O34" i="25"/>
  <c r="P26" i="25"/>
  <c r="Q27" i="25" s="1"/>
  <c r="O29" i="25"/>
  <c r="O186" i="25"/>
  <c r="O189" i="25"/>
  <c r="N292" i="25"/>
  <c r="O293" i="25" s="1"/>
  <c r="O301" i="25" s="1"/>
  <c r="N696" i="25"/>
  <c r="O697" i="25" s="1"/>
  <c r="O705" i="25" s="1"/>
  <c r="N677" i="25"/>
  <c r="O678" i="25" s="1"/>
  <c r="K355" i="25"/>
  <c r="K364" i="25" s="1"/>
  <c r="J364" i="25" s="1"/>
  <c r="P194" i="30"/>
  <c r="F196" i="30"/>
  <c r="P196" i="30" s="1"/>
  <c r="P169" i="5"/>
  <c r="K240" i="25"/>
  <c r="K250" i="25" s="1"/>
  <c r="J250" i="25" s="1"/>
  <c r="K51" i="25"/>
  <c r="K700" i="25"/>
  <c r="K415" i="25"/>
  <c r="K472" i="25"/>
  <c r="K32" i="25"/>
  <c r="K41" i="25" s="1"/>
  <c r="J41" i="25" s="1"/>
  <c r="K296" i="25"/>
  <c r="K298" i="25" s="1"/>
  <c r="O258" i="25"/>
  <c r="K586" i="25"/>
  <c r="M699" i="25"/>
  <c r="M703" i="25"/>
  <c r="M698" i="25"/>
  <c r="M704" i="25"/>
  <c r="M707" i="25"/>
  <c r="M585" i="25"/>
  <c r="M584" i="25"/>
  <c r="M589" i="25"/>
  <c r="M590" i="25"/>
  <c r="M593" i="25"/>
  <c r="K757" i="25"/>
  <c r="M418" i="25"/>
  <c r="M422" i="25"/>
  <c r="M414" i="25"/>
  <c r="M419" i="25"/>
  <c r="M413" i="25"/>
  <c r="N411" i="25"/>
  <c r="O412" i="25" s="1"/>
  <c r="O420" i="25" s="1"/>
  <c r="N582" i="25"/>
  <c r="O583" i="25" s="1"/>
  <c r="O591" i="25" s="1"/>
  <c r="M685" i="25"/>
  <c r="M680" i="25"/>
  <c r="M679" i="25"/>
  <c r="M688" i="25"/>
  <c r="M684" i="25"/>
  <c r="M764" i="25"/>
  <c r="M761" i="25"/>
  <c r="M756" i="25"/>
  <c r="M760" i="25"/>
  <c r="M755" i="25"/>
  <c r="M475" i="25"/>
  <c r="M471" i="25"/>
  <c r="M476" i="25"/>
  <c r="M479" i="25"/>
  <c r="M470" i="25"/>
  <c r="N753" i="25"/>
  <c r="O754" i="25" s="1"/>
  <c r="O762" i="25" s="1"/>
  <c r="N468" i="25"/>
  <c r="O469" i="25" s="1"/>
  <c r="O477" i="25" s="1"/>
  <c r="O372" i="25"/>
  <c r="Q375" i="25"/>
  <c r="Q370" i="25"/>
  <c r="Q371" i="25"/>
  <c r="Q379" i="25"/>
  <c r="Q376" i="25"/>
  <c r="Q86" i="25"/>
  <c r="Q85" i="25"/>
  <c r="Q94" i="25"/>
  <c r="Q91" i="25"/>
  <c r="Q90" i="25"/>
  <c r="Q357" i="25"/>
  <c r="Q360" i="25"/>
  <c r="Q351" i="25"/>
  <c r="Q356" i="25"/>
  <c r="Q352" i="25"/>
  <c r="M300" i="25"/>
  <c r="M299" i="25"/>
  <c r="M295" i="25"/>
  <c r="M294" i="25"/>
  <c r="M303" i="25"/>
  <c r="O393" i="25"/>
  <c r="O401" i="25" s="1"/>
  <c r="O65" i="25"/>
  <c r="O73" i="25" s="1"/>
  <c r="K126" i="25"/>
  <c r="K136" i="25" s="1"/>
  <c r="J136" i="25" s="1"/>
  <c r="K435" i="25"/>
  <c r="M68" i="25"/>
  <c r="K317" i="25"/>
  <c r="K316" i="25"/>
  <c r="K645" i="25"/>
  <c r="K644" i="25"/>
  <c r="K512" i="25"/>
  <c r="K511" i="25"/>
  <c r="M664" i="25"/>
  <c r="M663" i="25"/>
  <c r="K626" i="25"/>
  <c r="K625" i="25"/>
  <c r="K108" i="25"/>
  <c r="K107" i="25"/>
  <c r="K70" i="25"/>
  <c r="K69" i="25"/>
  <c r="K146" i="25"/>
  <c r="K145" i="25"/>
  <c r="K398" i="25"/>
  <c r="K397" i="25"/>
  <c r="K374" i="25"/>
  <c r="K373" i="25"/>
  <c r="K336" i="25"/>
  <c r="K335" i="25"/>
  <c r="K222" i="25"/>
  <c r="K221" i="25"/>
  <c r="K203" i="25"/>
  <c r="K202" i="25"/>
  <c r="K569" i="25"/>
  <c r="K568" i="25"/>
  <c r="K664" i="25"/>
  <c r="K663" i="25"/>
  <c r="M30" i="25"/>
  <c r="K740" i="25"/>
  <c r="K739" i="25"/>
  <c r="M396" i="25"/>
  <c r="K165" i="25"/>
  <c r="K164" i="25"/>
  <c r="K89" i="25"/>
  <c r="K88" i="25"/>
  <c r="K279" i="25"/>
  <c r="K278" i="25"/>
  <c r="K184" i="25"/>
  <c r="K183" i="25"/>
  <c r="K455" i="25"/>
  <c r="K454" i="25"/>
  <c r="K607" i="25"/>
  <c r="K606" i="25"/>
  <c r="K531" i="25"/>
  <c r="K530" i="25"/>
  <c r="K260" i="25"/>
  <c r="K259" i="25"/>
  <c r="M14" i="25"/>
  <c r="K11" i="25"/>
  <c r="K13" i="25" s="1"/>
  <c r="M9" i="25"/>
  <c r="M10" i="25"/>
  <c r="N7" i="25"/>
  <c r="O8" i="25" s="1"/>
  <c r="M15" i="25"/>
  <c r="M18" i="25"/>
  <c r="M607" i="25" l="1"/>
  <c r="M616" i="25" s="1"/>
  <c r="L616" i="25" s="1"/>
  <c r="O529" i="25"/>
  <c r="O530" i="25" s="1"/>
  <c r="R430" i="25"/>
  <c r="S431" i="25" s="1"/>
  <c r="S438" i="25" s="1"/>
  <c r="O605" i="25"/>
  <c r="O607" i="25" s="1"/>
  <c r="Q603" i="25"/>
  <c r="S665" i="25"/>
  <c r="S667" i="25"/>
  <c r="S660" i="25"/>
  <c r="S669" i="25"/>
  <c r="S661" i="25"/>
  <c r="Q612" i="25"/>
  <c r="Q609" i="25"/>
  <c r="Q610" i="25"/>
  <c r="R601" i="25"/>
  <c r="S602" i="25" s="1"/>
  <c r="Q604" i="25"/>
  <c r="R449" i="25"/>
  <c r="S450" i="25" s="1"/>
  <c r="S460" i="25" s="1"/>
  <c r="S170" i="25"/>
  <c r="Q163" i="25"/>
  <c r="Q165" i="25" s="1"/>
  <c r="K445" i="25"/>
  <c r="J445" i="25" s="1"/>
  <c r="M335" i="25"/>
  <c r="M345" i="25" s="1"/>
  <c r="L345" i="25" s="1"/>
  <c r="K535" i="25"/>
  <c r="K537" i="25" s="1"/>
  <c r="K573" i="25"/>
  <c r="K649" i="25"/>
  <c r="K652" i="25" s="1"/>
  <c r="K744" i="25"/>
  <c r="K668" i="25"/>
  <c r="K516" i="25"/>
  <c r="K519" i="25" s="1"/>
  <c r="M145" i="25"/>
  <c r="M184" i="25"/>
  <c r="K611" i="25"/>
  <c r="K614" i="25" s="1"/>
  <c r="K402" i="25"/>
  <c r="K630" i="25"/>
  <c r="K633" i="25" s="1"/>
  <c r="M51" i="25"/>
  <c r="K459" i="25"/>
  <c r="M668" i="25"/>
  <c r="M671" i="25" s="1"/>
  <c r="M69" i="25"/>
  <c r="M165" i="25"/>
  <c r="M174" i="25" s="1"/>
  <c r="L174" i="25" s="1"/>
  <c r="M279" i="25"/>
  <c r="M374" i="25"/>
  <c r="M240" i="25"/>
  <c r="M317" i="25"/>
  <c r="O278" i="25"/>
  <c r="M221" i="25"/>
  <c r="M203" i="25"/>
  <c r="O259" i="25"/>
  <c r="O374" i="25"/>
  <c r="M259" i="25"/>
  <c r="M354" i="25"/>
  <c r="M644" i="25"/>
  <c r="K474" i="25"/>
  <c r="K683" i="25"/>
  <c r="M511" i="25"/>
  <c r="M569" i="25"/>
  <c r="K759" i="25"/>
  <c r="K417" i="25"/>
  <c r="K493" i="25"/>
  <c r="K702" i="25"/>
  <c r="K549" i="25"/>
  <c r="M740" i="25"/>
  <c r="M454" i="25"/>
  <c r="K440" i="25"/>
  <c r="K587" i="25"/>
  <c r="M625" i="25"/>
  <c r="O664" i="25"/>
  <c r="M436" i="25"/>
  <c r="K720" i="25"/>
  <c r="M531" i="25"/>
  <c r="M50" i="25"/>
  <c r="O49" i="25"/>
  <c r="O51" i="25" s="1"/>
  <c r="O334" i="25"/>
  <c r="O335" i="25" s="1"/>
  <c r="S166" i="25"/>
  <c r="S167" i="25"/>
  <c r="S162" i="25"/>
  <c r="S161" i="25"/>
  <c r="R121" i="25"/>
  <c r="S122" i="25" s="1"/>
  <c r="S130" i="25" s="1"/>
  <c r="R45" i="25"/>
  <c r="S46" i="25" s="1"/>
  <c r="S54" i="25" s="1"/>
  <c r="Q52" i="25"/>
  <c r="Q56" i="25"/>
  <c r="Q53" i="25"/>
  <c r="Q47" i="25"/>
  <c r="Q48" i="25"/>
  <c r="S261" i="25"/>
  <c r="M126" i="25"/>
  <c r="M316" i="25"/>
  <c r="M88" i="25"/>
  <c r="M93" i="25" s="1"/>
  <c r="S256" i="25"/>
  <c r="M355" i="25"/>
  <c r="S322" i="25"/>
  <c r="U162" i="25"/>
  <c r="O624" i="25"/>
  <c r="Q460" i="25"/>
  <c r="Q456" i="25"/>
  <c r="O144" i="25"/>
  <c r="O145" i="25" s="1"/>
  <c r="S151" i="25"/>
  <c r="Q664" i="25"/>
  <c r="Q663" i="25"/>
  <c r="R197" i="25"/>
  <c r="S198" i="25" s="1"/>
  <c r="S206" i="25" s="1"/>
  <c r="Q206" i="25"/>
  <c r="P544" i="25"/>
  <c r="Q545" i="25" s="1"/>
  <c r="Q553" i="25" s="1"/>
  <c r="O553" i="25"/>
  <c r="T273" i="25"/>
  <c r="U274" i="25" s="1"/>
  <c r="U282" i="25" s="1"/>
  <c r="S282" i="25"/>
  <c r="V601" i="25"/>
  <c r="W602" i="25" s="1"/>
  <c r="W610" i="25" s="1"/>
  <c r="U610" i="25"/>
  <c r="S262" i="25"/>
  <c r="S528" i="25"/>
  <c r="S90" i="25"/>
  <c r="Q185" i="25"/>
  <c r="Q187" i="25"/>
  <c r="S375" i="25"/>
  <c r="S377" i="25"/>
  <c r="Q441" i="25"/>
  <c r="X658" i="25"/>
  <c r="Y659" i="25" s="1"/>
  <c r="Y667" i="25" s="1"/>
  <c r="W667" i="25"/>
  <c r="O717" i="25"/>
  <c r="O724" i="25"/>
  <c r="T102" i="25"/>
  <c r="U103" i="25" s="1"/>
  <c r="U111" i="25" s="1"/>
  <c r="S111" i="25"/>
  <c r="S147" i="25"/>
  <c r="S314" i="25"/>
  <c r="S265" i="25"/>
  <c r="S533" i="25"/>
  <c r="S94" i="25"/>
  <c r="Q34" i="25"/>
  <c r="Q35" i="25"/>
  <c r="Q438" i="25"/>
  <c r="Q623" i="25"/>
  <c r="Q629" i="25"/>
  <c r="T140" i="25"/>
  <c r="U141" i="25" s="1"/>
  <c r="S149" i="25"/>
  <c r="Q742" i="25"/>
  <c r="Q743" i="25"/>
  <c r="T349" i="25"/>
  <c r="U350" i="25" s="1"/>
  <c r="S358" i="25"/>
  <c r="S319" i="25"/>
  <c r="S257" i="25"/>
  <c r="S532" i="25"/>
  <c r="S91" i="25"/>
  <c r="U170" i="25"/>
  <c r="Q433" i="25"/>
  <c r="Q452" i="25"/>
  <c r="P487" i="25"/>
  <c r="Q488" i="25" s="1"/>
  <c r="Q489" i="25" s="1"/>
  <c r="O496" i="25"/>
  <c r="R639" i="25"/>
  <c r="S640" i="25" s="1"/>
  <c r="S647" i="25" s="1"/>
  <c r="Q648" i="25"/>
  <c r="T121" i="25"/>
  <c r="U122" i="25" s="1"/>
  <c r="U130" i="25" s="1"/>
  <c r="T506" i="25"/>
  <c r="U507" i="25" s="1"/>
  <c r="U515" i="25" s="1"/>
  <c r="S515" i="25"/>
  <c r="U660" i="25"/>
  <c r="U667" i="25"/>
  <c r="S318" i="25"/>
  <c r="S143" i="25"/>
  <c r="S144" i="25" s="1"/>
  <c r="S536" i="25"/>
  <c r="S85" i="25"/>
  <c r="X159" i="25"/>
  <c r="Y160" i="25" s="1"/>
  <c r="Y168" i="25" s="1"/>
  <c r="W168" i="25"/>
  <c r="U166" i="25"/>
  <c r="Q113" i="25"/>
  <c r="Q111" i="25"/>
  <c r="Q437" i="25"/>
  <c r="R563" i="25"/>
  <c r="S564" i="25" s="1"/>
  <c r="S571" i="25" s="1"/>
  <c r="Q572" i="25"/>
  <c r="Q451" i="25"/>
  <c r="Q458" i="25"/>
  <c r="O688" i="25"/>
  <c r="O686" i="25"/>
  <c r="U161" i="25"/>
  <c r="T430" i="25"/>
  <c r="U431" i="25" s="1"/>
  <c r="U439" i="25" s="1"/>
  <c r="S313" i="25"/>
  <c r="S148" i="25"/>
  <c r="S527" i="25"/>
  <c r="S86" i="25"/>
  <c r="V83" i="25"/>
  <c r="W84" i="25" s="1"/>
  <c r="W92" i="25" s="1"/>
  <c r="U92" i="25"/>
  <c r="U167" i="25"/>
  <c r="R235" i="25"/>
  <c r="S236" i="25" s="1"/>
  <c r="S246" i="25" s="1"/>
  <c r="Q244" i="25"/>
  <c r="Q432" i="25"/>
  <c r="M568" i="25"/>
  <c r="O87" i="25"/>
  <c r="O88" i="25" s="1"/>
  <c r="M645" i="25"/>
  <c r="M260" i="25"/>
  <c r="M512" i="25"/>
  <c r="M241" i="25"/>
  <c r="K492" i="25"/>
  <c r="K117" i="25"/>
  <c r="J117" i="25" s="1"/>
  <c r="K654" i="25"/>
  <c r="J654" i="25" s="1"/>
  <c r="O663" i="25"/>
  <c r="K673" i="25"/>
  <c r="J673" i="25" s="1"/>
  <c r="K407" i="25"/>
  <c r="J407" i="25" s="1"/>
  <c r="Q109" i="25"/>
  <c r="K269" i="25"/>
  <c r="J269" i="25" s="1"/>
  <c r="K288" i="25"/>
  <c r="J288" i="25" s="1"/>
  <c r="K231" i="25"/>
  <c r="J231" i="25" s="1"/>
  <c r="K79" i="25"/>
  <c r="J79" i="25" s="1"/>
  <c r="K521" i="25"/>
  <c r="J521" i="25" s="1"/>
  <c r="K578" i="25"/>
  <c r="J578" i="25" s="1"/>
  <c r="K345" i="25"/>
  <c r="J345" i="25" s="1"/>
  <c r="K635" i="25"/>
  <c r="J635" i="25" s="1"/>
  <c r="K326" i="25"/>
  <c r="J326" i="25" s="1"/>
  <c r="K616" i="25"/>
  <c r="J616" i="25" s="1"/>
  <c r="K174" i="25"/>
  <c r="J174" i="25" s="1"/>
  <c r="K464" i="25"/>
  <c r="J464" i="25" s="1"/>
  <c r="O125" i="25"/>
  <c r="O127" i="25" s="1"/>
  <c r="O643" i="25"/>
  <c r="M222" i="25"/>
  <c r="M373" i="25"/>
  <c r="K721" i="25"/>
  <c r="O315" i="25"/>
  <c r="O106" i="25"/>
  <c r="O108" i="25" s="1"/>
  <c r="U661" i="25"/>
  <c r="K55" i="25"/>
  <c r="K58" i="25" s="1"/>
  <c r="K60" i="25"/>
  <c r="J60" i="25" s="1"/>
  <c r="K540" i="25"/>
  <c r="J540" i="25" s="1"/>
  <c r="K193" i="25"/>
  <c r="J193" i="25" s="1"/>
  <c r="K98" i="25"/>
  <c r="J98" i="25" s="1"/>
  <c r="K212" i="25"/>
  <c r="J212" i="25" s="1"/>
  <c r="K383" i="25"/>
  <c r="J383" i="25" s="1"/>
  <c r="K155" i="25"/>
  <c r="J155" i="25" s="1"/>
  <c r="M673" i="25"/>
  <c r="L673" i="25" s="1"/>
  <c r="M530" i="25"/>
  <c r="O567" i="25"/>
  <c r="K749" i="25"/>
  <c r="J749" i="25" s="1"/>
  <c r="O201" i="25"/>
  <c r="M202" i="25"/>
  <c r="K682" i="25"/>
  <c r="M435" i="25"/>
  <c r="K550" i="25"/>
  <c r="O510" i="25"/>
  <c r="O353" i="25"/>
  <c r="M146" i="25"/>
  <c r="O279" i="25"/>
  <c r="O164" i="25"/>
  <c r="O174" i="25" s="1"/>
  <c r="N174" i="25" s="1"/>
  <c r="M278" i="25"/>
  <c r="M626" i="25"/>
  <c r="O723" i="25"/>
  <c r="U666" i="25"/>
  <c r="M739" i="25"/>
  <c r="O738" i="25"/>
  <c r="U669" i="25"/>
  <c r="Q737" i="25"/>
  <c r="Q622" i="25"/>
  <c r="U665" i="25"/>
  <c r="Q736" i="25"/>
  <c r="R734" i="25"/>
  <c r="S735" i="25" s="1"/>
  <c r="Q574" i="25"/>
  <c r="O490" i="25"/>
  <c r="Q566" i="25"/>
  <c r="Q570" i="25"/>
  <c r="M455" i="25"/>
  <c r="O726" i="25"/>
  <c r="Q741" i="25"/>
  <c r="Q745" i="25"/>
  <c r="Q571" i="25"/>
  <c r="Q565" i="25"/>
  <c r="Q129" i="25"/>
  <c r="Q132" i="25"/>
  <c r="Q123" i="25"/>
  <c r="Q110" i="25"/>
  <c r="Q105" i="25"/>
  <c r="Q104" i="25"/>
  <c r="Q628" i="25"/>
  <c r="O489" i="25"/>
  <c r="O722" i="25"/>
  <c r="Q124" i="25"/>
  <c r="Q128" i="25"/>
  <c r="Q631" i="25"/>
  <c r="M491" i="25"/>
  <c r="O495" i="25"/>
  <c r="O718" i="25"/>
  <c r="O498" i="25"/>
  <c r="O494" i="25"/>
  <c r="M719" i="25"/>
  <c r="Q189" i="25"/>
  <c r="Z658" i="25"/>
  <c r="AA659" i="25" s="1"/>
  <c r="S508" i="25"/>
  <c r="S509" i="25"/>
  <c r="S514" i="25"/>
  <c r="S513" i="25"/>
  <c r="Q647" i="25"/>
  <c r="T639" i="25"/>
  <c r="U640" i="25" s="1"/>
  <c r="O453" i="25"/>
  <c r="V430" i="25"/>
  <c r="W431" i="25" s="1"/>
  <c r="S517" i="25"/>
  <c r="O434" i="25"/>
  <c r="Q642" i="25"/>
  <c r="Q627" i="25"/>
  <c r="W660" i="25"/>
  <c r="W669" i="25"/>
  <c r="W661" i="25"/>
  <c r="W665" i="25"/>
  <c r="W666" i="25"/>
  <c r="Q646" i="25"/>
  <c r="Q650" i="25"/>
  <c r="R620" i="25"/>
  <c r="S621" i="25" s="1"/>
  <c r="S629" i="25" s="1"/>
  <c r="Q641" i="25"/>
  <c r="V506" i="25"/>
  <c r="W507" i="25" s="1"/>
  <c r="V734" i="25"/>
  <c r="W735" i="25" s="1"/>
  <c r="U527" i="25"/>
  <c r="U528" i="25"/>
  <c r="U532" i="25"/>
  <c r="U536" i="25"/>
  <c r="U533" i="25"/>
  <c r="T563" i="25"/>
  <c r="U564" i="25" s="1"/>
  <c r="U572" i="25" s="1"/>
  <c r="M548" i="25"/>
  <c r="U451" i="25"/>
  <c r="U457" i="25"/>
  <c r="U452" i="25"/>
  <c r="U456" i="25"/>
  <c r="U460" i="25"/>
  <c r="V639" i="25"/>
  <c r="W640" i="25" s="1"/>
  <c r="R715" i="25"/>
  <c r="S716" i="25" s="1"/>
  <c r="S724" i="25" s="1"/>
  <c r="U608" i="25"/>
  <c r="U604" i="25"/>
  <c r="U609" i="25"/>
  <c r="U612" i="25"/>
  <c r="U603" i="25"/>
  <c r="Q717" i="25"/>
  <c r="Q726" i="25"/>
  <c r="Q722" i="25"/>
  <c r="Q723" i="25"/>
  <c r="Q718" i="25"/>
  <c r="P696" i="25"/>
  <c r="Q697" i="25" s="1"/>
  <c r="O551" i="25"/>
  <c r="O555" i="25"/>
  <c r="O547" i="25"/>
  <c r="O552" i="25"/>
  <c r="O546" i="25"/>
  <c r="V487" i="25"/>
  <c r="W488" i="25" s="1"/>
  <c r="W496" i="25" s="1"/>
  <c r="V449" i="25"/>
  <c r="W450" i="25" s="1"/>
  <c r="W458" i="25" s="1"/>
  <c r="Q529" i="25"/>
  <c r="V525" i="25"/>
  <c r="W526" i="25" s="1"/>
  <c r="X601" i="25"/>
  <c r="Y602" i="25" s="1"/>
  <c r="M108" i="25"/>
  <c r="R178" i="25"/>
  <c r="S179" i="25" s="1"/>
  <c r="R26" i="25"/>
  <c r="S27" i="25" s="1"/>
  <c r="O30" i="25"/>
  <c r="O220" i="25"/>
  <c r="Q144" i="25"/>
  <c r="Q146" i="25" s="1"/>
  <c r="O239" i="25"/>
  <c r="S284" i="25"/>
  <c r="S280" i="25"/>
  <c r="U48" i="25"/>
  <c r="U53" i="25"/>
  <c r="U47" i="25"/>
  <c r="V45" i="25"/>
  <c r="W46" i="25" s="1"/>
  <c r="W54" i="25" s="1"/>
  <c r="U52" i="25"/>
  <c r="U56" i="25"/>
  <c r="Q315" i="25"/>
  <c r="T330" i="25"/>
  <c r="U331" i="25" s="1"/>
  <c r="S376" i="25"/>
  <c r="V311" i="25"/>
  <c r="W312" i="25" s="1"/>
  <c r="S379" i="25"/>
  <c r="S370" i="25"/>
  <c r="T368" i="25"/>
  <c r="U369" i="25" s="1"/>
  <c r="V273" i="25"/>
  <c r="W274" i="25" s="1"/>
  <c r="S275" i="25"/>
  <c r="Q258" i="25"/>
  <c r="Q277" i="25"/>
  <c r="S276" i="25"/>
  <c r="S281" i="25"/>
  <c r="T197" i="25"/>
  <c r="U198" i="25" s="1"/>
  <c r="Q186" i="25"/>
  <c r="Q181" i="25"/>
  <c r="Q205" i="25"/>
  <c r="Q208" i="25"/>
  <c r="Q200" i="25"/>
  <c r="Q204" i="25"/>
  <c r="Q199" i="25"/>
  <c r="U318" i="25"/>
  <c r="U319" i="25"/>
  <c r="U314" i="25"/>
  <c r="U313" i="25"/>
  <c r="U322" i="25"/>
  <c r="S371" i="25"/>
  <c r="V254" i="25"/>
  <c r="W255" i="25" s="1"/>
  <c r="W263" i="25" s="1"/>
  <c r="Q242" i="25"/>
  <c r="Q238" i="25"/>
  <c r="Q237" i="25"/>
  <c r="Q243" i="25"/>
  <c r="Q246" i="25"/>
  <c r="U262" i="25"/>
  <c r="U257" i="25"/>
  <c r="U256" i="25"/>
  <c r="U265" i="25"/>
  <c r="U261" i="25"/>
  <c r="P292" i="25"/>
  <c r="Q293" i="25" s="1"/>
  <c r="S337" i="25"/>
  <c r="S341" i="25"/>
  <c r="S333" i="25"/>
  <c r="S338" i="25"/>
  <c r="S332" i="25"/>
  <c r="T235" i="25"/>
  <c r="U236" i="25" s="1"/>
  <c r="Q334" i="25"/>
  <c r="V102" i="25"/>
  <c r="W103" i="25" s="1"/>
  <c r="Q223" i="25"/>
  <c r="Q219" i="25"/>
  <c r="Q218" i="25"/>
  <c r="Q224" i="25"/>
  <c r="Q227" i="25"/>
  <c r="W151" i="25"/>
  <c r="W143" i="25"/>
  <c r="W148" i="25"/>
  <c r="W147" i="25"/>
  <c r="W142" i="25"/>
  <c r="R216" i="25"/>
  <c r="S217" i="25" s="1"/>
  <c r="W166" i="25"/>
  <c r="W167" i="25"/>
  <c r="W161" i="25"/>
  <c r="W170" i="25"/>
  <c r="W162" i="25"/>
  <c r="X140" i="25"/>
  <c r="Y141" i="25" s="1"/>
  <c r="Y149" i="25" s="1"/>
  <c r="V121" i="25"/>
  <c r="W122" i="25" s="1"/>
  <c r="Q180" i="25"/>
  <c r="Z159" i="25"/>
  <c r="AA160" i="25" s="1"/>
  <c r="U85" i="25"/>
  <c r="U91" i="25"/>
  <c r="U86" i="25"/>
  <c r="U94" i="25"/>
  <c r="U90" i="25"/>
  <c r="X83" i="25"/>
  <c r="Y84" i="25" s="1"/>
  <c r="T26" i="25"/>
  <c r="U27" i="25" s="1"/>
  <c r="U35" i="25" s="1"/>
  <c r="O182" i="25"/>
  <c r="Q510" i="25"/>
  <c r="O679" i="25"/>
  <c r="O707" i="25"/>
  <c r="O699" i="25"/>
  <c r="Q29" i="25"/>
  <c r="Q33" i="25"/>
  <c r="M183" i="25"/>
  <c r="Q37" i="25"/>
  <c r="O294" i="25"/>
  <c r="Q28" i="25"/>
  <c r="O300" i="25"/>
  <c r="O295" i="25"/>
  <c r="O299" i="25"/>
  <c r="O303" i="25"/>
  <c r="O703" i="25"/>
  <c r="O704" i="25"/>
  <c r="O680" i="25"/>
  <c r="O685" i="25"/>
  <c r="O698" i="25"/>
  <c r="K359" i="25"/>
  <c r="K361" i="25" s="1"/>
  <c r="K366" i="25" s="1"/>
  <c r="O684" i="25"/>
  <c r="P677" i="25"/>
  <c r="Q678" i="25" s="1"/>
  <c r="O67" i="25"/>
  <c r="O403" i="25"/>
  <c r="P468" i="25"/>
  <c r="Q469" i="25" s="1"/>
  <c r="Q477" i="25" s="1"/>
  <c r="S109" i="25"/>
  <c r="S105" i="25"/>
  <c r="S104" i="25"/>
  <c r="S110" i="25"/>
  <c r="S113" i="25"/>
  <c r="K245" i="25"/>
  <c r="K247" i="25" s="1"/>
  <c r="K701" i="25"/>
  <c r="K416" i="25"/>
  <c r="K473" i="25"/>
  <c r="K588" i="25"/>
  <c r="K297" i="25"/>
  <c r="K307" i="25" s="1"/>
  <c r="J307" i="25" s="1"/>
  <c r="K36" i="25"/>
  <c r="M681" i="25"/>
  <c r="O260" i="25"/>
  <c r="M296" i="25"/>
  <c r="M586" i="25"/>
  <c r="K758" i="25"/>
  <c r="O764" i="25"/>
  <c r="O755" i="25"/>
  <c r="O761" i="25"/>
  <c r="O760" i="25"/>
  <c r="O756" i="25"/>
  <c r="O418" i="25"/>
  <c r="O414" i="25"/>
  <c r="O413" i="25"/>
  <c r="O419" i="25"/>
  <c r="O422" i="25"/>
  <c r="P753" i="25"/>
  <c r="Q754" i="25" s="1"/>
  <c r="P411" i="25"/>
  <c r="Q412" i="25" s="1"/>
  <c r="Q420" i="25" s="1"/>
  <c r="M415" i="25"/>
  <c r="M472" i="25"/>
  <c r="M757" i="25"/>
  <c r="O475" i="25"/>
  <c r="O471" i="25"/>
  <c r="O470" i="25"/>
  <c r="O479" i="25"/>
  <c r="O476" i="25"/>
  <c r="O589" i="25"/>
  <c r="O585" i="25"/>
  <c r="O584" i="25"/>
  <c r="O590" i="25"/>
  <c r="O593" i="25"/>
  <c r="P582" i="25"/>
  <c r="Q583" i="25" s="1"/>
  <c r="Q591" i="25" s="1"/>
  <c r="M700" i="25"/>
  <c r="Q353" i="25"/>
  <c r="Q87" i="25"/>
  <c r="O373" i="25"/>
  <c r="M70" i="25"/>
  <c r="Q372" i="25"/>
  <c r="S351" i="25"/>
  <c r="S352" i="25"/>
  <c r="S357" i="25"/>
  <c r="S356" i="25"/>
  <c r="S360" i="25"/>
  <c r="O399" i="25"/>
  <c r="O400" i="25"/>
  <c r="P392" i="25"/>
  <c r="Q393" i="25" s="1"/>
  <c r="O395" i="25"/>
  <c r="O394" i="25"/>
  <c r="O66" i="25"/>
  <c r="O75" i="25"/>
  <c r="K150" i="25"/>
  <c r="K152" i="25" s="1"/>
  <c r="P64" i="25"/>
  <c r="Q65" i="25" s="1"/>
  <c r="O71" i="25"/>
  <c r="O72" i="25"/>
  <c r="K131" i="25"/>
  <c r="K133" i="25" s="1"/>
  <c r="K340" i="25"/>
  <c r="K342" i="25" s="1"/>
  <c r="K226" i="25"/>
  <c r="K229" i="25" s="1"/>
  <c r="K188" i="25"/>
  <c r="K190" i="25" s="1"/>
  <c r="K169" i="25"/>
  <c r="K171" i="25" s="1"/>
  <c r="K283" i="25"/>
  <c r="K378" i="25"/>
  <c r="K264" i="25"/>
  <c r="K112" i="25"/>
  <c r="M32" i="25"/>
  <c r="M31" i="25"/>
  <c r="K321" i="25"/>
  <c r="K207" i="25"/>
  <c r="K93" i="25"/>
  <c r="M398" i="25"/>
  <c r="M397" i="25"/>
  <c r="K74" i="25"/>
  <c r="P7" i="25"/>
  <c r="Q8" i="25" s="1"/>
  <c r="Q10" i="25" s="1"/>
  <c r="K12" i="25"/>
  <c r="K17" i="25" s="1"/>
  <c r="K20" i="25" s="1"/>
  <c r="O14" i="25"/>
  <c r="M11" i="25"/>
  <c r="O9" i="25"/>
  <c r="O16" i="25"/>
  <c r="O10" i="25"/>
  <c r="O15" i="25"/>
  <c r="O18" i="25"/>
  <c r="O531" i="25" l="1"/>
  <c r="O535" i="25" s="1"/>
  <c r="O538" i="25" s="1"/>
  <c r="M611" i="25"/>
  <c r="M614" i="25" s="1"/>
  <c r="M340" i="25"/>
  <c r="M343" i="25" s="1"/>
  <c r="O606" i="25"/>
  <c r="O611" i="25" s="1"/>
  <c r="O613" i="25" s="1"/>
  <c r="O618" i="25" s="1"/>
  <c r="N64" i="2" s="1"/>
  <c r="S437" i="25"/>
  <c r="S433" i="25"/>
  <c r="S432" i="25"/>
  <c r="S439" i="25"/>
  <c r="S441" i="25"/>
  <c r="Q605" i="25"/>
  <c r="Q606" i="25" s="1"/>
  <c r="S662" i="25"/>
  <c r="S664" i="25" s="1"/>
  <c r="O673" i="25"/>
  <c r="N673" i="25" s="1"/>
  <c r="S457" i="25"/>
  <c r="S451" i="25"/>
  <c r="S458" i="25"/>
  <c r="S610" i="25"/>
  <c r="S608" i="25"/>
  <c r="S612" i="25"/>
  <c r="S604" i="25"/>
  <c r="S603" i="25"/>
  <c r="S609" i="25"/>
  <c r="R544" i="25"/>
  <c r="S545" i="25" s="1"/>
  <c r="S553" i="25" s="1"/>
  <c r="S452" i="25"/>
  <c r="S456" i="25"/>
  <c r="K692" i="25"/>
  <c r="J692" i="25" s="1"/>
  <c r="O269" i="25"/>
  <c r="N269" i="25" s="1"/>
  <c r="Q164" i="25"/>
  <c r="Q169" i="25" s="1"/>
  <c r="Q171" i="25" s="1"/>
  <c r="M464" i="25"/>
  <c r="L464" i="25" s="1"/>
  <c r="M383" i="25"/>
  <c r="L383" i="25" s="1"/>
  <c r="M269" i="25"/>
  <c r="L269" i="25" s="1"/>
  <c r="M60" i="25"/>
  <c r="L60" i="25" s="1"/>
  <c r="K768" i="25"/>
  <c r="J768" i="25" s="1"/>
  <c r="K502" i="25"/>
  <c r="J502" i="25" s="1"/>
  <c r="M231" i="25"/>
  <c r="L231" i="25" s="1"/>
  <c r="M654" i="25"/>
  <c r="L654" i="25" s="1"/>
  <c r="K421" i="25"/>
  <c r="K423" i="25" s="1"/>
  <c r="K597" i="25"/>
  <c r="J597" i="25" s="1"/>
  <c r="M98" i="25"/>
  <c r="L98" i="25" s="1"/>
  <c r="K706" i="25"/>
  <c r="K708" i="25" s="1"/>
  <c r="K713" i="25" s="1"/>
  <c r="J69" i="2" s="1"/>
  <c r="M283" i="25"/>
  <c r="M286" i="25" s="1"/>
  <c r="M540" i="25"/>
  <c r="L540" i="25" s="1"/>
  <c r="M744" i="25"/>
  <c r="M747" i="25" s="1"/>
  <c r="M402" i="25"/>
  <c r="M212" i="25"/>
  <c r="L212" i="25" s="1"/>
  <c r="O50" i="25"/>
  <c r="O60" i="25" s="1"/>
  <c r="N60" i="25" s="1"/>
  <c r="M445" i="25"/>
  <c r="L445" i="25" s="1"/>
  <c r="M79" i="25"/>
  <c r="L79" i="25" s="1"/>
  <c r="M55" i="25"/>
  <c r="M58" i="25" s="1"/>
  <c r="K483" i="25"/>
  <c r="J483" i="25" s="1"/>
  <c r="K592" i="25"/>
  <c r="K595" i="25" s="1"/>
  <c r="M359" i="25"/>
  <c r="M361" i="25" s="1"/>
  <c r="M150" i="25"/>
  <c r="M153" i="25" s="1"/>
  <c r="M36" i="25"/>
  <c r="O288" i="25"/>
  <c r="N288" i="25" s="1"/>
  <c r="O169" i="25"/>
  <c r="O171" i="25" s="1"/>
  <c r="K725" i="25"/>
  <c r="K727" i="25" s="1"/>
  <c r="K732" i="25" s="1"/>
  <c r="Q668" i="25"/>
  <c r="Q671" i="25" s="1"/>
  <c r="M193" i="25"/>
  <c r="L193" i="25" s="1"/>
  <c r="M74" i="25"/>
  <c r="M77" i="25" s="1"/>
  <c r="M117" i="25"/>
  <c r="L117" i="25" s="1"/>
  <c r="M112" i="25"/>
  <c r="O378" i="25"/>
  <c r="O381" i="25" s="1"/>
  <c r="O184" i="25"/>
  <c r="M169" i="25"/>
  <c r="M171" i="25" s="1"/>
  <c r="M176" i="25" s="1"/>
  <c r="L29" i="2" s="1"/>
  <c r="M188" i="25"/>
  <c r="M190" i="25" s="1"/>
  <c r="M195" i="25" s="1"/>
  <c r="M264" i="25"/>
  <c r="M266" i="25" s="1"/>
  <c r="K730" i="25"/>
  <c r="J730" i="25" s="1"/>
  <c r="M440" i="25"/>
  <c r="M442" i="25" s="1"/>
  <c r="K554" i="25"/>
  <c r="K557" i="25" s="1"/>
  <c r="O264" i="25"/>
  <c r="O267" i="25" s="1"/>
  <c r="M573" i="25"/>
  <c r="M575" i="25" s="1"/>
  <c r="M207" i="25"/>
  <c r="M210" i="25" s="1"/>
  <c r="M630" i="25"/>
  <c r="M633" i="25" s="1"/>
  <c r="M131" i="25"/>
  <c r="M134" i="25" s="1"/>
  <c r="M250" i="25"/>
  <c r="L250" i="25" s="1"/>
  <c r="O32" i="25"/>
  <c r="M516" i="25"/>
  <c r="M518" i="25" s="1"/>
  <c r="M326" i="25"/>
  <c r="L326" i="25" s="1"/>
  <c r="M13" i="25"/>
  <c r="O355" i="25"/>
  <c r="M321" i="25"/>
  <c r="M323" i="25" s="1"/>
  <c r="M298" i="25"/>
  <c r="M245" i="25"/>
  <c r="M248" i="25" s="1"/>
  <c r="O317" i="25"/>
  <c r="Q260" i="25"/>
  <c r="Q355" i="25"/>
  <c r="Q317" i="25"/>
  <c r="M226" i="25"/>
  <c r="M229" i="25" s="1"/>
  <c r="M378" i="25"/>
  <c r="M380" i="25" s="1"/>
  <c r="M385" i="25" s="1"/>
  <c r="O241" i="25"/>
  <c r="O283" i="25"/>
  <c r="O285" i="25" s="1"/>
  <c r="O290" i="25" s="1"/>
  <c r="O202" i="25"/>
  <c r="O222" i="25"/>
  <c r="O336" i="25"/>
  <c r="O340" i="25" s="1"/>
  <c r="O342" i="25" s="1"/>
  <c r="O347" i="25" s="1"/>
  <c r="K687" i="25"/>
  <c r="K690" i="25" s="1"/>
  <c r="O740" i="25"/>
  <c r="O644" i="25"/>
  <c r="K763" i="25"/>
  <c r="K766" i="25" s="1"/>
  <c r="K478" i="25"/>
  <c r="M493" i="25"/>
  <c r="O512" i="25"/>
  <c r="O668" i="25"/>
  <c r="O671" i="25" s="1"/>
  <c r="M459" i="25"/>
  <c r="M461" i="25" s="1"/>
  <c r="M466" i="25" s="1"/>
  <c r="L56" i="2" s="1"/>
  <c r="K497" i="25"/>
  <c r="K500" i="25" s="1"/>
  <c r="M649" i="25"/>
  <c r="M651" i="25" s="1"/>
  <c r="Q512" i="25"/>
  <c r="K559" i="25"/>
  <c r="J559" i="25" s="1"/>
  <c r="M535" i="25"/>
  <c r="M538" i="25" s="1"/>
  <c r="K426" i="25"/>
  <c r="J426" i="25" s="1"/>
  <c r="O568" i="25"/>
  <c r="O626" i="25"/>
  <c r="Q530" i="25"/>
  <c r="Q434" i="25"/>
  <c r="Q436" i="25" s="1"/>
  <c r="S163" i="25"/>
  <c r="S165" i="25" s="1"/>
  <c r="Q49" i="25"/>
  <c r="Q50" i="25" s="1"/>
  <c r="M136" i="25"/>
  <c r="L136" i="25" s="1"/>
  <c r="Q551" i="25"/>
  <c r="Q552" i="25"/>
  <c r="U441" i="25"/>
  <c r="S53" i="25"/>
  <c r="U433" i="25"/>
  <c r="Q498" i="25"/>
  <c r="S129" i="25"/>
  <c r="S123" i="25"/>
  <c r="S128" i="25"/>
  <c r="S132" i="25"/>
  <c r="S124" i="25"/>
  <c r="W85" i="25"/>
  <c r="S200" i="25"/>
  <c r="W91" i="25"/>
  <c r="S56" i="25"/>
  <c r="S52" i="25"/>
  <c r="S48" i="25"/>
  <c r="S47" i="25"/>
  <c r="O719" i="25"/>
  <c r="O146" i="25"/>
  <c r="O155" i="25" s="1"/>
  <c r="N155" i="25" s="1"/>
  <c r="S87" i="25"/>
  <c r="S89" i="25" s="1"/>
  <c r="W603" i="25"/>
  <c r="M364" i="25"/>
  <c r="L364" i="25" s="1"/>
  <c r="S258" i="25"/>
  <c r="O625" i="25"/>
  <c r="S642" i="25"/>
  <c r="S650" i="25"/>
  <c r="U163" i="25"/>
  <c r="Y669" i="25"/>
  <c r="S529" i="25"/>
  <c r="Y660" i="25"/>
  <c r="S208" i="25"/>
  <c r="Y665" i="25"/>
  <c r="W94" i="25"/>
  <c r="S204" i="25"/>
  <c r="Y666" i="25"/>
  <c r="S646" i="25"/>
  <c r="W90" i="25"/>
  <c r="S205" i="25"/>
  <c r="S565" i="25"/>
  <c r="Q494" i="25"/>
  <c r="U432" i="25"/>
  <c r="S238" i="25"/>
  <c r="Q495" i="25"/>
  <c r="U437" i="25"/>
  <c r="U123" i="25"/>
  <c r="Q547" i="25"/>
  <c r="Q490" i="25"/>
  <c r="Q491" i="25" s="1"/>
  <c r="S566" i="25"/>
  <c r="Q555" i="25"/>
  <c r="Q546" i="25"/>
  <c r="U438" i="25"/>
  <c r="S570" i="25"/>
  <c r="W86" i="25"/>
  <c r="U104" i="25"/>
  <c r="S199" i="25"/>
  <c r="U276" i="25"/>
  <c r="W609" i="25"/>
  <c r="Y661" i="25"/>
  <c r="U105" i="25"/>
  <c r="U128" i="25"/>
  <c r="S315" i="25"/>
  <c r="U109" i="25"/>
  <c r="U284" i="25"/>
  <c r="U517" i="25"/>
  <c r="U113" i="25"/>
  <c r="S242" i="25"/>
  <c r="U124" i="25"/>
  <c r="S243" i="25"/>
  <c r="W612" i="25"/>
  <c r="U132" i="25"/>
  <c r="U110" i="25"/>
  <c r="W608" i="25"/>
  <c r="Y167" i="25"/>
  <c r="U129" i="25"/>
  <c r="W604" i="25"/>
  <c r="X430" i="25"/>
  <c r="Y431" i="25" s="1"/>
  <c r="Y439" i="25" s="1"/>
  <c r="W439" i="25"/>
  <c r="U338" i="25"/>
  <c r="U339" i="25"/>
  <c r="Z83" i="25"/>
  <c r="AA84" i="25" s="1"/>
  <c r="AA92" i="25" s="1"/>
  <c r="Y92" i="25"/>
  <c r="Y166" i="25"/>
  <c r="U281" i="25"/>
  <c r="T178" i="25"/>
  <c r="U179" i="25" s="1"/>
  <c r="U187" i="25" s="1"/>
  <c r="S187" i="25"/>
  <c r="Z601" i="25"/>
  <c r="AA602" i="25" s="1"/>
  <c r="AA610" i="25" s="1"/>
  <c r="Y610" i="25"/>
  <c r="T734" i="25"/>
  <c r="U735" i="25" s="1"/>
  <c r="U742" i="25" s="1"/>
  <c r="S743" i="25"/>
  <c r="S237" i="25"/>
  <c r="S244" i="25"/>
  <c r="S574" i="25"/>
  <c r="S572" i="25"/>
  <c r="R753" i="25"/>
  <c r="S754" i="25" s="1"/>
  <c r="S756" i="25" s="1"/>
  <c r="Q762" i="25"/>
  <c r="T216" i="25"/>
  <c r="U217" i="25" s="1"/>
  <c r="U225" i="25" s="1"/>
  <c r="S225" i="25"/>
  <c r="Y161" i="25"/>
  <c r="U200" i="25"/>
  <c r="U206" i="25"/>
  <c r="U280" i="25"/>
  <c r="X525" i="25"/>
  <c r="Y526" i="25" s="1"/>
  <c r="Y534" i="25" s="1"/>
  <c r="W534" i="25"/>
  <c r="AB658" i="25"/>
  <c r="AC659" i="25" s="1"/>
  <c r="AC667" i="25" s="1"/>
  <c r="AA667" i="25"/>
  <c r="U149" i="25"/>
  <c r="U147" i="25"/>
  <c r="U142" i="25"/>
  <c r="U143" i="25"/>
  <c r="U148" i="25"/>
  <c r="U151" i="25"/>
  <c r="V235" i="25"/>
  <c r="W236" i="25" s="1"/>
  <c r="W244" i="25" s="1"/>
  <c r="U244" i="25"/>
  <c r="X102" i="25"/>
  <c r="Y103" i="25" s="1"/>
  <c r="Y111" i="25" s="1"/>
  <c r="W111" i="25"/>
  <c r="V368" i="25"/>
  <c r="W369" i="25" s="1"/>
  <c r="W377" i="25" s="1"/>
  <c r="U377" i="25"/>
  <c r="X639" i="25"/>
  <c r="Y640" i="25" s="1"/>
  <c r="Y648" i="25" s="1"/>
  <c r="W648" i="25"/>
  <c r="X506" i="25"/>
  <c r="Y507" i="25" s="1"/>
  <c r="Y515" i="25" s="1"/>
  <c r="W515" i="25"/>
  <c r="S641" i="25"/>
  <c r="S648" i="25"/>
  <c r="X121" i="25"/>
  <c r="Y122" i="25" s="1"/>
  <c r="Y130" i="25" s="1"/>
  <c r="W130" i="25"/>
  <c r="Y162" i="25"/>
  <c r="U508" i="25"/>
  <c r="R64" i="25"/>
  <c r="S65" i="25" s="1"/>
  <c r="S73" i="25" s="1"/>
  <c r="Q73" i="25"/>
  <c r="R392" i="25"/>
  <c r="S393" i="25" s="1"/>
  <c r="S401" i="25" s="1"/>
  <c r="Q401" i="25"/>
  <c r="U513" i="25"/>
  <c r="U641" i="25"/>
  <c r="U648" i="25"/>
  <c r="R677" i="25"/>
  <c r="S678" i="25" s="1"/>
  <c r="S688" i="25" s="1"/>
  <c r="Q686" i="25"/>
  <c r="AB159" i="25"/>
  <c r="AC160" i="25" s="1"/>
  <c r="AC168" i="25" s="1"/>
  <c r="AA168" i="25"/>
  <c r="Q295" i="25"/>
  <c r="Q301" i="25"/>
  <c r="W276" i="25"/>
  <c r="W282" i="25"/>
  <c r="R696" i="25"/>
  <c r="S697" i="25" s="1"/>
  <c r="S707" i="25" s="1"/>
  <c r="Q705" i="25"/>
  <c r="X734" i="25"/>
  <c r="Y735" i="25" s="1"/>
  <c r="Y743" i="25" s="1"/>
  <c r="W743" i="25"/>
  <c r="U509" i="25"/>
  <c r="R487" i="25"/>
  <c r="S488" i="25" s="1"/>
  <c r="Q496" i="25"/>
  <c r="Q673" i="25"/>
  <c r="P673" i="25" s="1"/>
  <c r="V349" i="25"/>
  <c r="W350" i="25" s="1"/>
  <c r="U358" i="25"/>
  <c r="Y170" i="25"/>
  <c r="U275" i="25"/>
  <c r="X311" i="25"/>
  <c r="Y312" i="25" s="1"/>
  <c r="Y320" i="25" s="1"/>
  <c r="W320" i="25"/>
  <c r="S34" i="25"/>
  <c r="S35" i="25"/>
  <c r="U514" i="25"/>
  <c r="Q453" i="25"/>
  <c r="M578" i="25"/>
  <c r="L578" i="25" s="1"/>
  <c r="O89" i="25"/>
  <c r="O93" i="25" s="1"/>
  <c r="O569" i="25"/>
  <c r="M521" i="25"/>
  <c r="L521" i="25" s="1"/>
  <c r="S33" i="25"/>
  <c r="O316" i="25"/>
  <c r="M407" i="25"/>
  <c r="L407" i="25" s="1"/>
  <c r="O645" i="25"/>
  <c r="O203" i="25"/>
  <c r="S29" i="25"/>
  <c r="O107" i="25"/>
  <c r="O126" i="25"/>
  <c r="M288" i="25"/>
  <c r="L288" i="25" s="1"/>
  <c r="Q567" i="25"/>
  <c r="O354" i="25"/>
  <c r="U662" i="25"/>
  <c r="M155" i="25"/>
  <c r="L155" i="25" s="1"/>
  <c r="K711" i="25"/>
  <c r="J711" i="25" s="1"/>
  <c r="M635" i="25"/>
  <c r="L635" i="25" s="1"/>
  <c r="K57" i="25"/>
  <c r="K62" i="25" s="1"/>
  <c r="M41" i="25"/>
  <c r="L41" i="25" s="1"/>
  <c r="O383" i="25"/>
  <c r="N383" i="25" s="1"/>
  <c r="Q624" i="25"/>
  <c r="M749" i="25"/>
  <c r="L749" i="25" s="1"/>
  <c r="O739" i="25"/>
  <c r="M492" i="25"/>
  <c r="Q125" i="25"/>
  <c r="Q106" i="25"/>
  <c r="Q107" i="25" s="1"/>
  <c r="O511" i="25"/>
  <c r="Q738" i="25"/>
  <c r="S741" i="25"/>
  <c r="S745" i="25"/>
  <c r="Q703" i="25"/>
  <c r="S737" i="25"/>
  <c r="O491" i="25"/>
  <c r="S742" i="25"/>
  <c r="S736" i="25"/>
  <c r="Q699" i="25"/>
  <c r="S28" i="25"/>
  <c r="Q316" i="25"/>
  <c r="Q259" i="25"/>
  <c r="S181" i="25"/>
  <c r="S185" i="25"/>
  <c r="S186" i="25"/>
  <c r="S189" i="25"/>
  <c r="S180" i="25"/>
  <c r="O240" i="25"/>
  <c r="O31" i="25"/>
  <c r="S37" i="25"/>
  <c r="S510" i="25"/>
  <c r="AB601" i="25"/>
  <c r="AC602" i="25" s="1"/>
  <c r="AC610" i="25" s="1"/>
  <c r="M721" i="25"/>
  <c r="M720" i="25"/>
  <c r="Q145" i="25"/>
  <c r="Q155" i="25" s="1"/>
  <c r="P155" i="25" s="1"/>
  <c r="Z506" i="25"/>
  <c r="AA507" i="25" s="1"/>
  <c r="U650" i="25"/>
  <c r="Z639" i="25"/>
  <c r="AA640" i="25" s="1"/>
  <c r="AA648" i="25" s="1"/>
  <c r="Z430" i="25"/>
  <c r="AA431" i="25" s="1"/>
  <c r="X487" i="25"/>
  <c r="Y488" i="25" s="1"/>
  <c r="Z487" i="25"/>
  <c r="AA488" i="25" s="1"/>
  <c r="AA496" i="25" s="1"/>
  <c r="Z525" i="25"/>
  <c r="AA526" i="25" s="1"/>
  <c r="Q182" i="25"/>
  <c r="Q184" i="25" s="1"/>
  <c r="AA660" i="25"/>
  <c r="AA661" i="25"/>
  <c r="AA669" i="25"/>
  <c r="AA666" i="25"/>
  <c r="AA665" i="25"/>
  <c r="AB487" i="25"/>
  <c r="AC488" i="25" s="1"/>
  <c r="AC496" i="25" s="1"/>
  <c r="U646" i="25"/>
  <c r="W433" i="25"/>
  <c r="U642" i="25"/>
  <c r="Q643" i="25"/>
  <c r="Q707" i="25"/>
  <c r="Q531" i="25"/>
  <c r="U647" i="25"/>
  <c r="O455" i="25"/>
  <c r="O454" i="25"/>
  <c r="W432" i="25"/>
  <c r="W438" i="25"/>
  <c r="O436" i="25"/>
  <c r="O435" i="25"/>
  <c r="Q719" i="25"/>
  <c r="W441" i="25"/>
  <c r="O548" i="25"/>
  <c r="W437" i="25"/>
  <c r="T620" i="25"/>
  <c r="U621" i="25" s="1"/>
  <c r="U629" i="25" s="1"/>
  <c r="S622" i="25"/>
  <c r="S623" i="25"/>
  <c r="S628" i="25"/>
  <c r="S627" i="25"/>
  <c r="S631" i="25"/>
  <c r="W662" i="25"/>
  <c r="V753" i="25"/>
  <c r="W754" i="25" s="1"/>
  <c r="W508" i="25"/>
  <c r="W517" i="25"/>
  <c r="W514" i="25"/>
  <c r="W509" i="25"/>
  <c r="W513" i="25"/>
  <c r="Q698" i="25"/>
  <c r="U605" i="25"/>
  <c r="M550" i="25"/>
  <c r="M549" i="25"/>
  <c r="U565" i="25"/>
  <c r="U570" i="25"/>
  <c r="U566" i="25"/>
  <c r="U571" i="25"/>
  <c r="U574" i="25"/>
  <c r="V563" i="25"/>
  <c r="W564" i="25" s="1"/>
  <c r="W572" i="25" s="1"/>
  <c r="T544" i="25"/>
  <c r="U545" i="25" s="1"/>
  <c r="U553" i="25" s="1"/>
  <c r="W460" i="25"/>
  <c r="W457" i="25"/>
  <c r="W452" i="25"/>
  <c r="W451" i="25"/>
  <c r="W456" i="25"/>
  <c r="U529" i="25"/>
  <c r="R411" i="25"/>
  <c r="S412" i="25" s="1"/>
  <c r="S420" i="25" s="1"/>
  <c r="Y603" i="25"/>
  <c r="Y604" i="25"/>
  <c r="Y609" i="25"/>
  <c r="Y612" i="25"/>
  <c r="Y608" i="25"/>
  <c r="R582" i="25"/>
  <c r="S583" i="25" s="1"/>
  <c r="W532" i="25"/>
  <c r="W527" i="25"/>
  <c r="W536" i="25"/>
  <c r="W528" i="25"/>
  <c r="W533" i="25"/>
  <c r="X449" i="25"/>
  <c r="Y450" i="25" s="1"/>
  <c r="S723" i="25"/>
  <c r="S717" i="25"/>
  <c r="S722" i="25"/>
  <c r="S726" i="25"/>
  <c r="S718" i="25"/>
  <c r="U453" i="25"/>
  <c r="T715" i="25"/>
  <c r="U716" i="25" s="1"/>
  <c r="U724" i="25" s="1"/>
  <c r="Q704" i="25"/>
  <c r="T392" i="25"/>
  <c r="U393" i="25" s="1"/>
  <c r="U401" i="25" s="1"/>
  <c r="W494" i="25"/>
  <c r="W490" i="25"/>
  <c r="W489" i="25"/>
  <c r="W498" i="25"/>
  <c r="W495" i="25"/>
  <c r="T696" i="25"/>
  <c r="U697" i="25" s="1"/>
  <c r="U705" i="25" s="1"/>
  <c r="W642" i="25"/>
  <c r="W646" i="25"/>
  <c r="W650" i="25"/>
  <c r="W647" i="25"/>
  <c r="W641" i="25"/>
  <c r="T677" i="25"/>
  <c r="U678" i="25" s="1"/>
  <c r="Q511" i="25"/>
  <c r="O221" i="25"/>
  <c r="U49" i="25"/>
  <c r="V178" i="25"/>
  <c r="W179" i="25" s="1"/>
  <c r="W322" i="25"/>
  <c r="S372" i="25"/>
  <c r="W48" i="25"/>
  <c r="W56" i="25"/>
  <c r="W53" i="25"/>
  <c r="W52" i="25"/>
  <c r="X45" i="25"/>
  <c r="Y46" i="25" s="1"/>
  <c r="W47" i="25"/>
  <c r="W284" i="25"/>
  <c r="U371" i="25"/>
  <c r="Q201" i="25"/>
  <c r="Q239" i="25"/>
  <c r="U370" i="25"/>
  <c r="X368" i="25"/>
  <c r="Y369" i="25" s="1"/>
  <c r="Y377" i="25" s="1"/>
  <c r="W314" i="25"/>
  <c r="U332" i="25"/>
  <c r="U379" i="25"/>
  <c r="U333" i="25"/>
  <c r="Z311" i="25"/>
  <c r="AA312" i="25" s="1"/>
  <c r="AA320" i="25" s="1"/>
  <c r="W319" i="25"/>
  <c r="U376" i="25"/>
  <c r="U337" i="25"/>
  <c r="U341" i="25"/>
  <c r="V330" i="25"/>
  <c r="W331" i="25" s="1"/>
  <c r="W313" i="25"/>
  <c r="U375" i="25"/>
  <c r="W318" i="25"/>
  <c r="W275" i="25"/>
  <c r="W281" i="25"/>
  <c r="W280" i="25"/>
  <c r="X273" i="25"/>
  <c r="Y274" i="25" s="1"/>
  <c r="Q279" i="25"/>
  <c r="Q278" i="25"/>
  <c r="S277" i="25"/>
  <c r="O183" i="25"/>
  <c r="U199" i="25"/>
  <c r="U205" i="25"/>
  <c r="V197" i="25"/>
  <c r="W198" i="25" s="1"/>
  <c r="U204" i="25"/>
  <c r="U208" i="25"/>
  <c r="U87" i="25"/>
  <c r="U88" i="25" s="1"/>
  <c r="Z121" i="25"/>
  <c r="AA122" i="25" s="1"/>
  <c r="X235" i="25"/>
  <c r="Y236" i="25" s="1"/>
  <c r="Y244" i="25" s="1"/>
  <c r="Q300" i="25"/>
  <c r="Q336" i="25"/>
  <c r="Q335" i="25"/>
  <c r="R292" i="25"/>
  <c r="S293" i="25" s="1"/>
  <c r="S301" i="25" s="1"/>
  <c r="W262" i="25"/>
  <c r="W265" i="25"/>
  <c r="W261" i="25"/>
  <c r="W257" i="25"/>
  <c r="W256" i="25"/>
  <c r="X254" i="25"/>
  <c r="Y255" i="25" s="1"/>
  <c r="Y263" i="25" s="1"/>
  <c r="U238" i="25"/>
  <c r="U242" i="25"/>
  <c r="U243" i="25"/>
  <c r="U246" i="25"/>
  <c r="U237" i="25"/>
  <c r="S334" i="25"/>
  <c r="Q303" i="25"/>
  <c r="U315" i="25"/>
  <c r="U258" i="25"/>
  <c r="Q294" i="25"/>
  <c r="Q299" i="25"/>
  <c r="AB83" i="25"/>
  <c r="AC84" i="25" s="1"/>
  <c r="AC92" i="25" s="1"/>
  <c r="Y143" i="25"/>
  <c r="Y147" i="25"/>
  <c r="Y151" i="25"/>
  <c r="Y142" i="25"/>
  <c r="Y148" i="25"/>
  <c r="Z140" i="25"/>
  <c r="AA141" i="25" s="1"/>
  <c r="AA149" i="25" s="1"/>
  <c r="W144" i="25"/>
  <c r="V216" i="25"/>
  <c r="W217" i="25" s="1"/>
  <c r="U33" i="25"/>
  <c r="U34" i="25"/>
  <c r="U37" i="25"/>
  <c r="U29" i="25"/>
  <c r="U28" i="25"/>
  <c r="V26" i="25"/>
  <c r="W27" i="25" s="1"/>
  <c r="Y85" i="25"/>
  <c r="Y91" i="25"/>
  <c r="Y86" i="25"/>
  <c r="Y94" i="25"/>
  <c r="Y90" i="25"/>
  <c r="AA170" i="25"/>
  <c r="AA166" i="25"/>
  <c r="AA167" i="25"/>
  <c r="AA162" i="25"/>
  <c r="AA161" i="25"/>
  <c r="Q220" i="25"/>
  <c r="W110" i="25"/>
  <c r="W113" i="25"/>
  <c r="W109" i="25"/>
  <c r="W105" i="25"/>
  <c r="W104" i="25"/>
  <c r="W124" i="25"/>
  <c r="W128" i="25"/>
  <c r="W132" i="25"/>
  <c r="W129" i="25"/>
  <c r="W123" i="25"/>
  <c r="S218" i="25"/>
  <c r="S227" i="25"/>
  <c r="S219" i="25"/>
  <c r="S224" i="25"/>
  <c r="S223" i="25"/>
  <c r="T64" i="25"/>
  <c r="U65" i="25" s="1"/>
  <c r="W163" i="25"/>
  <c r="Z102" i="25"/>
  <c r="AA103" i="25" s="1"/>
  <c r="R7" i="25"/>
  <c r="S8" i="25" s="1"/>
  <c r="S16" i="25" s="1"/>
  <c r="Q680" i="25"/>
  <c r="O681" i="25"/>
  <c r="Q688" i="25"/>
  <c r="Q679" i="25"/>
  <c r="O700" i="25"/>
  <c r="Q684" i="25"/>
  <c r="Q685" i="25"/>
  <c r="Q30" i="25"/>
  <c r="Q31" i="25" s="1"/>
  <c r="O296" i="25"/>
  <c r="O68" i="25"/>
  <c r="Q476" i="25"/>
  <c r="R468" i="25"/>
  <c r="S469" i="25" s="1"/>
  <c r="K362" i="25"/>
  <c r="K363" i="25" s="1"/>
  <c r="Q479" i="25"/>
  <c r="Q470" i="25"/>
  <c r="Q471" i="25"/>
  <c r="Q475" i="25"/>
  <c r="S106" i="25"/>
  <c r="S146" i="25"/>
  <c r="S145" i="25"/>
  <c r="K248" i="25"/>
  <c r="K249" i="25" s="1"/>
  <c r="K302" i="25"/>
  <c r="K304" i="25" s="1"/>
  <c r="K309" i="25" s="1"/>
  <c r="J36" i="2" s="1"/>
  <c r="K153" i="25"/>
  <c r="K154" i="25" s="1"/>
  <c r="M297" i="25"/>
  <c r="K191" i="25"/>
  <c r="K192" i="25" s="1"/>
  <c r="K38" i="25"/>
  <c r="K39" i="25"/>
  <c r="M682" i="25"/>
  <c r="M683" i="25"/>
  <c r="O396" i="25"/>
  <c r="K538" i="25"/>
  <c r="K539" i="25" s="1"/>
  <c r="M588" i="25"/>
  <c r="M587" i="25"/>
  <c r="O472" i="25"/>
  <c r="M417" i="25"/>
  <c r="M416" i="25"/>
  <c r="O586" i="25"/>
  <c r="Q422" i="25"/>
  <c r="Q419" i="25"/>
  <c r="Q418" i="25"/>
  <c r="Q414" i="25"/>
  <c r="Q413" i="25"/>
  <c r="Q764" i="25"/>
  <c r="Q761" i="25"/>
  <c r="Q756" i="25"/>
  <c r="Q760" i="25"/>
  <c r="Q755" i="25"/>
  <c r="M702" i="25"/>
  <c r="M701" i="25"/>
  <c r="M759" i="25"/>
  <c r="M758" i="25"/>
  <c r="Q584" i="25"/>
  <c r="Q585" i="25"/>
  <c r="Q590" i="25"/>
  <c r="Q589" i="25"/>
  <c r="Q593" i="25"/>
  <c r="W745" i="25"/>
  <c r="W737" i="25"/>
  <c r="W736" i="25"/>
  <c r="W741" i="25"/>
  <c r="W742" i="25"/>
  <c r="M474" i="25"/>
  <c r="M473" i="25"/>
  <c r="O757" i="25"/>
  <c r="O415" i="25"/>
  <c r="Q354" i="25"/>
  <c r="Q89" i="25"/>
  <c r="Q88" i="25"/>
  <c r="S353" i="25"/>
  <c r="K134" i="25"/>
  <c r="K135" i="25" s="1"/>
  <c r="K228" i="25"/>
  <c r="K230" i="25" s="1"/>
  <c r="Q374" i="25"/>
  <c r="Q373" i="25"/>
  <c r="U351" i="25"/>
  <c r="U360" i="25"/>
  <c r="U357" i="25"/>
  <c r="U352" i="25"/>
  <c r="U356" i="25"/>
  <c r="K632" i="25"/>
  <c r="K634" i="25" s="1"/>
  <c r="K651" i="25"/>
  <c r="K656" i="25" s="1"/>
  <c r="J66" i="2" s="1"/>
  <c r="Q394" i="25"/>
  <c r="Q395" i="25"/>
  <c r="Q400" i="25"/>
  <c r="Q399" i="25"/>
  <c r="Q403" i="25"/>
  <c r="K443" i="25"/>
  <c r="K442" i="25"/>
  <c r="Q75" i="25"/>
  <c r="Q66" i="25"/>
  <c r="Q71" i="25"/>
  <c r="Q67" i="25"/>
  <c r="Q72" i="25"/>
  <c r="K613" i="25"/>
  <c r="K618" i="25" s="1"/>
  <c r="J64" i="2" s="1"/>
  <c r="K343" i="25"/>
  <c r="K344" i="25" s="1"/>
  <c r="M670" i="25"/>
  <c r="M672" i="25" s="1"/>
  <c r="K518" i="25"/>
  <c r="K520" i="25" s="1"/>
  <c r="K172" i="25"/>
  <c r="K173" i="25" s="1"/>
  <c r="K77" i="25"/>
  <c r="K76" i="25"/>
  <c r="K461" i="25"/>
  <c r="K462" i="25"/>
  <c r="K324" i="25"/>
  <c r="K323" i="25"/>
  <c r="K381" i="25"/>
  <c r="K380" i="25"/>
  <c r="K286" i="25"/>
  <c r="K285" i="25"/>
  <c r="K138" i="25"/>
  <c r="K252" i="25"/>
  <c r="J33" i="2" s="1"/>
  <c r="K95" i="25"/>
  <c r="K96" i="25"/>
  <c r="K267" i="25"/>
  <c r="K266" i="25"/>
  <c r="K542" i="25"/>
  <c r="M95" i="25"/>
  <c r="M96" i="25"/>
  <c r="K195" i="25"/>
  <c r="J30" i="2" s="1"/>
  <c r="K670" i="25"/>
  <c r="K671" i="25"/>
  <c r="K347" i="25"/>
  <c r="K405" i="25"/>
  <c r="K404" i="25"/>
  <c r="K210" i="25"/>
  <c r="K209" i="25"/>
  <c r="K115" i="25"/>
  <c r="K114" i="25"/>
  <c r="K157" i="25"/>
  <c r="K575" i="25"/>
  <c r="K576" i="25"/>
  <c r="K747" i="25"/>
  <c r="K746" i="25"/>
  <c r="K176" i="25"/>
  <c r="Q14" i="25"/>
  <c r="Q15" i="25"/>
  <c r="Q9" i="25"/>
  <c r="Q16" i="25"/>
  <c r="Q18" i="25"/>
  <c r="K22" i="25"/>
  <c r="J22" i="25" s="1"/>
  <c r="M12" i="25"/>
  <c r="O11" i="25"/>
  <c r="K19" i="25"/>
  <c r="K24" i="25" s="1"/>
  <c r="M613" i="25" l="1"/>
  <c r="M615" i="25" s="1"/>
  <c r="O540" i="25"/>
  <c r="N540" i="25" s="1"/>
  <c r="M342" i="25"/>
  <c r="M344" i="25" s="1"/>
  <c r="O616" i="25"/>
  <c r="N616" i="25" s="1"/>
  <c r="S434" i="25"/>
  <c r="S436" i="25" s="1"/>
  <c r="Q607" i="25"/>
  <c r="Q611" i="25" s="1"/>
  <c r="Q613" i="25" s="1"/>
  <c r="Q618" i="25" s="1"/>
  <c r="P64" i="2" s="1"/>
  <c r="Q174" i="25"/>
  <c r="P174" i="25" s="1"/>
  <c r="S663" i="25"/>
  <c r="S668" i="25" s="1"/>
  <c r="S670" i="25" s="1"/>
  <c r="S675" i="25" s="1"/>
  <c r="S552" i="25"/>
  <c r="S453" i="25"/>
  <c r="S455" i="25" s="1"/>
  <c r="S555" i="25"/>
  <c r="S546" i="25"/>
  <c r="S547" i="25"/>
  <c r="S605" i="25"/>
  <c r="S607" i="25" s="1"/>
  <c r="S551" i="25"/>
  <c r="Q321" i="25"/>
  <c r="Q324" i="25" s="1"/>
  <c r="O55" i="25"/>
  <c r="O58" i="25" s="1"/>
  <c r="O226" i="25"/>
  <c r="O228" i="25" s="1"/>
  <c r="O233" i="25" s="1"/>
  <c r="N32" i="2" s="1"/>
  <c r="Q269" i="25"/>
  <c r="P269" i="25" s="1"/>
  <c r="M519" i="25"/>
  <c r="M520" i="25" s="1"/>
  <c r="Q435" i="25"/>
  <c r="Q440" i="25" s="1"/>
  <c r="M362" i="25"/>
  <c r="M363" i="25" s="1"/>
  <c r="M267" i="25"/>
  <c r="M268" i="25" s="1"/>
  <c r="M478" i="25"/>
  <c r="S150" i="25"/>
  <c r="S153" i="25" s="1"/>
  <c r="Q516" i="25"/>
  <c r="Q519" i="25" s="1"/>
  <c r="O36" i="25"/>
  <c r="O38" i="25" s="1"/>
  <c r="O43" i="25" s="1"/>
  <c r="N22" i="2" s="1"/>
  <c r="O188" i="25"/>
  <c r="O191" i="25" s="1"/>
  <c r="Q364" i="25"/>
  <c r="P364" i="25" s="1"/>
  <c r="S164" i="25"/>
  <c r="S169" i="25" s="1"/>
  <c r="M57" i="25"/>
  <c r="M59" i="25" s="1"/>
  <c r="O744" i="25"/>
  <c r="M725" i="25"/>
  <c r="O364" i="25"/>
  <c r="N364" i="25" s="1"/>
  <c r="M133" i="25"/>
  <c r="M138" i="25" s="1"/>
  <c r="L27" i="2" s="1"/>
  <c r="M172" i="25"/>
  <c r="M173" i="25" s="1"/>
  <c r="M687" i="25"/>
  <c r="M763" i="25"/>
  <c r="O630" i="25"/>
  <c r="O632" i="25" s="1"/>
  <c r="O637" i="25" s="1"/>
  <c r="N65" i="2" s="1"/>
  <c r="O245" i="25"/>
  <c r="O247" i="25" s="1"/>
  <c r="O252" i="25" s="1"/>
  <c r="O326" i="25"/>
  <c r="N326" i="25" s="1"/>
  <c r="Q540" i="25"/>
  <c r="P540" i="25" s="1"/>
  <c r="O207" i="25"/>
  <c r="O210" i="25" s="1"/>
  <c r="Q283" i="25"/>
  <c r="O459" i="25"/>
  <c r="Q378" i="25"/>
  <c r="M497" i="25"/>
  <c r="M500" i="25" s="1"/>
  <c r="M706" i="25"/>
  <c r="M592" i="25"/>
  <c r="M576" i="25"/>
  <c r="M577" i="25" s="1"/>
  <c r="O516" i="25"/>
  <c r="O519" i="25" s="1"/>
  <c r="O440" i="25"/>
  <c r="S125" i="25"/>
  <c r="S126" i="25" s="1"/>
  <c r="Q93" i="25"/>
  <c r="Q51" i="25"/>
  <c r="Q55" i="25" s="1"/>
  <c r="Q58" i="25" s="1"/>
  <c r="Q150" i="25"/>
  <c r="Q152" i="25" s="1"/>
  <c r="Q157" i="25" s="1"/>
  <c r="P28" i="2" s="1"/>
  <c r="M307" i="25"/>
  <c r="L307" i="25" s="1"/>
  <c r="M502" i="25"/>
  <c r="L502" i="25" s="1"/>
  <c r="U164" i="25"/>
  <c r="O95" i="25"/>
  <c r="O100" i="25" s="1"/>
  <c r="Q127" i="25"/>
  <c r="O117" i="25"/>
  <c r="N117" i="25" s="1"/>
  <c r="O112" i="25"/>
  <c r="O114" i="25" s="1"/>
  <c r="O119" i="25" s="1"/>
  <c r="S88" i="25"/>
  <c r="S93" i="25" s="1"/>
  <c r="O150" i="25"/>
  <c r="O153" i="25" s="1"/>
  <c r="O70" i="25"/>
  <c r="Q340" i="25"/>
  <c r="U51" i="25"/>
  <c r="M554" i="25"/>
  <c r="O131" i="25"/>
  <c r="O134" i="25" s="1"/>
  <c r="M421" i="25"/>
  <c r="O614" i="25"/>
  <c r="O615" i="25" s="1"/>
  <c r="O345" i="25"/>
  <c r="N345" i="25" s="1"/>
  <c r="S49" i="25"/>
  <c r="O13" i="25"/>
  <c r="M17" i="25"/>
  <c r="M20" i="25" s="1"/>
  <c r="O298" i="25"/>
  <c r="Q241" i="25"/>
  <c r="Q359" i="25"/>
  <c r="M302" i="25"/>
  <c r="M304" i="25" s="1"/>
  <c r="M309" i="25" s="1"/>
  <c r="L36" i="2" s="1"/>
  <c r="Q203" i="25"/>
  <c r="Q326" i="25"/>
  <c r="P326" i="25" s="1"/>
  <c r="S316" i="25"/>
  <c r="S259" i="25"/>
  <c r="S373" i="25"/>
  <c r="Q264" i="25"/>
  <c r="Q267" i="25" s="1"/>
  <c r="O359" i="25"/>
  <c r="O361" i="25" s="1"/>
  <c r="O366" i="25" s="1"/>
  <c r="O321" i="25"/>
  <c r="O324" i="25" s="1"/>
  <c r="S354" i="25"/>
  <c r="S512" i="25"/>
  <c r="O550" i="25"/>
  <c r="O649" i="25"/>
  <c r="O652" i="25" s="1"/>
  <c r="Q568" i="25"/>
  <c r="O721" i="25"/>
  <c r="Q535" i="25"/>
  <c r="Q537" i="25" s="1"/>
  <c r="Q542" i="25" s="1"/>
  <c r="O701" i="25"/>
  <c r="Q740" i="25"/>
  <c r="O573" i="25"/>
  <c r="O576" i="25" s="1"/>
  <c r="Q721" i="25"/>
  <c r="Q626" i="25"/>
  <c r="O397" i="25"/>
  <c r="S531" i="25"/>
  <c r="O682" i="25"/>
  <c r="Q644" i="25"/>
  <c r="O493" i="25"/>
  <c r="U664" i="25"/>
  <c r="U434" i="25"/>
  <c r="O720" i="25"/>
  <c r="S201" i="25"/>
  <c r="S202" i="25" s="1"/>
  <c r="U741" i="25"/>
  <c r="Y536" i="25"/>
  <c r="AA603" i="25"/>
  <c r="S761" i="25"/>
  <c r="O635" i="25"/>
  <c r="N635" i="25" s="1"/>
  <c r="S72" i="25"/>
  <c r="W87" i="25"/>
  <c r="W88" i="25" s="1"/>
  <c r="AC166" i="25"/>
  <c r="Y113" i="25"/>
  <c r="M324" i="25"/>
  <c r="M325" i="25" s="1"/>
  <c r="W605" i="25"/>
  <c r="AC167" i="25"/>
  <c r="S260" i="25"/>
  <c r="AC162" i="25"/>
  <c r="S530" i="25"/>
  <c r="W243" i="25"/>
  <c r="AC669" i="25"/>
  <c r="U224" i="25"/>
  <c r="Y508" i="25"/>
  <c r="S685" i="25"/>
  <c r="U218" i="25"/>
  <c r="AA86" i="25"/>
  <c r="W238" i="25"/>
  <c r="Y514" i="25"/>
  <c r="S684" i="25"/>
  <c r="AA85" i="25"/>
  <c r="S66" i="25"/>
  <c r="U227" i="25"/>
  <c r="Y513" i="25"/>
  <c r="AA91" i="25"/>
  <c r="S698" i="25"/>
  <c r="W246" i="25"/>
  <c r="S67" i="25"/>
  <c r="S679" i="25"/>
  <c r="AA94" i="25"/>
  <c r="S703" i="25"/>
  <c r="U223" i="25"/>
  <c r="AA90" i="25"/>
  <c r="U736" i="25"/>
  <c r="S75" i="25"/>
  <c r="S71" i="25"/>
  <c r="U219" i="25"/>
  <c r="W242" i="25"/>
  <c r="AC666" i="25"/>
  <c r="U745" i="25"/>
  <c r="S704" i="25"/>
  <c r="S643" i="25"/>
  <c r="U165" i="25"/>
  <c r="U106" i="25"/>
  <c r="U510" i="25"/>
  <c r="Q670" i="25"/>
  <c r="Q672" i="25" s="1"/>
  <c r="S567" i="25"/>
  <c r="U277" i="25"/>
  <c r="S239" i="25"/>
  <c r="U125" i="25"/>
  <c r="Q548" i="25"/>
  <c r="S317" i="25"/>
  <c r="Y314" i="25"/>
  <c r="Y110" i="25"/>
  <c r="Y109" i="25"/>
  <c r="Y662" i="25"/>
  <c r="Y163" i="25"/>
  <c r="Y509" i="25"/>
  <c r="AC660" i="25"/>
  <c r="W375" i="25"/>
  <c r="Y319" i="25"/>
  <c r="Y433" i="25"/>
  <c r="Y318" i="25"/>
  <c r="Y437" i="25"/>
  <c r="AC665" i="25"/>
  <c r="W237" i="25"/>
  <c r="Y322" i="25"/>
  <c r="Y517" i="25"/>
  <c r="Y441" i="25"/>
  <c r="AC661" i="25"/>
  <c r="S395" i="25"/>
  <c r="Y132" i="25"/>
  <c r="Y105" i="25"/>
  <c r="W379" i="25"/>
  <c r="U181" i="25"/>
  <c r="Y123" i="25"/>
  <c r="AC161" i="25"/>
  <c r="Y104" i="25"/>
  <c r="W376" i="25"/>
  <c r="U189" i="25"/>
  <c r="Y432" i="25"/>
  <c r="S764" i="25"/>
  <c r="Y533" i="25"/>
  <c r="AA609" i="25"/>
  <c r="S760" i="25"/>
  <c r="Y642" i="25"/>
  <c r="Y527" i="25"/>
  <c r="AA604" i="25"/>
  <c r="U144" i="25"/>
  <c r="S755" i="25"/>
  <c r="S757" i="25" s="1"/>
  <c r="Y128" i="25"/>
  <c r="U186" i="25"/>
  <c r="Y528" i="25"/>
  <c r="U643" i="25"/>
  <c r="AA608" i="25"/>
  <c r="Y129" i="25"/>
  <c r="W370" i="25"/>
  <c r="U180" i="25"/>
  <c r="AA612" i="25"/>
  <c r="Y124" i="25"/>
  <c r="AC170" i="25"/>
  <c r="Y313" i="25"/>
  <c r="W371" i="25"/>
  <c r="U185" i="25"/>
  <c r="Y532" i="25"/>
  <c r="Y438" i="25"/>
  <c r="X349" i="25"/>
  <c r="Y350" i="25" s="1"/>
  <c r="W358" i="25"/>
  <c r="S394" i="25"/>
  <c r="X216" i="25"/>
  <c r="Y217" i="25" s="1"/>
  <c r="Y225" i="25" s="1"/>
  <c r="W225" i="25"/>
  <c r="V677" i="25"/>
  <c r="W678" i="25" s="1"/>
  <c r="W686" i="25" s="1"/>
  <c r="U686" i="25"/>
  <c r="Y646" i="25"/>
  <c r="AB525" i="25"/>
  <c r="AC526" i="25" s="1"/>
  <c r="AC534" i="25" s="1"/>
  <c r="AA534" i="25"/>
  <c r="Q455" i="25"/>
  <c r="Q454" i="25"/>
  <c r="X26" i="25"/>
  <c r="Y27" i="25" s="1"/>
  <c r="Y35" i="25" s="1"/>
  <c r="W35" i="25"/>
  <c r="X330" i="25"/>
  <c r="Y331" i="25" s="1"/>
  <c r="Y338" i="25" s="1"/>
  <c r="W339" i="25"/>
  <c r="Y647" i="25"/>
  <c r="AA123" i="25"/>
  <c r="AA130" i="25"/>
  <c r="Z449" i="25"/>
  <c r="AA450" i="25" s="1"/>
  <c r="AA458" i="25" s="1"/>
  <c r="Y458" i="25"/>
  <c r="Y281" i="25"/>
  <c r="Y282" i="25"/>
  <c r="Y650" i="25"/>
  <c r="S585" i="25"/>
  <c r="S591" i="25"/>
  <c r="S699" i="25"/>
  <c r="S705" i="25"/>
  <c r="S680" i="25"/>
  <c r="S686" i="25"/>
  <c r="U737" i="25"/>
  <c r="U743" i="25"/>
  <c r="S403" i="25"/>
  <c r="V64" i="25"/>
  <c r="W65" i="25" s="1"/>
  <c r="W73" i="25" s="1"/>
  <c r="U73" i="25"/>
  <c r="Z45" i="25"/>
  <c r="AA46" i="25" s="1"/>
  <c r="AA54" i="25" s="1"/>
  <c r="Y54" i="25"/>
  <c r="Y641" i="25"/>
  <c r="Y494" i="25"/>
  <c r="Y496" i="25"/>
  <c r="T753" i="25"/>
  <c r="U754" i="25" s="1"/>
  <c r="S762" i="25"/>
  <c r="S399" i="25"/>
  <c r="AB430" i="25"/>
  <c r="AC431" i="25" s="1"/>
  <c r="AC439" i="25" s="1"/>
  <c r="AA439" i="25"/>
  <c r="T487" i="25"/>
  <c r="U488" i="25" s="1"/>
  <c r="S496" i="25"/>
  <c r="S489" i="25"/>
  <c r="S490" i="25"/>
  <c r="S498" i="25"/>
  <c r="S494" i="25"/>
  <c r="S495" i="25"/>
  <c r="W205" i="25"/>
  <c r="W206" i="25"/>
  <c r="AB506" i="25"/>
  <c r="AC507" i="25" s="1"/>
  <c r="AC515" i="25" s="1"/>
  <c r="AA515" i="25"/>
  <c r="S471" i="25"/>
  <c r="S477" i="25"/>
  <c r="S400" i="25"/>
  <c r="AB102" i="25"/>
  <c r="AC103" i="25" s="1"/>
  <c r="AC111" i="25" s="1"/>
  <c r="AA111" i="25"/>
  <c r="W189" i="25"/>
  <c r="W187" i="25"/>
  <c r="X753" i="25"/>
  <c r="Y754" i="25" s="1"/>
  <c r="Y762" i="25" s="1"/>
  <c r="W762" i="25"/>
  <c r="M652" i="25"/>
  <c r="M653" i="25" s="1"/>
  <c r="K728" i="25"/>
  <c r="K729" i="25" s="1"/>
  <c r="M580" i="25"/>
  <c r="L62" i="2" s="1"/>
  <c r="M228" i="25"/>
  <c r="M233" i="25" s="1"/>
  <c r="L32" i="2" s="1"/>
  <c r="O96" i="25"/>
  <c r="O98" i="25"/>
  <c r="N98" i="25" s="1"/>
  <c r="M381" i="25"/>
  <c r="M382" i="25" s="1"/>
  <c r="M247" i="25"/>
  <c r="M249" i="25" s="1"/>
  <c r="O578" i="25"/>
  <c r="N578" i="25" s="1"/>
  <c r="M209" i="25"/>
  <c r="M211" i="25" s="1"/>
  <c r="O670" i="25"/>
  <c r="O675" i="25" s="1"/>
  <c r="N67" i="2" s="1"/>
  <c r="Q172" i="25"/>
  <c r="Q173" i="25" s="1"/>
  <c r="Q569" i="25"/>
  <c r="M632" i="25"/>
  <c r="M634" i="25" s="1"/>
  <c r="O343" i="25"/>
  <c r="O344" i="25" s="1"/>
  <c r="M537" i="25"/>
  <c r="M542" i="25" s="1"/>
  <c r="K499" i="25"/>
  <c r="K504" i="25" s="1"/>
  <c r="J58" i="2" s="1"/>
  <c r="M152" i="25"/>
  <c r="M154" i="25" s="1"/>
  <c r="O286" i="25"/>
  <c r="O287" i="25" s="1"/>
  <c r="O537" i="25"/>
  <c r="O542" i="25" s="1"/>
  <c r="M597" i="25"/>
  <c r="L597" i="25" s="1"/>
  <c r="M746" i="25"/>
  <c r="M751" i="25" s="1"/>
  <c r="L71" i="2" s="1"/>
  <c r="K59" i="25"/>
  <c r="O445" i="25"/>
  <c r="N445" i="25" s="1"/>
  <c r="O212" i="25"/>
  <c r="N212" i="25" s="1"/>
  <c r="O654" i="25"/>
  <c r="N654" i="25" s="1"/>
  <c r="O380" i="25"/>
  <c r="O385" i="25" s="1"/>
  <c r="K709" i="25"/>
  <c r="K710" i="25" s="1"/>
  <c r="M768" i="25"/>
  <c r="L768" i="25" s="1"/>
  <c r="S155" i="25"/>
  <c r="R155" i="25" s="1"/>
  <c r="M559" i="25"/>
  <c r="L559" i="25" s="1"/>
  <c r="O464" i="25"/>
  <c r="N464" i="25" s="1"/>
  <c r="Q345" i="25"/>
  <c r="P345" i="25" s="1"/>
  <c r="M730" i="25"/>
  <c r="L730" i="25" s="1"/>
  <c r="Q625" i="25"/>
  <c r="O136" i="25"/>
  <c r="N136" i="25" s="1"/>
  <c r="O521" i="25"/>
  <c r="N521" i="25" s="1"/>
  <c r="Q383" i="25"/>
  <c r="P383" i="25" s="1"/>
  <c r="M692" i="25"/>
  <c r="L692" i="25" s="1"/>
  <c r="U201" i="25"/>
  <c r="W277" i="25"/>
  <c r="O41" i="25"/>
  <c r="N41" i="25" s="1"/>
  <c r="O193" i="25"/>
  <c r="N193" i="25" s="1"/>
  <c r="O231" i="25"/>
  <c r="N231" i="25" s="1"/>
  <c r="Q288" i="25"/>
  <c r="P288" i="25" s="1"/>
  <c r="O250" i="25"/>
  <c r="N250" i="25" s="1"/>
  <c r="Q296" i="25"/>
  <c r="M285" i="25"/>
  <c r="M290" i="25" s="1"/>
  <c r="M483" i="25"/>
  <c r="L483" i="25" s="1"/>
  <c r="M711" i="25"/>
  <c r="L711" i="25" s="1"/>
  <c r="M426" i="25"/>
  <c r="L426" i="25" s="1"/>
  <c r="Q521" i="25"/>
  <c r="P521" i="25" s="1"/>
  <c r="S30" i="25"/>
  <c r="S32" i="25" s="1"/>
  <c r="U663" i="25"/>
  <c r="O749" i="25"/>
  <c r="N749" i="25" s="1"/>
  <c r="Q11" i="25"/>
  <c r="Q98" i="25"/>
  <c r="P98" i="25" s="1"/>
  <c r="O492" i="25"/>
  <c r="K556" i="25"/>
  <c r="K561" i="25" s="1"/>
  <c r="J61" i="2" s="1"/>
  <c r="Q126" i="25"/>
  <c r="Q183" i="25"/>
  <c r="Q188" i="25" s="1"/>
  <c r="O172" i="25"/>
  <c r="O173" i="25" s="1"/>
  <c r="Q108" i="25"/>
  <c r="Q112" i="25" s="1"/>
  <c r="Q739" i="25"/>
  <c r="K689" i="25"/>
  <c r="K691" i="25" s="1"/>
  <c r="M443" i="25"/>
  <c r="M444" i="25" s="1"/>
  <c r="M462" i="25"/>
  <c r="M463" i="25" s="1"/>
  <c r="S182" i="25"/>
  <c r="S183" i="25" s="1"/>
  <c r="Q240" i="25"/>
  <c r="S738" i="25"/>
  <c r="W434" i="25"/>
  <c r="Q700" i="25"/>
  <c r="Y490" i="25"/>
  <c r="Y495" i="25"/>
  <c r="S511" i="25"/>
  <c r="Y489" i="25"/>
  <c r="Q645" i="25"/>
  <c r="Y498" i="25"/>
  <c r="W181" i="25"/>
  <c r="M114" i="25"/>
  <c r="M115" i="25"/>
  <c r="W315" i="25"/>
  <c r="U89" i="25"/>
  <c r="U93" i="25" s="1"/>
  <c r="AB715" i="25"/>
  <c r="AC716" i="25" s="1"/>
  <c r="AC724" i="25" s="1"/>
  <c r="AA498" i="25"/>
  <c r="AA494" i="25"/>
  <c r="AA490" i="25"/>
  <c r="AA489" i="25"/>
  <c r="AA495" i="25"/>
  <c r="Z734" i="25"/>
  <c r="AA735" i="25" s="1"/>
  <c r="AA647" i="25"/>
  <c r="AA641" i="25"/>
  <c r="AA650" i="25"/>
  <c r="AA646" i="25"/>
  <c r="AA642" i="25"/>
  <c r="AB639" i="25"/>
  <c r="AC640" i="25" s="1"/>
  <c r="AC648" i="25" s="1"/>
  <c r="AC490" i="25"/>
  <c r="AC494" i="25"/>
  <c r="AC495" i="25"/>
  <c r="AC498" i="25"/>
  <c r="AC489" i="25"/>
  <c r="O549" i="25"/>
  <c r="T411" i="25"/>
  <c r="U412" i="25" s="1"/>
  <c r="AA527" i="25"/>
  <c r="AA532" i="25"/>
  <c r="AA536" i="25"/>
  <c r="AA533" i="25"/>
  <c r="AA528" i="25"/>
  <c r="Z753" i="25"/>
  <c r="AA754" i="25" s="1"/>
  <c r="AA762" i="25" s="1"/>
  <c r="AC609" i="25"/>
  <c r="AC603" i="25"/>
  <c r="AC608" i="25"/>
  <c r="AC604" i="25"/>
  <c r="AC612" i="25"/>
  <c r="AA438" i="25"/>
  <c r="AA437" i="25"/>
  <c r="AA441" i="25"/>
  <c r="AA433" i="25"/>
  <c r="AA432" i="25"/>
  <c r="AB449" i="25"/>
  <c r="AC450" i="25" s="1"/>
  <c r="AC458" i="25" s="1"/>
  <c r="U50" i="25"/>
  <c r="AA662" i="25"/>
  <c r="AA509" i="25"/>
  <c r="AA513" i="25"/>
  <c r="AA514" i="25"/>
  <c r="AA517" i="25"/>
  <c r="AA508" i="25"/>
  <c r="W453" i="25"/>
  <c r="Q720" i="25"/>
  <c r="O683" i="25"/>
  <c r="S624" i="25"/>
  <c r="W664" i="25"/>
  <c r="W663" i="25"/>
  <c r="U622" i="25"/>
  <c r="U623" i="25"/>
  <c r="U628" i="25"/>
  <c r="V620" i="25"/>
  <c r="W621" i="25" s="1"/>
  <c r="U631" i="25"/>
  <c r="U627" i="25"/>
  <c r="W491" i="25"/>
  <c r="O702" i="25"/>
  <c r="S414" i="25"/>
  <c r="W643" i="25"/>
  <c r="S719" i="25"/>
  <c r="T582" i="25"/>
  <c r="U583" i="25" s="1"/>
  <c r="U591" i="25" s="1"/>
  <c r="S590" i="25"/>
  <c r="U546" i="25"/>
  <c r="U552" i="25"/>
  <c r="U551" i="25"/>
  <c r="U547" i="25"/>
  <c r="U555" i="25"/>
  <c r="S413" i="25"/>
  <c r="S593" i="25"/>
  <c r="U717" i="25"/>
  <c r="U723" i="25"/>
  <c r="U722" i="25"/>
  <c r="U726" i="25"/>
  <c r="U718" i="25"/>
  <c r="V715" i="25"/>
  <c r="W716" i="25" s="1"/>
  <c r="Y452" i="25"/>
  <c r="Y460" i="25"/>
  <c r="Y451" i="25"/>
  <c r="Y457" i="25"/>
  <c r="Y456" i="25"/>
  <c r="U531" i="25"/>
  <c r="U530" i="25"/>
  <c r="V544" i="25"/>
  <c r="W545" i="25" s="1"/>
  <c r="W553" i="25" s="1"/>
  <c r="U606" i="25"/>
  <c r="U607" i="25"/>
  <c r="S418" i="25"/>
  <c r="U454" i="25"/>
  <c r="U455" i="25"/>
  <c r="Q492" i="25"/>
  <c r="Q493" i="25"/>
  <c r="W565" i="25"/>
  <c r="W571" i="25"/>
  <c r="W566" i="25"/>
  <c r="W570" i="25"/>
  <c r="W574" i="25"/>
  <c r="X563" i="25"/>
  <c r="Y564" i="25" s="1"/>
  <c r="S419" i="25"/>
  <c r="S589" i="25"/>
  <c r="U394" i="25"/>
  <c r="U399" i="25"/>
  <c r="U403" i="25"/>
  <c r="U400" i="25"/>
  <c r="U395" i="25"/>
  <c r="V392" i="25"/>
  <c r="W393" i="25" s="1"/>
  <c r="W401" i="25" s="1"/>
  <c r="W529" i="25"/>
  <c r="S584" i="25"/>
  <c r="S422" i="25"/>
  <c r="U698" i="25"/>
  <c r="U703" i="25"/>
  <c r="U707" i="25"/>
  <c r="U699" i="25"/>
  <c r="U704" i="25"/>
  <c r="V696" i="25"/>
  <c r="W697" i="25" s="1"/>
  <c r="W705" i="25" s="1"/>
  <c r="Y605" i="25"/>
  <c r="W510" i="25"/>
  <c r="T468" i="25"/>
  <c r="U469" i="25" s="1"/>
  <c r="U477" i="25" s="1"/>
  <c r="U679" i="25"/>
  <c r="U680" i="25"/>
  <c r="U684" i="25"/>
  <c r="U688" i="25"/>
  <c r="U685" i="25"/>
  <c r="U567" i="25"/>
  <c r="X677" i="25"/>
  <c r="Y678" i="25" s="1"/>
  <c r="W755" i="25"/>
  <c r="W756" i="25"/>
  <c r="W761" i="25"/>
  <c r="W764" i="25"/>
  <c r="W760" i="25"/>
  <c r="Q202" i="25"/>
  <c r="W200" i="25"/>
  <c r="AB121" i="25"/>
  <c r="AC122" i="25" s="1"/>
  <c r="W185" i="25"/>
  <c r="Q32" i="25"/>
  <c r="Q36" i="25" s="1"/>
  <c r="W186" i="25"/>
  <c r="S374" i="25"/>
  <c r="W204" i="25"/>
  <c r="W180" i="25"/>
  <c r="X178" i="25"/>
  <c r="Y179" i="25" s="1"/>
  <c r="U334" i="25"/>
  <c r="U372" i="25"/>
  <c r="Y275" i="25"/>
  <c r="Y284" i="25"/>
  <c r="O69" i="25"/>
  <c r="AB45" i="25"/>
  <c r="AC46" i="25" s="1"/>
  <c r="AC54" i="25" s="1"/>
  <c r="Y53" i="25"/>
  <c r="Y52" i="25"/>
  <c r="Y56" i="25"/>
  <c r="Y47" i="25"/>
  <c r="Y48" i="25"/>
  <c r="X197" i="25"/>
  <c r="Y198" i="25" s="1"/>
  <c r="W49" i="25"/>
  <c r="Z368" i="25"/>
  <c r="AA369" i="25" s="1"/>
  <c r="AA377" i="25" s="1"/>
  <c r="W333" i="25"/>
  <c r="W341" i="25"/>
  <c r="W337" i="25"/>
  <c r="W332" i="25"/>
  <c r="W338" i="25"/>
  <c r="AB311" i="25"/>
  <c r="AC312" i="25" s="1"/>
  <c r="AC320" i="25" s="1"/>
  <c r="AA318" i="25"/>
  <c r="AA322" i="25"/>
  <c r="AA319" i="25"/>
  <c r="AA314" i="25"/>
  <c r="AA313" i="25"/>
  <c r="Z330" i="25"/>
  <c r="AA331" i="25" s="1"/>
  <c r="Y376" i="25"/>
  <c r="Y371" i="25"/>
  <c r="Y379" i="25"/>
  <c r="Y375" i="25"/>
  <c r="Y370" i="25"/>
  <c r="W258" i="25"/>
  <c r="Z273" i="25"/>
  <c r="AA274" i="25" s="1"/>
  <c r="AA282" i="25" s="1"/>
  <c r="Y280" i="25"/>
  <c r="Y276" i="25"/>
  <c r="S279" i="25"/>
  <c r="S278" i="25"/>
  <c r="W208" i="25"/>
  <c r="W199" i="25"/>
  <c r="M191" i="25"/>
  <c r="M192" i="25" s="1"/>
  <c r="AA132" i="25"/>
  <c r="AA124" i="25"/>
  <c r="AA129" i="25"/>
  <c r="AA128" i="25"/>
  <c r="S303" i="25"/>
  <c r="S295" i="25"/>
  <c r="S300" i="25"/>
  <c r="S294" i="25"/>
  <c r="S299" i="25"/>
  <c r="T292" i="25"/>
  <c r="U293" i="25" s="1"/>
  <c r="U301" i="25" s="1"/>
  <c r="U239" i="25"/>
  <c r="Y262" i="25"/>
  <c r="Y256" i="25"/>
  <c r="Y265" i="25"/>
  <c r="Y261" i="25"/>
  <c r="Y257" i="25"/>
  <c r="Z254" i="25"/>
  <c r="AA255" i="25" s="1"/>
  <c r="Y246" i="25"/>
  <c r="Y237" i="25"/>
  <c r="Y243" i="25"/>
  <c r="Y238" i="25"/>
  <c r="Y242" i="25"/>
  <c r="S336" i="25"/>
  <c r="S335" i="25"/>
  <c r="U317" i="25"/>
  <c r="U316" i="25"/>
  <c r="U260" i="25"/>
  <c r="U259" i="25"/>
  <c r="Z235" i="25"/>
  <c r="AA236" i="25" s="1"/>
  <c r="AA244" i="25" s="1"/>
  <c r="AA148" i="25"/>
  <c r="AA147" i="25"/>
  <c r="AA143" i="25"/>
  <c r="AA151" i="25"/>
  <c r="AA142" i="25"/>
  <c r="AC86" i="25"/>
  <c r="AC90" i="25"/>
  <c r="AC94" i="25"/>
  <c r="AC91" i="25"/>
  <c r="AC85" i="25"/>
  <c r="U67" i="25"/>
  <c r="U71" i="25"/>
  <c r="U72" i="25"/>
  <c r="U66" i="25"/>
  <c r="U75" i="25"/>
  <c r="S220" i="25"/>
  <c r="Y144" i="25"/>
  <c r="W125" i="25"/>
  <c r="AA163" i="25"/>
  <c r="U30" i="25"/>
  <c r="AB140" i="25"/>
  <c r="AC141" i="25" s="1"/>
  <c r="AC149" i="25" s="1"/>
  <c r="Y87" i="25"/>
  <c r="Z26" i="25"/>
  <c r="AA27" i="25" s="1"/>
  <c r="AA35" i="25" s="1"/>
  <c r="W145" i="25"/>
  <c r="W146" i="25"/>
  <c r="Q222" i="25"/>
  <c r="Q221" i="25"/>
  <c r="W219" i="25"/>
  <c r="W227" i="25"/>
  <c r="W224" i="25"/>
  <c r="W218" i="25"/>
  <c r="W223" i="25"/>
  <c r="AA109" i="25"/>
  <c r="AA105" i="25"/>
  <c r="AA104" i="25"/>
  <c r="AA113" i="25"/>
  <c r="AA110" i="25"/>
  <c r="W165" i="25"/>
  <c r="W164" i="25"/>
  <c r="W106" i="25"/>
  <c r="X64" i="25"/>
  <c r="Y65" i="25" s="1"/>
  <c r="W37" i="25"/>
  <c r="W28" i="25"/>
  <c r="W34" i="25"/>
  <c r="W29" i="25"/>
  <c r="W33" i="25"/>
  <c r="Z216" i="25"/>
  <c r="AA217" i="25" s="1"/>
  <c r="Q681" i="25"/>
  <c r="T7" i="25"/>
  <c r="U8" i="25" s="1"/>
  <c r="O297" i="25"/>
  <c r="Q472" i="25"/>
  <c r="S470" i="25"/>
  <c r="S475" i="25"/>
  <c r="S479" i="25"/>
  <c r="S476" i="25"/>
  <c r="S108" i="25"/>
  <c r="S107" i="25"/>
  <c r="K424" i="25"/>
  <c r="K425" i="25" s="1"/>
  <c r="K594" i="25"/>
  <c r="K599" i="25" s="1"/>
  <c r="J63" i="2" s="1"/>
  <c r="M76" i="25"/>
  <c r="M78" i="25" s="1"/>
  <c r="K765" i="25"/>
  <c r="K770" i="25" s="1"/>
  <c r="J72" i="2" s="1"/>
  <c r="K305" i="25"/>
  <c r="K306" i="25" s="1"/>
  <c r="O266" i="25"/>
  <c r="O268" i="25" s="1"/>
  <c r="K481" i="25"/>
  <c r="K480" i="25"/>
  <c r="K637" i="25"/>
  <c r="J65" i="2" s="1"/>
  <c r="K43" i="25"/>
  <c r="J22" i="2" s="1"/>
  <c r="K40" i="25"/>
  <c r="O398" i="25"/>
  <c r="K523" i="25"/>
  <c r="J59" i="2" s="1"/>
  <c r="M675" i="25"/>
  <c r="L67" i="2" s="1"/>
  <c r="Q415" i="25"/>
  <c r="K653" i="25"/>
  <c r="Q757" i="25"/>
  <c r="O416" i="25"/>
  <c r="O417" i="25"/>
  <c r="W738" i="25"/>
  <c r="Q586" i="25"/>
  <c r="O759" i="25"/>
  <c r="O758" i="25"/>
  <c r="O587" i="25"/>
  <c r="O588" i="25"/>
  <c r="O473" i="25"/>
  <c r="O474" i="25"/>
  <c r="Y741" i="25"/>
  <c r="Y745" i="25"/>
  <c r="Y742" i="25"/>
  <c r="Y737" i="25"/>
  <c r="Y736" i="25"/>
  <c r="S355" i="25"/>
  <c r="K233" i="25"/>
  <c r="J32" i="2" s="1"/>
  <c r="U353" i="25"/>
  <c r="W360" i="25"/>
  <c r="W356" i="25"/>
  <c r="W351" i="25"/>
  <c r="W357" i="25"/>
  <c r="W352" i="25"/>
  <c r="Q396" i="25"/>
  <c r="K615" i="25"/>
  <c r="K444" i="25"/>
  <c r="K447" i="25"/>
  <c r="J55" i="2" s="1"/>
  <c r="Q68" i="25"/>
  <c r="K751" i="25"/>
  <c r="J71" i="2" s="1"/>
  <c r="K748" i="25"/>
  <c r="K116" i="25"/>
  <c r="K119" i="25"/>
  <c r="J26" i="2" s="1"/>
  <c r="K211" i="25"/>
  <c r="K214" i="25"/>
  <c r="J31" i="2" s="1"/>
  <c r="K97" i="25"/>
  <c r="K100" i="25"/>
  <c r="J25" i="2" s="1"/>
  <c r="M405" i="25"/>
  <c r="M404" i="25"/>
  <c r="K287" i="25"/>
  <c r="K290" i="25"/>
  <c r="J35" i="2" s="1"/>
  <c r="K325" i="25"/>
  <c r="K328" i="25"/>
  <c r="J37" i="2" s="1"/>
  <c r="K78" i="25"/>
  <c r="K81" i="25"/>
  <c r="J24" i="2" s="1"/>
  <c r="K577" i="25"/>
  <c r="K580" i="25"/>
  <c r="J62" i="2" s="1"/>
  <c r="O176" i="25"/>
  <c r="M447" i="25"/>
  <c r="K463" i="25"/>
  <c r="K466" i="25"/>
  <c r="J56" i="2" s="1"/>
  <c r="M38" i="25"/>
  <c r="M39" i="25"/>
  <c r="M97" i="25"/>
  <c r="M100" i="25"/>
  <c r="L25" i="2" s="1"/>
  <c r="K428" i="25"/>
  <c r="J54" i="2" s="1"/>
  <c r="M366" i="25"/>
  <c r="L39" i="2" s="1"/>
  <c r="K406" i="25"/>
  <c r="K409" i="25"/>
  <c r="J53" i="2" s="1"/>
  <c r="F155" i="5" s="1"/>
  <c r="I43" i="37" s="1"/>
  <c r="M618" i="25"/>
  <c r="L64" i="2" s="1"/>
  <c r="K268" i="25"/>
  <c r="K271" i="25"/>
  <c r="J34" i="2" s="1"/>
  <c r="Q176" i="25"/>
  <c r="P29" i="2" s="1"/>
  <c r="K672" i="25"/>
  <c r="K675" i="25"/>
  <c r="J67" i="2" s="1"/>
  <c r="K382" i="25"/>
  <c r="K385" i="25"/>
  <c r="J40" i="2" s="1"/>
  <c r="M328" i="25"/>
  <c r="L37" i="2" s="1"/>
  <c r="M523" i="25"/>
  <c r="M271" i="25"/>
  <c r="L34" i="2" s="1"/>
  <c r="M656" i="25"/>
  <c r="L66" i="2" s="1"/>
  <c r="J38" i="2"/>
  <c r="S18" i="25"/>
  <c r="S9" i="25"/>
  <c r="S15" i="25"/>
  <c r="S10" i="25"/>
  <c r="S14" i="25"/>
  <c r="J27" i="2"/>
  <c r="M22" i="25"/>
  <c r="L22" i="25" s="1"/>
  <c r="J70" i="2"/>
  <c r="L30" i="2"/>
  <c r="N38" i="2"/>
  <c r="O12" i="25"/>
  <c r="K21" i="25"/>
  <c r="N35" i="2"/>
  <c r="J29" i="2"/>
  <c r="J21" i="2"/>
  <c r="J28" i="2"/>
  <c r="B42" i="5"/>
  <c r="M347" i="25" l="1"/>
  <c r="L38" i="2" s="1"/>
  <c r="F152" i="5"/>
  <c r="F179" i="30" s="1"/>
  <c r="S435" i="25"/>
  <c r="S445" i="25" s="1"/>
  <c r="R445" i="25" s="1"/>
  <c r="Q616" i="25"/>
  <c r="P616" i="25" s="1"/>
  <c r="S673" i="25"/>
  <c r="R673" i="25" s="1"/>
  <c r="O57" i="25"/>
  <c r="O62" i="25" s="1"/>
  <c r="N23" i="2" s="1"/>
  <c r="S98" i="25"/>
  <c r="R98" i="25" s="1"/>
  <c r="Q212" i="25"/>
  <c r="P212" i="25" s="1"/>
  <c r="O79" i="25"/>
  <c r="N79" i="25" s="1"/>
  <c r="S548" i="25"/>
  <c r="S550" i="25" s="1"/>
  <c r="S364" i="25"/>
  <c r="R364" i="25" s="1"/>
  <c r="F182" i="30"/>
  <c r="Q573" i="25"/>
  <c r="Q575" i="25" s="1"/>
  <c r="Q580" i="25" s="1"/>
  <c r="S454" i="25"/>
  <c r="S464" i="25" s="1"/>
  <c r="R464" i="25" s="1"/>
  <c r="O725" i="25"/>
  <c r="O728" i="25" s="1"/>
  <c r="S606" i="25"/>
  <c r="Q445" i="25"/>
  <c r="P445" i="25" s="1"/>
  <c r="W89" i="25"/>
  <c r="W93" i="25" s="1"/>
  <c r="Q630" i="25"/>
  <c r="O97" i="25"/>
  <c r="M62" i="25"/>
  <c r="L23" i="2" s="1"/>
  <c r="Q250" i="25"/>
  <c r="P250" i="25" s="1"/>
  <c r="O209" i="25"/>
  <c r="O211" i="25" s="1"/>
  <c r="U174" i="25"/>
  <c r="T174" i="25" s="1"/>
  <c r="M135" i="25"/>
  <c r="S174" i="25"/>
  <c r="R174" i="25" s="1"/>
  <c r="Q459" i="25"/>
  <c r="Y28" i="25"/>
  <c r="O502" i="25"/>
  <c r="N502" i="25" s="1"/>
  <c r="O651" i="25"/>
  <c r="O656" i="25" s="1"/>
  <c r="N66" i="2" s="1"/>
  <c r="Q226" i="25"/>
  <c r="W150" i="25"/>
  <c r="W153" i="25" s="1"/>
  <c r="S112" i="25"/>
  <c r="S114" i="25" s="1"/>
  <c r="O133" i="25"/>
  <c r="O138" i="25" s="1"/>
  <c r="N27" i="2" s="1"/>
  <c r="S535" i="25"/>
  <c r="S537" i="25" s="1"/>
  <c r="S542" i="25" s="1"/>
  <c r="Q730" i="25"/>
  <c r="P730" i="25" s="1"/>
  <c r="O633" i="25"/>
  <c r="O634" i="25" s="1"/>
  <c r="U673" i="25"/>
  <c r="T673" i="25" s="1"/>
  <c r="O763" i="25"/>
  <c r="O765" i="25" s="1"/>
  <c r="U264" i="25"/>
  <c r="U266" i="25" s="1"/>
  <c r="S283" i="25"/>
  <c r="S340" i="25"/>
  <c r="S342" i="25" s="1"/>
  <c r="O307" i="25"/>
  <c r="N307" i="25" s="1"/>
  <c r="S127" i="25"/>
  <c r="S136" i="25" s="1"/>
  <c r="R136" i="25" s="1"/>
  <c r="U60" i="25"/>
  <c r="T60" i="25" s="1"/>
  <c r="S521" i="25"/>
  <c r="R521" i="25" s="1"/>
  <c r="S326" i="25"/>
  <c r="R326" i="25" s="1"/>
  <c r="Q497" i="25"/>
  <c r="Q499" i="25" s="1"/>
  <c r="Q131" i="25"/>
  <c r="O730" i="25"/>
  <c r="N730" i="25" s="1"/>
  <c r="W169" i="25"/>
  <c r="W171" i="25" s="1"/>
  <c r="Q60" i="25"/>
  <c r="P60" i="25" s="1"/>
  <c r="O592" i="25"/>
  <c r="O594" i="25" s="1"/>
  <c r="S96" i="25"/>
  <c r="S95" i="25"/>
  <c r="S100" i="25" s="1"/>
  <c r="Q744" i="25"/>
  <c r="S269" i="25"/>
  <c r="R269" i="25" s="1"/>
  <c r="O478" i="25"/>
  <c r="W668" i="25"/>
  <c r="O692" i="25"/>
  <c r="N692" i="25" s="1"/>
  <c r="Y164" i="25"/>
  <c r="Q649" i="25"/>
  <c r="Q651" i="25" s="1"/>
  <c r="Q656" i="25" s="1"/>
  <c r="P66" i="2" s="1"/>
  <c r="S50" i="25"/>
  <c r="O706" i="25"/>
  <c r="O708" i="25" s="1"/>
  <c r="U96" i="25"/>
  <c r="O402" i="25"/>
  <c r="O404" i="25" s="1"/>
  <c r="O409" i="25" s="1"/>
  <c r="N53" i="2" s="1"/>
  <c r="H155" i="5" s="1"/>
  <c r="S378" i="25"/>
  <c r="S381" i="25" s="1"/>
  <c r="U55" i="25"/>
  <c r="U611" i="25"/>
  <c r="U613" i="25" s="1"/>
  <c r="U618" i="25" s="1"/>
  <c r="U321" i="25"/>
  <c r="U323" i="25" s="1"/>
  <c r="Q38" i="25"/>
  <c r="Q43" i="25" s="1"/>
  <c r="U535" i="25"/>
  <c r="S264" i="25"/>
  <c r="S267" i="25" s="1"/>
  <c r="U107" i="25"/>
  <c r="S51" i="25"/>
  <c r="O554" i="25"/>
  <c r="O556" i="25" s="1"/>
  <c r="S321" i="25"/>
  <c r="S324" i="25" s="1"/>
  <c r="O74" i="25"/>
  <c r="O76" i="25" s="1"/>
  <c r="O81" i="25" s="1"/>
  <c r="N24" i="2" s="1"/>
  <c r="U169" i="25"/>
  <c r="U171" i="25" s="1"/>
  <c r="U176" i="25" s="1"/>
  <c r="T29" i="2" s="1"/>
  <c r="O421" i="25"/>
  <c r="O424" i="25" s="1"/>
  <c r="U459" i="25"/>
  <c r="U462" i="25" s="1"/>
  <c r="U127" i="25"/>
  <c r="O575" i="25"/>
  <c r="O577" i="25" s="1"/>
  <c r="M19" i="25"/>
  <c r="M24" i="25" s="1"/>
  <c r="L21" i="2" s="1"/>
  <c r="O17" i="25"/>
  <c r="O20" i="25" s="1"/>
  <c r="Q13" i="25"/>
  <c r="W317" i="25"/>
  <c r="U202" i="25"/>
  <c r="S241" i="25"/>
  <c r="U279" i="25"/>
  <c r="S203" i="25"/>
  <c r="S207" i="25" s="1"/>
  <c r="S209" i="25" s="1"/>
  <c r="S214" i="25" s="1"/>
  <c r="U374" i="25"/>
  <c r="U336" i="25"/>
  <c r="Q245" i="25"/>
  <c r="Q247" i="25" s="1"/>
  <c r="W259" i="25"/>
  <c r="Q298" i="25"/>
  <c r="S359" i="25"/>
  <c r="Q207" i="25"/>
  <c r="O302" i="25"/>
  <c r="O305" i="25" s="1"/>
  <c r="W279" i="25"/>
  <c r="Q683" i="25"/>
  <c r="S568" i="25"/>
  <c r="O559" i="25"/>
  <c r="N559" i="25" s="1"/>
  <c r="Q701" i="25"/>
  <c r="U511" i="25"/>
  <c r="U436" i="25"/>
  <c r="S625" i="25"/>
  <c r="W436" i="25"/>
  <c r="W606" i="25"/>
  <c r="O687" i="25"/>
  <c r="O690" i="25" s="1"/>
  <c r="U644" i="25"/>
  <c r="Q549" i="25"/>
  <c r="U668" i="25"/>
  <c r="Q474" i="25"/>
  <c r="S739" i="25"/>
  <c r="S758" i="25"/>
  <c r="S516" i="25"/>
  <c r="S519" i="25" s="1"/>
  <c r="W454" i="25"/>
  <c r="O497" i="25"/>
  <c r="O500" i="25" s="1"/>
  <c r="Q725" i="25"/>
  <c r="Q728" i="25" s="1"/>
  <c r="Y663" i="25"/>
  <c r="S645" i="25"/>
  <c r="Y755" i="25"/>
  <c r="U435" i="25"/>
  <c r="O152" i="25"/>
  <c r="O154" i="25" s="1"/>
  <c r="W607" i="25"/>
  <c r="S540" i="25"/>
  <c r="R540" i="25" s="1"/>
  <c r="Q614" i="25"/>
  <c r="Q615" i="25" s="1"/>
  <c r="Y510" i="25"/>
  <c r="AA605" i="25"/>
  <c r="W75" i="25"/>
  <c r="W71" i="25"/>
  <c r="AC532" i="25"/>
  <c r="AC163" i="25"/>
  <c r="AC165" i="25" s="1"/>
  <c r="S700" i="25"/>
  <c r="AA460" i="25"/>
  <c r="S644" i="25"/>
  <c r="U738" i="25"/>
  <c r="U220" i="25"/>
  <c r="AA87" i="25"/>
  <c r="W239" i="25"/>
  <c r="S68" i="25"/>
  <c r="S681" i="25"/>
  <c r="Y341" i="25"/>
  <c r="AA125" i="25"/>
  <c r="AA126" i="25" s="1"/>
  <c r="Q57" i="25"/>
  <c r="Q62" i="25" s="1"/>
  <c r="P23" i="2" s="1"/>
  <c r="Q675" i="25"/>
  <c r="S569" i="25"/>
  <c r="U108" i="25"/>
  <c r="U278" i="25"/>
  <c r="Y664" i="25"/>
  <c r="U512" i="25"/>
  <c r="AC662" i="25"/>
  <c r="S240" i="25"/>
  <c r="Q550" i="25"/>
  <c r="Y315" i="25"/>
  <c r="U126" i="25"/>
  <c r="Y434" i="25"/>
  <c r="Y643" i="25"/>
  <c r="S396" i="25"/>
  <c r="W372" i="25"/>
  <c r="AC533" i="25"/>
  <c r="Y529" i="25"/>
  <c r="AC527" i="25"/>
  <c r="Y125" i="25"/>
  <c r="Y165" i="25"/>
  <c r="AC528" i="25"/>
  <c r="AC536" i="25"/>
  <c r="W684" i="25"/>
  <c r="W688" i="25"/>
  <c r="W679" i="25"/>
  <c r="Y37" i="25"/>
  <c r="Y29" i="25"/>
  <c r="AC517" i="25"/>
  <c r="Y106" i="25"/>
  <c r="W66" i="25"/>
  <c r="U182" i="25"/>
  <c r="Y332" i="25"/>
  <c r="Y333" i="25"/>
  <c r="U645" i="25"/>
  <c r="W685" i="25"/>
  <c r="W67" i="25"/>
  <c r="U146" i="25"/>
  <c r="U145" i="25"/>
  <c r="Y761" i="25"/>
  <c r="Y764" i="25"/>
  <c r="Y760" i="25"/>
  <c r="W680" i="25"/>
  <c r="Y756" i="25"/>
  <c r="Y34" i="25"/>
  <c r="Y33" i="25"/>
  <c r="W72" i="25"/>
  <c r="AA48" i="25"/>
  <c r="Y227" i="25"/>
  <c r="AA333" i="25"/>
  <c r="AA339" i="25"/>
  <c r="Z677" i="25"/>
  <c r="AA678" i="25" s="1"/>
  <c r="AA686" i="25" s="1"/>
  <c r="Y686" i="25"/>
  <c r="AA456" i="25"/>
  <c r="AC514" i="25"/>
  <c r="Q464" i="25"/>
  <c r="P464" i="25" s="1"/>
  <c r="Y224" i="25"/>
  <c r="AC109" i="25"/>
  <c r="X620" i="25"/>
  <c r="Y621" i="25" s="1"/>
  <c r="Y628" i="25" s="1"/>
  <c r="W629" i="25"/>
  <c r="AA457" i="25"/>
  <c r="AB734" i="25"/>
  <c r="AC735" i="25" s="1"/>
  <c r="AC743" i="25" s="1"/>
  <c r="AA743" i="25"/>
  <c r="AC509" i="25"/>
  <c r="Z563" i="25"/>
  <c r="AA564" i="25" s="1"/>
  <c r="AA572" i="25" s="1"/>
  <c r="Y572" i="25"/>
  <c r="Y223" i="25"/>
  <c r="AC110" i="25"/>
  <c r="Y204" i="25"/>
  <c r="Y206" i="25"/>
  <c r="AC508" i="25"/>
  <c r="AC437" i="25"/>
  <c r="U762" i="25"/>
  <c r="U764" i="25"/>
  <c r="U761" i="25"/>
  <c r="U756" i="25"/>
  <c r="U760" i="25"/>
  <c r="U755" i="25"/>
  <c r="Z64" i="25"/>
  <c r="AA65" i="25" s="1"/>
  <c r="AA73" i="25" s="1"/>
  <c r="Y73" i="25"/>
  <c r="Y218" i="25"/>
  <c r="AC105" i="25"/>
  <c r="AA53" i="25"/>
  <c r="U413" i="25"/>
  <c r="U420" i="25"/>
  <c r="AC513" i="25"/>
  <c r="AC432" i="25"/>
  <c r="S491" i="25"/>
  <c r="Y219" i="25"/>
  <c r="AC104" i="25"/>
  <c r="AA56" i="25"/>
  <c r="AC129" i="25"/>
  <c r="AC130" i="25"/>
  <c r="AC433" i="25"/>
  <c r="Y337" i="25"/>
  <c r="Y339" i="25"/>
  <c r="Z349" i="25"/>
  <c r="AA350" i="25" s="1"/>
  <c r="Y358" i="25"/>
  <c r="AB216" i="25"/>
  <c r="AC217" i="25" s="1"/>
  <c r="AC225" i="25" s="1"/>
  <c r="AA225" i="25"/>
  <c r="AC113" i="25"/>
  <c r="AA52" i="25"/>
  <c r="Y185" i="25"/>
  <c r="Y187" i="25"/>
  <c r="X715" i="25"/>
  <c r="Y716" i="25" s="1"/>
  <c r="Y718" i="25" s="1"/>
  <c r="W724" i="25"/>
  <c r="AA451" i="25"/>
  <c r="AC438" i="25"/>
  <c r="U496" i="25"/>
  <c r="U494" i="25"/>
  <c r="U490" i="25"/>
  <c r="U495" i="25"/>
  <c r="U489" i="25"/>
  <c r="U498" i="25"/>
  <c r="AB254" i="25"/>
  <c r="AC255" i="25" s="1"/>
  <c r="AC263" i="25" s="1"/>
  <c r="AA263" i="25"/>
  <c r="AA47" i="25"/>
  <c r="AA452" i="25"/>
  <c r="AC441" i="25"/>
  <c r="M230" i="25"/>
  <c r="M252" i="25"/>
  <c r="L33" i="2" s="1"/>
  <c r="O323" i="25"/>
  <c r="O325" i="25" s="1"/>
  <c r="O672" i="25"/>
  <c r="Q12" i="25"/>
  <c r="M214" i="25"/>
  <c r="L31" i="2" s="1"/>
  <c r="O115" i="25"/>
  <c r="O116" i="25" s="1"/>
  <c r="Q578" i="25"/>
  <c r="P578" i="25" s="1"/>
  <c r="M637" i="25"/>
  <c r="L65" i="2" s="1"/>
  <c r="M748" i="25"/>
  <c r="U203" i="25"/>
  <c r="O539" i="25"/>
  <c r="O382" i="25"/>
  <c r="K501" i="25"/>
  <c r="M539" i="25"/>
  <c r="M157" i="25"/>
  <c r="L28" i="2" s="1"/>
  <c r="Q323" i="25"/>
  <c r="Q325" i="25" s="1"/>
  <c r="O518" i="25"/>
  <c r="O523" i="25" s="1"/>
  <c r="N59" i="2" s="1"/>
  <c r="O362" i="25"/>
  <c r="O363" i="25" s="1"/>
  <c r="O248" i="25"/>
  <c r="O249" i="25" s="1"/>
  <c r="M287" i="25"/>
  <c r="O597" i="25"/>
  <c r="N597" i="25" s="1"/>
  <c r="O39" i="25"/>
  <c r="O40" i="25" s="1"/>
  <c r="M499" i="25"/>
  <c r="M501" i="25" s="1"/>
  <c r="W174" i="25"/>
  <c r="V174" i="25" s="1"/>
  <c r="Q231" i="25"/>
  <c r="P231" i="25" s="1"/>
  <c r="U269" i="25"/>
  <c r="T269" i="25" s="1"/>
  <c r="Q518" i="25"/>
  <c r="Q520" i="25" s="1"/>
  <c r="Q297" i="25"/>
  <c r="S117" i="25"/>
  <c r="R117" i="25" s="1"/>
  <c r="U326" i="25"/>
  <c r="T326" i="25" s="1"/>
  <c r="O190" i="25"/>
  <c r="O192" i="25" s="1"/>
  <c r="S345" i="25"/>
  <c r="R345" i="25" s="1"/>
  <c r="W278" i="25"/>
  <c r="K558" i="25"/>
  <c r="Q635" i="25"/>
  <c r="P635" i="25" s="1"/>
  <c r="S31" i="25"/>
  <c r="S41" i="25" s="1"/>
  <c r="R41" i="25" s="1"/>
  <c r="O229" i="25"/>
  <c r="O230" i="25" s="1"/>
  <c r="O768" i="25"/>
  <c r="N768" i="25" s="1"/>
  <c r="U540" i="25"/>
  <c r="T540" i="25" s="1"/>
  <c r="Q41" i="25"/>
  <c r="P41" i="25" s="1"/>
  <c r="S472" i="25"/>
  <c r="Q749" i="25"/>
  <c r="P749" i="25" s="1"/>
  <c r="O22" i="25"/>
  <c r="N22" i="25" s="1"/>
  <c r="Q502" i="25"/>
  <c r="P502" i="25" s="1"/>
  <c r="U616" i="25"/>
  <c r="T616" i="25" s="1"/>
  <c r="W673" i="25"/>
  <c r="V673" i="25" s="1"/>
  <c r="S383" i="25"/>
  <c r="R383" i="25" s="1"/>
  <c r="O483" i="25"/>
  <c r="N483" i="25" s="1"/>
  <c r="U464" i="25"/>
  <c r="T464" i="25" s="1"/>
  <c r="Q193" i="25"/>
  <c r="P193" i="25" s="1"/>
  <c r="O747" i="25"/>
  <c r="O746" i="25"/>
  <c r="O407" i="25"/>
  <c r="N407" i="25" s="1"/>
  <c r="S288" i="25"/>
  <c r="R288" i="25" s="1"/>
  <c r="Q117" i="25"/>
  <c r="P117" i="25" s="1"/>
  <c r="Q136" i="25"/>
  <c r="P136" i="25" s="1"/>
  <c r="U98" i="25"/>
  <c r="T98" i="25" s="1"/>
  <c r="O426" i="25"/>
  <c r="N426" i="25" s="1"/>
  <c r="W155" i="25"/>
  <c r="V155" i="25" s="1"/>
  <c r="S586" i="25"/>
  <c r="Q654" i="25"/>
  <c r="P654" i="25" s="1"/>
  <c r="O711" i="25"/>
  <c r="N711" i="25" s="1"/>
  <c r="K694" i="25"/>
  <c r="J68" i="2" s="1"/>
  <c r="W182" i="25"/>
  <c r="W183" i="25" s="1"/>
  <c r="Q702" i="25"/>
  <c r="Q266" i="25"/>
  <c r="Q271" i="25" s="1"/>
  <c r="P34" i="2" s="1"/>
  <c r="S184" i="25"/>
  <c r="W316" i="25"/>
  <c r="S671" i="25"/>
  <c r="S672" i="25" s="1"/>
  <c r="S740" i="25"/>
  <c r="U414" i="25"/>
  <c r="W435" i="25"/>
  <c r="U419" i="25"/>
  <c r="Y491" i="25"/>
  <c r="Q39" i="25"/>
  <c r="Q153" i="25"/>
  <c r="Q154" i="25" s="1"/>
  <c r="M119" i="25"/>
  <c r="L26" i="2" s="1"/>
  <c r="M116" i="25"/>
  <c r="U335" i="25"/>
  <c r="AB563" i="25"/>
  <c r="AC564" i="25" s="1"/>
  <c r="AC572" i="25" s="1"/>
  <c r="AB620" i="25"/>
  <c r="AC621" i="25" s="1"/>
  <c r="AC629" i="25" s="1"/>
  <c r="U418" i="25"/>
  <c r="AA491" i="25"/>
  <c r="AC605" i="25"/>
  <c r="AC451" i="25"/>
  <c r="AC460" i="25"/>
  <c r="AC456" i="25"/>
  <c r="AC452" i="25"/>
  <c r="AC457" i="25"/>
  <c r="AA764" i="25"/>
  <c r="AA761" i="25"/>
  <c r="AA755" i="25"/>
  <c r="AA760" i="25"/>
  <c r="AA756" i="25"/>
  <c r="AC491" i="25"/>
  <c r="AC642" i="25"/>
  <c r="AC646" i="25"/>
  <c r="AC650" i="25"/>
  <c r="AC647" i="25"/>
  <c r="AC641" i="25"/>
  <c r="AA664" i="25"/>
  <c r="AA663" i="25"/>
  <c r="AA529" i="25"/>
  <c r="AB677" i="25"/>
  <c r="AC678" i="25" s="1"/>
  <c r="AC686" i="25" s="1"/>
  <c r="AB753" i="25"/>
  <c r="AC754" i="25" s="1"/>
  <c r="AC762" i="25" s="1"/>
  <c r="AC717" i="25"/>
  <c r="AC722" i="25"/>
  <c r="AC723" i="25"/>
  <c r="AC726" i="25"/>
  <c r="AC718" i="25"/>
  <c r="V411" i="25"/>
  <c r="W412" i="25" s="1"/>
  <c r="U422" i="25"/>
  <c r="AA434" i="25"/>
  <c r="AA643" i="25"/>
  <c r="X392" i="25"/>
  <c r="Y393" i="25" s="1"/>
  <c r="AB696" i="25"/>
  <c r="AC697" i="25" s="1"/>
  <c r="AC705" i="25" s="1"/>
  <c r="AA510" i="25"/>
  <c r="M727" i="25"/>
  <c r="M732" i="25" s="1"/>
  <c r="L70" i="2" s="1"/>
  <c r="M728" i="25"/>
  <c r="Y277" i="25"/>
  <c r="Q538" i="25"/>
  <c r="Q539" i="25" s="1"/>
  <c r="W455" i="25"/>
  <c r="O461" i="25"/>
  <c r="O462" i="25"/>
  <c r="S415" i="25"/>
  <c r="S626" i="25"/>
  <c r="Q442" i="25"/>
  <c r="Q443" i="25"/>
  <c r="O443" i="25"/>
  <c r="O442" i="25"/>
  <c r="U624" i="25"/>
  <c r="W628" i="25"/>
  <c r="W631" i="25"/>
  <c r="W623" i="25"/>
  <c r="W627" i="25"/>
  <c r="W622" i="25"/>
  <c r="W567" i="25"/>
  <c r="W493" i="25"/>
  <c r="W492" i="25"/>
  <c r="W511" i="25"/>
  <c r="W512" i="25"/>
  <c r="U700" i="25"/>
  <c r="Y679" i="25"/>
  <c r="Y680" i="25"/>
  <c r="Y684" i="25"/>
  <c r="Y685" i="25"/>
  <c r="Y688" i="25"/>
  <c r="U584" i="25"/>
  <c r="U589" i="25"/>
  <c r="U585" i="25"/>
  <c r="U590" i="25"/>
  <c r="U593" i="25"/>
  <c r="V582" i="25"/>
  <c r="W583" i="25" s="1"/>
  <c r="W591" i="25" s="1"/>
  <c r="W551" i="25"/>
  <c r="W546" i="25"/>
  <c r="W547" i="25"/>
  <c r="W552" i="25"/>
  <c r="W555" i="25"/>
  <c r="X544" i="25"/>
  <c r="Y545" i="25" s="1"/>
  <c r="W395" i="25"/>
  <c r="W403" i="25"/>
  <c r="W394" i="25"/>
  <c r="W399" i="25"/>
  <c r="W400" i="25"/>
  <c r="Y565" i="25"/>
  <c r="Y566" i="25"/>
  <c r="Y571" i="25"/>
  <c r="Y574" i="25"/>
  <c r="Y570" i="25"/>
  <c r="W757" i="25"/>
  <c r="U569" i="25"/>
  <c r="U568" i="25"/>
  <c r="Y453" i="25"/>
  <c r="S720" i="25"/>
  <c r="S721" i="25"/>
  <c r="U471" i="25"/>
  <c r="U476" i="25"/>
  <c r="U470" i="25"/>
  <c r="U479" i="25"/>
  <c r="U475" i="25"/>
  <c r="Y606" i="25"/>
  <c r="Y607" i="25"/>
  <c r="V468" i="25"/>
  <c r="W469" i="25" s="1"/>
  <c r="W477" i="25" s="1"/>
  <c r="U548" i="25"/>
  <c r="X411" i="25"/>
  <c r="Y412" i="25" s="1"/>
  <c r="W644" i="25"/>
  <c r="W645" i="25"/>
  <c r="U681" i="25"/>
  <c r="U719" i="25"/>
  <c r="W722" i="25"/>
  <c r="W718" i="25"/>
  <c r="W726" i="25"/>
  <c r="W723" i="25"/>
  <c r="W717" i="25"/>
  <c r="W698" i="25"/>
  <c r="W707" i="25"/>
  <c r="W704" i="25"/>
  <c r="W703" i="25"/>
  <c r="W699" i="25"/>
  <c r="X696" i="25"/>
  <c r="Y697" i="25" s="1"/>
  <c r="W530" i="25"/>
  <c r="W531" i="25"/>
  <c r="U396" i="25"/>
  <c r="M557" i="25"/>
  <c r="M556" i="25"/>
  <c r="W201" i="25"/>
  <c r="S759" i="25"/>
  <c r="Q682" i="25"/>
  <c r="AC132" i="25"/>
  <c r="Y181" i="25"/>
  <c r="AC123" i="25"/>
  <c r="AC128" i="25"/>
  <c r="AC124" i="25"/>
  <c r="Z178" i="25"/>
  <c r="AA179" i="25" s="1"/>
  <c r="U373" i="25"/>
  <c r="Y180" i="25"/>
  <c r="Y186" i="25"/>
  <c r="Y189" i="25"/>
  <c r="Z197" i="25"/>
  <c r="AA198" i="25" s="1"/>
  <c r="Y372" i="25"/>
  <c r="Y205" i="25"/>
  <c r="Y200" i="25"/>
  <c r="Y49" i="25"/>
  <c r="AA337" i="25"/>
  <c r="W260" i="25"/>
  <c r="Y208" i="25"/>
  <c r="W51" i="25"/>
  <c r="W50" i="25"/>
  <c r="Y199" i="25"/>
  <c r="AC48" i="25"/>
  <c r="AC52" i="25"/>
  <c r="AC53" i="25"/>
  <c r="AC56" i="25"/>
  <c r="AC47" i="25"/>
  <c r="AA379" i="25"/>
  <c r="AA375" i="25"/>
  <c r="AA370" i="25"/>
  <c r="AA376" i="25"/>
  <c r="AA371" i="25"/>
  <c r="AA338" i="25"/>
  <c r="AB330" i="25"/>
  <c r="AC331" i="25" s="1"/>
  <c r="AA341" i="25"/>
  <c r="AA315" i="25"/>
  <c r="AC314" i="25"/>
  <c r="AC313" i="25"/>
  <c r="AC318" i="25"/>
  <c r="AC319" i="25"/>
  <c r="AC322" i="25"/>
  <c r="W334" i="25"/>
  <c r="AA332" i="25"/>
  <c r="AB368" i="25"/>
  <c r="AC369" i="25" s="1"/>
  <c r="AC377" i="25" s="1"/>
  <c r="AA280" i="25"/>
  <c r="AA276" i="25"/>
  <c r="AA284" i="25"/>
  <c r="AA281" i="25"/>
  <c r="AB273" i="25"/>
  <c r="AC274" i="25" s="1"/>
  <c r="AC282" i="25" s="1"/>
  <c r="AA275" i="25"/>
  <c r="Q286" i="25"/>
  <c r="Q285" i="25"/>
  <c r="U95" i="25"/>
  <c r="U100" i="25" s="1"/>
  <c r="T25" i="2" s="1"/>
  <c r="S152" i="25"/>
  <c r="S154" i="25" s="1"/>
  <c r="AA262" i="25"/>
  <c r="AA261" i="25"/>
  <c r="AA256" i="25"/>
  <c r="AA257" i="25"/>
  <c r="AA265" i="25"/>
  <c r="U241" i="25"/>
  <c r="U240" i="25"/>
  <c r="AA242" i="25"/>
  <c r="AA243" i="25"/>
  <c r="AA238" i="25"/>
  <c r="AA237" i="25"/>
  <c r="AA246" i="25"/>
  <c r="AB235" i="25"/>
  <c r="AC236" i="25" s="1"/>
  <c r="AC244" i="25" s="1"/>
  <c r="U299" i="25"/>
  <c r="U295" i="25"/>
  <c r="U303" i="25"/>
  <c r="U300" i="25"/>
  <c r="U294" i="25"/>
  <c r="Q343" i="25"/>
  <c r="Q342" i="25"/>
  <c r="Y258" i="25"/>
  <c r="Y239" i="25"/>
  <c r="V292" i="25"/>
  <c r="W293" i="25" s="1"/>
  <c r="W301" i="25" s="1"/>
  <c r="S296" i="25"/>
  <c r="AB64" i="25"/>
  <c r="AC65" i="25" s="1"/>
  <c r="AC73" i="25" s="1"/>
  <c r="AA106" i="25"/>
  <c r="W30" i="25"/>
  <c r="AA33" i="25"/>
  <c r="AA29" i="25"/>
  <c r="AA34" i="25"/>
  <c r="AA28" i="25"/>
  <c r="AA37" i="25"/>
  <c r="AB26" i="25"/>
  <c r="AC27" i="25" s="1"/>
  <c r="AC35" i="25" s="1"/>
  <c r="Y146" i="25"/>
  <c r="Y145" i="25"/>
  <c r="AA165" i="25"/>
  <c r="AA164" i="25"/>
  <c r="AA218" i="25"/>
  <c r="AA224" i="25"/>
  <c r="AA223" i="25"/>
  <c r="AA227" i="25"/>
  <c r="AA219" i="25"/>
  <c r="W220" i="25"/>
  <c r="Y89" i="25"/>
  <c r="Y88" i="25"/>
  <c r="Y72" i="25"/>
  <c r="Y66" i="25"/>
  <c r="Y67" i="25"/>
  <c r="Y71" i="25"/>
  <c r="Y75" i="25"/>
  <c r="U32" i="25"/>
  <c r="U31" i="25"/>
  <c r="S222" i="25"/>
  <c r="S221" i="25"/>
  <c r="U68" i="25"/>
  <c r="AC87" i="25"/>
  <c r="AA144" i="25"/>
  <c r="W108" i="25"/>
  <c r="W107" i="25"/>
  <c r="AC148" i="25"/>
  <c r="AC142" i="25"/>
  <c r="AC143" i="25"/>
  <c r="AC151" i="25"/>
  <c r="AC147" i="25"/>
  <c r="W127" i="25"/>
  <c r="W126" i="25"/>
  <c r="S172" i="25"/>
  <c r="S171" i="25"/>
  <c r="Q473" i="25"/>
  <c r="U18" i="25"/>
  <c r="U14" i="25"/>
  <c r="U15" i="25"/>
  <c r="U9" i="25"/>
  <c r="V7" i="25"/>
  <c r="W8" i="25" s="1"/>
  <c r="U16" i="25"/>
  <c r="U10" i="25"/>
  <c r="Q114" i="25"/>
  <c r="Q115" i="25"/>
  <c r="K767" i="25"/>
  <c r="M81" i="25"/>
  <c r="L24" i="2" s="1"/>
  <c r="K596" i="25"/>
  <c r="O271" i="25"/>
  <c r="N34" i="2" s="1"/>
  <c r="M305" i="25"/>
  <c r="M306" i="25" s="1"/>
  <c r="K482" i="25"/>
  <c r="K485" i="25"/>
  <c r="J57" i="2" s="1"/>
  <c r="M690" i="25"/>
  <c r="M689" i="25"/>
  <c r="M595" i="25"/>
  <c r="M594" i="25"/>
  <c r="W739" i="25"/>
  <c r="W740" i="25"/>
  <c r="AA736" i="25"/>
  <c r="AA737" i="25"/>
  <c r="AA745" i="25"/>
  <c r="AA741" i="25"/>
  <c r="AA742" i="25"/>
  <c r="Q416" i="25"/>
  <c r="Q417" i="25"/>
  <c r="Y738" i="25"/>
  <c r="M423" i="25"/>
  <c r="M424" i="25"/>
  <c r="Q587" i="25"/>
  <c r="Q588" i="25"/>
  <c r="M481" i="25"/>
  <c r="M480" i="25"/>
  <c r="Q759" i="25"/>
  <c r="Q758" i="25"/>
  <c r="M708" i="25"/>
  <c r="M709" i="25"/>
  <c r="M766" i="25"/>
  <c r="M765" i="25"/>
  <c r="Q362" i="25"/>
  <c r="Q361" i="25"/>
  <c r="Q96" i="25"/>
  <c r="Q95" i="25"/>
  <c r="Q380" i="25"/>
  <c r="Q381" i="25"/>
  <c r="Y360" i="25"/>
  <c r="Y356" i="25"/>
  <c r="Y351" i="25"/>
  <c r="Y352" i="25"/>
  <c r="Y357" i="25"/>
  <c r="W353" i="25"/>
  <c r="U355" i="25"/>
  <c r="U354" i="25"/>
  <c r="Q398" i="25"/>
  <c r="Q397" i="25"/>
  <c r="Q70" i="25"/>
  <c r="Q69" i="25"/>
  <c r="M40" i="25"/>
  <c r="M43" i="25"/>
  <c r="L22" i="2" s="1"/>
  <c r="M409" i="25"/>
  <c r="L53" i="2" s="1"/>
  <c r="G155" i="5" s="1"/>
  <c r="M406" i="25"/>
  <c r="L55" i="2"/>
  <c r="G156" i="5" s="1"/>
  <c r="N33" i="2"/>
  <c r="J23" i="2"/>
  <c r="S11" i="25"/>
  <c r="L59" i="2"/>
  <c r="F156" i="5"/>
  <c r="I44" i="37" s="1"/>
  <c r="L40" i="2"/>
  <c r="N40" i="2"/>
  <c r="N39" i="2"/>
  <c r="L35" i="2"/>
  <c r="G84" i="5" s="1"/>
  <c r="J15" i="37" s="1"/>
  <c r="I40" i="37" l="1"/>
  <c r="H182" i="30"/>
  <c r="K43" i="37"/>
  <c r="G183" i="30"/>
  <c r="J44" i="37"/>
  <c r="G182" i="30"/>
  <c r="J43" i="37"/>
  <c r="J9" i="37"/>
  <c r="G56" i="30"/>
  <c r="O59" i="25"/>
  <c r="S440" i="25"/>
  <c r="S443" i="25" s="1"/>
  <c r="S549" i="25"/>
  <c r="S559" i="25" s="1"/>
  <c r="R559" i="25" s="1"/>
  <c r="Q576" i="25"/>
  <c r="Q577" i="25" s="1"/>
  <c r="AC106" i="25"/>
  <c r="AC107" i="25" s="1"/>
  <c r="W98" i="25"/>
  <c r="V98" i="25" s="1"/>
  <c r="O727" i="25"/>
  <c r="O732" i="25" s="1"/>
  <c r="N70" i="2" s="1"/>
  <c r="S459" i="25"/>
  <c r="S461" i="25" s="1"/>
  <c r="S466" i="25" s="1"/>
  <c r="R56" i="2" s="1"/>
  <c r="Y30" i="25"/>
  <c r="Y31" i="25" s="1"/>
  <c r="S611" i="25"/>
  <c r="S616" i="25"/>
  <c r="R616" i="25" s="1"/>
  <c r="H152" i="5"/>
  <c r="G152" i="5"/>
  <c r="O214" i="25"/>
  <c r="N31" i="2" s="1"/>
  <c r="O580" i="25"/>
  <c r="N62" i="2" s="1"/>
  <c r="U340" i="25"/>
  <c r="U343" i="25" s="1"/>
  <c r="O135" i="25"/>
  <c r="O653" i="25"/>
  <c r="Q763" i="25"/>
  <c r="Q765" i="25" s="1"/>
  <c r="U383" i="25"/>
  <c r="T383" i="25" s="1"/>
  <c r="S749" i="25"/>
  <c r="R749" i="25" s="1"/>
  <c r="M21" i="25"/>
  <c r="W440" i="25"/>
  <c r="W442" i="25" s="1"/>
  <c r="W447" i="25" s="1"/>
  <c r="S380" i="25"/>
  <c r="S385" i="25" s="1"/>
  <c r="S538" i="25"/>
  <c r="S539" i="25" s="1"/>
  <c r="S768" i="25"/>
  <c r="R768" i="25" s="1"/>
  <c r="Q40" i="25"/>
  <c r="O709" i="25"/>
  <c r="O710" i="25" s="1"/>
  <c r="S131" i="25"/>
  <c r="S133" i="25" s="1"/>
  <c r="S138" i="25" s="1"/>
  <c r="R27" i="2" s="1"/>
  <c r="S578" i="25"/>
  <c r="R578" i="25" s="1"/>
  <c r="Q302" i="25"/>
  <c r="Q304" i="25" s="1"/>
  <c r="Q309" i="25" s="1"/>
  <c r="P36" i="2" s="1"/>
  <c r="AD163" i="25"/>
  <c r="S97" i="25"/>
  <c r="S266" i="25"/>
  <c r="S268" i="25" s="1"/>
  <c r="Q711" i="25"/>
  <c r="P711" i="25" s="1"/>
  <c r="S55" i="25"/>
  <c r="S58" i="25" s="1"/>
  <c r="Q478" i="25"/>
  <c r="Q481" i="25" s="1"/>
  <c r="W321" i="25"/>
  <c r="W323" i="25" s="1"/>
  <c r="W328" i="25" s="1"/>
  <c r="S212" i="25"/>
  <c r="R212" i="25" s="1"/>
  <c r="Y169" i="25"/>
  <c r="Y172" i="25" s="1"/>
  <c r="Y673" i="25"/>
  <c r="X673" i="25" s="1"/>
  <c r="W112" i="25"/>
  <c r="W114" i="25" s="1"/>
  <c r="W119" i="25" s="1"/>
  <c r="Q559" i="25"/>
  <c r="P559" i="25" s="1"/>
  <c r="O405" i="25"/>
  <c r="O406" i="25" s="1"/>
  <c r="Q652" i="25"/>
  <c r="Q653" i="25" s="1"/>
  <c r="Q74" i="25"/>
  <c r="U516" i="25"/>
  <c r="U518" i="25" s="1"/>
  <c r="U212" i="25"/>
  <c r="T212" i="25" s="1"/>
  <c r="W459" i="25"/>
  <c r="W461" i="25" s="1"/>
  <c r="U131" i="25"/>
  <c r="U133" i="25" s="1"/>
  <c r="W55" i="25"/>
  <c r="U573" i="25"/>
  <c r="U575" i="25" s="1"/>
  <c r="S226" i="25"/>
  <c r="S229" i="25" s="1"/>
  <c r="U207" i="25"/>
  <c r="U210" i="25" s="1"/>
  <c r="U150" i="25"/>
  <c r="U359" i="25"/>
  <c r="U362" i="25" s="1"/>
  <c r="U440" i="25"/>
  <c r="U443" i="25" s="1"/>
  <c r="W497" i="25"/>
  <c r="Q421" i="25"/>
  <c r="Q423" i="25" s="1"/>
  <c r="U36" i="25"/>
  <c r="U39" i="25" s="1"/>
  <c r="Y93" i="25"/>
  <c r="AA169" i="25"/>
  <c r="AA171" i="25" s="1"/>
  <c r="S573" i="25"/>
  <c r="S576" i="25" s="1"/>
  <c r="S60" i="25"/>
  <c r="R60" i="25" s="1"/>
  <c r="W264" i="25"/>
  <c r="U112" i="25"/>
  <c r="U114" i="25" s="1"/>
  <c r="U119" i="25" s="1"/>
  <c r="T26" i="2" s="1"/>
  <c r="Q592" i="25"/>
  <c r="W131" i="25"/>
  <c r="W134" i="25" s="1"/>
  <c r="Y150" i="25"/>
  <c r="Y152" i="25" s="1"/>
  <c r="S725" i="25"/>
  <c r="S649" i="25"/>
  <c r="S652" i="25" s="1"/>
  <c r="S630" i="25"/>
  <c r="Q554" i="25"/>
  <c r="Q556" i="25" s="1"/>
  <c r="Q561" i="25" s="1"/>
  <c r="P61" i="2" s="1"/>
  <c r="S635" i="25"/>
  <c r="R635" i="25" s="1"/>
  <c r="S245" i="25"/>
  <c r="S247" i="25" s="1"/>
  <c r="S252" i="25" s="1"/>
  <c r="Q402" i="25"/>
  <c r="AA668" i="25"/>
  <c r="AA671" i="25" s="1"/>
  <c r="U654" i="25"/>
  <c r="T654" i="25" s="1"/>
  <c r="S70" i="25"/>
  <c r="AC164" i="25"/>
  <c r="AC169" i="25" s="1"/>
  <c r="AC172" i="25" s="1"/>
  <c r="Y611" i="25"/>
  <c r="W649" i="25"/>
  <c r="W651" i="25" s="1"/>
  <c r="W656" i="25" s="1"/>
  <c r="S763" i="25"/>
  <c r="S766" i="25" s="1"/>
  <c r="S193" i="25"/>
  <c r="R193" i="25" s="1"/>
  <c r="S188" i="25"/>
  <c r="S191" i="25" s="1"/>
  <c r="W288" i="25"/>
  <c r="V288" i="25" s="1"/>
  <c r="Y107" i="25"/>
  <c r="U183" i="25"/>
  <c r="W269" i="25"/>
  <c r="V269" i="25" s="1"/>
  <c r="W611" i="25"/>
  <c r="W614" i="25" s="1"/>
  <c r="U378" i="25"/>
  <c r="U381" i="25" s="1"/>
  <c r="S36" i="25"/>
  <c r="S38" i="25" s="1"/>
  <c r="W535" i="25"/>
  <c r="W537" i="25" s="1"/>
  <c r="W542" i="25" s="1"/>
  <c r="AA88" i="25"/>
  <c r="Q692" i="25"/>
  <c r="P692" i="25" s="1"/>
  <c r="W516" i="25"/>
  <c r="W518" i="25" s="1"/>
  <c r="W523" i="25" s="1"/>
  <c r="W744" i="25"/>
  <c r="U245" i="25"/>
  <c r="Y757" i="25"/>
  <c r="Y758" i="25" s="1"/>
  <c r="Y127" i="25"/>
  <c r="U136" i="25"/>
  <c r="T136" i="25" s="1"/>
  <c r="Q22" i="25"/>
  <c r="P22" i="25" s="1"/>
  <c r="S13" i="25"/>
  <c r="Q17" i="25"/>
  <c r="Q20" i="25" s="1"/>
  <c r="Y316" i="25"/>
  <c r="Y278" i="25"/>
  <c r="W374" i="25"/>
  <c r="S250" i="25"/>
  <c r="R250" i="25" s="1"/>
  <c r="U222" i="25"/>
  <c r="W283" i="25"/>
  <c r="W286" i="25" s="1"/>
  <c r="W241" i="25"/>
  <c r="W203" i="25"/>
  <c r="U283" i="25"/>
  <c r="U285" i="25" s="1"/>
  <c r="U290" i="25" s="1"/>
  <c r="S588" i="25"/>
  <c r="Y436" i="25"/>
  <c r="Y492" i="25"/>
  <c r="W616" i="25"/>
  <c r="V616" i="25" s="1"/>
  <c r="Y668" i="25"/>
  <c r="Y670" i="25" s="1"/>
  <c r="Y675" i="25" s="1"/>
  <c r="S683" i="25"/>
  <c r="Y531" i="25"/>
  <c r="S702" i="25"/>
  <c r="U649" i="25"/>
  <c r="U651" i="25" s="1"/>
  <c r="U656" i="25" s="1"/>
  <c r="Q706" i="25"/>
  <c r="Q709" i="25" s="1"/>
  <c r="S744" i="25"/>
  <c r="S417" i="25"/>
  <c r="S474" i="25"/>
  <c r="S398" i="25"/>
  <c r="AD662" i="25"/>
  <c r="U739" i="25"/>
  <c r="AA606" i="25"/>
  <c r="Q687" i="25"/>
  <c r="Q689" i="25" s="1"/>
  <c r="Y645" i="25"/>
  <c r="S654" i="25"/>
  <c r="R654" i="25" s="1"/>
  <c r="Y512" i="25"/>
  <c r="U445" i="25"/>
  <c r="T445" i="25" s="1"/>
  <c r="S701" i="25"/>
  <c r="Y511" i="25"/>
  <c r="AA607" i="25"/>
  <c r="AD605" i="25"/>
  <c r="W240" i="25"/>
  <c r="O157" i="25"/>
  <c r="N28" i="2" s="1"/>
  <c r="Y622" i="25"/>
  <c r="S682" i="25"/>
  <c r="AA127" i="25"/>
  <c r="AA131" i="25" s="1"/>
  <c r="G82" i="5"/>
  <c r="J13" i="37" s="1"/>
  <c r="AC265" i="25"/>
  <c r="AA89" i="25"/>
  <c r="AC261" i="25"/>
  <c r="U221" i="25"/>
  <c r="AD87" i="25"/>
  <c r="AA688" i="25"/>
  <c r="U740" i="25"/>
  <c r="Y627" i="25"/>
  <c r="AA680" i="25"/>
  <c r="AA679" i="25"/>
  <c r="U172" i="25"/>
  <c r="U173" i="25" s="1"/>
  <c r="S69" i="25"/>
  <c r="U117" i="25"/>
  <c r="T117" i="25" s="1"/>
  <c r="U288" i="25"/>
  <c r="T288" i="25" s="1"/>
  <c r="Q59" i="25"/>
  <c r="AC664" i="25"/>
  <c r="AC663" i="25"/>
  <c r="U521" i="25"/>
  <c r="T521" i="25" s="1"/>
  <c r="W68" i="25"/>
  <c r="S323" i="25"/>
  <c r="S328" i="25" s="1"/>
  <c r="R37" i="2" s="1"/>
  <c r="AC434" i="25"/>
  <c r="Y334" i="25"/>
  <c r="Y317" i="25"/>
  <c r="Y435" i="25"/>
  <c r="S397" i="25"/>
  <c r="Y644" i="25"/>
  <c r="W373" i="25"/>
  <c r="AC529" i="25"/>
  <c r="Y530" i="25"/>
  <c r="U184" i="25"/>
  <c r="W681" i="25"/>
  <c r="AA49" i="25"/>
  <c r="Y126" i="25"/>
  <c r="AA453" i="25"/>
  <c r="Y108" i="25"/>
  <c r="Y174" i="25"/>
  <c r="X174" i="25" s="1"/>
  <c r="Y220" i="25"/>
  <c r="AA566" i="25"/>
  <c r="Y722" i="25"/>
  <c r="AC510" i="25"/>
  <c r="Y723" i="25"/>
  <c r="Y726" i="25"/>
  <c r="AA571" i="25"/>
  <c r="AA570" i="25"/>
  <c r="AA565" i="25"/>
  <c r="U155" i="25"/>
  <c r="T155" i="25" s="1"/>
  <c r="AA685" i="25"/>
  <c r="U415" i="25"/>
  <c r="AC227" i="25"/>
  <c r="Y631" i="25"/>
  <c r="AA684" i="25"/>
  <c r="AC219" i="25"/>
  <c r="AC262" i="25"/>
  <c r="Y717" i="25"/>
  <c r="Y719" i="25" s="1"/>
  <c r="Y623" i="25"/>
  <c r="AC223" i="25"/>
  <c r="AC224" i="25"/>
  <c r="AC257" i="25"/>
  <c r="AC218" i="25"/>
  <c r="AC256" i="25"/>
  <c r="AA574" i="25"/>
  <c r="U757" i="25"/>
  <c r="Q461" i="25"/>
  <c r="Q466" i="25" s="1"/>
  <c r="Q462" i="25"/>
  <c r="AA204" i="25"/>
  <c r="AA206" i="25"/>
  <c r="AB349" i="25"/>
  <c r="AC350" i="25" s="1"/>
  <c r="AC358" i="25" s="1"/>
  <c r="AA358" i="25"/>
  <c r="AA71" i="25"/>
  <c r="Z696" i="25"/>
  <c r="AA697" i="25" s="1"/>
  <c r="AA705" i="25" s="1"/>
  <c r="Y705" i="25"/>
  <c r="W414" i="25"/>
  <c r="W420" i="25"/>
  <c r="AA75" i="25"/>
  <c r="Z411" i="25"/>
  <c r="AA412" i="25" s="1"/>
  <c r="AA420" i="25" s="1"/>
  <c r="Y420" i="25"/>
  <c r="AB178" i="25"/>
  <c r="AC179" i="25" s="1"/>
  <c r="AC187" i="25" s="1"/>
  <c r="AA187" i="25"/>
  <c r="AA66" i="25"/>
  <c r="AC338" i="25"/>
  <c r="AC339" i="25"/>
  <c r="AD519" i="25" s="1"/>
  <c r="Z620" i="25"/>
  <c r="AA621" i="25" s="1"/>
  <c r="Y629" i="25"/>
  <c r="AA67" i="25"/>
  <c r="AA72" i="25"/>
  <c r="Z544" i="25"/>
  <c r="AA545" i="25" s="1"/>
  <c r="AA553" i="25" s="1"/>
  <c r="Y553" i="25"/>
  <c r="Y394" i="25"/>
  <c r="Y401" i="25"/>
  <c r="U491" i="25"/>
  <c r="Z715" i="25"/>
  <c r="AA716" i="25" s="1"/>
  <c r="Y724" i="25"/>
  <c r="S493" i="25"/>
  <c r="S492" i="25"/>
  <c r="O328" i="25"/>
  <c r="N37" i="2" s="1"/>
  <c r="M504" i="25"/>
  <c r="L58" i="2" s="1"/>
  <c r="O19" i="25"/>
  <c r="O24" i="25" s="1"/>
  <c r="N21" i="2" s="1"/>
  <c r="H81" i="5" s="1"/>
  <c r="K12" i="37" s="1"/>
  <c r="O520" i="25"/>
  <c r="Q328" i="25"/>
  <c r="P37" i="2" s="1"/>
  <c r="S473" i="25"/>
  <c r="Q523" i="25"/>
  <c r="P59" i="2" s="1"/>
  <c r="W184" i="25"/>
  <c r="W193" i="25" s="1"/>
  <c r="V193" i="25" s="1"/>
  <c r="O195" i="25"/>
  <c r="N30" i="2" s="1"/>
  <c r="Q307" i="25"/>
  <c r="P307" i="25" s="1"/>
  <c r="Q407" i="25"/>
  <c r="P407" i="25" s="1"/>
  <c r="Y155" i="25"/>
  <c r="X155" i="25" s="1"/>
  <c r="S231" i="25"/>
  <c r="R231" i="25" s="1"/>
  <c r="Q768" i="25"/>
  <c r="P768" i="25" s="1"/>
  <c r="Q79" i="25"/>
  <c r="P79" i="25" s="1"/>
  <c r="W117" i="25"/>
  <c r="V117" i="25" s="1"/>
  <c r="U41" i="25"/>
  <c r="T41" i="25" s="1"/>
  <c r="Y98" i="25"/>
  <c r="X98" i="25" s="1"/>
  <c r="W654" i="25"/>
  <c r="V654" i="25" s="1"/>
  <c r="U578" i="25"/>
  <c r="T578" i="25" s="1"/>
  <c r="AA673" i="25"/>
  <c r="Z673" i="25" s="1"/>
  <c r="Y616" i="25"/>
  <c r="X616" i="25" s="1"/>
  <c r="U670" i="25"/>
  <c r="U671" i="25"/>
  <c r="Q426" i="25"/>
  <c r="P426" i="25" s="1"/>
  <c r="Q633" i="25"/>
  <c r="Q632" i="25"/>
  <c r="S587" i="25"/>
  <c r="W136" i="25"/>
  <c r="V136" i="25" s="1"/>
  <c r="W445" i="25"/>
  <c r="V445" i="25" s="1"/>
  <c r="Q597" i="25"/>
  <c r="P597" i="25" s="1"/>
  <c r="W749" i="25"/>
  <c r="V749" i="25" s="1"/>
  <c r="W60" i="25"/>
  <c r="V60" i="25" s="1"/>
  <c r="S730" i="25"/>
  <c r="R730" i="25" s="1"/>
  <c r="U345" i="25"/>
  <c r="T345" i="25" s="1"/>
  <c r="Q746" i="25"/>
  <c r="Q747" i="25"/>
  <c r="O751" i="25"/>
  <c r="N71" i="2" s="1"/>
  <c r="O748" i="25"/>
  <c r="W540" i="25"/>
  <c r="V540" i="25" s="1"/>
  <c r="U364" i="25"/>
  <c r="T364" i="25" s="1"/>
  <c r="S210" i="25"/>
  <c r="S211" i="25" s="1"/>
  <c r="AA334" i="25"/>
  <c r="W521" i="25"/>
  <c r="V521" i="25" s="1"/>
  <c r="Q134" i="25"/>
  <c r="Q133" i="25"/>
  <c r="AA174" i="25"/>
  <c r="Z174" i="25" s="1"/>
  <c r="U250" i="25"/>
  <c r="T250" i="25" s="1"/>
  <c r="W502" i="25"/>
  <c r="V502" i="25" s="1"/>
  <c r="O499" i="25"/>
  <c r="O504" i="25" s="1"/>
  <c r="N58" i="2" s="1"/>
  <c r="Q191" i="25"/>
  <c r="Q190" i="25"/>
  <c r="W464" i="25"/>
  <c r="V464" i="25" s="1"/>
  <c r="Q483" i="25"/>
  <c r="P483" i="25" s="1"/>
  <c r="W326" i="25"/>
  <c r="V326" i="25" s="1"/>
  <c r="Q248" i="25"/>
  <c r="Q249" i="25" s="1"/>
  <c r="Q268" i="25"/>
  <c r="O77" i="25"/>
  <c r="O78" i="25" s="1"/>
  <c r="O557" i="25"/>
  <c r="O558" i="25" s="1"/>
  <c r="O689" i="25"/>
  <c r="O694" i="25" s="1"/>
  <c r="N68" i="2" s="1"/>
  <c r="W413" i="25"/>
  <c r="Y493" i="25"/>
  <c r="S416" i="25"/>
  <c r="S518" i="25"/>
  <c r="S520" i="25" s="1"/>
  <c r="Q500" i="25"/>
  <c r="Q501" i="25" s="1"/>
  <c r="U324" i="25"/>
  <c r="U325" i="25" s="1"/>
  <c r="AA181" i="25"/>
  <c r="W172" i="25"/>
  <c r="W173" i="25" s="1"/>
  <c r="Y279" i="25"/>
  <c r="W202" i="25"/>
  <c r="U58" i="25"/>
  <c r="U57" i="25"/>
  <c r="AB411" i="25"/>
  <c r="AC412" i="25" s="1"/>
  <c r="AC420" i="25" s="1"/>
  <c r="AB544" i="25"/>
  <c r="AC545" i="25" s="1"/>
  <c r="AC553" i="25" s="1"/>
  <c r="AC707" i="25"/>
  <c r="AC703" i="25"/>
  <c r="AC704" i="25"/>
  <c r="AC698" i="25"/>
  <c r="AC699" i="25"/>
  <c r="AA757" i="25"/>
  <c r="O304" i="25"/>
  <c r="O306" i="25" s="1"/>
  <c r="W152" i="25"/>
  <c r="W154" i="25" s="1"/>
  <c r="AA186" i="25"/>
  <c r="W418" i="25"/>
  <c r="Z392" i="25"/>
  <c r="AA393" i="25" s="1"/>
  <c r="AA401" i="25" s="1"/>
  <c r="AC755" i="25"/>
  <c r="AC756" i="25"/>
  <c r="AC760" i="25"/>
  <c r="AC764" i="25"/>
  <c r="AC761" i="25"/>
  <c r="AC574" i="25"/>
  <c r="AC565" i="25"/>
  <c r="AC566" i="25"/>
  <c r="AC570" i="25"/>
  <c r="AC571" i="25"/>
  <c r="W419" i="25"/>
  <c r="Y403" i="25"/>
  <c r="AC684" i="25"/>
  <c r="AC680" i="25"/>
  <c r="AC685" i="25"/>
  <c r="AC688" i="25"/>
  <c r="AC679" i="25"/>
  <c r="AC607" i="25"/>
  <c r="AC606" i="25"/>
  <c r="S343" i="25"/>
  <c r="S344" i="25" s="1"/>
  <c r="Q727" i="25"/>
  <c r="Q729" i="25" s="1"/>
  <c r="Y399" i="25"/>
  <c r="AA645" i="25"/>
  <c r="AA644" i="25"/>
  <c r="AC493" i="25"/>
  <c r="AC492" i="25"/>
  <c r="W422" i="25"/>
  <c r="Y400" i="25"/>
  <c r="AC623" i="25"/>
  <c r="AC631" i="25"/>
  <c r="AC627" i="25"/>
  <c r="AC622" i="25"/>
  <c r="AC628" i="25"/>
  <c r="M729" i="25"/>
  <c r="AC719" i="25"/>
  <c r="AC643" i="25"/>
  <c r="AA492" i="25"/>
  <c r="AA493" i="25"/>
  <c r="AA512" i="25"/>
  <c r="AA511" i="25"/>
  <c r="Y395" i="25"/>
  <c r="AA436" i="25"/>
  <c r="AA435" i="25"/>
  <c r="AA531" i="25"/>
  <c r="AA530" i="25"/>
  <c r="AC453" i="25"/>
  <c r="U461" i="25"/>
  <c r="U463" i="25" s="1"/>
  <c r="W396" i="25"/>
  <c r="O466" i="25"/>
  <c r="N56" i="2" s="1"/>
  <c r="O463" i="25"/>
  <c r="O447" i="25"/>
  <c r="O444" i="25"/>
  <c r="U614" i="25"/>
  <c r="U615" i="25" s="1"/>
  <c r="Q444" i="25"/>
  <c r="Q447" i="25"/>
  <c r="P55" i="2" s="1"/>
  <c r="W624" i="25"/>
  <c r="U626" i="25"/>
  <c r="U625" i="25"/>
  <c r="W670" i="25"/>
  <c r="W675" i="25" s="1"/>
  <c r="W671" i="25"/>
  <c r="Q504" i="25"/>
  <c r="Y699" i="25"/>
  <c r="Y707" i="25"/>
  <c r="Y704" i="25"/>
  <c r="Y703" i="25"/>
  <c r="Y698" i="25"/>
  <c r="Y455" i="25"/>
  <c r="Y454" i="25"/>
  <c r="W719" i="25"/>
  <c r="Y567" i="25"/>
  <c r="M558" i="25"/>
  <c r="M561" i="25"/>
  <c r="L61" i="2" s="1"/>
  <c r="W476" i="25"/>
  <c r="W475" i="25"/>
  <c r="W471" i="25"/>
  <c r="W470" i="25"/>
  <c r="W479" i="25"/>
  <c r="X468" i="25"/>
  <c r="Y469" i="25" s="1"/>
  <c r="U472" i="25"/>
  <c r="O561" i="25"/>
  <c r="N61" i="2" s="1"/>
  <c r="U397" i="25"/>
  <c r="U398" i="25"/>
  <c r="W548" i="25"/>
  <c r="U720" i="25"/>
  <c r="U721" i="25"/>
  <c r="U586" i="25"/>
  <c r="W568" i="25"/>
  <c r="W569" i="25"/>
  <c r="U682" i="25"/>
  <c r="U683" i="25"/>
  <c r="Y418" i="25"/>
  <c r="Y413" i="25"/>
  <c r="Y414" i="25"/>
  <c r="Y422" i="25"/>
  <c r="Y419" i="25"/>
  <c r="W593" i="25"/>
  <c r="W589" i="25"/>
  <c r="W590" i="25"/>
  <c r="W585" i="25"/>
  <c r="W584" i="25"/>
  <c r="X582" i="25"/>
  <c r="Y583" i="25" s="1"/>
  <c r="Y681" i="25"/>
  <c r="Y551" i="25"/>
  <c r="Y547" i="25"/>
  <c r="Y546" i="25"/>
  <c r="Y552" i="25"/>
  <c r="Y555" i="25"/>
  <c r="U537" i="25"/>
  <c r="U538" i="25"/>
  <c r="U549" i="25"/>
  <c r="U550" i="25"/>
  <c r="W759" i="25"/>
  <c r="W758" i="25"/>
  <c r="W700" i="25"/>
  <c r="U702" i="25"/>
  <c r="U701" i="25"/>
  <c r="Q209" i="25"/>
  <c r="Q210" i="25"/>
  <c r="Y182" i="25"/>
  <c r="Y183" i="25" s="1"/>
  <c r="AC125" i="25"/>
  <c r="AC127" i="25" s="1"/>
  <c r="AA185" i="25"/>
  <c r="AA189" i="25"/>
  <c r="S157" i="25"/>
  <c r="R28" i="2" s="1"/>
  <c r="AA180" i="25"/>
  <c r="U267" i="25"/>
  <c r="U268" i="25" s="1"/>
  <c r="AA205" i="25"/>
  <c r="AC332" i="25"/>
  <c r="AA208" i="25"/>
  <c r="AB197" i="25"/>
  <c r="AC198" i="25" s="1"/>
  <c r="AC206" i="25" s="1"/>
  <c r="AA199" i="25"/>
  <c r="AA200" i="25"/>
  <c r="AC49" i="25"/>
  <c r="Y201" i="25"/>
  <c r="AC333" i="25"/>
  <c r="U97" i="25"/>
  <c r="Y51" i="25"/>
  <c r="Y50" i="25"/>
  <c r="AA277" i="25"/>
  <c r="Y374" i="25"/>
  <c r="Y373" i="25"/>
  <c r="AC341" i="25"/>
  <c r="AC337" i="25"/>
  <c r="AC379" i="25"/>
  <c r="AC375" i="25"/>
  <c r="AC370" i="25"/>
  <c r="AC371" i="25"/>
  <c r="AC376" i="25"/>
  <c r="AC315" i="25"/>
  <c r="AA372" i="25"/>
  <c r="W336" i="25"/>
  <c r="W335" i="25"/>
  <c r="AA317" i="25"/>
  <c r="AA316" i="25"/>
  <c r="Q252" i="25"/>
  <c r="P33" i="2" s="1"/>
  <c r="Q287" i="25"/>
  <c r="Q290" i="25"/>
  <c r="P35" i="2" s="1"/>
  <c r="AC280" i="25"/>
  <c r="AC281" i="25"/>
  <c r="AC276" i="25"/>
  <c r="AC284" i="25"/>
  <c r="AC275" i="25"/>
  <c r="S286" i="25"/>
  <c r="S285" i="25"/>
  <c r="Q344" i="25"/>
  <c r="Q347" i="25"/>
  <c r="P38" i="2" s="1"/>
  <c r="S347" i="25"/>
  <c r="U271" i="25"/>
  <c r="T34" i="2" s="1"/>
  <c r="W299" i="25"/>
  <c r="W303" i="25"/>
  <c r="W300" i="25"/>
  <c r="W295" i="25"/>
  <c r="W294" i="25"/>
  <c r="U296" i="25"/>
  <c r="S298" i="25"/>
  <c r="S297" i="25"/>
  <c r="X292" i="25"/>
  <c r="Y293" i="25" s="1"/>
  <c r="Y301" i="25" s="1"/>
  <c r="Y260" i="25"/>
  <c r="Y259" i="25"/>
  <c r="AC246" i="25"/>
  <c r="AC242" i="25"/>
  <c r="AC237" i="25"/>
  <c r="AC238" i="25"/>
  <c r="AC243" i="25"/>
  <c r="AA258" i="25"/>
  <c r="U328" i="25"/>
  <c r="Y240" i="25"/>
  <c r="Y241" i="25"/>
  <c r="AA239" i="25"/>
  <c r="Q228" i="25"/>
  <c r="Q229" i="25"/>
  <c r="AA220" i="25"/>
  <c r="AC28" i="25"/>
  <c r="AC33" i="25"/>
  <c r="AC34" i="25"/>
  <c r="AC37" i="25"/>
  <c r="AC29" i="25"/>
  <c r="AC67" i="25"/>
  <c r="AC66" i="25"/>
  <c r="AC71" i="25"/>
  <c r="AC72" i="25"/>
  <c r="AC75" i="25"/>
  <c r="S173" i="25"/>
  <c r="S176" i="25"/>
  <c r="R29" i="2" s="1"/>
  <c r="U70" i="25"/>
  <c r="U69" i="25"/>
  <c r="W95" i="25"/>
  <c r="W100" i="25" s="1"/>
  <c r="V25" i="2" s="1"/>
  <c r="W96" i="25"/>
  <c r="AC144" i="25"/>
  <c r="Y68" i="25"/>
  <c r="W221" i="25"/>
  <c r="W222" i="25"/>
  <c r="AA145" i="25"/>
  <c r="AA146" i="25"/>
  <c r="AA30" i="25"/>
  <c r="AC89" i="25"/>
  <c r="AC88" i="25"/>
  <c r="W176" i="25"/>
  <c r="W32" i="25"/>
  <c r="W31" i="25"/>
  <c r="AA108" i="25"/>
  <c r="AA107" i="25"/>
  <c r="U11" i="25"/>
  <c r="W16" i="25"/>
  <c r="X7" i="25"/>
  <c r="Y8" i="25" s="1"/>
  <c r="S115" i="25"/>
  <c r="S116" i="25" s="1"/>
  <c r="S119" i="25"/>
  <c r="R26" i="2" s="1"/>
  <c r="Q116" i="25"/>
  <c r="Q119" i="25"/>
  <c r="P26" i="2" s="1"/>
  <c r="O423" i="25"/>
  <c r="O425" i="25" s="1"/>
  <c r="O766" i="25"/>
  <c r="O767" i="25" s="1"/>
  <c r="M691" i="25"/>
  <c r="M694" i="25"/>
  <c r="L68" i="2" s="1"/>
  <c r="O595" i="25"/>
  <c r="O596" i="25" s="1"/>
  <c r="M596" i="25"/>
  <c r="M599" i="25"/>
  <c r="L63" i="2" s="1"/>
  <c r="M713" i="25"/>
  <c r="L69" i="2" s="1"/>
  <c r="M710" i="25"/>
  <c r="O480" i="25"/>
  <c r="O481" i="25"/>
  <c r="M485" i="25"/>
  <c r="L57" i="2" s="1"/>
  <c r="M482" i="25"/>
  <c r="Y740" i="25"/>
  <c r="Y739" i="25"/>
  <c r="O713" i="25"/>
  <c r="N69" i="2" s="1"/>
  <c r="M767" i="25"/>
  <c r="M770" i="25"/>
  <c r="L72" i="2" s="1"/>
  <c r="O599" i="25"/>
  <c r="N63" i="2" s="1"/>
  <c r="O770" i="25"/>
  <c r="AA738" i="25"/>
  <c r="M425" i="25"/>
  <c r="M428" i="25"/>
  <c r="L54" i="2" s="1"/>
  <c r="AC745" i="25"/>
  <c r="AC741" i="25"/>
  <c r="AC737" i="25"/>
  <c r="AC736" i="25"/>
  <c r="AC742" i="25"/>
  <c r="S361" i="25"/>
  <c r="S362" i="25"/>
  <c r="Q97" i="25"/>
  <c r="Q100" i="25"/>
  <c r="P25" i="2" s="1"/>
  <c r="Q366" i="25"/>
  <c r="Q363" i="25"/>
  <c r="Q382" i="25"/>
  <c r="Q385" i="25"/>
  <c r="P40" i="2" s="1"/>
  <c r="AA357" i="25"/>
  <c r="AA351" i="25"/>
  <c r="AA352" i="25"/>
  <c r="AA356" i="25"/>
  <c r="AA360" i="25"/>
  <c r="W354" i="25"/>
  <c r="W355" i="25"/>
  <c r="Y353" i="25"/>
  <c r="N29" i="2"/>
  <c r="N26" i="2"/>
  <c r="N25" i="2"/>
  <c r="R25" i="2"/>
  <c r="W18" i="25"/>
  <c r="S12" i="25"/>
  <c r="W15" i="25"/>
  <c r="W9" i="25"/>
  <c r="W14" i="25"/>
  <c r="W10" i="25"/>
  <c r="T64" i="2"/>
  <c r="R67" i="2"/>
  <c r="J39" i="2"/>
  <c r="F183" i="30"/>
  <c r="G83" i="5"/>
  <c r="J14" i="37" s="1"/>
  <c r="G81" i="5"/>
  <c r="J12" i="37" s="1"/>
  <c r="F85" i="5"/>
  <c r="F84" i="5"/>
  <c r="I15" i="37" s="1"/>
  <c r="G85" i="5"/>
  <c r="J16" i="37" s="1"/>
  <c r="F81" i="5"/>
  <c r="I12" i="37" s="1"/>
  <c r="I10" i="37" l="1"/>
  <c r="I16" i="37"/>
  <c r="G179" i="30"/>
  <c r="J40" i="37"/>
  <c r="H179" i="30"/>
  <c r="K40" i="37"/>
  <c r="S442" i="25"/>
  <c r="S447" i="25" s="1"/>
  <c r="I6" i="37"/>
  <c r="K6" i="37"/>
  <c r="J10" i="37"/>
  <c r="I9" i="37"/>
  <c r="J6" i="37"/>
  <c r="J7" i="37"/>
  <c r="J8" i="37"/>
  <c r="S554" i="25"/>
  <c r="S557" i="25" s="1"/>
  <c r="H84" i="5"/>
  <c r="K15" i="37" s="1"/>
  <c r="H53" i="30"/>
  <c r="G54" i="30"/>
  <c r="G53" i="30"/>
  <c r="G55" i="30"/>
  <c r="F53" i="30"/>
  <c r="F57" i="30"/>
  <c r="O729" i="25"/>
  <c r="AC108" i="25"/>
  <c r="AC117" i="25" s="1"/>
  <c r="AB117" i="25" s="1"/>
  <c r="Y32" i="25"/>
  <c r="Y41" i="25" s="1"/>
  <c r="X41" i="25" s="1"/>
  <c r="U442" i="25"/>
  <c r="U447" i="25" s="1"/>
  <c r="W462" i="25"/>
  <c r="W463" i="25" s="1"/>
  <c r="S462" i="25"/>
  <c r="S463" i="25" s="1"/>
  <c r="S614" i="25"/>
  <c r="S613" i="25"/>
  <c r="S271" i="25"/>
  <c r="R34" i="2" s="1"/>
  <c r="U286" i="25"/>
  <c r="U287" i="25" s="1"/>
  <c r="W207" i="25"/>
  <c r="W209" i="25" s="1"/>
  <c r="W214" i="25" s="1"/>
  <c r="U115" i="25"/>
  <c r="U116" i="25" s="1"/>
  <c r="Y136" i="25"/>
  <c r="X136" i="25" s="1"/>
  <c r="Y759" i="25"/>
  <c r="Y763" i="25" s="1"/>
  <c r="Y766" i="25" s="1"/>
  <c r="Q305" i="25"/>
  <c r="Q306" i="25" s="1"/>
  <c r="S382" i="25"/>
  <c r="Y171" i="25"/>
  <c r="Y176" i="25" s="1"/>
  <c r="AA136" i="25"/>
  <c r="Z136" i="25" s="1"/>
  <c r="S134" i="25"/>
  <c r="S135" i="25" s="1"/>
  <c r="Y440" i="25"/>
  <c r="Y443" i="25" s="1"/>
  <c r="AA516" i="25"/>
  <c r="AA649" i="25"/>
  <c r="AC174" i="25"/>
  <c r="AB174" i="25" s="1"/>
  <c r="W383" i="25"/>
  <c r="V383" i="25" s="1"/>
  <c r="AA98" i="25"/>
  <c r="Z98" i="25" s="1"/>
  <c r="S483" i="25"/>
  <c r="R483" i="25" s="1"/>
  <c r="S706" i="25"/>
  <c r="S708" i="25" s="1"/>
  <c r="S713" i="25" s="1"/>
  <c r="R69" i="2" s="1"/>
  <c r="S57" i="25"/>
  <c r="S62" i="25" s="1"/>
  <c r="R23" i="2" s="1"/>
  <c r="S22" i="25"/>
  <c r="R22" i="25" s="1"/>
  <c r="Y502" i="25"/>
  <c r="X502" i="25" s="1"/>
  <c r="U554" i="25"/>
  <c r="U556" i="25" s="1"/>
  <c r="U561" i="25" s="1"/>
  <c r="AA497" i="25"/>
  <c r="AA500" i="25" s="1"/>
  <c r="Y326" i="25"/>
  <c r="X326" i="25" s="1"/>
  <c r="U519" i="25"/>
  <c r="U520" i="25" s="1"/>
  <c r="W36" i="25"/>
  <c r="W39" i="25" s="1"/>
  <c r="U74" i="25"/>
  <c r="U76" i="25" s="1"/>
  <c r="S302" i="25"/>
  <c r="S304" i="25" s="1"/>
  <c r="S309" i="25" s="1"/>
  <c r="R36" i="2" s="1"/>
  <c r="AC93" i="25"/>
  <c r="Y245" i="25"/>
  <c r="Y744" i="25"/>
  <c r="Y746" i="25" s="1"/>
  <c r="AA112" i="25"/>
  <c r="W763" i="25"/>
  <c r="W245" i="25"/>
  <c r="W248" i="25" s="1"/>
  <c r="AA321" i="25"/>
  <c r="Y55" i="25"/>
  <c r="U687" i="25"/>
  <c r="AA440" i="25"/>
  <c r="AA443" i="25" s="1"/>
  <c r="U706" i="25"/>
  <c r="U708" i="25" s="1"/>
  <c r="Y459" i="25"/>
  <c r="Y461" i="25" s="1"/>
  <c r="AA93" i="25"/>
  <c r="U188" i="25"/>
  <c r="U191" i="25" s="1"/>
  <c r="Y516" i="25"/>
  <c r="Y518" i="25" s="1"/>
  <c r="Y523" i="25" s="1"/>
  <c r="X59" i="2" s="1"/>
  <c r="AA611" i="25"/>
  <c r="AA613" i="25" s="1"/>
  <c r="Y131" i="25"/>
  <c r="Y133" i="25" s="1"/>
  <c r="Y138" i="25" s="1"/>
  <c r="X27" i="2" s="1"/>
  <c r="S597" i="25"/>
  <c r="R597" i="25" s="1"/>
  <c r="AA616" i="25"/>
  <c r="Z616" i="25" s="1"/>
  <c r="Y112" i="25"/>
  <c r="Y115" i="25" s="1"/>
  <c r="AA150" i="25"/>
  <c r="AA153" i="25" s="1"/>
  <c r="W226" i="25"/>
  <c r="W229" i="25" s="1"/>
  <c r="Y264" i="25"/>
  <c r="Y378" i="25"/>
  <c r="Y380" i="25" s="1"/>
  <c r="Y385" i="25" s="1"/>
  <c r="AC497" i="25"/>
  <c r="W340" i="25"/>
  <c r="W69" i="25"/>
  <c r="AA51" i="25"/>
  <c r="W573" i="25"/>
  <c r="W575" i="25" s="1"/>
  <c r="U402" i="25"/>
  <c r="U404" i="25" s="1"/>
  <c r="AC611" i="25"/>
  <c r="AC613" i="25" s="1"/>
  <c r="S497" i="25"/>
  <c r="AC668" i="25"/>
  <c r="AD668" i="25" s="1"/>
  <c r="U630" i="25"/>
  <c r="S402" i="25"/>
  <c r="S404" i="25" s="1"/>
  <c r="S409" i="25" s="1"/>
  <c r="R53" i="2" s="1"/>
  <c r="J155" i="5" s="1"/>
  <c r="U226" i="25"/>
  <c r="U229" i="25" s="1"/>
  <c r="W188" i="25"/>
  <c r="W191" i="25" s="1"/>
  <c r="Y283" i="25"/>
  <c r="Y286" i="25" s="1"/>
  <c r="Y117" i="25"/>
  <c r="X117" i="25" s="1"/>
  <c r="W359" i="25"/>
  <c r="W361" i="25" s="1"/>
  <c r="U725" i="25"/>
  <c r="U728" i="25" s="1"/>
  <c r="AA535" i="25"/>
  <c r="AA537" i="25" s="1"/>
  <c r="S421" i="25"/>
  <c r="S423" i="25" s="1"/>
  <c r="S428" i="25" s="1"/>
  <c r="S74" i="25"/>
  <c r="S77" i="25" s="1"/>
  <c r="U12" i="25"/>
  <c r="S17" i="25"/>
  <c r="S19" i="25" s="1"/>
  <c r="S24" i="25" s="1"/>
  <c r="AA335" i="25"/>
  <c r="Y202" i="25"/>
  <c r="Y336" i="25"/>
  <c r="Y321" i="25"/>
  <c r="Y323" i="25" s="1"/>
  <c r="Y328" i="25" s="1"/>
  <c r="W378" i="25"/>
  <c r="W381" i="25" s="1"/>
  <c r="Y221" i="25"/>
  <c r="AA279" i="25"/>
  <c r="W212" i="25"/>
  <c r="V212" i="25" s="1"/>
  <c r="W682" i="25"/>
  <c r="S478" i="25"/>
  <c r="S480" i="25" s="1"/>
  <c r="S485" i="25" s="1"/>
  <c r="R57" i="2" s="1"/>
  <c r="S592" i="25"/>
  <c r="S594" i="25" s="1"/>
  <c r="S599" i="25" s="1"/>
  <c r="R63" i="2" s="1"/>
  <c r="AC530" i="25"/>
  <c r="AC436" i="25"/>
  <c r="Y535" i="25"/>
  <c r="Y537" i="25" s="1"/>
  <c r="Y542" i="25" s="1"/>
  <c r="AD491" i="25"/>
  <c r="U744" i="25"/>
  <c r="U747" i="25" s="1"/>
  <c r="Y497" i="25"/>
  <c r="Y500" i="25" s="1"/>
  <c r="AA455" i="25"/>
  <c r="Y649" i="25"/>
  <c r="Y652" i="25" s="1"/>
  <c r="W397" i="25"/>
  <c r="U417" i="25"/>
  <c r="S692" i="25"/>
  <c r="R692" i="25" s="1"/>
  <c r="AC512" i="25"/>
  <c r="S711" i="25"/>
  <c r="R711" i="25" s="1"/>
  <c r="S687" i="25"/>
  <c r="S689" i="25" s="1"/>
  <c r="S694" i="25" s="1"/>
  <c r="R68" i="2" s="1"/>
  <c r="W613" i="25"/>
  <c r="W618" i="25" s="1"/>
  <c r="V64" i="2" s="1"/>
  <c r="Y624" i="25"/>
  <c r="Y625" i="25" s="1"/>
  <c r="S575" i="25"/>
  <c r="S580" i="25" s="1"/>
  <c r="R62" i="2" s="1"/>
  <c r="Y521" i="25"/>
  <c r="X521" i="25" s="1"/>
  <c r="U231" i="25"/>
  <c r="T231" i="25" s="1"/>
  <c r="W250" i="25"/>
  <c r="V250" i="25" s="1"/>
  <c r="Y671" i="25"/>
  <c r="Y672" i="25" s="1"/>
  <c r="S248" i="25"/>
  <c r="S249" i="25" s="1"/>
  <c r="Y540" i="25"/>
  <c r="X540" i="25" s="1"/>
  <c r="U749" i="25"/>
  <c r="T749" i="25" s="1"/>
  <c r="AA681" i="25"/>
  <c r="AA682" i="25" s="1"/>
  <c r="AA703" i="25"/>
  <c r="AA707" i="25"/>
  <c r="F80" i="5"/>
  <c r="I11" i="37" s="1"/>
  <c r="F82" i="5"/>
  <c r="S79" i="25"/>
  <c r="R79" i="25" s="1"/>
  <c r="W70" i="25"/>
  <c r="S651" i="25"/>
  <c r="S656" i="25" s="1"/>
  <c r="R66" i="2" s="1"/>
  <c r="AC435" i="25"/>
  <c r="AA413" i="25"/>
  <c r="AC531" i="25"/>
  <c r="AA567" i="25"/>
  <c r="Y335" i="25"/>
  <c r="Q557" i="25"/>
  <c r="Q558" i="25" s="1"/>
  <c r="AC673" i="25"/>
  <c r="AB673" i="25" s="1"/>
  <c r="U134" i="25"/>
  <c r="U135" i="25" s="1"/>
  <c r="S325" i="25"/>
  <c r="Y445" i="25"/>
  <c r="X445" i="25" s="1"/>
  <c r="AC511" i="25"/>
  <c r="S407" i="25"/>
  <c r="R407" i="25" s="1"/>
  <c r="Y654" i="25"/>
  <c r="X654" i="25" s="1"/>
  <c r="U652" i="25"/>
  <c r="U653" i="25" s="1"/>
  <c r="W683" i="25"/>
  <c r="AA50" i="25"/>
  <c r="U193" i="25"/>
  <c r="T193" i="25" s="1"/>
  <c r="AA454" i="25"/>
  <c r="Y396" i="25"/>
  <c r="Y222" i="25"/>
  <c r="U416" i="25"/>
  <c r="AC220" i="25"/>
  <c r="AA552" i="25"/>
  <c r="AA546" i="25"/>
  <c r="AC258" i="25"/>
  <c r="AA419" i="25"/>
  <c r="AA422" i="25"/>
  <c r="AA555" i="25"/>
  <c r="Q463" i="25"/>
  <c r="AA547" i="25"/>
  <c r="AA698" i="25"/>
  <c r="AA68" i="25"/>
  <c r="AC185" i="25"/>
  <c r="AA418" i="25"/>
  <c r="AA414" i="25"/>
  <c r="U758" i="25"/>
  <c r="U759" i="25"/>
  <c r="U152" i="25"/>
  <c r="U157" i="25" s="1"/>
  <c r="T28" i="2" s="1"/>
  <c r="U153" i="25"/>
  <c r="Z582" i="25"/>
  <c r="AA583" i="25" s="1"/>
  <c r="AA591" i="25" s="1"/>
  <c r="Y591" i="25"/>
  <c r="AA704" i="25"/>
  <c r="AA551" i="25"/>
  <c r="AC189" i="25"/>
  <c r="AA724" i="25"/>
  <c r="AA722" i="25"/>
  <c r="AA723" i="25"/>
  <c r="AA718" i="25"/>
  <c r="AA726" i="25"/>
  <c r="AA717" i="25"/>
  <c r="AC181" i="25"/>
  <c r="AA699" i="25"/>
  <c r="U492" i="25"/>
  <c r="U493" i="25"/>
  <c r="AA629" i="25"/>
  <c r="AA627" i="25"/>
  <c r="AA631" i="25"/>
  <c r="AA622" i="25"/>
  <c r="AA628" i="25"/>
  <c r="AA623" i="25"/>
  <c r="AC186" i="25"/>
  <c r="AC180" i="25"/>
  <c r="Z468" i="25"/>
  <c r="AA469" i="25" s="1"/>
  <c r="AA477" i="25" s="1"/>
  <c r="Y477" i="25"/>
  <c r="S502" i="25"/>
  <c r="R502" i="25" s="1"/>
  <c r="Q19" i="25"/>
  <c r="Q24" i="25" s="1"/>
  <c r="P21" i="2" s="1"/>
  <c r="S39" i="25"/>
  <c r="S40" i="25" s="1"/>
  <c r="U209" i="25"/>
  <c r="U211" i="25" s="1"/>
  <c r="Q708" i="25"/>
  <c r="Q713" i="25" s="1"/>
  <c r="P69" i="2" s="1"/>
  <c r="H82" i="5"/>
  <c r="K13" i="37" s="1"/>
  <c r="U523" i="25"/>
  <c r="T59" i="2" s="1"/>
  <c r="O21" i="25"/>
  <c r="AA336" i="25"/>
  <c r="W285" i="25"/>
  <c r="W287" i="25" s="1"/>
  <c r="S190" i="25"/>
  <c r="S192" i="25" s="1"/>
  <c r="W364" i="25"/>
  <c r="V364" i="25" s="1"/>
  <c r="W41" i="25"/>
  <c r="V41" i="25" s="1"/>
  <c r="W443" i="25"/>
  <c r="W444" i="25" s="1"/>
  <c r="U342" i="25"/>
  <c r="U344" i="25" s="1"/>
  <c r="Y60" i="25"/>
  <c r="X60" i="25" s="1"/>
  <c r="AC98" i="25"/>
  <c r="AB98" i="25" s="1"/>
  <c r="Y749" i="25"/>
  <c r="X749" i="25" s="1"/>
  <c r="AA155" i="25"/>
  <c r="Z155" i="25" s="1"/>
  <c r="Y250" i="25"/>
  <c r="X250" i="25" s="1"/>
  <c r="AA670" i="25"/>
  <c r="AA672" i="25" s="1"/>
  <c r="Y269" i="25"/>
  <c r="X269" i="25" s="1"/>
  <c r="AC502" i="25"/>
  <c r="AB502" i="25" s="1"/>
  <c r="Q480" i="25"/>
  <c r="Q485" i="25" s="1"/>
  <c r="P57" i="2" s="1"/>
  <c r="AA445" i="25"/>
  <c r="Z445" i="25" s="1"/>
  <c r="U730" i="25"/>
  <c r="T730" i="25" s="1"/>
  <c r="U559" i="25"/>
  <c r="T559" i="25" s="1"/>
  <c r="U711" i="25"/>
  <c r="T711" i="25" s="1"/>
  <c r="U635" i="25"/>
  <c r="T635" i="25" s="1"/>
  <c r="AC616" i="25"/>
  <c r="AB616" i="25" s="1"/>
  <c r="O691" i="25"/>
  <c r="Y464" i="25"/>
  <c r="X464" i="25" s="1"/>
  <c r="AA654" i="25"/>
  <c r="Z654" i="25" s="1"/>
  <c r="U79" i="25"/>
  <c r="T79" i="25" s="1"/>
  <c r="U675" i="25"/>
  <c r="T67" i="2" s="1"/>
  <c r="U672" i="25"/>
  <c r="O501" i="25"/>
  <c r="W324" i="25"/>
  <c r="W325" i="25" s="1"/>
  <c r="Q634" i="25"/>
  <c r="Q637" i="25"/>
  <c r="P65" i="2" s="1"/>
  <c r="AA117" i="25"/>
  <c r="Z117" i="25" s="1"/>
  <c r="W578" i="25"/>
  <c r="V578" i="25" s="1"/>
  <c r="U407" i="25"/>
  <c r="T407" i="25" s="1"/>
  <c r="Y288" i="25"/>
  <c r="X288" i="25" s="1"/>
  <c r="Y383" i="25"/>
  <c r="X383" i="25" s="1"/>
  <c r="AA502" i="25"/>
  <c r="Z502" i="25" s="1"/>
  <c r="Q195" i="25"/>
  <c r="P30" i="2" s="1"/>
  <c r="Q192" i="25"/>
  <c r="Q751" i="25"/>
  <c r="P71" i="2" s="1"/>
  <c r="Q748" i="25"/>
  <c r="S426" i="25"/>
  <c r="R426" i="25" s="1"/>
  <c r="Q138" i="25"/>
  <c r="P27" i="2" s="1"/>
  <c r="Q135" i="25"/>
  <c r="AA326" i="25"/>
  <c r="Z326" i="25" s="1"/>
  <c r="W415" i="25"/>
  <c r="W231" i="25"/>
  <c r="V231" i="25" s="1"/>
  <c r="S307" i="25"/>
  <c r="R307" i="25" s="1"/>
  <c r="W345" i="25"/>
  <c r="V345" i="25" s="1"/>
  <c r="W768" i="25"/>
  <c r="V768" i="25" s="1"/>
  <c r="U692" i="25"/>
  <c r="T692" i="25" s="1"/>
  <c r="AA540" i="25"/>
  <c r="Z540" i="25" s="1"/>
  <c r="AA521" i="25"/>
  <c r="Z521" i="25" s="1"/>
  <c r="S746" i="25"/>
  <c r="S747" i="25"/>
  <c r="AA182" i="25"/>
  <c r="AA184" i="25" s="1"/>
  <c r="S228" i="25"/>
  <c r="S233" i="25" s="1"/>
  <c r="R32" i="2" s="1"/>
  <c r="S523" i="25"/>
  <c r="R59" i="2" s="1"/>
  <c r="U576" i="25"/>
  <c r="U577" i="25" s="1"/>
  <c r="U466" i="25"/>
  <c r="T56" i="2" s="1"/>
  <c r="W519" i="25"/>
  <c r="W520" i="25" s="1"/>
  <c r="Q732" i="25"/>
  <c r="P70" i="2" s="1"/>
  <c r="W157" i="25"/>
  <c r="V28" i="2" s="1"/>
  <c r="W115" i="25"/>
  <c r="W116" i="25" s="1"/>
  <c r="U380" i="25"/>
  <c r="U385" i="25" s="1"/>
  <c r="T40" i="2" s="1"/>
  <c r="AC171" i="25"/>
  <c r="AC176" i="25" s="1"/>
  <c r="AB29" i="2" s="1"/>
  <c r="U38" i="25"/>
  <c r="U40" i="25" s="1"/>
  <c r="O309" i="25"/>
  <c r="N36" i="2" s="1"/>
  <c r="N41" i="2" s="1"/>
  <c r="N42" i="2" s="1"/>
  <c r="Y184" i="25"/>
  <c r="Y193" i="25" s="1"/>
  <c r="X193" i="25" s="1"/>
  <c r="AC757" i="25"/>
  <c r="U59" i="25"/>
  <c r="U62" i="25"/>
  <c r="T23" i="2" s="1"/>
  <c r="AB582" i="25"/>
  <c r="AC583" i="25" s="1"/>
  <c r="AC591" i="25" s="1"/>
  <c r="AC681" i="25"/>
  <c r="AC419" i="25"/>
  <c r="AC414" i="25"/>
  <c r="AC418" i="25"/>
  <c r="AC413" i="25"/>
  <c r="AC422" i="25"/>
  <c r="AC455" i="25"/>
  <c r="AC454" i="25"/>
  <c r="AC624" i="25"/>
  <c r="AC546" i="25"/>
  <c r="AC547" i="25"/>
  <c r="AC551" i="25"/>
  <c r="AC552" i="25"/>
  <c r="AC555" i="25"/>
  <c r="U13" i="25"/>
  <c r="AC721" i="25"/>
  <c r="AC720" i="25"/>
  <c r="W398" i="25"/>
  <c r="AC567" i="25"/>
  <c r="AC700" i="25"/>
  <c r="AB468" i="25"/>
  <c r="AC469" i="25" s="1"/>
  <c r="AC477" i="25" s="1"/>
  <c r="AA394" i="25"/>
  <c r="AA399" i="25"/>
  <c r="AA400" i="25"/>
  <c r="AA395" i="25"/>
  <c r="AA403" i="25"/>
  <c r="AB392" i="25"/>
  <c r="AC393" i="25" s="1"/>
  <c r="AC401" i="25" s="1"/>
  <c r="AA758" i="25"/>
  <c r="AA759" i="25"/>
  <c r="AC644" i="25"/>
  <c r="AC645" i="25"/>
  <c r="AD643" i="25"/>
  <c r="W538" i="25"/>
  <c r="W539" i="25" s="1"/>
  <c r="W652" i="25"/>
  <c r="W653" i="25" s="1"/>
  <c r="Q694" i="25"/>
  <c r="P68" i="2" s="1"/>
  <c r="Q690" i="25"/>
  <c r="Q691" i="25" s="1"/>
  <c r="Y548" i="25"/>
  <c r="W672" i="25"/>
  <c r="S632" i="25"/>
  <c r="S637" i="25" s="1"/>
  <c r="R65" i="2" s="1"/>
  <c r="S633" i="25"/>
  <c r="S765" i="25"/>
  <c r="S767" i="25" s="1"/>
  <c r="W625" i="25"/>
  <c r="W626" i="25"/>
  <c r="W466" i="25"/>
  <c r="Y721" i="25"/>
  <c r="Y720" i="25"/>
  <c r="S728" i="25"/>
  <c r="S727" i="25"/>
  <c r="W500" i="25"/>
  <c r="W499" i="25"/>
  <c r="W549" i="25"/>
  <c r="W550" i="25"/>
  <c r="U474" i="25"/>
  <c r="U473" i="25"/>
  <c r="U580" i="25"/>
  <c r="T62" i="2" s="1"/>
  <c r="Y568" i="25"/>
  <c r="Y569" i="25"/>
  <c r="Y415" i="25"/>
  <c r="W472" i="25"/>
  <c r="Y613" i="25"/>
  <c r="Y618" i="25" s="1"/>
  <c r="Y614" i="25"/>
  <c r="Y593" i="25"/>
  <c r="Y584" i="25"/>
  <c r="Y589" i="25"/>
  <c r="Y585" i="25"/>
  <c r="Y590" i="25"/>
  <c r="W720" i="25"/>
  <c r="W721" i="25"/>
  <c r="Y700" i="25"/>
  <c r="Y476" i="25"/>
  <c r="Y470" i="25"/>
  <c r="Y479" i="25"/>
  <c r="Y471" i="25"/>
  <c r="Y475" i="25"/>
  <c r="W701" i="25"/>
  <c r="W702" i="25"/>
  <c r="U542" i="25"/>
  <c r="U539" i="25"/>
  <c r="W586" i="25"/>
  <c r="U588" i="25"/>
  <c r="U587" i="25"/>
  <c r="Y683" i="25"/>
  <c r="Y682" i="25"/>
  <c r="W133" i="25"/>
  <c r="W135" i="25" s="1"/>
  <c r="Q211" i="25"/>
  <c r="Q214" i="25"/>
  <c r="P31" i="2" s="1"/>
  <c r="AC126" i="25"/>
  <c r="AC131" i="25" s="1"/>
  <c r="AC334" i="25"/>
  <c r="AC277" i="25"/>
  <c r="AA278" i="25"/>
  <c r="Y203" i="25"/>
  <c r="W266" i="25"/>
  <c r="W267" i="25"/>
  <c r="AA201" i="25"/>
  <c r="AA172" i="25"/>
  <c r="AA173" i="25" s="1"/>
  <c r="AC199" i="25"/>
  <c r="AC208" i="25"/>
  <c r="AC205" i="25"/>
  <c r="AC204" i="25"/>
  <c r="AC200" i="25"/>
  <c r="AC51" i="25"/>
  <c r="AC50" i="25"/>
  <c r="Y153" i="25"/>
  <c r="Y154" i="25" s="1"/>
  <c r="W57" i="25"/>
  <c r="W58" i="25"/>
  <c r="AC372" i="25"/>
  <c r="AA374" i="25"/>
  <c r="AA373" i="25"/>
  <c r="AC316" i="25"/>
  <c r="AC317" i="25"/>
  <c r="S287" i="25"/>
  <c r="S290" i="25"/>
  <c r="R35" i="2" s="1"/>
  <c r="W97" i="25"/>
  <c r="U298" i="25"/>
  <c r="U297" i="25"/>
  <c r="AC239" i="25"/>
  <c r="AA259" i="25"/>
  <c r="AA260" i="25"/>
  <c r="AA241" i="25"/>
  <c r="AA240" i="25"/>
  <c r="Y295" i="25"/>
  <c r="Y303" i="25"/>
  <c r="Y294" i="25"/>
  <c r="Y300" i="25"/>
  <c r="Y299" i="25"/>
  <c r="Z292" i="25"/>
  <c r="AA293" i="25" s="1"/>
  <c r="W296" i="25"/>
  <c r="U248" i="25"/>
  <c r="U247" i="25"/>
  <c r="AC68" i="25"/>
  <c r="AC30" i="25"/>
  <c r="AA133" i="25"/>
  <c r="AA134" i="25"/>
  <c r="Y157" i="25"/>
  <c r="AA176" i="25"/>
  <c r="Z29" i="2" s="1"/>
  <c r="AA222" i="25"/>
  <c r="AA221" i="25"/>
  <c r="Q230" i="25"/>
  <c r="Q233" i="25"/>
  <c r="AC146" i="25"/>
  <c r="AC145" i="25"/>
  <c r="Y70" i="25"/>
  <c r="Y69" i="25"/>
  <c r="AA32" i="25"/>
  <c r="AA31" i="25"/>
  <c r="U138" i="25"/>
  <c r="T27" i="2" s="1"/>
  <c r="Y96" i="25"/>
  <c r="Y95" i="25"/>
  <c r="Y15" i="25"/>
  <c r="Z7" i="25"/>
  <c r="AA8" i="25" s="1"/>
  <c r="AA10" i="25" s="1"/>
  <c r="Y9" i="25"/>
  <c r="O428" i="25"/>
  <c r="N54" i="2" s="1"/>
  <c r="S43" i="25"/>
  <c r="H83" i="5"/>
  <c r="K14" i="37" s="1"/>
  <c r="Q424" i="25"/>
  <c r="Q425" i="25" s="1"/>
  <c r="Q766" i="25"/>
  <c r="Q767" i="25" s="1"/>
  <c r="O485" i="25"/>
  <c r="N57" i="2" s="1"/>
  <c r="O482" i="25"/>
  <c r="AC738" i="25"/>
  <c r="Q594" i="25"/>
  <c r="Q595" i="25"/>
  <c r="W746" i="25"/>
  <c r="W747" i="25"/>
  <c r="Q770" i="25"/>
  <c r="P72" i="2" s="1"/>
  <c r="AA740" i="25"/>
  <c r="AA739" i="25"/>
  <c r="Q428" i="25"/>
  <c r="P54" i="2" s="1"/>
  <c r="S363" i="25"/>
  <c r="S366" i="25"/>
  <c r="R39" i="2" s="1"/>
  <c r="U361" i="25"/>
  <c r="U363" i="25" s="1"/>
  <c r="AC356" i="25"/>
  <c r="AC352" i="25"/>
  <c r="AC351" i="25"/>
  <c r="AC357" i="25"/>
  <c r="AC360" i="25"/>
  <c r="Y354" i="25"/>
  <c r="Y355" i="25"/>
  <c r="AA353" i="25"/>
  <c r="Q404" i="25"/>
  <c r="Q405" i="25"/>
  <c r="Q76" i="25"/>
  <c r="Q81" i="25" s="1"/>
  <c r="P24" i="2" s="1"/>
  <c r="Q77" i="25"/>
  <c r="N55" i="2"/>
  <c r="H156" i="5" s="1"/>
  <c r="K44" i="37" s="1"/>
  <c r="W11" i="25"/>
  <c r="Y18" i="25"/>
  <c r="Y10" i="25"/>
  <c r="Y16" i="25"/>
  <c r="Y14" i="25"/>
  <c r="P56" i="2"/>
  <c r="V37" i="2"/>
  <c r="P67" i="2"/>
  <c r="AD529" i="25"/>
  <c r="P58" i="2"/>
  <c r="V66" i="2"/>
  <c r="N72" i="2"/>
  <c r="V67" i="2"/>
  <c r="P62" i="2"/>
  <c r="R38" i="2"/>
  <c r="J41" i="2"/>
  <c r="J42" i="2" s="1"/>
  <c r="F83" i="5"/>
  <c r="G80" i="5"/>
  <c r="J11" i="37" s="1"/>
  <c r="L41" i="2"/>
  <c r="L42" i="2" s="1"/>
  <c r="H85" i="5"/>
  <c r="K16" i="37" s="1"/>
  <c r="G57" i="30"/>
  <c r="F56" i="30"/>
  <c r="AD125" i="25"/>
  <c r="AD315" i="25"/>
  <c r="R31" i="2"/>
  <c r="P39" i="2"/>
  <c r="R33" i="2"/>
  <c r="H80" i="5"/>
  <c r="K11" i="37" s="1"/>
  <c r="I84" i="5" l="1"/>
  <c r="I56" i="30" s="1"/>
  <c r="I8" i="37"/>
  <c r="I14" i="37"/>
  <c r="I7" i="37"/>
  <c r="I13" i="37"/>
  <c r="S444" i="25"/>
  <c r="J182" i="30"/>
  <c r="M43" i="37"/>
  <c r="S556" i="25"/>
  <c r="S558" i="25" s="1"/>
  <c r="K10" i="37"/>
  <c r="K5" i="37"/>
  <c r="K7" i="37"/>
  <c r="H56" i="30"/>
  <c r="K9" i="37"/>
  <c r="J5" i="37"/>
  <c r="I5" i="37"/>
  <c r="K8" i="37"/>
  <c r="AC112" i="25"/>
  <c r="AC114" i="25" s="1"/>
  <c r="AC119" i="25" s="1"/>
  <c r="Y173" i="25"/>
  <c r="G52" i="30"/>
  <c r="H54" i="30"/>
  <c r="F52" i="30"/>
  <c r="F55" i="30"/>
  <c r="F54" i="30"/>
  <c r="H57" i="30"/>
  <c r="H55" i="30"/>
  <c r="Y36" i="25"/>
  <c r="Y38" i="25" s="1"/>
  <c r="Y43" i="25" s="1"/>
  <c r="U444" i="25"/>
  <c r="AD174" i="25"/>
  <c r="S618" i="25"/>
  <c r="R64" i="2" s="1"/>
  <c r="S615" i="25"/>
  <c r="J152" i="5"/>
  <c r="Y768" i="25"/>
  <c r="X768" i="25" s="1"/>
  <c r="AA340" i="25"/>
  <c r="AA342" i="25" s="1"/>
  <c r="W74" i="25"/>
  <c r="W76" i="25" s="1"/>
  <c r="W81" i="25" s="1"/>
  <c r="V24" i="2" s="1"/>
  <c r="AC516" i="25"/>
  <c r="AC519" i="25" s="1"/>
  <c r="AC445" i="25"/>
  <c r="AB445" i="25" s="1"/>
  <c r="U228" i="25"/>
  <c r="U233" i="25" s="1"/>
  <c r="T32" i="2" s="1"/>
  <c r="S59" i="25"/>
  <c r="AA464" i="25"/>
  <c r="Z464" i="25" s="1"/>
  <c r="Y442" i="25"/>
  <c r="Y444" i="25" s="1"/>
  <c r="Y538" i="25"/>
  <c r="Y539" i="25" s="1"/>
  <c r="Y340" i="25"/>
  <c r="Y343" i="25" s="1"/>
  <c r="S709" i="25"/>
  <c r="S710" i="25" s="1"/>
  <c r="AC670" i="25"/>
  <c r="AC675" i="25" s="1"/>
  <c r="AB67" i="2" s="1"/>
  <c r="W692" i="25"/>
  <c r="V692" i="25" s="1"/>
  <c r="AC671" i="25"/>
  <c r="U426" i="25"/>
  <c r="T426" i="25" s="1"/>
  <c r="U592" i="25"/>
  <c r="AA614" i="25"/>
  <c r="AA615" i="25" s="1"/>
  <c r="AD93" i="25"/>
  <c r="Y226" i="25"/>
  <c r="Y229" i="25" s="1"/>
  <c r="S653" i="25"/>
  <c r="S76" i="25"/>
  <c r="S78" i="25" s="1"/>
  <c r="U478" i="25"/>
  <c r="U481" i="25" s="1"/>
  <c r="Y725" i="25"/>
  <c r="AC649" i="25"/>
  <c r="AC651" i="25" s="1"/>
  <c r="AC459" i="25"/>
  <c r="AC461" i="25" s="1"/>
  <c r="AA744" i="25"/>
  <c r="AC55" i="25"/>
  <c r="AC58" i="25" s="1"/>
  <c r="U22" i="25"/>
  <c r="T22" i="25" s="1"/>
  <c r="U302" i="25"/>
  <c r="U305" i="25" s="1"/>
  <c r="AA96" i="25"/>
  <c r="W247" i="25"/>
  <c r="W252" i="25" s="1"/>
  <c r="V33" i="2" s="1"/>
  <c r="AA55" i="25"/>
  <c r="AA58" i="25" s="1"/>
  <c r="AC540" i="25"/>
  <c r="AB540" i="25" s="1"/>
  <c r="U190" i="25"/>
  <c r="U195" i="25" s="1"/>
  <c r="T30" i="2" s="1"/>
  <c r="Y519" i="25"/>
  <c r="Y520" i="25" s="1"/>
  <c r="AA95" i="25"/>
  <c r="AA100" i="25" s="1"/>
  <c r="Z25" i="2" s="1"/>
  <c r="S690" i="25"/>
  <c r="S691" i="25" s="1"/>
  <c r="AC150" i="25"/>
  <c r="AC152" i="25" s="1"/>
  <c r="AA245" i="25"/>
  <c r="AA36" i="25"/>
  <c r="AA763" i="25"/>
  <c r="AA765" i="25" s="1"/>
  <c r="Y74" i="25"/>
  <c r="Y687" i="25"/>
  <c r="W402" i="25"/>
  <c r="W404" i="25" s="1"/>
  <c r="W409" i="25" s="1"/>
  <c r="AC535" i="25"/>
  <c r="AC537" i="25" s="1"/>
  <c r="AC542" i="25" s="1"/>
  <c r="AA264" i="25"/>
  <c r="AA266" i="25" s="1"/>
  <c r="AC321" i="25"/>
  <c r="AC324" i="25" s="1"/>
  <c r="Y573" i="25"/>
  <c r="AA288" i="25"/>
  <c r="Z288" i="25" s="1"/>
  <c r="AA459" i="25"/>
  <c r="AA461" i="25" s="1"/>
  <c r="AA466" i="25" s="1"/>
  <c r="U763" i="25"/>
  <c r="W706" i="25"/>
  <c r="W709" i="25" s="1"/>
  <c r="W630" i="25"/>
  <c r="AC725" i="25"/>
  <c r="AC728" i="25" s="1"/>
  <c r="AC440" i="25"/>
  <c r="AC443" i="25" s="1"/>
  <c r="Y188" i="25"/>
  <c r="Y191" i="25" s="1"/>
  <c r="Y359" i="25"/>
  <c r="Y362" i="25" s="1"/>
  <c r="W725" i="25"/>
  <c r="W728" i="25" s="1"/>
  <c r="W554" i="25"/>
  <c r="U497" i="25"/>
  <c r="U500" i="25" s="1"/>
  <c r="S405" i="25"/>
  <c r="S406" i="25" s="1"/>
  <c r="AA226" i="25"/>
  <c r="AA378" i="25"/>
  <c r="AA381" i="25" s="1"/>
  <c r="Y207" i="25"/>
  <c r="Y210" i="25" s="1"/>
  <c r="Y651" i="25"/>
  <c r="Y656" i="25" s="1"/>
  <c r="X66" i="2" s="1"/>
  <c r="AA69" i="25"/>
  <c r="U746" i="25"/>
  <c r="U751" i="25" s="1"/>
  <c r="T71" i="2" s="1"/>
  <c r="W13" i="25"/>
  <c r="U17" i="25"/>
  <c r="U19" i="25" s="1"/>
  <c r="U24" i="25" s="1"/>
  <c r="T21" i="2" s="1"/>
  <c r="Y345" i="25"/>
  <c r="X345" i="25" s="1"/>
  <c r="AC278" i="25"/>
  <c r="AD220" i="25"/>
  <c r="AA345" i="25"/>
  <c r="Z345" i="25" s="1"/>
  <c r="AA283" i="25"/>
  <c r="AA286" i="25" s="1"/>
  <c r="AD258" i="25"/>
  <c r="AD334" i="25"/>
  <c r="AD757" i="25"/>
  <c r="Y626" i="25"/>
  <c r="Y630" i="25" s="1"/>
  <c r="Y632" i="25" s="1"/>
  <c r="Y637" i="25" s="1"/>
  <c r="X65" i="2" s="1"/>
  <c r="Y549" i="25"/>
  <c r="W416" i="25"/>
  <c r="W687" i="25"/>
  <c r="W689" i="25" s="1"/>
  <c r="W694" i="25" s="1"/>
  <c r="V68" i="2" s="1"/>
  <c r="W615" i="25"/>
  <c r="AA683" i="25"/>
  <c r="AA687" i="25" s="1"/>
  <c r="AA690" i="25" s="1"/>
  <c r="U421" i="25"/>
  <c r="U423" i="25" s="1"/>
  <c r="U428" i="25" s="1"/>
  <c r="Y397" i="25"/>
  <c r="AA569" i="25"/>
  <c r="S577" i="25"/>
  <c r="W79" i="25"/>
  <c r="V79" i="25" s="1"/>
  <c r="AD681" i="25"/>
  <c r="AA415" i="25"/>
  <c r="AA568" i="25"/>
  <c r="Y324" i="25"/>
  <c r="Y325" i="25" s="1"/>
  <c r="AC521" i="25"/>
  <c r="AB521" i="25" s="1"/>
  <c r="AD673" i="25"/>
  <c r="Y231" i="25"/>
  <c r="X231" i="25" s="1"/>
  <c r="W380" i="25"/>
  <c r="W385" i="25" s="1"/>
  <c r="V40" i="2" s="1"/>
  <c r="AA60" i="25"/>
  <c r="Z60" i="25" s="1"/>
  <c r="Y134" i="25"/>
  <c r="Y135" i="25" s="1"/>
  <c r="AA70" i="25"/>
  <c r="Y114" i="25"/>
  <c r="Y116" i="25" s="1"/>
  <c r="Y398" i="25"/>
  <c r="AC222" i="25"/>
  <c r="AC221" i="25"/>
  <c r="AA700" i="25"/>
  <c r="AC259" i="25"/>
  <c r="AC260" i="25"/>
  <c r="AC182" i="25"/>
  <c r="AA548" i="25"/>
  <c r="U768" i="25"/>
  <c r="T768" i="25" s="1"/>
  <c r="U154" i="25"/>
  <c r="Q21" i="25"/>
  <c r="AA585" i="25"/>
  <c r="AA470" i="25"/>
  <c r="AA475" i="25"/>
  <c r="AA624" i="25"/>
  <c r="AA471" i="25"/>
  <c r="AA589" i="25"/>
  <c r="AA593" i="25"/>
  <c r="AB292" i="25"/>
  <c r="AC293" i="25" s="1"/>
  <c r="AC301" i="25" s="1"/>
  <c r="AA301" i="25"/>
  <c r="AA476" i="25"/>
  <c r="AA590" i="25"/>
  <c r="U502" i="25"/>
  <c r="T502" i="25" s="1"/>
  <c r="AA479" i="25"/>
  <c r="AA584" i="25"/>
  <c r="S499" i="25"/>
  <c r="S500" i="25"/>
  <c r="AA719" i="25"/>
  <c r="Q710" i="25"/>
  <c r="U214" i="25"/>
  <c r="T31" i="2" s="1"/>
  <c r="S481" i="25"/>
  <c r="S482" i="25" s="1"/>
  <c r="W417" i="25"/>
  <c r="W290" i="25"/>
  <c r="U347" i="25"/>
  <c r="T38" i="2" s="1"/>
  <c r="S195" i="25"/>
  <c r="R30" i="2" s="1"/>
  <c r="W190" i="25"/>
  <c r="W192" i="25" s="1"/>
  <c r="AC173" i="25"/>
  <c r="S595" i="25"/>
  <c r="S596" i="25" s="1"/>
  <c r="AA675" i="25"/>
  <c r="Z67" i="2" s="1"/>
  <c r="Y285" i="25"/>
  <c r="Y290" i="25" s="1"/>
  <c r="AD98" i="25"/>
  <c r="Q482" i="25"/>
  <c r="AA231" i="25"/>
  <c r="Z231" i="25" s="1"/>
  <c r="Y692" i="25"/>
  <c r="X692" i="25" s="1"/>
  <c r="U483" i="25"/>
  <c r="T483" i="25" s="1"/>
  <c r="Y730" i="25"/>
  <c r="X730" i="25" s="1"/>
  <c r="S424" i="25"/>
  <c r="S425" i="25" s="1"/>
  <c r="Y578" i="25"/>
  <c r="X578" i="25" s="1"/>
  <c r="AD616" i="25"/>
  <c r="Y364" i="25"/>
  <c r="X364" i="25" s="1"/>
  <c r="AC326" i="25"/>
  <c r="AB326" i="25" s="1"/>
  <c r="AA269" i="25"/>
  <c r="Z269" i="25" s="1"/>
  <c r="AA749" i="25"/>
  <c r="Z749" i="25" s="1"/>
  <c r="W730" i="25"/>
  <c r="V730" i="25" s="1"/>
  <c r="W635" i="25"/>
  <c r="V635" i="25" s="1"/>
  <c r="AA768" i="25"/>
  <c r="Z768" i="25" s="1"/>
  <c r="AC654" i="25"/>
  <c r="AB654" i="25" s="1"/>
  <c r="AA538" i="25"/>
  <c r="AA539" i="25" s="1"/>
  <c r="AC134" i="25"/>
  <c r="AC136" i="25"/>
  <c r="AB136" i="25" s="1"/>
  <c r="AA41" i="25"/>
  <c r="Z41" i="25" s="1"/>
  <c r="AC155" i="25"/>
  <c r="AB155" i="25" s="1"/>
  <c r="AA250" i="25"/>
  <c r="Z250" i="25" s="1"/>
  <c r="AA383" i="25"/>
  <c r="Z383" i="25" s="1"/>
  <c r="AA183" i="25"/>
  <c r="AA193" i="25" s="1"/>
  <c r="Z193" i="25" s="1"/>
  <c r="W711" i="25"/>
  <c r="V711" i="25" s="1"/>
  <c r="U597" i="25"/>
  <c r="T597" i="25" s="1"/>
  <c r="W559" i="25"/>
  <c r="V559" i="25" s="1"/>
  <c r="W407" i="25"/>
  <c r="V407" i="25" s="1"/>
  <c r="Y212" i="25"/>
  <c r="X212" i="25" s="1"/>
  <c r="Y79" i="25"/>
  <c r="X79" i="25" s="1"/>
  <c r="U307" i="25"/>
  <c r="T307" i="25" s="1"/>
  <c r="AC60" i="25"/>
  <c r="AB60" i="25" s="1"/>
  <c r="AC730" i="25"/>
  <c r="AB730" i="25" s="1"/>
  <c r="AC464" i="25"/>
  <c r="AB464" i="25" s="1"/>
  <c r="S230" i="25"/>
  <c r="S751" i="25"/>
  <c r="R71" i="2" s="1"/>
  <c r="S748" i="25"/>
  <c r="U382" i="25"/>
  <c r="AA499" i="25"/>
  <c r="AA504" i="25" s="1"/>
  <c r="Z58" i="2" s="1"/>
  <c r="Y462" i="25"/>
  <c r="Y463" i="25" s="1"/>
  <c r="AA442" i="25"/>
  <c r="AA444" i="25" s="1"/>
  <c r="AC758" i="25"/>
  <c r="AD611" i="25"/>
  <c r="Y499" i="25"/>
  <c r="Y501" i="25" s="1"/>
  <c r="AC614" i="25"/>
  <c r="AC759" i="25"/>
  <c r="S770" i="25"/>
  <c r="R72" i="2" s="1"/>
  <c r="U557" i="25"/>
  <c r="U558" i="25" s="1"/>
  <c r="AA152" i="25"/>
  <c r="AA154" i="25" s="1"/>
  <c r="U43" i="25"/>
  <c r="T22" i="2" s="1"/>
  <c r="AA18" i="25"/>
  <c r="AA15" i="25"/>
  <c r="AA14" i="25"/>
  <c r="W210" i="25"/>
  <c r="W211" i="25" s="1"/>
  <c r="W38" i="25"/>
  <c r="W43" i="25" s="1"/>
  <c r="W138" i="25"/>
  <c r="V27" i="2" s="1"/>
  <c r="AC335" i="25"/>
  <c r="AA519" i="25"/>
  <c r="AA518" i="25"/>
  <c r="AC626" i="25"/>
  <c r="AC625" i="25"/>
  <c r="Y11" i="25"/>
  <c r="AC336" i="25"/>
  <c r="AD516" i="25" s="1"/>
  <c r="AC618" i="25"/>
  <c r="AB64" i="2" s="1"/>
  <c r="AA618" i="25"/>
  <c r="Z64" i="2" s="1"/>
  <c r="AA396" i="25"/>
  <c r="AC584" i="25"/>
  <c r="AC589" i="25"/>
  <c r="AC593" i="25"/>
  <c r="AC585" i="25"/>
  <c r="AC590" i="25"/>
  <c r="AC471" i="25"/>
  <c r="AC475" i="25"/>
  <c r="AC470" i="25"/>
  <c r="AC479" i="25"/>
  <c r="AC476" i="25"/>
  <c r="AC702" i="25"/>
  <c r="AC701" i="25"/>
  <c r="AC415" i="25"/>
  <c r="AC395" i="25"/>
  <c r="AC399" i="25"/>
  <c r="AC400" i="25"/>
  <c r="AC394" i="25"/>
  <c r="AC403" i="25"/>
  <c r="AC683" i="25"/>
  <c r="AC682" i="25"/>
  <c r="U405" i="25"/>
  <c r="U406" i="25" s="1"/>
  <c r="AA651" i="25"/>
  <c r="AA656" i="25" s="1"/>
  <c r="Z66" i="2" s="1"/>
  <c r="AA652" i="25"/>
  <c r="AC569" i="25"/>
  <c r="AC568" i="25"/>
  <c r="AD567" i="25"/>
  <c r="AC548" i="25"/>
  <c r="AA542" i="25"/>
  <c r="AC499" i="25"/>
  <c r="AC504" i="25" s="1"/>
  <c r="AB58" i="2" s="1"/>
  <c r="AC500" i="25"/>
  <c r="W576" i="25"/>
  <c r="W577" i="25" s="1"/>
  <c r="Y765" i="25"/>
  <c r="Y767" i="25" s="1"/>
  <c r="S634" i="25"/>
  <c r="Y550" i="25"/>
  <c r="U727" i="25"/>
  <c r="U732" i="25" s="1"/>
  <c r="T70" i="2" s="1"/>
  <c r="U632" i="25"/>
  <c r="U637" i="25" s="1"/>
  <c r="U633" i="25"/>
  <c r="U709" i="25"/>
  <c r="U710" i="25" s="1"/>
  <c r="W580" i="25"/>
  <c r="V62" i="2" s="1"/>
  <c r="U409" i="25"/>
  <c r="T53" i="2" s="1"/>
  <c r="K155" i="5" s="1"/>
  <c r="Y615" i="25"/>
  <c r="S732" i="25"/>
  <c r="R70" i="2" s="1"/>
  <c r="S729" i="25"/>
  <c r="W766" i="25"/>
  <c r="W765" i="25"/>
  <c r="W588" i="25"/>
  <c r="W587" i="25"/>
  <c r="Y702" i="25"/>
  <c r="Y701" i="25"/>
  <c r="Y586" i="25"/>
  <c r="Y416" i="25"/>
  <c r="Y417" i="25"/>
  <c r="U689" i="25"/>
  <c r="U690" i="25"/>
  <c r="U713" i="25"/>
  <c r="T69" i="2" s="1"/>
  <c r="Y472" i="25"/>
  <c r="W473" i="25"/>
  <c r="W474" i="25"/>
  <c r="Y466" i="25"/>
  <c r="W501" i="25"/>
  <c r="W504" i="25"/>
  <c r="V58" i="2" s="1"/>
  <c r="Y381" i="25"/>
  <c r="Y382" i="25" s="1"/>
  <c r="AC279" i="25"/>
  <c r="AD172" i="25"/>
  <c r="S305" i="25"/>
  <c r="S306" i="25" s="1"/>
  <c r="W268" i="25"/>
  <c r="W271" i="25"/>
  <c r="V34" i="2" s="1"/>
  <c r="W228" i="25"/>
  <c r="W230" i="25" s="1"/>
  <c r="AA202" i="25"/>
  <c r="AA203" i="25"/>
  <c r="AC201" i="25"/>
  <c r="U77" i="25"/>
  <c r="U78" i="25" s="1"/>
  <c r="Y57" i="25"/>
  <c r="Y62" i="25" s="1"/>
  <c r="Y58" i="25"/>
  <c r="W59" i="25"/>
  <c r="W62" i="25"/>
  <c r="AA323" i="25"/>
  <c r="AA324" i="25"/>
  <c r="W343" i="25"/>
  <c r="W342" i="25"/>
  <c r="AC374" i="25"/>
  <c r="AC373" i="25"/>
  <c r="Y266" i="25"/>
  <c r="Y271" i="25" s="1"/>
  <c r="Y267" i="25"/>
  <c r="AA300" i="25"/>
  <c r="AA299" i="25"/>
  <c r="AA303" i="25"/>
  <c r="AA294" i="25"/>
  <c r="AA295" i="25"/>
  <c r="AC241" i="25"/>
  <c r="AC240" i="25"/>
  <c r="Y248" i="25"/>
  <c r="Y247" i="25"/>
  <c r="W297" i="25"/>
  <c r="W298" i="25"/>
  <c r="U252" i="25"/>
  <c r="T33" i="2" s="1"/>
  <c r="U249" i="25"/>
  <c r="Y296" i="25"/>
  <c r="P32" i="2"/>
  <c r="AA138" i="25"/>
  <c r="AA135" i="25"/>
  <c r="Y97" i="25"/>
  <c r="Y100" i="25"/>
  <c r="X25" i="2" s="1"/>
  <c r="AC70" i="25"/>
  <c r="AC69" i="25"/>
  <c r="AC96" i="25"/>
  <c r="AC95" i="25"/>
  <c r="AC31" i="25"/>
  <c r="AC32" i="25"/>
  <c r="AA114" i="25"/>
  <c r="AA115" i="25"/>
  <c r="U81" i="25"/>
  <c r="T24" i="2" s="1"/>
  <c r="AA16" i="25"/>
  <c r="AB7" i="25"/>
  <c r="AC8" i="25" s="1"/>
  <c r="AC18" i="25" s="1"/>
  <c r="AA9" i="25"/>
  <c r="I156" i="5"/>
  <c r="Y747" i="25"/>
  <c r="Y748" i="25" s="1"/>
  <c r="Y751" i="25"/>
  <c r="X71" i="2" s="1"/>
  <c r="W751" i="25"/>
  <c r="W748" i="25"/>
  <c r="AC740" i="25"/>
  <c r="AC739" i="25"/>
  <c r="H183" i="30"/>
  <c r="Q599" i="25"/>
  <c r="P63" i="2" s="1"/>
  <c r="Q596" i="25"/>
  <c r="U366" i="25"/>
  <c r="T39" i="2" s="1"/>
  <c r="Q78" i="25"/>
  <c r="W362" i="25"/>
  <c r="W363" i="25" s="1"/>
  <c r="AA355" i="25"/>
  <c r="AA354" i="25"/>
  <c r="AC353" i="25"/>
  <c r="W366" i="25"/>
  <c r="V39" i="2" s="1"/>
  <c r="Q406" i="25"/>
  <c r="Q409" i="25"/>
  <c r="P53" i="2" s="1"/>
  <c r="I155" i="5" s="1"/>
  <c r="L43" i="37" s="1"/>
  <c r="R55" i="2"/>
  <c r="J156" i="5" s="1"/>
  <c r="W12" i="25"/>
  <c r="S20" i="25"/>
  <c r="S21" i="25" s="1"/>
  <c r="P22" i="2"/>
  <c r="I83" i="5" s="1"/>
  <c r="R22" i="2"/>
  <c r="F86" i="5"/>
  <c r="V59" i="2"/>
  <c r="V56" i="2"/>
  <c r="X67" i="2"/>
  <c r="AD738" i="25"/>
  <c r="T66" i="2"/>
  <c r="X64" i="2"/>
  <c r="X29" i="2"/>
  <c r="V29" i="2"/>
  <c r="T37" i="2"/>
  <c r="R54" i="2"/>
  <c r="X28" i="2"/>
  <c r="R21" i="2"/>
  <c r="G86" i="5"/>
  <c r="I85" i="5"/>
  <c r="AD106" i="25"/>
  <c r="AD68" i="25"/>
  <c r="X37" i="2"/>
  <c r="H86" i="5"/>
  <c r="H52" i="30"/>
  <c r="AD239" i="25"/>
  <c r="AD372" i="25"/>
  <c r="R40" i="2"/>
  <c r="T35" i="2"/>
  <c r="K84" i="5" s="1"/>
  <c r="N15" i="37" s="1"/>
  <c r="V26" i="2"/>
  <c r="L15" i="37" l="1"/>
  <c r="L9" i="37"/>
  <c r="K81" i="5"/>
  <c r="N12" i="37" s="1"/>
  <c r="J81" i="5"/>
  <c r="J53" i="30" s="1"/>
  <c r="I81" i="5"/>
  <c r="L8" i="37"/>
  <c r="L14" i="37"/>
  <c r="H58" i="30"/>
  <c r="H89" i="5"/>
  <c r="H123" i="5" s="1"/>
  <c r="G58" i="30"/>
  <c r="G89" i="5"/>
  <c r="F58" i="30"/>
  <c r="F89" i="5"/>
  <c r="L10" i="37"/>
  <c r="L16" i="37"/>
  <c r="S561" i="25"/>
  <c r="R61" i="2" s="1"/>
  <c r="J183" i="30"/>
  <c r="M44" i="37"/>
  <c r="I183" i="30"/>
  <c r="L44" i="37"/>
  <c r="J179" i="30"/>
  <c r="M40" i="37"/>
  <c r="K182" i="30"/>
  <c r="N43" i="37"/>
  <c r="AD173" i="25"/>
  <c r="AC115" i="25"/>
  <c r="AC116" i="25" s="1"/>
  <c r="N9" i="37"/>
  <c r="I57" i="30"/>
  <c r="K56" i="30"/>
  <c r="I55" i="30"/>
  <c r="Y39" i="25"/>
  <c r="Y40" i="25" s="1"/>
  <c r="I182" i="30"/>
  <c r="W77" i="25"/>
  <c r="W78" i="25" s="1"/>
  <c r="K152" i="5"/>
  <c r="I152" i="5"/>
  <c r="U230" i="25"/>
  <c r="AC518" i="25"/>
  <c r="AC523" i="25" s="1"/>
  <c r="AB59" i="2" s="1"/>
  <c r="Y447" i="25"/>
  <c r="AC672" i="25"/>
  <c r="AD672" i="25" s="1"/>
  <c r="Y228" i="25"/>
  <c r="Y233" i="25" s="1"/>
  <c r="X32" i="2" s="1"/>
  <c r="AD614" i="25"/>
  <c r="AD671" i="25"/>
  <c r="AA57" i="25"/>
  <c r="AA62" i="25" s="1"/>
  <c r="Y635" i="25"/>
  <c r="X635" i="25" s="1"/>
  <c r="AC573" i="25"/>
  <c r="S81" i="25"/>
  <c r="R24" i="2" s="1"/>
  <c r="R41" i="2" s="1"/>
  <c r="R42" i="2" s="1"/>
  <c r="AC36" i="25"/>
  <c r="AC38" i="25" s="1"/>
  <c r="AD96" i="25"/>
  <c r="AA97" i="25"/>
  <c r="W249" i="25"/>
  <c r="AA692" i="25"/>
  <c r="Z692" i="25" s="1"/>
  <c r="AC763" i="25"/>
  <c r="AC765" i="25" s="1"/>
  <c r="AC770" i="25" s="1"/>
  <c r="AB72" i="2" s="1"/>
  <c r="Y209" i="25"/>
  <c r="Y214" i="25" s="1"/>
  <c r="X31" i="2" s="1"/>
  <c r="AA462" i="25"/>
  <c r="AA463" i="25" s="1"/>
  <c r="AC288" i="25"/>
  <c r="AB288" i="25" s="1"/>
  <c r="AC226" i="25"/>
  <c r="AC229" i="25" s="1"/>
  <c r="W421" i="25"/>
  <c r="W423" i="25" s="1"/>
  <c r="W428" i="25" s="1"/>
  <c r="U192" i="25"/>
  <c r="Y421" i="25"/>
  <c r="AA578" i="25"/>
  <c r="Z578" i="25" s="1"/>
  <c r="AC264" i="25"/>
  <c r="AC266" i="25" s="1"/>
  <c r="Y402" i="25"/>
  <c r="Y404" i="25" s="1"/>
  <c r="Y409" i="25" s="1"/>
  <c r="X53" i="2" s="1"/>
  <c r="M155" i="5" s="1"/>
  <c r="AC74" i="25"/>
  <c r="AC77" i="25" s="1"/>
  <c r="AA74" i="25"/>
  <c r="AA77" i="25" s="1"/>
  <c r="AA359" i="25"/>
  <c r="AA361" i="25" s="1"/>
  <c r="AC744" i="25"/>
  <c r="AC746" i="25" s="1"/>
  <c r="AC245" i="25"/>
  <c r="AC248" i="25" s="1"/>
  <c r="Y706" i="25"/>
  <c r="AC706" i="25"/>
  <c r="AC709" i="25" s="1"/>
  <c r="Y554" i="25"/>
  <c r="Y556" i="25" s="1"/>
  <c r="Y561" i="25" s="1"/>
  <c r="X61" i="2" s="1"/>
  <c r="W592" i="25"/>
  <c r="W595" i="25" s="1"/>
  <c r="AC630" i="25"/>
  <c r="AC687" i="25"/>
  <c r="AC690" i="25" s="1"/>
  <c r="AC442" i="25"/>
  <c r="AC444" i="25" s="1"/>
  <c r="Y407" i="25"/>
  <c r="X407" i="25" s="1"/>
  <c r="Y653" i="25"/>
  <c r="AC184" i="25"/>
  <c r="W478" i="25"/>
  <c r="W480" i="25" s="1"/>
  <c r="W485" i="25" s="1"/>
  <c r="V57" i="2" s="1"/>
  <c r="AC340" i="25"/>
  <c r="AD340" i="25" s="1"/>
  <c r="W302" i="25"/>
  <c r="W304" i="25" s="1"/>
  <c r="AC378" i="25"/>
  <c r="AC380" i="25" s="1"/>
  <c r="AA207" i="25"/>
  <c r="AA188" i="25"/>
  <c r="AA190" i="25" s="1"/>
  <c r="AA195" i="25" s="1"/>
  <c r="Z30" i="2" s="1"/>
  <c r="U748" i="25"/>
  <c r="W17" i="25"/>
  <c r="W19" i="25" s="1"/>
  <c r="W24" i="25" s="1"/>
  <c r="V21" i="2" s="1"/>
  <c r="Y12" i="25"/>
  <c r="AC203" i="25"/>
  <c r="AC283" i="25"/>
  <c r="AC286" i="25" s="1"/>
  <c r="AA549" i="25"/>
  <c r="AD700" i="25"/>
  <c r="AA417" i="25"/>
  <c r="AA573" i="25"/>
  <c r="AA576" i="25" s="1"/>
  <c r="AA416" i="25"/>
  <c r="AD415" i="25"/>
  <c r="AD521" i="25"/>
  <c r="AC538" i="25"/>
  <c r="AC539" i="25" s="1"/>
  <c r="Y342" i="25"/>
  <c r="Y344" i="25" s="1"/>
  <c r="I82" i="5"/>
  <c r="AA702" i="25"/>
  <c r="AD182" i="25"/>
  <c r="AC303" i="25"/>
  <c r="AC295" i="25"/>
  <c r="W690" i="25"/>
  <c r="W691" i="25" s="1"/>
  <c r="W382" i="25"/>
  <c r="AA79" i="25"/>
  <c r="Z79" i="25" s="1"/>
  <c r="AC231" i="25"/>
  <c r="AB231" i="25" s="1"/>
  <c r="AA701" i="25"/>
  <c r="Y119" i="25"/>
  <c r="X26" i="2" s="1"/>
  <c r="U424" i="25"/>
  <c r="U425" i="25" s="1"/>
  <c r="AA550" i="25"/>
  <c r="AD548" i="25"/>
  <c r="AA586" i="25"/>
  <c r="AC183" i="25"/>
  <c r="AC269" i="25"/>
  <c r="AB269" i="25" s="1"/>
  <c r="AD497" i="25"/>
  <c r="U499" i="25"/>
  <c r="U501" i="25" s="1"/>
  <c r="AA472" i="25"/>
  <c r="AC294" i="25"/>
  <c r="AC300" i="25"/>
  <c r="AA626" i="25"/>
  <c r="AA625" i="25"/>
  <c r="AD624" i="25"/>
  <c r="U766" i="25"/>
  <c r="U765" i="25"/>
  <c r="AD502" i="25"/>
  <c r="AC299" i="25"/>
  <c r="AA721" i="25"/>
  <c r="AA720" i="25"/>
  <c r="AD719" i="25"/>
  <c r="S504" i="25"/>
  <c r="R58" i="2" s="1"/>
  <c r="S501" i="25"/>
  <c r="AA343" i="25"/>
  <c r="AA344" i="25" s="1"/>
  <c r="W426" i="25"/>
  <c r="V426" i="25" s="1"/>
  <c r="W195" i="25"/>
  <c r="V30" i="2" s="1"/>
  <c r="Y287" i="25"/>
  <c r="Y633" i="25"/>
  <c r="Y634" i="25" s="1"/>
  <c r="AC133" i="25"/>
  <c r="AC138" i="25" s="1"/>
  <c r="AB27" i="2" s="1"/>
  <c r="AA364" i="25"/>
  <c r="Z364" i="25" s="1"/>
  <c r="AC749" i="25"/>
  <c r="AB749" i="25" s="1"/>
  <c r="AD136" i="25"/>
  <c r="W405" i="25"/>
  <c r="W406" i="25" s="1"/>
  <c r="AA689" i="25"/>
  <c r="AA691" i="25" s="1"/>
  <c r="AD326" i="25"/>
  <c r="W483" i="25"/>
  <c r="V483" i="25" s="1"/>
  <c r="Y426" i="25"/>
  <c r="X426" i="25" s="1"/>
  <c r="U20" i="25"/>
  <c r="U21" i="25" s="1"/>
  <c r="AC692" i="25"/>
  <c r="AB692" i="25" s="1"/>
  <c r="Y711" i="25"/>
  <c r="X711" i="25" s="1"/>
  <c r="AC711" i="25"/>
  <c r="AB711" i="25" s="1"/>
  <c r="AC41" i="25"/>
  <c r="AB41" i="25" s="1"/>
  <c r="AC383" i="25"/>
  <c r="AB383" i="25" s="1"/>
  <c r="W597" i="25"/>
  <c r="V597" i="25" s="1"/>
  <c r="AC635" i="25"/>
  <c r="AB635" i="25" s="1"/>
  <c r="AC250" i="25"/>
  <c r="AB250" i="25" s="1"/>
  <c r="AC768" i="25"/>
  <c r="AB768" i="25" s="1"/>
  <c r="AC345" i="25"/>
  <c r="AB345" i="25" s="1"/>
  <c r="Y559" i="25"/>
  <c r="X559" i="25" s="1"/>
  <c r="AD654" i="25"/>
  <c r="AA212" i="25"/>
  <c r="Z212" i="25" s="1"/>
  <c r="W307" i="25"/>
  <c r="V307" i="25" s="1"/>
  <c r="AC79" i="25"/>
  <c r="AB79" i="25" s="1"/>
  <c r="AC578" i="25"/>
  <c r="AB578" i="25" s="1"/>
  <c r="W22" i="25"/>
  <c r="V22" i="25" s="1"/>
  <c r="AA11" i="25"/>
  <c r="Y190" i="25"/>
  <c r="Y192" i="25" s="1"/>
  <c r="W40" i="25"/>
  <c r="AC67" i="2"/>
  <c r="AD67" i="2" s="1"/>
  <c r="AD649" i="25"/>
  <c r="AA501" i="25"/>
  <c r="AC652" i="25"/>
  <c r="AC653" i="25" s="1"/>
  <c r="AA447" i="25"/>
  <c r="Y504" i="25"/>
  <c r="X58" i="2" s="1"/>
  <c r="AC615" i="25"/>
  <c r="AD615" i="25" s="1"/>
  <c r="AC727" i="25"/>
  <c r="AC732" i="25" s="1"/>
  <c r="AB70" i="2" s="1"/>
  <c r="AC462" i="25"/>
  <c r="AC463" i="25" s="1"/>
  <c r="AC396" i="25"/>
  <c r="AC472" i="25"/>
  <c r="U480" i="25"/>
  <c r="U482" i="25" s="1"/>
  <c r="AA766" i="25"/>
  <c r="AA157" i="25"/>
  <c r="Y13" i="25"/>
  <c r="AC153" i="25"/>
  <c r="AC154" i="25" s="1"/>
  <c r="AC501" i="25"/>
  <c r="AC10" i="25"/>
  <c r="AA285" i="25"/>
  <c r="AA287" i="25" s="1"/>
  <c r="AC417" i="25"/>
  <c r="AC416" i="25"/>
  <c r="AC14" i="25"/>
  <c r="AD500" i="25"/>
  <c r="AC549" i="25"/>
  <c r="AC550" i="25"/>
  <c r="AA398" i="25"/>
  <c r="AA397" i="25"/>
  <c r="AA770" i="25"/>
  <c r="Z72" i="2" s="1"/>
  <c r="AC656" i="25"/>
  <c r="AB66" i="2" s="1"/>
  <c r="AC66" i="2" s="1"/>
  <c r="AD66" i="2" s="1"/>
  <c r="AA520" i="25"/>
  <c r="AA523" i="25"/>
  <c r="Z59" i="2" s="1"/>
  <c r="AC586" i="25"/>
  <c r="AC64" i="2"/>
  <c r="AD64" i="2" s="1"/>
  <c r="AA653" i="25"/>
  <c r="AC466" i="25"/>
  <c r="W727" i="25"/>
  <c r="W732" i="25" s="1"/>
  <c r="V70" i="2" s="1"/>
  <c r="Y770" i="25"/>
  <c r="U729" i="25"/>
  <c r="W708" i="25"/>
  <c r="W713" i="25" s="1"/>
  <c r="V69" i="2" s="1"/>
  <c r="W632" i="25"/>
  <c r="W637" i="25" s="1"/>
  <c r="V65" i="2" s="1"/>
  <c r="W633" i="25"/>
  <c r="U634" i="25"/>
  <c r="T65" i="2"/>
  <c r="Y587" i="25"/>
  <c r="Y588" i="25"/>
  <c r="Y474" i="25"/>
  <c r="Y473" i="25"/>
  <c r="Y575" i="25"/>
  <c r="Y580" i="25" s="1"/>
  <c r="X62" i="2" s="1"/>
  <c r="Y576" i="25"/>
  <c r="Y689" i="25"/>
  <c r="Y694" i="25" s="1"/>
  <c r="X68" i="2" s="1"/>
  <c r="Y690" i="25"/>
  <c r="W767" i="25"/>
  <c r="W770" i="25"/>
  <c r="V72" i="2" s="1"/>
  <c r="U595" i="25"/>
  <c r="U594" i="25"/>
  <c r="U694" i="25"/>
  <c r="T68" i="2" s="1"/>
  <c r="U691" i="25"/>
  <c r="Y728" i="25"/>
  <c r="Y727" i="25"/>
  <c r="W556" i="25"/>
  <c r="W561" i="25" s="1"/>
  <c r="V61" i="2" s="1"/>
  <c r="W557" i="25"/>
  <c r="AA267" i="25"/>
  <c r="AA268" i="25" s="1"/>
  <c r="AC57" i="25"/>
  <c r="AC62" i="25" s="1"/>
  <c r="AC323" i="25"/>
  <c r="AC328" i="25" s="1"/>
  <c r="AB37" i="2" s="1"/>
  <c r="W233" i="25"/>
  <c r="V32" i="2" s="1"/>
  <c r="AC202" i="25"/>
  <c r="I80" i="5"/>
  <c r="L11" i="37" s="1"/>
  <c r="AA380" i="25"/>
  <c r="AA385" i="25" s="1"/>
  <c r="Z40" i="2" s="1"/>
  <c r="Y59" i="25"/>
  <c r="U304" i="25"/>
  <c r="U306" i="25" s="1"/>
  <c r="W344" i="25"/>
  <c r="W347" i="25"/>
  <c r="V38" i="2" s="1"/>
  <c r="AA325" i="25"/>
  <c r="AA328" i="25"/>
  <c r="Z37" i="2" s="1"/>
  <c r="Y268" i="25"/>
  <c r="AA347" i="25"/>
  <c r="Z38" i="2" s="1"/>
  <c r="AA296" i="25"/>
  <c r="AA247" i="25"/>
  <c r="AA252" i="25" s="1"/>
  <c r="Z33" i="2" s="1"/>
  <c r="AA248" i="25"/>
  <c r="Y249" i="25"/>
  <c r="Y252" i="25"/>
  <c r="X33" i="2" s="1"/>
  <c r="Y297" i="25"/>
  <c r="Y298" i="25"/>
  <c r="AA271" i="25"/>
  <c r="Z34" i="2" s="1"/>
  <c r="AA38" i="25"/>
  <c r="AA43" i="25" s="1"/>
  <c r="AA39" i="25"/>
  <c r="AA116" i="25"/>
  <c r="AA119" i="25"/>
  <c r="AA229" i="25"/>
  <c r="AA228" i="25"/>
  <c r="Y77" i="25"/>
  <c r="Y76" i="25"/>
  <c r="AC157" i="25"/>
  <c r="AC100" i="25"/>
  <c r="AC97" i="25"/>
  <c r="AC16" i="25"/>
  <c r="AC9" i="25"/>
  <c r="AC15" i="25"/>
  <c r="Y361" i="25"/>
  <c r="Y363" i="25" s="1"/>
  <c r="AA746" i="25"/>
  <c r="AA747" i="25"/>
  <c r="AC355" i="25"/>
  <c r="AC354" i="25"/>
  <c r="P41" i="2"/>
  <c r="P42" i="2" s="1"/>
  <c r="V71" i="2"/>
  <c r="AD176" i="25"/>
  <c r="AC29" i="2"/>
  <c r="AD29" i="2" s="1"/>
  <c r="X56" i="2"/>
  <c r="T54" i="2"/>
  <c r="T61" i="2"/>
  <c r="AD618" i="25"/>
  <c r="AD675" i="25"/>
  <c r="K83" i="5"/>
  <c r="J80" i="5"/>
  <c r="J83" i="5"/>
  <c r="AD131" i="25"/>
  <c r="AD321" i="25"/>
  <c r="AD324" i="25"/>
  <c r="AD117" i="25"/>
  <c r="J84" i="5"/>
  <c r="V31" i="2"/>
  <c r="V23" i="2"/>
  <c r="K85" i="5"/>
  <c r="N16" i="37" s="1"/>
  <c r="AD144" i="25"/>
  <c r="AD201" i="25"/>
  <c r="X40" i="2"/>
  <c r="Z27" i="2"/>
  <c r="N6" i="37" l="1"/>
  <c r="K53" i="30"/>
  <c r="M6" i="37"/>
  <c r="M12" i="37"/>
  <c r="L12" i="37"/>
  <c r="I53" i="30"/>
  <c r="L6" i="37"/>
  <c r="AD115" i="25"/>
  <c r="M8" i="37"/>
  <c r="M14" i="37"/>
  <c r="M5" i="37"/>
  <c r="M11" i="37"/>
  <c r="N8" i="37"/>
  <c r="N14" i="37"/>
  <c r="L7" i="37"/>
  <c r="L13" i="37"/>
  <c r="M9" i="37"/>
  <c r="M15" i="37"/>
  <c r="M182" i="30"/>
  <c r="P43" i="37"/>
  <c r="I179" i="30"/>
  <c r="L40" i="37"/>
  <c r="K179" i="30"/>
  <c r="N40" i="37"/>
  <c r="N10" i="37"/>
  <c r="L5" i="37"/>
  <c r="J55" i="30"/>
  <c r="K57" i="30"/>
  <c r="J52" i="30"/>
  <c r="J56" i="30"/>
  <c r="K55" i="30"/>
  <c r="I54" i="30"/>
  <c r="J85" i="5"/>
  <c r="J82" i="5"/>
  <c r="AC520" i="25"/>
  <c r="AD520" i="25" s="1"/>
  <c r="AC59" i="2"/>
  <c r="AD59" i="2" s="1"/>
  <c r="M152" i="5"/>
  <c r="W424" i="25"/>
  <c r="W425" i="25" s="1"/>
  <c r="Y230" i="25"/>
  <c r="AA59" i="25"/>
  <c r="AA76" i="25"/>
  <c r="AA81" i="25" s="1"/>
  <c r="Z24" i="2" s="1"/>
  <c r="AC212" i="25"/>
  <c r="AB212" i="25" s="1"/>
  <c r="AD97" i="25"/>
  <c r="U504" i="25"/>
  <c r="T58" i="2" s="1"/>
  <c r="AC58" i="2" s="1"/>
  <c r="AD58" i="2" s="1"/>
  <c r="Y478" i="25"/>
  <c r="Y481" i="25" s="1"/>
  <c r="AD573" i="25"/>
  <c r="AC554" i="25"/>
  <c r="Y211" i="25"/>
  <c r="AC359" i="25"/>
  <c r="AC361" i="25" s="1"/>
  <c r="AC447" i="25"/>
  <c r="AA402" i="25"/>
  <c r="AA559" i="25"/>
  <c r="Z559" i="25" s="1"/>
  <c r="AA630" i="25"/>
  <c r="AD630" i="25" s="1"/>
  <c r="AC193" i="25"/>
  <c r="AB193" i="25" s="1"/>
  <c r="AC188" i="25"/>
  <c r="AC190" i="25" s="1"/>
  <c r="AC195" i="25" s="1"/>
  <c r="Y557" i="25"/>
  <c r="Y558" i="25" s="1"/>
  <c r="Y592" i="25"/>
  <c r="Y594" i="25" s="1"/>
  <c r="Y599" i="25" s="1"/>
  <c r="X63" i="2" s="1"/>
  <c r="AA575" i="25"/>
  <c r="AA580" i="25" s="1"/>
  <c r="Z62" i="2" s="1"/>
  <c r="AA421" i="25"/>
  <c r="AA424" i="25" s="1"/>
  <c r="AC421" i="25"/>
  <c r="AC424" i="25" s="1"/>
  <c r="AA725" i="25"/>
  <c r="AA706" i="25"/>
  <c r="AA709" i="25" s="1"/>
  <c r="AA426" i="25"/>
  <c r="Z426" i="25" s="1"/>
  <c r="Y302" i="25"/>
  <c r="Y304" i="25" s="1"/>
  <c r="Y309" i="25" s="1"/>
  <c r="X36" i="2" s="1"/>
  <c r="AA12" i="25"/>
  <c r="Y17" i="25"/>
  <c r="Y19" i="25" s="1"/>
  <c r="Y24" i="25" s="1"/>
  <c r="X21" i="2" s="1"/>
  <c r="AC207" i="25"/>
  <c r="AC209" i="25" s="1"/>
  <c r="AC214" i="25" s="1"/>
  <c r="AB31" i="2" s="1"/>
  <c r="AA587" i="25"/>
  <c r="AA474" i="25"/>
  <c r="AA554" i="25"/>
  <c r="AA556" i="25" s="1"/>
  <c r="AA561" i="25" s="1"/>
  <c r="Z61" i="2" s="1"/>
  <c r="AC473" i="25"/>
  <c r="AC397" i="25"/>
  <c r="Y347" i="25"/>
  <c r="X38" i="2" s="1"/>
  <c r="AA711" i="25"/>
  <c r="Z711" i="25" s="1"/>
  <c r="I86" i="5"/>
  <c r="AC296" i="25"/>
  <c r="Y405" i="25"/>
  <c r="Y406" i="25" s="1"/>
  <c r="AC267" i="25"/>
  <c r="AD267" i="25" s="1"/>
  <c r="AD231" i="25"/>
  <c r="AD229" i="25"/>
  <c r="AD226" i="25"/>
  <c r="AC228" i="25"/>
  <c r="AC230" i="25" s="1"/>
  <c r="AA588" i="25"/>
  <c r="AD586" i="25"/>
  <c r="AD264" i="25"/>
  <c r="AD269" i="25"/>
  <c r="AA473" i="25"/>
  <c r="AA635" i="25"/>
  <c r="Z635" i="25" s="1"/>
  <c r="U770" i="25"/>
  <c r="T72" i="2" s="1"/>
  <c r="U767" i="25"/>
  <c r="AA730" i="25"/>
  <c r="AD692" i="25"/>
  <c r="AD749" i="25"/>
  <c r="AD250" i="25"/>
  <c r="AC135" i="25"/>
  <c r="AD135" i="25" s="1"/>
  <c r="AD79" i="25"/>
  <c r="AA191" i="25"/>
  <c r="AA192" i="25" s="1"/>
  <c r="AA13" i="25"/>
  <c r="AA694" i="25"/>
  <c r="Z68" i="2" s="1"/>
  <c r="W20" i="25"/>
  <c r="W21" i="25" s="1"/>
  <c r="AD383" i="25"/>
  <c r="AD578" i="25"/>
  <c r="AD768" i="25"/>
  <c r="Y22" i="25"/>
  <c r="X22" i="25" s="1"/>
  <c r="AA407" i="25"/>
  <c r="Z407" i="25" s="1"/>
  <c r="AD345" i="25"/>
  <c r="Y597" i="25"/>
  <c r="X597" i="25" s="1"/>
  <c r="AC426" i="25"/>
  <c r="AB426" i="25" s="1"/>
  <c r="Y307" i="25"/>
  <c r="X307" i="25" s="1"/>
  <c r="AC364" i="25"/>
  <c r="AB364" i="25" s="1"/>
  <c r="Y483" i="25"/>
  <c r="X483" i="25" s="1"/>
  <c r="AC559" i="25"/>
  <c r="AB559" i="25" s="1"/>
  <c r="Y195" i="25"/>
  <c r="X30" i="2" s="1"/>
  <c r="AA290" i="25"/>
  <c r="AD763" i="25"/>
  <c r="AD652" i="25"/>
  <c r="AD501" i="25"/>
  <c r="AC343" i="25"/>
  <c r="AC342" i="25"/>
  <c r="AC347" i="25" s="1"/>
  <c r="AB38" i="2" s="1"/>
  <c r="AC474" i="25"/>
  <c r="AC633" i="25"/>
  <c r="AC766" i="25"/>
  <c r="AC767" i="25" s="1"/>
  <c r="AC729" i="25"/>
  <c r="AC708" i="25"/>
  <c r="AC713" i="25" s="1"/>
  <c r="AB69" i="2" s="1"/>
  <c r="AC689" i="25"/>
  <c r="AC691" i="25" s="1"/>
  <c r="AC632" i="25"/>
  <c r="AC637" i="25" s="1"/>
  <c r="AB65" i="2" s="1"/>
  <c r="U485" i="25"/>
  <c r="T57" i="2" s="1"/>
  <c r="W481" i="25"/>
  <c r="W482" i="25" s="1"/>
  <c r="AD687" i="25"/>
  <c r="AC398" i="25"/>
  <c r="AD472" i="25"/>
  <c r="AD396" i="25"/>
  <c r="Y708" i="25"/>
  <c r="Y713" i="25" s="1"/>
  <c r="X69" i="2" s="1"/>
  <c r="AD523" i="25"/>
  <c r="AA767" i="25"/>
  <c r="AC59" i="25"/>
  <c r="AD74" i="25"/>
  <c r="AC325" i="25"/>
  <c r="AD325" i="25" s="1"/>
  <c r="AC285" i="25"/>
  <c r="AC287" i="25" s="1"/>
  <c r="AC11" i="25"/>
  <c r="AD653" i="25"/>
  <c r="AC576" i="25"/>
  <c r="AD576" i="25" s="1"/>
  <c r="AC575" i="25"/>
  <c r="AC39" i="25"/>
  <c r="AC40" i="25" s="1"/>
  <c r="AC588" i="25"/>
  <c r="AC587" i="25"/>
  <c r="AD656" i="25"/>
  <c r="Y709" i="25"/>
  <c r="W729" i="25"/>
  <c r="W710" i="25"/>
  <c r="W594" i="25"/>
  <c r="W596" i="25" s="1"/>
  <c r="Y691" i="25"/>
  <c r="W634" i="25"/>
  <c r="AD690" i="25"/>
  <c r="U596" i="25"/>
  <c r="U599" i="25"/>
  <c r="T63" i="2" s="1"/>
  <c r="Y732" i="25"/>
  <c r="Y729" i="25"/>
  <c r="Y577" i="25"/>
  <c r="Y424" i="25"/>
  <c r="Y423" i="25"/>
  <c r="W558" i="25"/>
  <c r="I52" i="30"/>
  <c r="W305" i="25"/>
  <c r="W306" i="25" s="1"/>
  <c r="AA382" i="25"/>
  <c r="AC76" i="25"/>
  <c r="AC78" i="25" s="1"/>
  <c r="AD245" i="25"/>
  <c r="AC247" i="25"/>
  <c r="AC249" i="25" s="1"/>
  <c r="AA40" i="25"/>
  <c r="AA209" i="25"/>
  <c r="AA210" i="25"/>
  <c r="U309" i="25"/>
  <c r="T36" i="2" s="1"/>
  <c r="K82" i="5" s="1"/>
  <c r="N13" i="37" s="1"/>
  <c r="AC381" i="25"/>
  <c r="AC382" i="25" s="1"/>
  <c r="AC385" i="25"/>
  <c r="AB40" i="2" s="1"/>
  <c r="AA249" i="25"/>
  <c r="AC271" i="25"/>
  <c r="AB34" i="2" s="1"/>
  <c r="AA298" i="25"/>
  <c r="AA297" i="25"/>
  <c r="W309" i="25"/>
  <c r="V36" i="2" s="1"/>
  <c r="L82" i="5" s="1"/>
  <c r="O13" i="37" s="1"/>
  <c r="AC43" i="25"/>
  <c r="Y78" i="25"/>
  <c r="Y81" i="25"/>
  <c r="X24" i="2" s="1"/>
  <c r="AB25" i="2"/>
  <c r="AC25" i="2" s="1"/>
  <c r="AD25" i="2" s="1"/>
  <c r="AD100" i="25"/>
  <c r="AA230" i="25"/>
  <c r="AA233" i="25"/>
  <c r="G61" i="30"/>
  <c r="G123" i="5"/>
  <c r="G95" i="30" s="1"/>
  <c r="F61" i="30"/>
  <c r="Y366" i="25"/>
  <c r="AC747" i="25"/>
  <c r="AD747" i="25" s="1"/>
  <c r="AA751" i="25"/>
  <c r="Z71" i="2" s="1"/>
  <c r="AA748" i="25"/>
  <c r="AC751" i="25"/>
  <c r="AA362" i="25"/>
  <c r="AA363" i="25" s="1"/>
  <c r="AA366" i="25"/>
  <c r="T55" i="2"/>
  <c r="AD453" i="25"/>
  <c r="V55" i="2"/>
  <c r="L156" i="5" s="1"/>
  <c r="F94" i="5"/>
  <c r="AD744" i="25"/>
  <c r="V54" i="2"/>
  <c r="V53" i="2"/>
  <c r="L155" i="5" s="1"/>
  <c r="O43" i="37" s="1"/>
  <c r="X72" i="2"/>
  <c r="X34" i="2"/>
  <c r="AD134" i="25"/>
  <c r="AB28" i="2"/>
  <c r="Z26" i="2"/>
  <c r="AD112" i="25"/>
  <c r="AD77" i="25"/>
  <c r="AD60" i="25"/>
  <c r="X23" i="2"/>
  <c r="AD49" i="25"/>
  <c r="AD155" i="25"/>
  <c r="AD248" i="25"/>
  <c r="V35" i="2"/>
  <c r="L85" i="5" s="1"/>
  <c r="O16" i="37" s="1"/>
  <c r="V22" i="2"/>
  <c r="G94" i="5"/>
  <c r="G66" i="30" s="1"/>
  <c r="AD434" i="25"/>
  <c r="H130" i="5"/>
  <c r="H102" i="30" s="1"/>
  <c r="H61" i="30"/>
  <c r="AD328" i="25"/>
  <c r="AC37" i="2"/>
  <c r="AD37" i="2" s="1"/>
  <c r="H94" i="5"/>
  <c r="AD30" i="25"/>
  <c r="AD378" i="25"/>
  <c r="AD277" i="25"/>
  <c r="AD353" i="25"/>
  <c r="AD138" i="25"/>
  <c r="M7" i="37" l="1"/>
  <c r="M13" i="37"/>
  <c r="M10" i="37"/>
  <c r="M16" i="37"/>
  <c r="I58" i="30"/>
  <c r="I89" i="5"/>
  <c r="I123" i="5" s="1"/>
  <c r="I130" i="5" s="1"/>
  <c r="I102" i="30" s="1"/>
  <c r="L183" i="30"/>
  <c r="O44" i="37"/>
  <c r="M179" i="30"/>
  <c r="P40" i="37"/>
  <c r="N7" i="37"/>
  <c r="O10" i="37"/>
  <c r="O7" i="37"/>
  <c r="K54" i="30"/>
  <c r="L57" i="30"/>
  <c r="L54" i="30"/>
  <c r="J54" i="30"/>
  <c r="J57" i="30"/>
  <c r="J86" i="5"/>
  <c r="J89" i="5" s="1"/>
  <c r="AD212" i="25"/>
  <c r="L182" i="30"/>
  <c r="L152" i="5"/>
  <c r="O40" i="37" s="1"/>
  <c r="AA78" i="25"/>
  <c r="AD78" i="25" s="1"/>
  <c r="AD504" i="25"/>
  <c r="AD706" i="25"/>
  <c r="AA708" i="25"/>
  <c r="AA710" i="25" s="1"/>
  <c r="AA577" i="25"/>
  <c r="AD193" i="25"/>
  <c r="AC592" i="25"/>
  <c r="AD711" i="25"/>
  <c r="AA423" i="25"/>
  <c r="AA425" i="25" s="1"/>
  <c r="AA592" i="25"/>
  <c r="AA595" i="25" s="1"/>
  <c r="AC402" i="25"/>
  <c r="AC405" i="25" s="1"/>
  <c r="AA483" i="25"/>
  <c r="Z483" i="25" s="1"/>
  <c r="AC38" i="2"/>
  <c r="AD38" i="2" s="1"/>
  <c r="AD709" i="25"/>
  <c r="AC478" i="25"/>
  <c r="AC480" i="25" s="1"/>
  <c r="AC485" i="25" s="1"/>
  <c r="AB57" i="2" s="1"/>
  <c r="AA302" i="25"/>
  <c r="AA17" i="25"/>
  <c r="AA20" i="25" s="1"/>
  <c r="AA22" i="25"/>
  <c r="Z22" i="25" s="1"/>
  <c r="AC13" i="25"/>
  <c r="Y20" i="25"/>
  <c r="Y21" i="25" s="1"/>
  <c r="AC297" i="25"/>
  <c r="AA478" i="25"/>
  <c r="AA480" i="25" s="1"/>
  <c r="AC298" i="25"/>
  <c r="AD296" i="25"/>
  <c r="AC268" i="25"/>
  <c r="AD268" i="25" s="1"/>
  <c r="AD230" i="25"/>
  <c r="AC233" i="25"/>
  <c r="AB32" i="2" s="1"/>
  <c r="AA597" i="25"/>
  <c r="Z597" i="25" s="1"/>
  <c r="AC191" i="25"/>
  <c r="AC192" i="25" s="1"/>
  <c r="AD192" i="25" s="1"/>
  <c r="AA557" i="25"/>
  <c r="AA558" i="25" s="1"/>
  <c r="AD554" i="25"/>
  <c r="AD188" i="25"/>
  <c r="AD635" i="25"/>
  <c r="AA632" i="25"/>
  <c r="AA637" i="25" s="1"/>
  <c r="Z65" i="2" s="1"/>
  <c r="AC65" i="2" s="1"/>
  <c r="AD65" i="2" s="1"/>
  <c r="AA633" i="25"/>
  <c r="Z730" i="25"/>
  <c r="AD730" i="25"/>
  <c r="AA727" i="25"/>
  <c r="AA732" i="25" s="1"/>
  <c r="Z70" i="2" s="1"/>
  <c r="AD725" i="25"/>
  <c r="AA728" i="25"/>
  <c r="AA307" i="25"/>
  <c r="Z307" i="25" s="1"/>
  <c r="AC483" i="25"/>
  <c r="AB483" i="25" s="1"/>
  <c r="AD426" i="25"/>
  <c r="AC597" i="25"/>
  <c r="AB597" i="25" s="1"/>
  <c r="AD559" i="25"/>
  <c r="AC407" i="25"/>
  <c r="AB407" i="25" s="1"/>
  <c r="AC344" i="25"/>
  <c r="AD344" i="25" s="1"/>
  <c r="AD343" i="25"/>
  <c r="AD347" i="25"/>
  <c r="AC634" i="25"/>
  <c r="AC423" i="25"/>
  <c r="AC428" i="25" s="1"/>
  <c r="AB54" i="2" s="1"/>
  <c r="AD767" i="25"/>
  <c r="AD766" i="25"/>
  <c r="AC694" i="25"/>
  <c r="AB68" i="2" s="1"/>
  <c r="AC68" i="2" s="1"/>
  <c r="AD68" i="2" s="1"/>
  <c r="AC710" i="25"/>
  <c r="Y710" i="25"/>
  <c r="AD691" i="25"/>
  <c r="AC556" i="25"/>
  <c r="AC561" i="25" s="1"/>
  <c r="AC290" i="25"/>
  <c r="AC12" i="25"/>
  <c r="AD11" i="25"/>
  <c r="AC557" i="25"/>
  <c r="AA405" i="25"/>
  <c r="AA404" i="25"/>
  <c r="AC577" i="25"/>
  <c r="AC580" i="25"/>
  <c r="AC81" i="25"/>
  <c r="AB24" i="2" s="1"/>
  <c r="AC24" i="2" s="1"/>
  <c r="AD24" i="2" s="1"/>
  <c r="Y595" i="25"/>
  <c r="W599" i="25"/>
  <c r="V63" i="2" s="1"/>
  <c r="Y480" i="25"/>
  <c r="Y482" i="25" s="1"/>
  <c r="K156" i="5"/>
  <c r="X70" i="2"/>
  <c r="Y428" i="25"/>
  <c r="Y425" i="25"/>
  <c r="L80" i="5"/>
  <c r="O11" i="37" s="1"/>
  <c r="AC210" i="25"/>
  <c r="AC211" i="25" s="1"/>
  <c r="AC252" i="25"/>
  <c r="AB33" i="2" s="1"/>
  <c r="AC33" i="2" s="1"/>
  <c r="AD33" i="2" s="1"/>
  <c r="AD381" i="25"/>
  <c r="AA214" i="25"/>
  <c r="Z31" i="2" s="1"/>
  <c r="AC31" i="2" s="1"/>
  <c r="AD31" i="2" s="1"/>
  <c r="AA211" i="25"/>
  <c r="Y305" i="25"/>
  <c r="Y306" i="25" s="1"/>
  <c r="T41" i="2"/>
  <c r="T42" i="2" s="1"/>
  <c r="K80" i="5"/>
  <c r="N11" i="37" s="1"/>
  <c r="AD271" i="25"/>
  <c r="AC34" i="2"/>
  <c r="AD34" i="2" s="1"/>
  <c r="Z32" i="2"/>
  <c r="L84" i="5"/>
  <c r="O15" i="37" s="1"/>
  <c r="AC748" i="25"/>
  <c r="AD748" i="25" s="1"/>
  <c r="AC362" i="25"/>
  <c r="AC363" i="25" s="1"/>
  <c r="AC366" i="25"/>
  <c r="AD459" i="25"/>
  <c r="F66" i="30"/>
  <c r="AB71" i="2"/>
  <c r="AC71" i="2" s="1"/>
  <c r="AD71" i="2" s="1"/>
  <c r="AD421" i="25"/>
  <c r="AD424" i="25"/>
  <c r="AD770" i="25"/>
  <c r="AC72" i="2"/>
  <c r="AD72" i="2" s="1"/>
  <c r="L81" i="5"/>
  <c r="O12" i="37" s="1"/>
  <c r="L83" i="5"/>
  <c r="AD150" i="25"/>
  <c r="AD153" i="25"/>
  <c r="X39" i="2"/>
  <c r="AD207" i="25"/>
  <c r="AB30" i="2"/>
  <c r="AC30" i="2" s="1"/>
  <c r="AD30" i="2" s="1"/>
  <c r="X35" i="2"/>
  <c r="M84" i="5" s="1"/>
  <c r="P15" i="37" s="1"/>
  <c r="AD55" i="25"/>
  <c r="AD288" i="25"/>
  <c r="Z35" i="2"/>
  <c r="V41" i="2"/>
  <c r="V42" i="2" s="1"/>
  <c r="Z28" i="2"/>
  <c r="AD41" i="25"/>
  <c r="X22" i="2"/>
  <c r="AD36" i="25"/>
  <c r="AD364" i="25"/>
  <c r="AD359" i="25"/>
  <c r="G129" i="5"/>
  <c r="G101" i="30" s="1"/>
  <c r="G130" i="5"/>
  <c r="G102" i="30" s="1"/>
  <c r="G133" i="5"/>
  <c r="G105" i="30" s="1"/>
  <c r="G131" i="5"/>
  <c r="G103" i="30" s="1"/>
  <c r="G132" i="5"/>
  <c r="G104" i="30" s="1"/>
  <c r="G38" i="5"/>
  <c r="H133" i="5"/>
  <c r="H105" i="30" s="1"/>
  <c r="H129" i="5"/>
  <c r="H101" i="30" s="1"/>
  <c r="H131" i="5"/>
  <c r="H103" i="30" s="1"/>
  <c r="H38" i="5"/>
  <c r="H66" i="30"/>
  <c r="H132" i="5"/>
  <c r="H104" i="30" s="1"/>
  <c r="H95" i="30"/>
  <c r="AC40" i="2"/>
  <c r="AD40" i="2" s="1"/>
  <c r="AD385" i="25"/>
  <c r="AD116" i="25"/>
  <c r="Z39" i="2"/>
  <c r="AC27" i="2"/>
  <c r="AD27" i="2" s="1"/>
  <c r="M82" i="5"/>
  <c r="P13" i="37" s="1"/>
  <c r="G37" i="30" l="1"/>
  <c r="G96" i="30" s="1"/>
  <c r="G39" i="5"/>
  <c r="G40" i="5" s="1"/>
  <c r="H37" i="30"/>
  <c r="H96" i="30" s="1"/>
  <c r="H39" i="5"/>
  <c r="H38" i="30" s="1"/>
  <c r="O8" i="37"/>
  <c r="O14" i="37"/>
  <c r="K183" i="30"/>
  <c r="N44" i="37"/>
  <c r="J58" i="30"/>
  <c r="N5" i="37"/>
  <c r="P9" i="37"/>
  <c r="O9" i="37"/>
  <c r="O5" i="37"/>
  <c r="P7" i="37"/>
  <c r="O6" i="37"/>
  <c r="L52" i="30"/>
  <c r="L55" i="30"/>
  <c r="L56" i="30"/>
  <c r="M54" i="30"/>
  <c r="L53" i="30"/>
  <c r="M56" i="30"/>
  <c r="J123" i="5"/>
  <c r="J133" i="5" s="1"/>
  <c r="J105" i="30" s="1"/>
  <c r="L179" i="30"/>
  <c r="AD577" i="25"/>
  <c r="AA594" i="25"/>
  <c r="AA596" i="25" s="1"/>
  <c r="AC307" i="25"/>
  <c r="AB307" i="25" s="1"/>
  <c r="AD592" i="25"/>
  <c r="AA713" i="25"/>
  <c r="Z69" i="2" s="1"/>
  <c r="AC69" i="2" s="1"/>
  <c r="AD69" i="2" s="1"/>
  <c r="AA428" i="25"/>
  <c r="Z54" i="2" s="1"/>
  <c r="AC481" i="25"/>
  <c r="AC482" i="25" s="1"/>
  <c r="AD557" i="25"/>
  <c r="AC17" i="25"/>
  <c r="AC19" i="25" s="1"/>
  <c r="AC24" i="25" s="1"/>
  <c r="AB21" i="2" s="1"/>
  <c r="AC302" i="25"/>
  <c r="AC304" i="25" s="1"/>
  <c r="AC309" i="25" s="1"/>
  <c r="AB36" i="2" s="1"/>
  <c r="AD478" i="25"/>
  <c r="AA481" i="25"/>
  <c r="AA482" i="25" s="1"/>
  <c r="I61" i="30"/>
  <c r="I94" i="5"/>
  <c r="I38" i="5" s="1"/>
  <c r="AD191" i="25"/>
  <c r="AD233" i="25"/>
  <c r="AC32" i="2"/>
  <c r="AD32" i="2" s="1"/>
  <c r="AD637" i="25"/>
  <c r="AA634" i="25"/>
  <c r="AD634" i="25" s="1"/>
  <c r="AD732" i="25"/>
  <c r="AC70" i="2"/>
  <c r="AD70" i="2" s="1"/>
  <c r="AD633" i="25"/>
  <c r="AA729" i="25"/>
  <c r="AD729" i="25" s="1"/>
  <c r="AD728" i="25"/>
  <c r="AA19" i="25"/>
  <c r="AA24" i="25" s="1"/>
  <c r="AD483" i="25"/>
  <c r="AD597" i="25"/>
  <c r="AD402" i="25"/>
  <c r="AC404" i="25"/>
  <c r="AC406" i="25" s="1"/>
  <c r="AD407" i="25"/>
  <c r="AC22" i="25"/>
  <c r="AB22" i="25" s="1"/>
  <c r="AC425" i="25"/>
  <c r="AD425" i="25" s="1"/>
  <c r="AD81" i="25"/>
  <c r="AD405" i="25"/>
  <c r="AD694" i="25"/>
  <c r="AC595" i="25"/>
  <c r="AD595" i="25" s="1"/>
  <c r="AC594" i="25"/>
  <c r="AC599" i="25" s="1"/>
  <c r="AB63" i="2" s="1"/>
  <c r="AD710" i="25"/>
  <c r="Y596" i="25"/>
  <c r="AD252" i="25"/>
  <c r="Y485" i="25"/>
  <c r="X57" i="2" s="1"/>
  <c r="AC558" i="25"/>
  <c r="AD558" i="25" s="1"/>
  <c r="AB62" i="2"/>
  <c r="AC62" i="2" s="1"/>
  <c r="AD62" i="2" s="1"/>
  <c r="AD580" i="25"/>
  <c r="AB61" i="2"/>
  <c r="AC61" i="2" s="1"/>
  <c r="AD61" i="2" s="1"/>
  <c r="AD561" i="25"/>
  <c r="AA485" i="25"/>
  <c r="Z57" i="2" s="1"/>
  <c r="AA409" i="25"/>
  <c r="AA406" i="25"/>
  <c r="K52" i="30"/>
  <c r="K86" i="5"/>
  <c r="K89" i="5" s="1"/>
  <c r="AA304" i="25"/>
  <c r="AA305" i="25"/>
  <c r="AD462" i="25"/>
  <c r="Z56" i="2"/>
  <c r="X55" i="2"/>
  <c r="M156" i="5" s="1"/>
  <c r="P44" i="37" s="1"/>
  <c r="AB56" i="2"/>
  <c r="L86" i="5"/>
  <c r="M81" i="5"/>
  <c r="P12" i="37" s="1"/>
  <c r="M83" i="5"/>
  <c r="P14" i="37" s="1"/>
  <c r="AD58" i="25"/>
  <c r="AD154" i="25"/>
  <c r="AD214" i="25"/>
  <c r="AD157" i="25"/>
  <c r="AD195" i="25"/>
  <c r="AD210" i="25"/>
  <c r="AB26" i="2"/>
  <c r="AC26" i="2" s="1"/>
  <c r="AD26" i="2" s="1"/>
  <c r="AD119" i="25"/>
  <c r="Z23" i="2"/>
  <c r="N85" i="5" s="1"/>
  <c r="Q16" i="37" s="1"/>
  <c r="AD39" i="25"/>
  <c r="Z22" i="2"/>
  <c r="AD286" i="25"/>
  <c r="AB35" i="2"/>
  <c r="AD283" i="25"/>
  <c r="AD362" i="25"/>
  <c r="AB39" i="2"/>
  <c r="AD443" i="25"/>
  <c r="AD249" i="25"/>
  <c r="AD440" i="25"/>
  <c r="G106" i="30"/>
  <c r="G134" i="5"/>
  <c r="G124" i="5"/>
  <c r="H106" i="30"/>
  <c r="H124" i="5"/>
  <c r="H134" i="5"/>
  <c r="I132" i="5"/>
  <c r="I104" i="30" s="1"/>
  <c r="I133" i="5"/>
  <c r="I105" i="30" s="1"/>
  <c r="I131" i="5"/>
  <c r="I103" i="30" s="1"/>
  <c r="I129" i="5"/>
  <c r="I101" i="30" s="1"/>
  <c r="I95" i="30"/>
  <c r="M80" i="5"/>
  <c r="P11" i="37" s="1"/>
  <c r="M85" i="5"/>
  <c r="P16" i="37" s="1"/>
  <c r="AD382" i="25"/>
  <c r="AD211" i="25"/>
  <c r="X41" i="2"/>
  <c r="X42" i="2" s="1"/>
  <c r="AC28" i="2"/>
  <c r="AD28" i="2" s="1"/>
  <c r="H39" i="30" l="1"/>
  <c r="I37" i="30"/>
  <c r="I96" i="30" s="1"/>
  <c r="I39" i="5"/>
  <c r="I40" i="5" s="1"/>
  <c r="L58" i="30"/>
  <c r="L89" i="5"/>
  <c r="P8" i="37"/>
  <c r="P10" i="37"/>
  <c r="P5" i="37"/>
  <c r="Q10" i="37"/>
  <c r="P6" i="37"/>
  <c r="M55" i="30"/>
  <c r="N57" i="30"/>
  <c r="M52" i="30"/>
  <c r="M53" i="30"/>
  <c r="J61" i="30"/>
  <c r="J94" i="5"/>
  <c r="J66" i="30" s="1"/>
  <c r="AD307" i="25"/>
  <c r="AA599" i="25"/>
  <c r="Z63" i="2" s="1"/>
  <c r="AC63" i="2" s="1"/>
  <c r="AD63" i="2" s="1"/>
  <c r="AD713" i="25"/>
  <c r="AD302" i="25"/>
  <c r="AC305" i="25"/>
  <c r="AC306" i="25" s="1"/>
  <c r="AD482" i="25"/>
  <c r="AD481" i="25"/>
  <c r="I66" i="30"/>
  <c r="AA21" i="25"/>
  <c r="AC409" i="25"/>
  <c r="AB53" i="2" s="1"/>
  <c r="O155" i="5" s="1"/>
  <c r="AD22" i="25"/>
  <c r="AD17" i="25"/>
  <c r="AD406" i="25"/>
  <c r="AC20" i="25"/>
  <c r="AD20" i="25" s="1"/>
  <c r="AC596" i="25"/>
  <c r="AD596" i="25" s="1"/>
  <c r="AD485" i="25"/>
  <c r="AC57" i="2"/>
  <c r="AD57" i="2" s="1"/>
  <c r="Z53" i="2"/>
  <c r="N155" i="5" s="1"/>
  <c r="Q43" i="37" s="1"/>
  <c r="AA306" i="25"/>
  <c r="AA309" i="25"/>
  <c r="K94" i="5"/>
  <c r="K58" i="30"/>
  <c r="M183" i="30"/>
  <c r="AD463" i="25"/>
  <c r="Z55" i="2"/>
  <c r="N156" i="5" s="1"/>
  <c r="AB55" i="2"/>
  <c r="AD466" i="25"/>
  <c r="AC56" i="2"/>
  <c r="AD56" i="2" s="1"/>
  <c r="X54" i="2"/>
  <c r="AD428" i="25"/>
  <c r="AD59" i="25"/>
  <c r="AB23" i="2"/>
  <c r="AC23" i="2" s="1"/>
  <c r="AD23" i="2" s="1"/>
  <c r="AB22" i="2"/>
  <c r="O83" i="5" s="1"/>
  <c r="R14" i="37" s="1"/>
  <c r="AD363" i="25"/>
  <c r="AD287" i="25"/>
  <c r="AD24" i="25"/>
  <c r="Z21" i="2"/>
  <c r="N81" i="5" s="1"/>
  <c r="Q12" i="37" s="1"/>
  <c r="G38" i="30"/>
  <c r="G39" i="30" s="1"/>
  <c r="H40" i="5"/>
  <c r="I106" i="30"/>
  <c r="I124" i="5"/>
  <c r="J129" i="5"/>
  <c r="J101" i="30" s="1"/>
  <c r="I134" i="5"/>
  <c r="J130" i="5"/>
  <c r="J102" i="30" s="1"/>
  <c r="J132" i="5"/>
  <c r="J104" i="30" s="1"/>
  <c r="J131" i="5"/>
  <c r="J103" i="30" s="1"/>
  <c r="J95" i="30"/>
  <c r="AD447" i="25"/>
  <c r="AC39" i="2"/>
  <c r="AD39" i="2" s="1"/>
  <c r="M86" i="5"/>
  <c r="M57" i="30"/>
  <c r="AD366" i="25"/>
  <c r="AD290" i="25"/>
  <c r="O84" i="5" l="1"/>
  <c r="R15" i="37" s="1"/>
  <c r="M58" i="30"/>
  <c r="M89" i="5"/>
  <c r="M123" i="5" s="1"/>
  <c r="N183" i="30"/>
  <c r="Q44" i="37"/>
  <c r="O182" i="30"/>
  <c r="R43" i="37"/>
  <c r="J38" i="5"/>
  <c r="Q6" i="37"/>
  <c r="R8" i="37"/>
  <c r="N53" i="30"/>
  <c r="O55" i="30"/>
  <c r="N182" i="30"/>
  <c r="P155" i="5"/>
  <c r="H43" i="37" s="1"/>
  <c r="X43" i="37" s="1"/>
  <c r="AD306" i="25"/>
  <c r="AD599" i="25"/>
  <c r="N152" i="5"/>
  <c r="Q40" i="37" s="1"/>
  <c r="O152" i="5"/>
  <c r="AD305" i="25"/>
  <c r="O82" i="5"/>
  <c r="R13" i="37" s="1"/>
  <c r="AD409" i="25"/>
  <c r="AC53" i="2"/>
  <c r="AD53" i="2" s="1"/>
  <c r="AC21" i="25"/>
  <c r="AD21" i="25" s="1"/>
  <c r="K38" i="5"/>
  <c r="K39" i="5" s="1"/>
  <c r="K66" i="30"/>
  <c r="K123" i="5"/>
  <c r="K61" i="30"/>
  <c r="Z36" i="2"/>
  <c r="AC36" i="2" s="1"/>
  <c r="AD36" i="2" s="1"/>
  <c r="AD309" i="25"/>
  <c r="L94" i="5"/>
  <c r="L66" i="30" s="1"/>
  <c r="L123" i="5"/>
  <c r="L95" i="30" s="1"/>
  <c r="O156" i="5"/>
  <c r="AD464" i="25"/>
  <c r="O85" i="5"/>
  <c r="R16" i="37" s="1"/>
  <c r="L61" i="30"/>
  <c r="AC54" i="2"/>
  <c r="AD54" i="2" s="1"/>
  <c r="N80" i="5"/>
  <c r="Q11" i="37" s="1"/>
  <c r="N83" i="5"/>
  <c r="Q14" i="37" s="1"/>
  <c r="AC22" i="2"/>
  <c r="AD22" i="2" s="1"/>
  <c r="O81" i="5"/>
  <c r="R12" i="37" s="1"/>
  <c r="AD62" i="25"/>
  <c r="AD43" i="25"/>
  <c r="N84" i="5"/>
  <c r="Q15" i="37" s="1"/>
  <c r="N82" i="5"/>
  <c r="Q13" i="37" s="1"/>
  <c r="AC21" i="2"/>
  <c r="AD21" i="2" s="1"/>
  <c r="AD444" i="25"/>
  <c r="AD40" i="25"/>
  <c r="I38" i="30"/>
  <c r="I39" i="30" s="1"/>
  <c r="J106" i="30"/>
  <c r="J134" i="5"/>
  <c r="AC55" i="2"/>
  <c r="AD55" i="2" s="1"/>
  <c r="O80" i="5"/>
  <c r="R11" i="37" s="1"/>
  <c r="AC35" i="2"/>
  <c r="AD35" i="2" s="1"/>
  <c r="AB41" i="2"/>
  <c r="AB42" i="2" s="1"/>
  <c r="R9" i="37" l="1"/>
  <c r="O56" i="30"/>
  <c r="J124" i="5"/>
  <c r="J39" i="5"/>
  <c r="J40" i="5" s="1"/>
  <c r="P182" i="30"/>
  <c r="O183" i="30"/>
  <c r="P183" i="30" s="1"/>
  <c r="R44" i="37"/>
  <c r="O179" i="30"/>
  <c r="R40" i="37"/>
  <c r="V43" i="37"/>
  <c r="W43" i="37"/>
  <c r="S43" i="37" a="1"/>
  <c r="S43" i="37" s="1"/>
  <c r="T43" i="37"/>
  <c r="U43" i="37" a="1"/>
  <c r="U43" i="37" s="1"/>
  <c r="J37" i="30"/>
  <c r="J96" i="30" s="1"/>
  <c r="Q8" i="37"/>
  <c r="Q5" i="37"/>
  <c r="R10" i="37"/>
  <c r="Q7" i="37"/>
  <c r="Q9" i="37"/>
  <c r="R5" i="37"/>
  <c r="R6" i="37"/>
  <c r="R7" i="37"/>
  <c r="O57" i="30"/>
  <c r="P57" i="30" s="1"/>
  <c r="O52" i="30"/>
  <c r="O54" i="30"/>
  <c r="N52" i="30"/>
  <c r="N179" i="30"/>
  <c r="P152" i="5"/>
  <c r="H40" i="37" s="1"/>
  <c r="Z41" i="2"/>
  <c r="Z42" i="2" s="1"/>
  <c r="K129" i="5"/>
  <c r="K130" i="5"/>
  <c r="K102" i="30" s="1"/>
  <c r="K132" i="5"/>
  <c r="K104" i="30" s="1"/>
  <c r="K95" i="30"/>
  <c r="K133" i="5"/>
  <c r="K105" i="30" s="1"/>
  <c r="K131" i="5"/>
  <c r="K103" i="30" s="1"/>
  <c r="K124" i="5"/>
  <c r="K37" i="30"/>
  <c r="L38" i="5"/>
  <c r="P156" i="5"/>
  <c r="H44" i="37" s="1"/>
  <c r="X44" i="37" s="1"/>
  <c r="P85" i="5"/>
  <c r="H16" i="37" s="1"/>
  <c r="L131" i="5"/>
  <c r="L103" i="30" s="1"/>
  <c r="L129" i="5"/>
  <c r="L101" i="30" s="1"/>
  <c r="L132" i="5"/>
  <c r="L104" i="30" s="1"/>
  <c r="L133" i="5"/>
  <c r="L105" i="30" s="1"/>
  <c r="L130" i="5"/>
  <c r="L102" i="30" s="1"/>
  <c r="N55" i="30"/>
  <c r="P55" i="30" s="1"/>
  <c r="P83" i="5"/>
  <c r="H14" i="37" s="1"/>
  <c r="P81" i="5"/>
  <c r="H12" i="37" s="1"/>
  <c r="O53" i="30"/>
  <c r="P53" i="30" s="1"/>
  <c r="N54" i="30"/>
  <c r="P82" i="5"/>
  <c r="H13" i="37" s="1"/>
  <c r="N86" i="5"/>
  <c r="N89" i="5" s="1"/>
  <c r="P84" i="5"/>
  <c r="H15" i="37" s="1"/>
  <c r="N56" i="30"/>
  <c r="M94" i="5"/>
  <c r="M61" i="30"/>
  <c r="P80" i="5"/>
  <c r="H11" i="37" s="1"/>
  <c r="O86" i="5"/>
  <c r="P56" i="30" l="1"/>
  <c r="L124" i="5"/>
  <c r="L39" i="5"/>
  <c r="L40" i="5" s="1"/>
  <c r="S16" i="37" a="1"/>
  <c r="S16" i="37" s="1"/>
  <c r="V16" i="37"/>
  <c r="U16" i="37" a="1"/>
  <c r="U16" i="37" s="1"/>
  <c r="X16" i="37"/>
  <c r="T16" i="37"/>
  <c r="W16" i="37"/>
  <c r="U13" i="37" a="1"/>
  <c r="U13" i="37" s="1"/>
  <c r="V13" i="37" s="1"/>
  <c r="S13" i="37" a="1"/>
  <c r="S13" i="37" s="1"/>
  <c r="T13" i="37" s="1"/>
  <c r="S12" i="37" a="1"/>
  <c r="S12" i="37" s="1"/>
  <c r="T12" i="37" s="1"/>
  <c r="U12" i="37" a="1"/>
  <c r="U12" i="37" s="1"/>
  <c r="V12" i="37" s="1"/>
  <c r="U14" i="37" a="1"/>
  <c r="U14" i="37" s="1"/>
  <c r="V14" i="37" s="1"/>
  <c r="S14" i="37" a="1"/>
  <c r="S14" i="37" s="1"/>
  <c r="T14" i="37" s="1"/>
  <c r="S15" i="37" a="1"/>
  <c r="S15" i="37" s="1"/>
  <c r="T15" i="37" s="1"/>
  <c r="U15" i="37" a="1"/>
  <c r="U15" i="37" s="1"/>
  <c r="V15" i="37" s="1"/>
  <c r="O58" i="30"/>
  <c r="O89" i="5"/>
  <c r="O123" i="5" s="1"/>
  <c r="U11" i="37" a="1"/>
  <c r="U11" i="37" s="1"/>
  <c r="V11" i="37" s="1"/>
  <c r="S11" i="37" a="1"/>
  <c r="S11" i="37" s="1"/>
  <c r="T11" i="37" s="1"/>
  <c r="J38" i="30"/>
  <c r="J39" i="30" s="1"/>
  <c r="P179" i="30"/>
  <c r="U40" i="37" a="1"/>
  <c r="U40" i="37" s="1"/>
  <c r="V40" i="37" s="1"/>
  <c r="S40" i="37" a="1"/>
  <c r="S40" i="37" s="1"/>
  <c r="T40" i="37" s="1"/>
  <c r="S44" i="37" a="1"/>
  <c r="S44" i="37" s="1"/>
  <c r="T44" i="37"/>
  <c r="U44" i="37" a="1"/>
  <c r="U44" i="37" s="1"/>
  <c r="V44" i="37"/>
  <c r="W44" i="37"/>
  <c r="H6" i="37"/>
  <c r="H5" i="37"/>
  <c r="H8" i="37"/>
  <c r="H9" i="37"/>
  <c r="H10" i="37"/>
  <c r="H7" i="37"/>
  <c r="P54" i="30"/>
  <c r="P52" i="30"/>
  <c r="AC41" i="2"/>
  <c r="K96" i="30"/>
  <c r="K40" i="5"/>
  <c r="K38" i="30"/>
  <c r="K39" i="30" s="1"/>
  <c r="K101" i="30"/>
  <c r="K106" i="30" s="1"/>
  <c r="K134" i="5"/>
  <c r="L37" i="30"/>
  <c r="L96" i="30" s="1"/>
  <c r="L134" i="5"/>
  <c r="N58" i="30"/>
  <c r="N123" i="5"/>
  <c r="M38" i="5"/>
  <c r="M39" i="5" s="1"/>
  <c r="M66" i="30"/>
  <c r="M130" i="5"/>
  <c r="M102" i="30" s="1"/>
  <c r="M95" i="30"/>
  <c r="M133" i="5"/>
  <c r="M105" i="30" s="1"/>
  <c r="M131" i="5"/>
  <c r="M103" i="30" s="1"/>
  <c r="M129" i="5"/>
  <c r="M101" i="30" s="1"/>
  <c r="M132" i="5"/>
  <c r="M104" i="30" s="1"/>
  <c r="L106" i="30"/>
  <c r="P86" i="5"/>
  <c r="AC42" i="2" l="1"/>
  <c r="F21" i="43"/>
  <c r="P58" i="30"/>
  <c r="U7" i="37" a="1"/>
  <c r="U7" i="37" s="1"/>
  <c r="V7" i="37" s="1"/>
  <c r="S7" i="37" a="1"/>
  <c r="S7" i="37" s="1"/>
  <c r="T7" i="37" s="1"/>
  <c r="U5" i="37" a="1"/>
  <c r="U5" i="37" s="1"/>
  <c r="V5" i="37" s="1"/>
  <c r="S5" i="37" a="1"/>
  <c r="S5" i="37" s="1"/>
  <c r="T5" i="37" s="1"/>
  <c r="W5" i="37"/>
  <c r="X5" i="37" s="1"/>
  <c r="U10" i="37" a="1"/>
  <c r="U10" i="37" s="1"/>
  <c r="V10" i="37" s="1"/>
  <c r="S10" i="37" a="1"/>
  <c r="S10" i="37" s="1"/>
  <c r="T10" i="37" s="1"/>
  <c r="S9" i="37" a="1"/>
  <c r="S9" i="37" s="1"/>
  <c r="T9" i="37" s="1"/>
  <c r="U9" i="37" a="1"/>
  <c r="U9" i="37" s="1"/>
  <c r="V9" i="37" s="1"/>
  <c r="S8" i="37" a="1"/>
  <c r="S8" i="37" s="1"/>
  <c r="T8" i="37" s="1"/>
  <c r="U8" i="37" a="1"/>
  <c r="U8" i="37" s="1"/>
  <c r="V8" i="37" s="1"/>
  <c r="S6" i="37" a="1"/>
  <c r="S6" i="37" s="1"/>
  <c r="T6" i="37" s="1"/>
  <c r="U6" i="37" a="1"/>
  <c r="U6" i="37" s="1"/>
  <c r="V6" i="37" s="1"/>
  <c r="AD41" i="2"/>
  <c r="L38" i="30"/>
  <c r="L39" i="30" s="1"/>
  <c r="N61" i="30"/>
  <c r="N94" i="5"/>
  <c r="M38" i="30"/>
  <c r="M37" i="30"/>
  <c r="M96" i="30" s="1"/>
  <c r="M124" i="5"/>
  <c r="O94" i="5"/>
  <c r="O66" i="30" s="1"/>
  <c r="O61" i="30"/>
  <c r="M106" i="30"/>
  <c r="M134" i="5"/>
  <c r="O95" i="30"/>
  <c r="P89" i="5"/>
  <c r="F25" i="43" l="1"/>
  <c r="F41" i="43" s="1"/>
  <c r="F32" i="43"/>
  <c r="F24" i="43"/>
  <c r="F23" i="43"/>
  <c r="F31" i="43"/>
  <c r="AD42" i="2"/>
  <c r="E21" i="43"/>
  <c r="W6" i="37"/>
  <c r="X6" i="37" s="1"/>
  <c r="P61" i="30"/>
  <c r="N66" i="30"/>
  <c r="P66" i="30" s="1"/>
  <c r="N38" i="5"/>
  <c r="N39" i="5" s="1"/>
  <c r="N133" i="5"/>
  <c r="N105" i="30" s="1"/>
  <c r="N131" i="5"/>
  <c r="N103" i="30" s="1"/>
  <c r="N130" i="5"/>
  <c r="N102" i="30" s="1"/>
  <c r="N129" i="5"/>
  <c r="N132" i="5"/>
  <c r="N104" i="30" s="1"/>
  <c r="N95" i="30"/>
  <c r="M40" i="5"/>
  <c r="M39" i="30"/>
  <c r="P94" i="5"/>
  <c r="O38" i="5"/>
  <c r="O131" i="5"/>
  <c r="O130" i="5"/>
  <c r="O133" i="5"/>
  <c r="O132" i="5"/>
  <c r="O129" i="5"/>
  <c r="O101" i="30" s="1"/>
  <c r="W7" i="37" l="1"/>
  <c r="X7" i="37" s="1"/>
  <c r="W8" i="37" s="1"/>
  <c r="X8" i="37" s="1"/>
  <c r="H5" i="43"/>
  <c r="B23" i="20"/>
  <c r="U6" i="5"/>
  <c r="J30" i="5"/>
  <c r="D31" i="30" s="1"/>
  <c r="C7" i="43"/>
  <c r="D30" i="5"/>
  <c r="D29" i="30" s="1"/>
  <c r="O124" i="5"/>
  <c r="O39" i="5"/>
  <c r="G41" i="43"/>
  <c r="F42" i="43"/>
  <c r="E25" i="43"/>
  <c r="E31" i="43"/>
  <c r="E23" i="43"/>
  <c r="E24" i="43"/>
  <c r="E32" i="43"/>
  <c r="W9" i="37"/>
  <c r="X9" i="37" s="1"/>
  <c r="N101" i="30"/>
  <c r="N106" i="30" s="1"/>
  <c r="N134" i="5"/>
  <c r="N37" i="30"/>
  <c r="N96" i="30" s="1"/>
  <c r="N124" i="5"/>
  <c r="O102" i="30"/>
  <c r="O103" i="30"/>
  <c r="O37" i="30"/>
  <c r="O96" i="30" s="1"/>
  <c r="O104" i="30"/>
  <c r="O105" i="30"/>
  <c r="U5" i="30"/>
  <c r="O134" i="5"/>
  <c r="G42" i="43" l="1"/>
  <c r="D32" i="5"/>
  <c r="P42" i="5"/>
  <c r="F45" i="43"/>
  <c r="P45" i="5" s="1"/>
  <c r="W10" i="37"/>
  <c r="X10" i="37" s="1"/>
  <c r="N40" i="5"/>
  <c r="N38" i="30"/>
  <c r="N39" i="30" s="1"/>
  <c r="O106" i="30"/>
  <c r="O38" i="30"/>
  <c r="O40" i="5"/>
  <c r="W11" i="37" l="1"/>
  <c r="X11" i="37" s="1"/>
  <c r="W12" i="37" s="1"/>
  <c r="X12" i="37" s="1"/>
  <c r="W18" i="37"/>
  <c r="X18" i="37" s="1"/>
  <c r="O39" i="30"/>
  <c r="W13" i="37" l="1"/>
  <c r="X13" i="37" s="1"/>
  <c r="W14" i="37" s="1"/>
  <c r="X14" i="37" s="1"/>
  <c r="W15" i="37" s="1"/>
  <c r="X15" i="37" s="1"/>
  <c r="W35" i="37"/>
  <c r="X35" i="37" s="1"/>
  <c r="AD535" i="25"/>
  <c r="AD538" i="25"/>
  <c r="AD445" i="25"/>
  <c r="L60" i="2"/>
  <c r="AD540" i="25"/>
  <c r="P60" i="2"/>
  <c r="N60" i="2"/>
  <c r="R60" i="2"/>
  <c r="T60" i="2"/>
  <c r="V60" i="2"/>
  <c r="Z60" i="2"/>
  <c r="X60" i="2"/>
  <c r="AB60" i="2"/>
  <c r="W17" i="37" l="1"/>
  <c r="X17" i="37" s="1"/>
  <c r="W19" i="37" s="1"/>
  <c r="X19" i="37" s="1"/>
  <c r="I151" i="5"/>
  <c r="I153" i="5"/>
  <c r="J151" i="5"/>
  <c r="J153" i="5"/>
  <c r="H151" i="5"/>
  <c r="H153" i="5"/>
  <c r="O151" i="5"/>
  <c r="O153" i="5"/>
  <c r="M151" i="5"/>
  <c r="M153" i="5"/>
  <c r="G151" i="5"/>
  <c r="G153" i="5"/>
  <c r="N151" i="5"/>
  <c r="N153" i="5"/>
  <c r="L151" i="5"/>
  <c r="L153" i="5"/>
  <c r="K151" i="5"/>
  <c r="K153" i="5"/>
  <c r="L73" i="2"/>
  <c r="G154" i="5"/>
  <c r="J42" i="37" s="1"/>
  <c r="Z73" i="2"/>
  <c r="N154" i="5"/>
  <c r="Q42" i="37" s="1"/>
  <c r="R73" i="2"/>
  <c r="J154" i="5"/>
  <c r="M42" i="37" s="1"/>
  <c r="N73" i="2"/>
  <c r="H154" i="5"/>
  <c r="K42" i="37" s="1"/>
  <c r="P73" i="2"/>
  <c r="I154" i="5"/>
  <c r="L42" i="37" s="1"/>
  <c r="X73" i="2"/>
  <c r="M154" i="5"/>
  <c r="P42" i="37" s="1"/>
  <c r="V73" i="2"/>
  <c r="L154" i="5"/>
  <c r="O42" i="37" s="1"/>
  <c r="T73" i="2"/>
  <c r="K154" i="5"/>
  <c r="N42" i="37" s="1"/>
  <c r="AB73" i="2"/>
  <c r="O154" i="5"/>
  <c r="R42" i="37" s="1"/>
  <c r="AD539" i="25"/>
  <c r="W20" i="37" l="1"/>
  <c r="X20" i="37" s="1"/>
  <c r="W22" i="37" s="1"/>
  <c r="X22" i="37" s="1"/>
  <c r="W23" i="37"/>
  <c r="X23" i="37" s="1"/>
  <c r="W31" i="37"/>
  <c r="X31" i="37" s="1"/>
  <c r="G180" i="30"/>
  <c r="J41" i="37"/>
  <c r="G178" i="30"/>
  <c r="J39" i="37"/>
  <c r="M180" i="30"/>
  <c r="P41" i="37"/>
  <c r="M178" i="30"/>
  <c r="P39" i="37"/>
  <c r="O180" i="30"/>
  <c r="R41" i="37"/>
  <c r="O178" i="30"/>
  <c r="R39" i="37"/>
  <c r="H180" i="30"/>
  <c r="K41" i="37"/>
  <c r="K180" i="30"/>
  <c r="N41" i="37"/>
  <c r="H178" i="30"/>
  <c r="K39" i="37"/>
  <c r="J180" i="30"/>
  <c r="M41" i="37"/>
  <c r="K178" i="30"/>
  <c r="N39" i="37"/>
  <c r="J178" i="30"/>
  <c r="M39" i="37"/>
  <c r="I180" i="30"/>
  <c r="L41" i="37"/>
  <c r="L180" i="30"/>
  <c r="O41" i="37"/>
  <c r="L178" i="30"/>
  <c r="O39" i="37"/>
  <c r="N180" i="30"/>
  <c r="Q41" i="37"/>
  <c r="N178" i="30"/>
  <c r="Q39" i="37"/>
  <c r="I178" i="30"/>
  <c r="L39" i="37"/>
  <c r="T80" i="2"/>
  <c r="T81" i="2" s="1"/>
  <c r="T74" i="2"/>
  <c r="N80" i="2"/>
  <c r="N81" i="2" s="1"/>
  <c r="N74" i="2"/>
  <c r="V80" i="2"/>
  <c r="V81" i="2" s="1"/>
  <c r="V74" i="2"/>
  <c r="R80" i="2"/>
  <c r="R81" i="2" s="1"/>
  <c r="R74" i="2"/>
  <c r="X80" i="2"/>
  <c r="X81" i="2" s="1"/>
  <c r="X74" i="2"/>
  <c r="Z80" i="2"/>
  <c r="Z81" i="2" s="1"/>
  <c r="Z74" i="2"/>
  <c r="AB80" i="2"/>
  <c r="AB81" i="2" s="1"/>
  <c r="AB74" i="2"/>
  <c r="P80" i="2"/>
  <c r="P81" i="2" s="1"/>
  <c r="P74" i="2"/>
  <c r="L80" i="2"/>
  <c r="L81" i="2" s="1"/>
  <c r="L74" i="2"/>
  <c r="H181" i="30"/>
  <c r="H157" i="5"/>
  <c r="H173" i="5" s="1"/>
  <c r="H200" i="30" s="1"/>
  <c r="K181" i="30"/>
  <c r="K157" i="5"/>
  <c r="K173" i="5" s="1"/>
  <c r="K200" i="30" s="1"/>
  <c r="J181" i="30"/>
  <c r="J157" i="5"/>
  <c r="J173" i="5" s="1"/>
  <c r="J200" i="30" s="1"/>
  <c r="L181" i="30"/>
  <c r="L157" i="5"/>
  <c r="L173" i="5" s="1"/>
  <c r="L200" i="30" s="1"/>
  <c r="N157" i="5"/>
  <c r="N173" i="5" s="1"/>
  <c r="N200" i="30" s="1"/>
  <c r="N181" i="30"/>
  <c r="M181" i="30"/>
  <c r="M157" i="5"/>
  <c r="M173" i="5" s="1"/>
  <c r="M200" i="30" s="1"/>
  <c r="O181" i="30"/>
  <c r="O157" i="5"/>
  <c r="O173" i="5" s="1"/>
  <c r="O200" i="30" s="1"/>
  <c r="G181" i="30"/>
  <c r="G157" i="5"/>
  <c r="G173" i="5" s="1"/>
  <c r="G200" i="30" s="1"/>
  <c r="I181" i="30"/>
  <c r="I157" i="5"/>
  <c r="I173" i="5" s="1"/>
  <c r="I200" i="30" s="1"/>
  <c r="J60" i="2"/>
  <c r="F153" i="5" s="1"/>
  <c r="I41" i="37" s="1"/>
  <c r="AD542" i="25"/>
  <c r="W27" i="37" l="1"/>
  <c r="X27" i="37" s="1"/>
  <c r="W28" i="37" s="1"/>
  <c r="X28" i="37" s="1"/>
  <c r="W32" i="37"/>
  <c r="X32" i="37" s="1"/>
  <c r="W36" i="37" s="1"/>
  <c r="X36" i="37" s="1"/>
  <c r="W37" i="37" s="1"/>
  <c r="X37" i="37" s="1"/>
  <c r="W38" i="37" s="1"/>
  <c r="X38" i="37" s="1"/>
  <c r="J184" i="30"/>
  <c r="I184" i="30"/>
  <c r="G184" i="30"/>
  <c r="H184" i="30"/>
  <c r="K184" i="30"/>
  <c r="M184" i="30"/>
  <c r="O184" i="30"/>
  <c r="N184" i="30"/>
  <c r="L184" i="30"/>
  <c r="F180" i="30"/>
  <c r="P180" i="30" s="1"/>
  <c r="P153" i="5"/>
  <c r="H41" i="37" s="1"/>
  <c r="F154" i="5"/>
  <c r="F151" i="5"/>
  <c r="I39" i="37" s="1"/>
  <c r="J73" i="2"/>
  <c r="J74" i="2" s="1"/>
  <c r="AC60" i="2"/>
  <c r="AD60" i="2" s="1"/>
  <c r="W33" i="37" l="1"/>
  <c r="X33" i="37" s="1"/>
  <c r="P154" i="5"/>
  <c r="H42" i="37" s="1"/>
  <c r="X42" i="37" s="1"/>
  <c r="I42" i="37"/>
  <c r="S41" i="37" a="1"/>
  <c r="S41" i="37" s="1"/>
  <c r="T41" i="37" s="1"/>
  <c r="U41" i="37" a="1"/>
  <c r="U41" i="37" s="1"/>
  <c r="V41" i="37" s="1"/>
  <c r="F157" i="5"/>
  <c r="F173" i="5" s="1"/>
  <c r="F181" i="30"/>
  <c r="P181" i="30" s="1"/>
  <c r="F178" i="30"/>
  <c r="P178" i="30" s="1"/>
  <c r="P151" i="5"/>
  <c r="H39" i="37" s="1"/>
  <c r="J86" i="2"/>
  <c r="AC73" i="2"/>
  <c r="J80" i="2"/>
  <c r="J81" i="2" s="1"/>
  <c r="AC74" i="2" l="1"/>
  <c r="F27" i="43"/>
  <c r="F29" i="43" s="1"/>
  <c r="F34" i="43" s="1"/>
  <c r="W39" i="37"/>
  <c r="X39" i="37" s="1"/>
  <c r="S39" i="37" a="1"/>
  <c r="S39" i="37" s="1"/>
  <c r="T39" i="37" s="1"/>
  <c r="U39" i="37" a="1"/>
  <c r="U39" i="37" s="1"/>
  <c r="V39" i="37" s="1"/>
  <c r="T42" i="37"/>
  <c r="U42" i="37" a="1"/>
  <c r="U42" i="37" s="1"/>
  <c r="V42" i="37"/>
  <c r="W42" i="37"/>
  <c r="S42" i="37" a="1"/>
  <c r="S42" i="37" s="1"/>
  <c r="P157" i="5"/>
  <c r="F184" i="30"/>
  <c r="P184" i="30" s="1"/>
  <c r="F200" i="30"/>
  <c r="P200" i="30" s="1"/>
  <c r="P173" i="5"/>
  <c r="AC80" i="2"/>
  <c r="AC84" i="2"/>
  <c r="AD73" i="2"/>
  <c r="E27" i="43" s="1"/>
  <c r="E29" i="43" s="1"/>
  <c r="W40" i="37" l="1"/>
  <c r="X40" i="37" s="1"/>
  <c r="W41" i="37" s="1"/>
  <c r="X41" i="37" s="1"/>
  <c r="D4" i="42"/>
  <c r="D4" i="2"/>
  <c r="F50" i="43"/>
  <c r="F46" i="43"/>
  <c r="E34" i="43"/>
  <c r="W45" i="37"/>
  <c r="X45" i="37" s="1"/>
  <c r="AD80" i="2"/>
  <c r="AD81" i="2" s="1"/>
  <c r="AC81" i="2"/>
  <c r="AD74" i="2"/>
  <c r="W56" i="37" l="1"/>
  <c r="X56" i="37" s="1"/>
  <c r="W48" i="37"/>
  <c r="X48" i="37" s="1"/>
  <c r="D5" i="42"/>
  <c r="D5" i="2"/>
  <c r="C9" i="43"/>
  <c r="P44" i="5"/>
  <c r="F48" i="43"/>
  <c r="B25" i="20" s="1"/>
  <c r="P46" i="5"/>
  <c r="P45" i="30" s="1"/>
  <c r="W60" i="37"/>
  <c r="X60" i="37" s="1"/>
  <c r="B51" i="5" l="1"/>
  <c r="P48" i="5"/>
  <c r="F87" i="30"/>
  <c r="P87" i="30" s="1"/>
  <c r="F123" i="5" l="1"/>
  <c r="P115" i="5"/>
  <c r="F118" i="5"/>
  <c r="P118" i="5" l="1"/>
  <c r="J31" i="5" s="1"/>
  <c r="F38" i="5"/>
  <c r="F90" i="30"/>
  <c r="P90" i="30" s="1"/>
  <c r="U7" i="30" s="1"/>
  <c r="F95" i="30"/>
  <c r="F133" i="5"/>
  <c r="F132" i="5"/>
  <c r="F131" i="5"/>
  <c r="F130" i="5"/>
  <c r="P123" i="5"/>
  <c r="F129" i="5"/>
  <c r="F124" i="5" l="1"/>
  <c r="F39" i="5"/>
  <c r="P130" i="5"/>
  <c r="F141" i="5" s="1"/>
  <c r="F113" i="30" s="1"/>
  <c r="F102" i="30"/>
  <c r="P102" i="30" s="1"/>
  <c r="P95" i="30"/>
  <c r="U8" i="5"/>
  <c r="P132" i="5"/>
  <c r="F143" i="5" s="1"/>
  <c r="F115" i="30" s="1"/>
  <c r="F104" i="30"/>
  <c r="P104" i="30" s="1"/>
  <c r="P133" i="5"/>
  <c r="F144" i="5" s="1"/>
  <c r="F116" i="30" s="1"/>
  <c r="F105" i="30"/>
  <c r="P105" i="30" s="1"/>
  <c r="V5" i="30"/>
  <c r="V7" i="30"/>
  <c r="P131" i="5"/>
  <c r="F142" i="5" s="1"/>
  <c r="F114" i="30" s="1"/>
  <c r="F103" i="30"/>
  <c r="P103" i="30" s="1"/>
  <c r="F134" i="5"/>
  <c r="P134" i="5" s="1"/>
  <c r="F101" i="30"/>
  <c r="P129" i="5"/>
  <c r="F140" i="5" s="1"/>
  <c r="P38" i="5"/>
  <c r="E140" i="5" s="1"/>
  <c r="F37" i="30"/>
  <c r="F96" i="30" s="1"/>
  <c r="P43" i="30" l="1"/>
  <c r="P124" i="5"/>
  <c r="E143" i="5"/>
  <c r="E115" i="30" s="1"/>
  <c r="E144" i="5"/>
  <c r="E116" i="30" s="1"/>
  <c r="E142" i="5"/>
  <c r="E114" i="30" s="1"/>
  <c r="E112" i="30"/>
  <c r="F38" i="30"/>
  <c r="P38" i="30" s="1"/>
  <c r="P39" i="5"/>
  <c r="V6" i="5"/>
  <c r="V8" i="5"/>
  <c r="P101" i="30"/>
  <c r="F106" i="30"/>
  <c r="P106" i="30" s="1"/>
  <c r="F112" i="30"/>
  <c r="F117" i="30" s="1"/>
  <c r="F145" i="5"/>
  <c r="K31" i="5"/>
  <c r="D32" i="30"/>
  <c r="K30" i="5"/>
  <c r="E141" i="5"/>
  <c r="E113" i="30" s="1"/>
  <c r="P37" i="30"/>
  <c r="P96" i="30" s="1"/>
  <c r="F40" i="5"/>
  <c r="P40" i="5" s="1"/>
  <c r="I29" i="30" l="1"/>
  <c r="P41" i="30"/>
  <c r="P44" i="30"/>
  <c r="E31" i="5"/>
  <c r="F39" i="30"/>
  <c r="P39" i="30" s="1"/>
  <c r="E32" i="30"/>
  <c r="E31" i="30"/>
  <c r="E145" i="5"/>
  <c r="E117" i="30"/>
  <c r="E33" i="5" l="1"/>
  <c r="P47" i="30"/>
  <c r="F51" i="5"/>
  <c r="F149" i="30" l="1"/>
  <c r="B149"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31C92458-2D60-4D66-9E74-ACB22C2036DB}">
      <text>
        <r>
          <rPr>
            <sz val="11"/>
            <color indexed="8"/>
            <rFont val="Calibri"/>
            <family val="2"/>
            <scheme val="minor"/>
          </rPr>
          <t>Required for all transactions. Used to uniquely identify a transaction header. All rows with the same value will be submitted to Workday as one transaction set.</t>
        </r>
      </text>
    </comment>
    <comment ref="C4" authorId="0" shapeId="0" xr:uid="{24DFF63B-9DAF-431F-BA44-AA43E6CB0716}">
      <text>
        <r>
          <rPr>
            <sz val="11"/>
            <color indexed="8"/>
            <rFont val="Calibri"/>
            <family val="2"/>
            <scheme val="minor"/>
          </rPr>
          <t>Type: Plan_ID</t>
        </r>
      </text>
    </comment>
    <comment ref="D4" authorId="0" shapeId="0" xr:uid="{5FD5755C-9129-4BEA-8466-F6BBD9255F6E}">
      <text>
        <r>
          <rPr>
            <sz val="11"/>
            <color indexed="8"/>
            <rFont val="Calibri"/>
            <family val="2"/>
            <scheme val="minor"/>
          </rPr>
          <t>Type: Budget_Import_Mode_ID</t>
        </r>
      </text>
    </comment>
    <comment ref="E4" authorId="0" shapeId="0" xr:uid="{02247206-F3B4-4CB2-B020-E5669521B5EB}">
      <text>
        <r>
          <rPr>
            <sz val="11"/>
            <color indexed="8"/>
            <rFont val="Calibri"/>
            <family val="2"/>
            <scheme val="minor"/>
          </rPr>
          <t>Boolean item</t>
        </r>
      </text>
    </comment>
    <comment ref="F4" authorId="0" shapeId="0" xr:uid="{5226509E-DC32-4498-B923-2AB689D7F122}">
      <text>
        <r>
          <rPr>
            <sz val="11"/>
            <color indexed="8"/>
            <rFont val="Calibri"/>
            <family val="2"/>
            <scheme val="minor"/>
          </rPr>
          <t>Text item</t>
        </r>
      </text>
    </comment>
    <comment ref="G4" authorId="0" shapeId="0" xr:uid="{995AF6B1-0993-48A2-83B7-330AC69CA772}">
      <text>
        <r>
          <rPr>
            <sz val="11"/>
            <color indexed="8"/>
            <rFont val="Calibri"/>
            <family val="2"/>
            <scheme val="minor"/>
          </rPr>
          <t>Type: Contingent_Worker_ID</t>
        </r>
      </text>
    </comment>
    <comment ref="H4" authorId="0" shapeId="0" xr:uid="{4803ACE6-C266-4EBA-A65D-4EA1006B1178}">
      <text>
        <r>
          <rPr>
            <sz val="11"/>
            <color indexed="8"/>
            <rFont val="Calibri"/>
            <family val="2"/>
            <scheme val="minor"/>
          </rPr>
          <t>Boolean item</t>
        </r>
      </text>
    </comment>
    <comment ref="I4" authorId="0" shapeId="0" xr:uid="{5005D177-6F52-47FE-B5AF-7AE32DA125C3}">
      <text>
        <r>
          <rPr>
            <sz val="11"/>
            <color indexed="8"/>
            <rFont val="Calibri"/>
            <family val="2"/>
            <scheme val="minor"/>
          </rPr>
          <t>Type: Budget_Structure_ID</t>
        </r>
      </text>
    </comment>
    <comment ref="J4" authorId="0" shapeId="0" xr:uid="{AD45344A-9AFB-4036-A80E-2D6F712966A3}">
      <text>
        <r>
          <rPr>
            <sz val="11"/>
            <color indexed="8"/>
            <rFont val="Calibri"/>
            <family val="2"/>
            <scheme val="minor"/>
          </rPr>
          <t>Type: Award_Proposal_ID</t>
        </r>
      </text>
    </comment>
    <comment ref="K4" authorId="0" shapeId="0" xr:uid="{F1F421C3-107C-46E9-A948-EE9F30B797CD}">
      <text>
        <r>
          <rPr>
            <sz val="11"/>
            <color indexed="8"/>
            <rFont val="Calibri"/>
            <family val="2"/>
            <scheme val="minor"/>
          </rPr>
          <t>Text item</t>
        </r>
      </text>
    </comment>
    <comment ref="L4" authorId="0" shapeId="0" xr:uid="{17A1795E-30B3-4E93-9FF9-96D13A22808C}">
      <text>
        <r>
          <rPr>
            <sz val="11"/>
            <color indexed="8"/>
            <rFont val="Calibri"/>
            <family val="2"/>
            <scheme val="minor"/>
          </rPr>
          <t>Type: Budget_Period_ID</t>
        </r>
      </text>
    </comment>
    <comment ref="B5" authorId="0" shapeId="0" xr:uid="{F8534533-BA3C-42D8-8832-D117FF8971C8}">
      <text>
        <r>
          <rPr>
            <sz val="11"/>
            <color indexed="8"/>
            <rFont val="Calibri"/>
            <family val="2"/>
            <scheme val="minor"/>
          </rPr>
          <t>You must use the header key to coordinate the header information throughout the tabs of the spreadsheet. Keep the same header key for each row as you add information in the subsequent tabs. The header key is also required to coordinate multiple child rows that roll up to the same parent row.</t>
        </r>
      </text>
    </comment>
    <comment ref="C5" authorId="0" shapeId="0" xr:uid="{4D8DDD85-B910-47CB-9119-4A55ECAD9345}">
      <text>
        <r>
          <rPr>
            <sz val="11"/>
            <color indexed="8"/>
            <rFont val="Calibri"/>
            <family val="2"/>
            <scheme val="minor"/>
          </rPr>
          <t>Budget</t>
        </r>
      </text>
    </comment>
    <comment ref="D5" authorId="0" shapeId="0" xr:uid="{DA8CEF9E-7F49-41D8-8A51-4E565D88B0FB}">
      <text>
        <r>
          <rPr>
            <sz val="11"/>
            <color indexed="8"/>
            <rFont val="Calibri"/>
            <family val="2"/>
            <scheme val="minor"/>
          </rPr>
          <t>Budget Web Service Import Mode</t>
        </r>
      </text>
    </comment>
    <comment ref="E5" authorId="0" shapeId="0" xr:uid="{B340C14F-AF20-4A75-AA99-448967A6D77E}">
      <text>
        <r>
          <rPr>
            <sz val="11"/>
            <color indexed="8"/>
            <rFont val="Calibri"/>
            <family val="2"/>
            <scheme val="minor"/>
          </rPr>
          <t>When set to "true" or "1", the business process is automatically processed. This means that all approvals will be automatically approved in the system, all reviews and to-do's will be automatically by-passed, and all notifications will be automatically suppressed.</t>
        </r>
      </text>
    </comment>
    <comment ref="F5" authorId="0" shapeId="0" xr:uid="{3FC586C4-7D61-459F-9204-DB6E985E3B47}">
      <text>
        <r>
          <rPr>
            <sz val="11"/>
            <color indexed="8"/>
            <rFont val="Calibri"/>
            <family val="2"/>
            <scheme val="minor"/>
          </rPr>
          <t>Free form comment regarding the business process.</t>
        </r>
      </text>
    </comment>
    <comment ref="G5" authorId="0" shapeId="0" xr:uid="{0FECCD09-CF12-4FAF-B2D1-DF012A771309}">
      <text>
        <r>
          <rPr>
            <sz val="11"/>
            <color indexed="8"/>
            <rFont val="Calibri"/>
            <family val="2"/>
            <scheme val="minor"/>
          </rPr>
          <t>Default the Person making the comment to the processing person if not submitted via the web service.</t>
        </r>
      </text>
    </comment>
    <comment ref="H5" authorId="0" shapeId="0" xr:uid="{7575F0CF-C8DC-4CB6-A6D0-4D847E6AA8CD}">
      <text>
        <r>
          <rPr>
            <sz val="11"/>
            <color indexed="8"/>
            <rFont val="Calibri"/>
            <family val="2"/>
            <scheme val="minor"/>
          </rPr>
          <t>Submit Action</t>
        </r>
      </text>
    </comment>
    <comment ref="I5" authorId="0" shapeId="0" xr:uid="{674686E9-6898-4EC6-B215-E102F8C5EAE4}">
      <text>
        <r>
          <rPr>
            <sz val="11"/>
            <color indexed="8"/>
            <rFont val="Calibri"/>
            <family val="2"/>
            <scheme val="minor"/>
          </rPr>
          <t>Budget Structure defined for the entry</t>
        </r>
      </text>
    </comment>
    <comment ref="J5" authorId="0" shapeId="0" xr:uid="{41B63C6B-58A9-4157-94AD-8FA56B8DE5A1}">
      <text>
        <r>
          <rPr>
            <sz val="11"/>
            <color indexed="8"/>
            <rFont val="Calibri"/>
            <family val="2"/>
            <scheme val="minor"/>
          </rPr>
          <t>Name of Budget Activity</t>
        </r>
      </text>
    </comment>
    <comment ref="K5" authorId="0" shapeId="0" xr:uid="{C3448357-FAB2-487B-AC4D-0C466CF8DC0D}">
      <text>
        <r>
          <rPr>
            <sz val="11"/>
            <color indexed="8"/>
            <rFont val="Calibri"/>
            <family val="2"/>
            <scheme val="minor"/>
          </rPr>
          <t>Memo</t>
        </r>
      </text>
    </comment>
    <comment ref="L5" authorId="0" shapeId="0" xr:uid="{6EF048A0-9212-4450-B29E-B3A29E1B94B2}">
      <text>
        <r>
          <rPr>
            <sz val="11"/>
            <color indexed="8"/>
            <rFont val="Calibri"/>
            <family val="2"/>
            <scheme val="minor"/>
          </rPr>
          <t>If a Budget Period Reference exists, you don't need to configure the Year and Fiscal Time Interval Reference on the Budget Lines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297350F1-6540-420C-B630-C9173A2252D5}">
      <text>
        <r>
          <rPr>
            <sz val="11"/>
            <color indexed="8"/>
            <rFont val="Calibri"/>
            <family val="2"/>
            <scheme val="minor"/>
          </rPr>
          <t>Budget Entry and Budget Entry Line data</t>
        </r>
      </text>
    </comment>
    <comment ref="C4" authorId="0" shapeId="0" xr:uid="{BE82C810-83D7-4D52-8069-20993A777537}">
      <text>
        <r>
          <rPr>
            <sz val="11"/>
            <color indexed="8"/>
            <rFont val="Calibri"/>
            <family val="2"/>
            <scheme val="minor"/>
          </rPr>
          <t>Budget Entry and Budget Entry Line data</t>
        </r>
      </text>
    </comment>
    <comment ref="D4" authorId="0" shapeId="0" xr:uid="{EEB23F8D-3858-42FD-A2C7-F6A4FF514026}">
      <text>
        <r>
          <rPr>
            <sz val="11"/>
            <color indexed="8"/>
            <rFont val="Calibri"/>
            <family val="2"/>
            <scheme val="minor"/>
          </rPr>
          <t>Text item</t>
        </r>
      </text>
    </comment>
    <comment ref="E4" authorId="0" shapeId="0" xr:uid="{E24B8AD3-665D-4E35-AA80-FA3B541E7C77}">
      <text>
        <r>
          <rPr>
            <sz val="11"/>
            <color indexed="8"/>
            <rFont val="Calibri"/>
            <family val="2"/>
            <scheme val="minor"/>
          </rPr>
          <t>Type: Company_Reference_ID</t>
        </r>
      </text>
    </comment>
    <comment ref="G4" authorId="0" shapeId="0" xr:uid="{F6E94DEC-3757-4082-A2BF-AD20BF877685}">
      <text>
        <r>
          <rPr>
            <sz val="11"/>
            <color indexed="8"/>
            <rFont val="Calibri"/>
            <family val="2"/>
            <scheme val="minor"/>
          </rPr>
          <t>Type: Award_Posting_Interval_ID</t>
        </r>
      </text>
    </comment>
    <comment ref="H4" authorId="0" shapeId="0" xr:uid="{3216EAE1-8D00-4881-A48D-135A3CAEEEBC}">
      <text>
        <r>
          <rPr>
            <sz val="11"/>
            <color indexed="8"/>
            <rFont val="Calibri"/>
            <family val="2"/>
            <scheme val="minor"/>
          </rPr>
          <t>Type: Ledger_Account_ID</t>
        </r>
      </text>
    </comment>
    <comment ref="J4" authorId="0" shapeId="0" xr:uid="{17371983-D905-4462-B8D6-A4606886B487}">
      <text>
        <r>
          <rPr>
            <sz val="11"/>
            <color indexed="8"/>
            <rFont val="Calibri"/>
            <family val="2"/>
            <scheme val="minor"/>
          </rPr>
          <t>Type: Book_Code_ID</t>
        </r>
      </text>
    </comment>
    <comment ref="K4" authorId="0" shapeId="0" xr:uid="{1321B8DD-79EC-48E8-A4C6-858741864DF0}">
      <text>
        <r>
          <rPr>
            <sz val="11"/>
            <color indexed="8"/>
            <rFont val="Calibri"/>
            <family val="2"/>
            <scheme val="minor"/>
          </rPr>
          <t>Type: Currency_ID</t>
        </r>
      </text>
    </comment>
    <comment ref="O4" authorId="0" shapeId="0" xr:uid="{7B255424-91FF-4F3F-BC50-F0459AB070DA}">
      <text>
        <r>
          <rPr>
            <sz val="11"/>
            <color indexed="8"/>
            <rFont val="Calibri"/>
            <family val="2"/>
            <scheme val="minor"/>
          </rPr>
          <t>Type: Unit_of_Time_ID</t>
        </r>
      </text>
    </comment>
    <comment ref="P4" authorId="0" shapeId="0" xr:uid="{61D0527A-4562-4386-9945-DEFC2153760C}">
      <text>
        <r>
          <rPr>
            <sz val="11"/>
            <color indexed="8"/>
            <rFont val="Calibri"/>
            <family val="2"/>
            <scheme val="minor"/>
          </rPr>
          <t>Text item</t>
        </r>
      </text>
    </comment>
    <comment ref="Q4" authorId="0" shapeId="0" xr:uid="{0EA0193B-156D-4DD0-9E15-D504AF44828B}">
      <text>
        <r>
          <rPr>
            <sz val="11"/>
            <color indexed="8"/>
            <rFont val="Calibri"/>
            <family val="2"/>
            <scheme val="minor"/>
          </rPr>
          <t>Type: Academic_Level_ID</t>
        </r>
      </text>
    </comment>
    <comment ref="R4" authorId="0" shapeId="0" xr:uid="{F65BB069-D39D-452E-91C9-121AF93BFFA4}">
      <text>
        <r>
          <rPr>
            <sz val="11"/>
            <color indexed="8"/>
            <rFont val="Calibri"/>
            <family val="2"/>
            <scheme val="minor"/>
          </rPr>
          <t>Type: Academic_Level_ID</t>
        </r>
      </text>
    </comment>
    <comment ref="S4" authorId="0" shapeId="0" xr:uid="{D98E70B1-68CB-42C5-9949-04E7A6872D5F}">
      <text>
        <r>
          <rPr>
            <sz val="11"/>
            <color indexed="8"/>
            <rFont val="Calibri"/>
            <family val="2"/>
            <scheme val="minor"/>
          </rPr>
          <t>Type: Academic_Level_ID</t>
        </r>
      </text>
    </comment>
    <comment ref="T4" authorId="0" shapeId="0" xr:uid="{A40348E1-EC8B-4B75-A6C3-D8312C532A6E}">
      <text>
        <r>
          <rPr>
            <sz val="11"/>
            <color indexed="8"/>
            <rFont val="Calibri"/>
            <family val="2"/>
            <scheme val="minor"/>
          </rPr>
          <t>Type: Academic_Level_ID</t>
        </r>
      </text>
    </comment>
    <comment ref="U4" authorId="0" shapeId="0" xr:uid="{2C0ADF31-692C-4169-A1DF-F8CA4C338E9E}">
      <text>
        <r>
          <rPr>
            <sz val="11"/>
            <color indexed="8"/>
            <rFont val="Calibri"/>
            <family val="2"/>
            <scheme val="minor"/>
          </rPr>
          <t>Type: Academic_Level_ID</t>
        </r>
      </text>
    </comment>
    <comment ref="V4" authorId="0" shapeId="0" xr:uid="{04C2C140-1728-4FBE-A96B-8BBFD38D4225}">
      <text>
        <r>
          <rPr>
            <sz val="11"/>
            <color indexed="8"/>
            <rFont val="Calibri"/>
            <family val="2"/>
            <scheme val="minor"/>
          </rPr>
          <t>Type: Academic_Level_ID</t>
        </r>
      </text>
    </comment>
    <comment ref="W4" authorId="0" shapeId="0" xr:uid="{47DDB965-8DA1-41D0-BD6A-16EE8519E0DF}">
      <text>
        <r>
          <rPr>
            <sz val="11"/>
            <color indexed="8"/>
            <rFont val="Calibri"/>
            <family val="2"/>
            <scheme val="minor"/>
          </rPr>
          <t>Type: Academic_Level_ID</t>
        </r>
      </text>
    </comment>
    <comment ref="X4" authorId="0" shapeId="0" xr:uid="{28B5E071-A792-4F19-B69D-2A5905C2DD14}">
      <text>
        <r>
          <rPr>
            <sz val="11"/>
            <color indexed="8"/>
            <rFont val="Calibri"/>
            <family val="2"/>
            <scheme val="minor"/>
          </rPr>
          <t>Type: Academic_Level_ID</t>
        </r>
      </text>
    </comment>
    <comment ref="Y4" authorId="0" shapeId="0" xr:uid="{E78479F7-856B-468C-B6BC-6D91625F830E}">
      <text>
        <r>
          <rPr>
            <sz val="11"/>
            <color indexed="8"/>
            <rFont val="Calibri"/>
            <family val="2"/>
            <scheme val="minor"/>
          </rPr>
          <t>Type: Academic_Level_ID</t>
        </r>
      </text>
    </comment>
    <comment ref="Z4" authorId="0" shapeId="0" xr:uid="{563B744B-354C-4FA8-875B-2CFDC5E87D4D}">
      <text>
        <r>
          <rPr>
            <sz val="11"/>
            <color indexed="8"/>
            <rFont val="Calibri"/>
            <family val="2"/>
            <scheme val="minor"/>
          </rPr>
          <t>Type: Academic_Level_ID</t>
        </r>
      </text>
    </comment>
    <comment ref="AA4" authorId="0" shapeId="0" xr:uid="{1D494D62-B6CF-4DEC-912F-C8C15CA4DBC3}">
      <text>
        <r>
          <rPr>
            <sz val="11"/>
            <color indexed="8"/>
            <rFont val="Calibri"/>
            <family val="2"/>
            <scheme val="minor"/>
          </rPr>
          <t>Type: Academic_Level_ID</t>
        </r>
      </text>
    </comment>
    <comment ref="AB4" authorId="0" shapeId="0" xr:uid="{A1B097E1-0DD6-4F9A-8C11-9B8F7189D314}">
      <text>
        <r>
          <rPr>
            <sz val="11"/>
            <color indexed="8"/>
            <rFont val="Calibri"/>
            <family val="2"/>
            <scheme val="minor"/>
          </rPr>
          <t>Type: Academic_Level_ID</t>
        </r>
      </text>
    </comment>
    <comment ref="C5" authorId="0" shapeId="0" xr:uid="{D9DD4965-B27C-4F1C-BAE8-288AA88CD298}">
      <text>
        <r>
          <rPr>
            <sz val="11"/>
            <color indexed="8"/>
            <rFont val="Calibri"/>
            <family val="2"/>
            <scheme val="minor"/>
          </rPr>
          <t>Use a unique value for each line key entry within a header key group. You can reuse the same line key values in a different header key group</t>
        </r>
      </text>
    </comment>
    <comment ref="D5" authorId="0" shapeId="0" xr:uid="{BF87B7B3-5222-40D9-942F-3390D083EEAD}">
      <text>
        <r>
          <rPr>
            <sz val="11"/>
            <color indexed="8"/>
            <rFont val="Calibri"/>
            <family val="2"/>
            <scheme val="minor"/>
          </rPr>
          <t>Optional line order. If specified, lines will be sorted by this value when displayed and when invoice is printed.</t>
        </r>
      </text>
    </comment>
    <comment ref="E5" authorId="0" shapeId="0" xr:uid="{0FE1F78C-730C-416C-A273-277272F77445}">
      <text>
        <r>
          <rPr>
            <sz val="11"/>
            <color indexed="8"/>
            <rFont val="Calibri"/>
            <family val="2"/>
            <scheme val="minor"/>
          </rPr>
          <t>Company or Company Hierarchy</t>
        </r>
      </text>
    </comment>
    <comment ref="F5" authorId="0" shapeId="0" xr:uid="{12A95F77-4767-4FE0-8133-EFCA5A13CC23}">
      <text>
        <r>
          <rPr>
            <sz val="11"/>
            <color indexed="8"/>
            <rFont val="Calibri"/>
            <family val="2"/>
            <scheme val="minor"/>
          </rPr>
          <t>4 Digit numeric field that contains Fiscal Year Number (ie: 2008, 2009, etc).  The combination of the Fiscal Year Number and the Fiscal Schedule determine the Fiscal Year for a company.  Note that Fiscal Year Reference is not used for Budget since for Budget, the Company's configured Fiscal Schedule is used in all cases to determine the Fiscal Year.</t>
        </r>
      </text>
    </comment>
    <comment ref="G5" authorId="0" shapeId="0" xr:uid="{E925CADF-95A9-4966-995F-DC0D3BA35D40}">
      <text>
        <r>
          <rPr>
            <sz val="11"/>
            <color indexed="8"/>
            <rFont val="Calibri"/>
            <family val="2"/>
            <scheme val="minor"/>
          </rPr>
          <t>Reference to an existing Fiscal Posting Interval, Fiscal Summary Interval, Award Posting Interval. The Fiscal Summary Interval is used for the Award Summary Interval.  If the Budget is being entered by Fiscal Summary Schedules, provide the first the Summary Interval, otherwise provide the Posting Interval.</t>
        </r>
      </text>
    </comment>
    <comment ref="H5" authorId="0" shapeId="0" xr:uid="{755CEC4D-F4F0-41C9-8FA6-B66B407E354D}">
      <text>
        <r>
          <rPr>
            <sz val="11"/>
            <color indexed="8"/>
            <rFont val="Calibri"/>
            <family val="2"/>
            <scheme val="minor"/>
          </rPr>
          <t>Ledger Accounts or Summary Accounts for line</t>
        </r>
      </text>
    </comment>
    <comment ref="I5" authorId="0" shapeId="0" xr:uid="{BC57F551-C84D-43CD-98EB-E359C6772429}">
      <text>
        <r>
          <rPr>
            <sz val="11"/>
            <color indexed="8"/>
            <rFont val="Calibri"/>
            <family val="2"/>
            <scheme val="minor"/>
          </rPr>
          <t>For types that require a parent reference, contains a unique identifier for an instance of a parent object.</t>
        </r>
      </text>
    </comment>
    <comment ref="J5" authorId="0" shapeId="0" xr:uid="{77D7F918-9F8E-4FE5-BC0E-7A8CA3234C9B}">
      <text>
        <r>
          <rPr>
            <sz val="11"/>
            <color indexed="8"/>
            <rFont val="Calibri"/>
            <family val="2"/>
            <scheme val="minor"/>
          </rPr>
          <t>Book code is allowed as a dimension on Financial, Award, Award Proposal &amp; Project Plan Structures</t>
        </r>
      </text>
    </comment>
    <comment ref="K5" authorId="0" shapeId="0" xr:uid="{B0F92B83-B504-4BB0-9F80-2DFF451CDD42}">
      <text>
        <r>
          <rPr>
            <sz val="11"/>
            <color indexed="8"/>
            <rFont val="Calibri"/>
            <family val="2"/>
            <scheme val="minor"/>
          </rPr>
          <t>Reference to the Currency of the transaction for the Budget Entry</t>
        </r>
      </text>
    </comment>
    <comment ref="L5" authorId="0" shapeId="0" xr:uid="{25DDCE87-BCA6-4ED4-B990-30BF3E4CCBCA}">
      <text>
        <r>
          <rPr>
            <sz val="11"/>
            <color indexed="8"/>
            <rFont val="Calibri"/>
            <family val="2"/>
            <scheme val="minor"/>
          </rPr>
          <t>The debit amount in the transaction currency.</t>
        </r>
      </text>
    </comment>
    <comment ref="M5" authorId="0" shapeId="0" xr:uid="{81697813-FD2D-4375-A251-61DDDFDDA7E4}">
      <text>
        <r>
          <rPr>
            <sz val="11"/>
            <color indexed="8"/>
            <rFont val="Calibri"/>
            <family val="2"/>
            <scheme val="minor"/>
          </rPr>
          <t>The credit amount in the transaction currency.</t>
        </r>
      </text>
    </comment>
    <comment ref="N5" authorId="0" shapeId="0" xr:uid="{364E5376-CF57-492C-B938-F3D14AB8F9A1}">
      <text>
        <r>
          <rPr>
            <sz val="11"/>
            <color indexed="8"/>
            <rFont val="Calibri"/>
            <family val="2"/>
            <scheme val="minor"/>
          </rPr>
          <t>Amount for unit of measure or time.</t>
        </r>
      </text>
    </comment>
    <comment ref="O5" authorId="0" shapeId="0" xr:uid="{03AA7EFD-8EAF-4480-B79A-6648B13E4C68}">
      <text>
        <r>
          <rPr>
            <sz val="11"/>
            <color indexed="8"/>
            <rFont val="Calibri"/>
            <family val="2"/>
            <scheme val="minor"/>
          </rPr>
          <t>Unit of Measure or Unit of Time.</t>
        </r>
      </text>
    </comment>
    <comment ref="P5" authorId="0" shapeId="0" xr:uid="{F2908361-9EF4-4FBC-BD54-A601F91DD9C5}">
      <text>
        <r>
          <rPr>
            <sz val="11"/>
            <color indexed="8"/>
            <rFont val="Calibri"/>
            <family val="2"/>
            <scheme val="minor"/>
          </rPr>
          <t>Memo for the line</t>
        </r>
      </text>
    </comment>
    <comment ref="Q5" authorId="0" shapeId="0" xr:uid="{29578D9D-5CE5-4F8A-9884-F941DC09FF56}">
      <text>
        <r>
          <rPr>
            <sz val="11"/>
            <color indexed="8"/>
            <rFont val="Calibri"/>
            <family val="2"/>
            <scheme val="minor"/>
          </rPr>
          <t>Activity</t>
        </r>
      </text>
    </comment>
    <comment ref="R5" authorId="0" shapeId="0" xr:uid="{35D59DD0-36D5-499F-87B4-C866B9B6D69D}">
      <text>
        <r>
          <rPr>
            <sz val="11"/>
            <color indexed="8"/>
            <rFont val="Calibri"/>
            <family val="2"/>
            <scheme val="minor"/>
          </rPr>
          <t>Cost Center</t>
        </r>
      </text>
    </comment>
    <comment ref="S5" authorId="0" shapeId="0" xr:uid="{DAF3BD16-706F-427B-92A8-72F19E1C9A23}">
      <text>
        <r>
          <rPr>
            <sz val="11"/>
            <color indexed="8"/>
            <rFont val="Calibri"/>
            <family val="2"/>
            <scheme val="minor"/>
          </rPr>
          <t>Fund</t>
        </r>
      </text>
    </comment>
    <comment ref="T5" authorId="0" shapeId="0" xr:uid="{C7A2AD4A-7D9E-442D-ABA8-677A3ABC9F4B}">
      <text>
        <r>
          <rPr>
            <sz val="11"/>
            <color indexed="8"/>
            <rFont val="Calibri"/>
            <family val="2"/>
            <scheme val="minor"/>
          </rPr>
          <t>Gift</t>
        </r>
      </text>
    </comment>
    <comment ref="U5" authorId="0" shapeId="0" xr:uid="{B2AA9172-D4D3-4605-BD0C-3103ADDFC157}">
      <text>
        <r>
          <rPr>
            <sz val="11"/>
            <color indexed="8"/>
            <rFont val="Calibri"/>
            <family val="2"/>
            <scheme val="minor"/>
          </rPr>
          <t>Person Category</t>
        </r>
      </text>
    </comment>
    <comment ref="V5" authorId="0" shapeId="0" xr:uid="{F89A5464-24F3-43AF-9FF5-2EAEB2D5898A}">
      <text>
        <r>
          <rPr>
            <sz val="11"/>
            <color indexed="8"/>
            <rFont val="Calibri"/>
            <family val="2"/>
            <scheme val="minor"/>
          </rPr>
          <t>Program</t>
        </r>
      </text>
    </comment>
    <comment ref="W5" authorId="0" shapeId="0" xr:uid="{2F107845-4E90-466B-A2F3-C36CC4A2C7D9}">
      <text>
        <r>
          <rPr>
            <sz val="11"/>
            <color indexed="8"/>
            <rFont val="Calibri"/>
            <family val="2"/>
            <scheme val="minor"/>
          </rPr>
          <t>Project Hierarchy</t>
        </r>
      </text>
    </comment>
    <comment ref="X5" authorId="0" shapeId="0" xr:uid="{C2B0374A-2870-42B4-8C1A-3BBDCE808070}">
      <text>
        <r>
          <rPr>
            <sz val="11"/>
            <color indexed="8"/>
            <rFont val="Calibri"/>
            <family val="2"/>
            <scheme val="minor"/>
          </rPr>
          <t>Region</t>
        </r>
      </text>
    </comment>
    <comment ref="Y5" authorId="0" shapeId="0" xr:uid="{BF8C17AC-28C3-44EB-A6FB-38441E689AED}">
      <text>
        <r>
          <rPr>
            <sz val="11"/>
            <color indexed="8"/>
            <rFont val="Calibri"/>
            <family val="2"/>
            <scheme val="minor"/>
          </rPr>
          <t>Business Unit</t>
        </r>
      </text>
    </comment>
    <comment ref="Z5" authorId="0" shapeId="0" xr:uid="{EA93B08F-8AB5-4DC7-AAF4-446043943445}">
      <text>
        <r>
          <rPr>
            <sz val="11"/>
            <color indexed="8"/>
            <rFont val="Calibri"/>
            <family val="2"/>
            <scheme val="minor"/>
          </rPr>
          <t>Revenue Category</t>
        </r>
      </text>
    </comment>
    <comment ref="AA5" authorId="0" shapeId="0" xr:uid="{E92E171F-A03F-4E42-8E13-044065D212B2}">
      <text>
        <r>
          <rPr>
            <sz val="11"/>
            <color indexed="8"/>
            <rFont val="Calibri"/>
            <family val="2"/>
            <scheme val="minor"/>
          </rPr>
          <t>Spend Category</t>
        </r>
      </text>
    </comment>
    <comment ref="AB5" authorId="0" shapeId="0" xr:uid="{063C9E8D-7887-41FD-93FE-338974D2E0E6}">
      <text>
        <r>
          <rPr>
            <sz val="11"/>
            <color indexed="8"/>
            <rFont val="Calibri"/>
            <family val="2"/>
            <scheme val="minor"/>
          </rPr>
          <t>Project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D1BA6F52-B23B-413F-8D37-58C912D96DC1}">
      <text>
        <r>
          <rPr>
            <sz val="11"/>
            <color indexed="8"/>
            <rFont val="Calibri"/>
            <family val="2"/>
            <scheme val="minor"/>
          </rPr>
          <t>Budget Entry and Budget Entry Line data</t>
        </r>
      </text>
    </comment>
    <comment ref="C4" authorId="0" shapeId="0" xr:uid="{F57AEEF5-5E70-42A4-98E9-940F17D95C6C}">
      <text>
        <r>
          <rPr>
            <sz val="11"/>
            <color indexed="8"/>
            <rFont val="Calibri"/>
            <family val="2"/>
            <scheme val="minor"/>
          </rPr>
          <t>Budget Entry and Budget Entry Line data</t>
        </r>
      </text>
    </comment>
    <comment ref="D4" authorId="0" shapeId="0" xr:uid="{F1171FF3-A058-4D8A-9C40-672BD914D875}">
      <text>
        <r>
          <rPr>
            <sz val="11"/>
            <color indexed="8"/>
            <rFont val="Calibri"/>
            <family val="2"/>
            <scheme val="minor"/>
          </rPr>
          <t>Text item</t>
        </r>
      </text>
    </comment>
    <comment ref="E4" authorId="0" shapeId="0" xr:uid="{EBAFB5DA-2835-41A0-B7B8-66C536CAA61C}">
      <text>
        <r>
          <rPr>
            <sz val="11"/>
            <color indexed="8"/>
            <rFont val="Calibri"/>
            <family val="2"/>
            <scheme val="minor"/>
          </rPr>
          <t>Type: Company_Reference_ID</t>
        </r>
      </text>
    </comment>
    <comment ref="G4" authorId="0" shapeId="0" xr:uid="{30CDBAA1-A231-420E-92C9-40F3ABD2DD76}">
      <text>
        <r>
          <rPr>
            <sz val="11"/>
            <color indexed="8"/>
            <rFont val="Calibri"/>
            <family val="2"/>
            <scheme val="minor"/>
          </rPr>
          <t>Type: Award_Posting_Interval_ID</t>
        </r>
      </text>
    </comment>
    <comment ref="H4" authorId="0" shapeId="0" xr:uid="{FE2CB124-CD75-4590-92DE-43BA2EA346FC}">
      <text>
        <r>
          <rPr>
            <sz val="11"/>
            <color indexed="8"/>
            <rFont val="Calibri"/>
            <family val="2"/>
            <scheme val="minor"/>
          </rPr>
          <t>Type: Ledger_Account_ID</t>
        </r>
      </text>
    </comment>
    <comment ref="J4" authorId="0" shapeId="0" xr:uid="{3D3066DC-A901-4E8B-A14B-7099C803666C}">
      <text>
        <r>
          <rPr>
            <sz val="11"/>
            <color indexed="8"/>
            <rFont val="Calibri"/>
            <family val="2"/>
            <scheme val="minor"/>
          </rPr>
          <t>Type: Book_Code_ID</t>
        </r>
      </text>
    </comment>
    <comment ref="K4" authorId="0" shapeId="0" xr:uid="{712D073E-E565-40BD-8CC5-735B19B7A621}">
      <text>
        <r>
          <rPr>
            <sz val="11"/>
            <color indexed="8"/>
            <rFont val="Calibri"/>
            <family val="2"/>
            <scheme val="minor"/>
          </rPr>
          <t>Type: Currency_ID</t>
        </r>
      </text>
    </comment>
    <comment ref="O4" authorId="0" shapeId="0" xr:uid="{5C8F9C7C-65A3-4B5C-9137-DAB5B1B53340}">
      <text>
        <r>
          <rPr>
            <sz val="11"/>
            <color indexed="8"/>
            <rFont val="Calibri"/>
            <family val="2"/>
            <scheme val="minor"/>
          </rPr>
          <t>Type: Unit_of_Time_ID</t>
        </r>
      </text>
    </comment>
    <comment ref="P4" authorId="0" shapeId="0" xr:uid="{1CF53BBC-EC92-44E4-A523-CA067889B505}">
      <text>
        <r>
          <rPr>
            <sz val="11"/>
            <color indexed="8"/>
            <rFont val="Calibri"/>
            <family val="2"/>
            <scheme val="minor"/>
          </rPr>
          <t>Text item</t>
        </r>
      </text>
    </comment>
    <comment ref="Q4" authorId="0" shapeId="0" xr:uid="{E80B4D01-1CB2-4C13-A64B-E9A5D46E9416}">
      <text>
        <r>
          <rPr>
            <sz val="11"/>
            <color indexed="8"/>
            <rFont val="Calibri"/>
            <family val="2"/>
            <scheme val="minor"/>
          </rPr>
          <t>Type: Academic_Level_ID</t>
        </r>
      </text>
    </comment>
    <comment ref="R4" authorId="0" shapeId="0" xr:uid="{4668A0BA-0EA5-4640-883C-43CF16071A58}">
      <text>
        <r>
          <rPr>
            <sz val="11"/>
            <color indexed="8"/>
            <rFont val="Calibri"/>
            <family val="2"/>
            <scheme val="minor"/>
          </rPr>
          <t>Type: Academic_Level_ID</t>
        </r>
      </text>
    </comment>
    <comment ref="S4" authorId="0" shapeId="0" xr:uid="{6A6D4A96-D6CE-4D49-AF06-E5158A73FAFC}">
      <text>
        <r>
          <rPr>
            <sz val="11"/>
            <color indexed="8"/>
            <rFont val="Calibri"/>
            <family val="2"/>
            <scheme val="minor"/>
          </rPr>
          <t>Type: Academic_Level_ID</t>
        </r>
      </text>
    </comment>
    <comment ref="T4" authorId="0" shapeId="0" xr:uid="{7543AEF5-AEEB-4AD4-B281-D657CBFF2B8C}">
      <text>
        <r>
          <rPr>
            <sz val="11"/>
            <color indexed="8"/>
            <rFont val="Calibri"/>
            <family val="2"/>
            <scheme val="minor"/>
          </rPr>
          <t>Type: Academic_Level_ID</t>
        </r>
      </text>
    </comment>
    <comment ref="U4" authorId="0" shapeId="0" xr:uid="{FC7261CB-8167-4A2F-87FF-07CBB9A480E9}">
      <text>
        <r>
          <rPr>
            <sz val="11"/>
            <color indexed="8"/>
            <rFont val="Calibri"/>
            <family val="2"/>
            <scheme val="minor"/>
          </rPr>
          <t>Type: Academic_Level_ID</t>
        </r>
      </text>
    </comment>
    <comment ref="V4" authorId="0" shapeId="0" xr:uid="{6BF4FC1C-4D00-44A2-8046-BABB7237B9E8}">
      <text>
        <r>
          <rPr>
            <sz val="11"/>
            <color indexed="8"/>
            <rFont val="Calibri"/>
            <family val="2"/>
            <scheme val="minor"/>
          </rPr>
          <t>Type: Academic_Level_ID</t>
        </r>
      </text>
    </comment>
    <comment ref="W4" authorId="0" shapeId="0" xr:uid="{CDCB4664-5AC4-49B7-A891-A5D3D426166E}">
      <text>
        <r>
          <rPr>
            <sz val="11"/>
            <color indexed="8"/>
            <rFont val="Calibri"/>
            <family val="2"/>
            <scheme val="minor"/>
          </rPr>
          <t>Type: Academic_Level_ID</t>
        </r>
      </text>
    </comment>
    <comment ref="X4" authorId="0" shapeId="0" xr:uid="{B08BCA6F-7BBD-4D5E-BEB4-883B8958B94D}">
      <text>
        <r>
          <rPr>
            <sz val="11"/>
            <color indexed="8"/>
            <rFont val="Calibri"/>
            <family val="2"/>
            <scheme val="minor"/>
          </rPr>
          <t>Type: Academic_Level_ID</t>
        </r>
      </text>
    </comment>
    <comment ref="Y4" authorId="0" shapeId="0" xr:uid="{9C3D9309-8564-4EDD-A197-82F2BA301548}">
      <text>
        <r>
          <rPr>
            <sz val="11"/>
            <color indexed="8"/>
            <rFont val="Calibri"/>
            <family val="2"/>
            <scheme val="minor"/>
          </rPr>
          <t>Type: Academic_Level_ID</t>
        </r>
      </text>
    </comment>
    <comment ref="Z4" authorId="0" shapeId="0" xr:uid="{E720D833-EFFA-432E-B42D-C6AEF32B066F}">
      <text>
        <r>
          <rPr>
            <sz val="11"/>
            <color indexed="8"/>
            <rFont val="Calibri"/>
            <family val="2"/>
            <scheme val="minor"/>
          </rPr>
          <t>Type: Academic_Level_ID</t>
        </r>
      </text>
    </comment>
    <comment ref="AA4" authorId="0" shapeId="0" xr:uid="{B51F86CC-4B70-4C12-9785-7E9D09C7B71E}">
      <text>
        <r>
          <rPr>
            <sz val="11"/>
            <color indexed="8"/>
            <rFont val="Calibri"/>
            <family val="2"/>
            <scheme val="minor"/>
          </rPr>
          <t>Type: Academic_Level_ID</t>
        </r>
      </text>
    </comment>
    <comment ref="AB4" authorId="0" shapeId="0" xr:uid="{B85FE97C-C0BB-47D5-AEA4-1A0A71F52973}">
      <text>
        <r>
          <rPr>
            <sz val="11"/>
            <color indexed="8"/>
            <rFont val="Calibri"/>
            <family val="2"/>
            <scheme val="minor"/>
          </rPr>
          <t>Type: Academic_Level_ID</t>
        </r>
      </text>
    </comment>
    <comment ref="C5" authorId="0" shapeId="0" xr:uid="{417C7AA4-857B-4228-B5DF-A0B495515170}">
      <text>
        <r>
          <rPr>
            <sz val="11"/>
            <color indexed="8"/>
            <rFont val="Calibri"/>
            <family val="2"/>
            <scheme val="minor"/>
          </rPr>
          <t>Use a unique value for each line key entry within a header key group. You can reuse the same line key values in a different header key group</t>
        </r>
      </text>
    </comment>
    <comment ref="D5" authorId="0" shapeId="0" xr:uid="{5AAAF87D-B5B2-4D74-ABD2-3908B5D1750E}">
      <text>
        <r>
          <rPr>
            <sz val="11"/>
            <color indexed="8"/>
            <rFont val="Calibri"/>
            <family val="2"/>
            <scheme val="minor"/>
          </rPr>
          <t>Optional line order. If specified, lines will be sorted by this value when displayed and when invoice is printed.</t>
        </r>
      </text>
    </comment>
    <comment ref="E5" authorId="0" shapeId="0" xr:uid="{E03FCA59-D6DC-40D4-9BA6-2E9FC34A25CF}">
      <text>
        <r>
          <rPr>
            <sz val="11"/>
            <color indexed="8"/>
            <rFont val="Calibri"/>
            <family val="2"/>
            <scheme val="minor"/>
          </rPr>
          <t>Company or Company Hierarchy</t>
        </r>
      </text>
    </comment>
    <comment ref="F5" authorId="0" shapeId="0" xr:uid="{FA970281-7AB3-4ADB-8D94-8B74C95608D5}">
      <text>
        <r>
          <rPr>
            <sz val="11"/>
            <color indexed="8"/>
            <rFont val="Calibri"/>
            <family val="2"/>
            <scheme val="minor"/>
          </rPr>
          <t>4 Digit numeric field that contains Fiscal Year Number (ie: 2008, 2009, etc).  The combination of the Fiscal Year Number and the Fiscal Schedule determine the Fiscal Year for a company.  Note that Fiscal Year Reference is not used for Budget since for Budget, the Company's configured Fiscal Schedule is used in all cases to determine the Fiscal Year.</t>
        </r>
      </text>
    </comment>
    <comment ref="G5" authorId="0" shapeId="0" xr:uid="{3C0EB32F-2306-4026-9A1E-BE6D03CA78F3}">
      <text>
        <r>
          <rPr>
            <sz val="11"/>
            <color indexed="8"/>
            <rFont val="Calibri"/>
            <family val="2"/>
            <scheme val="minor"/>
          </rPr>
          <t>Reference to an existing Fiscal Posting Interval, Fiscal Summary Interval, Award Posting Interval. The Fiscal Summary Interval is used for the Award Summary Interval.  If the Budget is being entered by Fiscal Summary Schedules, provide the first the Summary Interval, otherwise provide the Posting Interval.</t>
        </r>
      </text>
    </comment>
    <comment ref="H5" authorId="0" shapeId="0" xr:uid="{922D58CB-0A2C-4C2D-89F7-9242FA01AED0}">
      <text>
        <r>
          <rPr>
            <sz val="11"/>
            <color indexed="8"/>
            <rFont val="Calibri"/>
            <family val="2"/>
            <scheme val="minor"/>
          </rPr>
          <t>Ledger Accounts or Summary Accounts for line</t>
        </r>
      </text>
    </comment>
    <comment ref="I5" authorId="0" shapeId="0" xr:uid="{A9AAFF9A-2342-40C6-B11B-FE4237C5A707}">
      <text>
        <r>
          <rPr>
            <sz val="11"/>
            <color indexed="8"/>
            <rFont val="Calibri"/>
            <family val="2"/>
            <scheme val="minor"/>
          </rPr>
          <t>For types that require a parent reference, contains a unique identifier for an instance of a parent object.</t>
        </r>
      </text>
    </comment>
    <comment ref="J5" authorId="0" shapeId="0" xr:uid="{069BB864-56EA-4A50-91B6-AC4ED72594D2}">
      <text>
        <r>
          <rPr>
            <sz val="11"/>
            <color indexed="8"/>
            <rFont val="Calibri"/>
            <family val="2"/>
            <scheme val="minor"/>
          </rPr>
          <t>Book code is allowed as a dimension on Financial, Award, Award Proposal &amp; Project Plan Structures</t>
        </r>
      </text>
    </comment>
    <comment ref="K5" authorId="0" shapeId="0" xr:uid="{A87FAA6C-89F4-43D3-8414-5688A59DD042}">
      <text>
        <r>
          <rPr>
            <sz val="11"/>
            <color indexed="8"/>
            <rFont val="Calibri"/>
            <family val="2"/>
            <scheme val="minor"/>
          </rPr>
          <t>Reference to the Currency of the transaction for the Budget Entry</t>
        </r>
      </text>
    </comment>
    <comment ref="L5" authorId="0" shapeId="0" xr:uid="{9A08B57C-DDC3-47A6-A4C4-5FEA6371D27A}">
      <text>
        <r>
          <rPr>
            <sz val="11"/>
            <color indexed="8"/>
            <rFont val="Calibri"/>
            <family val="2"/>
            <scheme val="minor"/>
          </rPr>
          <t>The debit amount in the transaction currency.</t>
        </r>
      </text>
    </comment>
    <comment ref="M5" authorId="0" shapeId="0" xr:uid="{40B1DAD3-B227-4F1D-84F9-6B311B6C7458}">
      <text>
        <r>
          <rPr>
            <sz val="11"/>
            <color indexed="8"/>
            <rFont val="Calibri"/>
            <family val="2"/>
            <scheme val="minor"/>
          </rPr>
          <t>The credit amount in the transaction currency.</t>
        </r>
      </text>
    </comment>
    <comment ref="N5" authorId="0" shapeId="0" xr:uid="{1F9C52CA-F561-45FA-807D-713802037F68}">
      <text>
        <r>
          <rPr>
            <sz val="11"/>
            <color indexed="8"/>
            <rFont val="Calibri"/>
            <family val="2"/>
            <scheme val="minor"/>
          </rPr>
          <t>Amount for unit of measure or time.</t>
        </r>
      </text>
    </comment>
    <comment ref="O5" authorId="0" shapeId="0" xr:uid="{D60A4B02-FEBF-4273-BD74-0823D82B90B6}">
      <text>
        <r>
          <rPr>
            <sz val="11"/>
            <color indexed="8"/>
            <rFont val="Calibri"/>
            <family val="2"/>
            <scheme val="minor"/>
          </rPr>
          <t>Unit of Measure or Unit of Time.</t>
        </r>
      </text>
    </comment>
    <comment ref="P5" authorId="0" shapeId="0" xr:uid="{C2022318-FABF-4B9B-800D-B60744A2A60A}">
      <text>
        <r>
          <rPr>
            <sz val="11"/>
            <color indexed="8"/>
            <rFont val="Calibri"/>
            <family val="2"/>
            <scheme val="minor"/>
          </rPr>
          <t>Memo for the line</t>
        </r>
      </text>
    </comment>
    <comment ref="Q5" authorId="0" shapeId="0" xr:uid="{1141E0A2-552F-4421-8D14-04037A46B03D}">
      <text>
        <r>
          <rPr>
            <sz val="11"/>
            <color indexed="8"/>
            <rFont val="Calibri"/>
            <family val="2"/>
            <scheme val="minor"/>
          </rPr>
          <t>Activity</t>
        </r>
      </text>
    </comment>
    <comment ref="R5" authorId="0" shapeId="0" xr:uid="{35C44B18-7AE6-4752-8633-E55D49066CB1}">
      <text>
        <r>
          <rPr>
            <sz val="11"/>
            <color indexed="8"/>
            <rFont val="Calibri"/>
            <family val="2"/>
            <scheme val="minor"/>
          </rPr>
          <t>Cost Center</t>
        </r>
      </text>
    </comment>
    <comment ref="S5" authorId="0" shapeId="0" xr:uid="{38F99F9B-2B98-401D-B3A0-40D377EBFDAE}">
      <text>
        <r>
          <rPr>
            <sz val="11"/>
            <color indexed="8"/>
            <rFont val="Calibri"/>
            <family val="2"/>
            <scheme val="minor"/>
          </rPr>
          <t>Fund</t>
        </r>
      </text>
    </comment>
    <comment ref="T5" authorId="0" shapeId="0" xr:uid="{D6B0A437-4D03-4B0F-BF05-E3CEDA97249F}">
      <text>
        <r>
          <rPr>
            <sz val="11"/>
            <color indexed="8"/>
            <rFont val="Calibri"/>
            <family val="2"/>
            <scheme val="minor"/>
          </rPr>
          <t>Gift</t>
        </r>
      </text>
    </comment>
    <comment ref="U5" authorId="0" shapeId="0" xr:uid="{8C62BC3E-B7E1-456E-BAB0-F980A64330E0}">
      <text>
        <r>
          <rPr>
            <sz val="11"/>
            <color indexed="8"/>
            <rFont val="Calibri"/>
            <family val="2"/>
            <scheme val="minor"/>
          </rPr>
          <t>Person Category</t>
        </r>
      </text>
    </comment>
    <comment ref="V5" authorId="0" shapeId="0" xr:uid="{9697B3B6-EFAC-4817-B9BC-079D913B80F2}">
      <text>
        <r>
          <rPr>
            <sz val="11"/>
            <color indexed="8"/>
            <rFont val="Calibri"/>
            <family val="2"/>
            <scheme val="minor"/>
          </rPr>
          <t>Program</t>
        </r>
      </text>
    </comment>
    <comment ref="W5" authorId="0" shapeId="0" xr:uid="{708F12D8-0914-41B4-9EBA-9E5F1DA58525}">
      <text>
        <r>
          <rPr>
            <sz val="11"/>
            <color indexed="8"/>
            <rFont val="Calibri"/>
            <family val="2"/>
            <scheme val="minor"/>
          </rPr>
          <t>Project Hierarchy</t>
        </r>
      </text>
    </comment>
    <comment ref="X5" authorId="0" shapeId="0" xr:uid="{65A58616-67B9-49B8-AAC3-0084C0056F45}">
      <text>
        <r>
          <rPr>
            <sz val="11"/>
            <color indexed="8"/>
            <rFont val="Calibri"/>
            <family val="2"/>
            <scheme val="minor"/>
          </rPr>
          <t>Region</t>
        </r>
      </text>
    </comment>
    <comment ref="Y5" authorId="0" shapeId="0" xr:uid="{3A72ADE5-25D6-41DA-8BEB-025EDE373F3F}">
      <text>
        <r>
          <rPr>
            <sz val="11"/>
            <color indexed="8"/>
            <rFont val="Calibri"/>
            <family val="2"/>
            <scheme val="minor"/>
          </rPr>
          <t>Business Unit</t>
        </r>
      </text>
    </comment>
    <comment ref="Z5" authorId="0" shapeId="0" xr:uid="{A5181D60-4D89-45D8-A9A1-5A4583339689}">
      <text>
        <r>
          <rPr>
            <sz val="11"/>
            <color indexed="8"/>
            <rFont val="Calibri"/>
            <family val="2"/>
            <scheme val="minor"/>
          </rPr>
          <t>Revenue Category</t>
        </r>
      </text>
    </comment>
    <comment ref="AA5" authorId="0" shapeId="0" xr:uid="{86D3B03E-7DBF-4561-BFC1-812778114516}">
      <text>
        <r>
          <rPr>
            <sz val="11"/>
            <color indexed="8"/>
            <rFont val="Calibri"/>
            <family val="2"/>
            <scheme val="minor"/>
          </rPr>
          <t>Spend Category</t>
        </r>
      </text>
    </comment>
    <comment ref="AB5" authorId="0" shapeId="0" xr:uid="{9914F10D-1AF7-4286-9D3F-C6A1BFB58CC2}">
      <text>
        <r>
          <rPr>
            <sz val="11"/>
            <color indexed="8"/>
            <rFont val="Calibri"/>
            <family val="2"/>
            <scheme val="minor"/>
          </rPr>
          <t>Project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Roop Kanwal</author>
  </authors>
  <commentList>
    <comment ref="M133" authorId="0" shapeId="0" xr:uid="{04A93EFF-EF3D-48B5-B1BA-92E77CEC6B29}">
      <text>
        <r>
          <rPr>
            <sz val="11"/>
            <color theme="1"/>
            <rFont val="Calibri"/>
            <family val="2"/>
          </rPr>
          <t xml:space="preserve">Roop Kanwal:
WD Category Consumable goods - 5063
</t>
        </r>
      </text>
    </comment>
    <comment ref="M134" authorId="0" shapeId="0" xr:uid="{2650DE54-2D28-4951-95A3-2A6F6200E865}">
      <text>
        <r>
          <rPr>
            <sz val="11"/>
            <color theme="1"/>
            <rFont val="Calibri"/>
            <family val="2"/>
          </rPr>
          <t xml:space="preserve">Roop Kanwal:
WD Spend Category: Library - 5061
</t>
        </r>
      </text>
    </comment>
    <comment ref="J135" authorId="0" shapeId="0" xr:uid="{86929A70-F6D2-406A-8B08-B4DA400DAD9F}">
      <text>
        <r>
          <rPr>
            <sz val="11"/>
            <color theme="1"/>
            <rFont val="Calibri"/>
            <family val="2"/>
          </rPr>
          <t>Roop Kanwal:
NWD Spend Category: Contracted and Temporary Labour</t>
        </r>
      </text>
    </comment>
    <comment ref="I136" authorId="0" shapeId="0" xr:uid="{697E4BCF-32CA-4D70-BDAE-363DC08A9400}">
      <text>
        <r>
          <rPr>
            <b/>
            <sz val="9"/>
            <color indexed="81"/>
            <rFont val="Tahoma"/>
            <family val="2"/>
          </rPr>
          <t>Roop Kanwal:</t>
        </r>
        <r>
          <rPr>
            <sz val="9"/>
            <color indexed="81"/>
            <rFont val="Tahoma"/>
            <family val="2"/>
          </rPr>
          <t xml:space="preserve">
Is this same as research data management and software?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Roop Kanwal</author>
  </authors>
  <commentList>
    <comment ref="M133" authorId="0" shapeId="0" xr:uid="{5FE66826-37B0-4471-96D7-AB122AF0F3EB}">
      <text>
        <r>
          <rPr>
            <sz val="11"/>
            <color theme="1"/>
            <rFont val="Calibri"/>
            <family val="2"/>
          </rPr>
          <t xml:space="preserve">Roop Kanwal:
WD Category Consumable goods - 5063
</t>
        </r>
      </text>
    </comment>
    <comment ref="M134" authorId="0" shapeId="0" xr:uid="{0E2FE8B9-091C-46C7-9E76-CD8E5861B391}">
      <text>
        <r>
          <rPr>
            <sz val="11"/>
            <color theme="1"/>
            <rFont val="Calibri"/>
            <family val="2"/>
          </rPr>
          <t xml:space="preserve">Roop Kanwal:
WD Spend Category: Library - 5061
</t>
        </r>
      </text>
    </comment>
    <comment ref="J135" authorId="0" shapeId="0" xr:uid="{968C2970-FB1A-4B2B-A4F6-A7AB0BAFEBD2}">
      <text>
        <r>
          <rPr>
            <sz val="11"/>
            <color theme="1"/>
            <rFont val="Calibri"/>
            <family val="2"/>
          </rPr>
          <t>Roop Kanwal:
NWD Spend Category: Contracted and Temporary Labour</t>
        </r>
      </text>
    </comment>
    <comment ref="I136" authorId="0" shapeId="0" xr:uid="{D036148A-7C00-4948-ACCF-4391EFE29AF8}">
      <text>
        <r>
          <rPr>
            <b/>
            <sz val="9"/>
            <color indexed="81"/>
            <rFont val="Tahoma"/>
            <family val="2"/>
          </rPr>
          <t>Roop Kanwal:</t>
        </r>
        <r>
          <rPr>
            <sz val="9"/>
            <color indexed="81"/>
            <rFont val="Tahoma"/>
            <family val="2"/>
          </rPr>
          <t xml:space="preserve">
Is this same as research data management and software?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233D2B3-2B01-4BB9-9A5F-6C045EB943D0}" name="Connection1" type="4" refreshedVersion="7" deleted="1" background="1" saveData="1">
    <webPr xl2000="1" htmlTables="1" htmlFormat="all"/>
  </connection>
  <connection id="2" xr16:uid="{69497BFA-957B-4732-A079-69B473837CD1}" name="Connection10" type="4" refreshedVersion="7" deleted="1" background="1" saveData="1">
    <webPr xl2000="1" htmlTables="1" htmlFormat="all"/>
  </connection>
  <connection id="3" xr16:uid="{6477D363-6A91-420D-9465-242F23B78BA2}" name="Connection11" type="4" refreshedVersion="7" deleted="1" background="1" saveData="1">
    <webPr xl2000="1" htmlTables="1" htmlFormat="all"/>
  </connection>
  <connection id="4" xr16:uid="{DE28C042-BA43-490B-8B67-5E6B13E9989C}" name="Connection12" type="4" refreshedVersion="7" deleted="1" background="1" saveData="1">
    <webPr xl2000="1" htmlTables="1" htmlFormat="all"/>
  </connection>
  <connection id="5" xr16:uid="{C5276FB0-0ACD-4D50-9CFE-322A1FA31E08}" name="Connection13" type="4" refreshedVersion="7" deleted="1" background="1" saveData="1">
    <webPr xl2000="1" htmlTables="1" htmlFormat="all"/>
  </connection>
  <connection id="6" xr16:uid="{FDDBA8B4-A876-491C-BD97-52DD15C8C98C}" name="Connection14" type="4" refreshedVersion="7" deleted="1" background="1" saveData="1">
    <webPr xl2000="1" htmlTables="1" htmlFormat="all"/>
  </connection>
  <connection id="7" xr16:uid="{B3E69D17-F5F5-4F52-9582-C0E01E808187}" name="Connection2" type="4" refreshedVersion="0" deleted="1" background="1" saveData="1">
    <webPr htmlTables="1" htmlFormat="all"/>
  </connection>
  <connection id="8" xr16:uid="{47BC9964-0C21-42BD-8EDF-DBD14374F662}" name="Connection3" type="4" refreshedVersion="7" deleted="1" background="1" saveData="1">
    <webPr xl2000="1" htmlTables="1" htmlFormat="all"/>
  </connection>
  <connection id="9" xr16:uid="{9D656E6E-E51C-4F59-8D78-8A13DB31684D}" name="Connection4" type="4" refreshedVersion="7" deleted="1" background="1" saveData="1">
    <webPr xl2000="1" htmlTables="1" htmlFormat="all"/>
  </connection>
  <connection id="10" xr16:uid="{E3FAB9B7-DB37-4BF0-B880-1592ADC333B0}" name="Connection5" type="4" refreshedVersion="7" deleted="1" background="1" saveData="1">
    <webPr xl2000="1" htmlTables="1" htmlFormat="all"/>
  </connection>
  <connection id="11" xr16:uid="{9C104EAE-6556-4F4B-B6C7-A27327165F90}" name="Connection6" type="4" refreshedVersion="7" deleted="1" background="1" saveData="1">
    <webPr xl2000="1" htmlTables="1" htmlFormat="all"/>
  </connection>
  <connection id="12" xr16:uid="{83E23D33-A35E-40FE-9AF4-7422E983B8F5}" name="Connection7" type="4" refreshedVersion="7" deleted="1" background="1" saveData="1">
    <webPr xl2000="1" htmlTables="1" htmlFormat="all"/>
  </connection>
  <connection id="13" xr16:uid="{250B45D1-4623-4776-A0CD-49EDBF8C2C51}" name="Connection8" type="4" refreshedVersion="7" deleted="1" background="1" saveData="1">
    <webPr xl2000="1" htmlTables="1" htmlFormat="all"/>
  </connection>
  <connection id="14" xr16:uid="{33685260-E2C9-4BC8-AA2F-1A81507A062D}" name="Connection9" type="4" refreshedVersion="7" deleted="1" background="1" saveData="1">
    <webPr xl2000="1" htmlTables="1" htmlFormat="all"/>
  </connection>
  <connection id="15" xr16:uid="{2A311319-E9CB-4F86-8880-1295A0D14478}" name="Exchange_Rate_Refresh" type="4" refreshedVersion="8" background="1" saveData="1">
    <webPr xl2000="1" url="https://www.x-rates.com/table/?from=AUD&amp;amount=1" htmlTables="1" htmlFormat="all">
      <tables count="1">
        <x v="2"/>
      </tables>
    </webPr>
  </connection>
  <connection id="16" xr16:uid="{A26D5084-6EE4-450D-9826-4E3E688F1BB6}" keepAlive="1" name="Query - Version History" description="Connection to the 'Version History' query in the workbook." type="5" refreshedVersion="8" saveData="1">
    <dbPr connection="Provider=Microsoft.Mashup.OleDb.1;Data Source=$Workbook$;Location=&quot;Version History&quot;;Extended Properties=&quot;&quot;" command="SELECT * FROM [Version Histo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<sst xmlns="http://schemas.openxmlformats.org/spreadsheetml/2006/main" count="7777" uniqueCount="1425">
  <si>
    <t>Using salary recovery multiplier (2.2)</t>
  </si>
  <si>
    <t>&lt;&lt;wip&gt;&gt;</t>
  </si>
  <si>
    <t>Using full salary recovery (2.5)</t>
  </si>
  <si>
    <t>&lt;&lt;WIP&gt;&gt;</t>
  </si>
  <si>
    <r>
      <rPr>
        <b/>
        <sz val="11"/>
        <color rgb="FFFF0000"/>
        <rFont val="Calibri"/>
        <family val="2"/>
        <scheme val="minor"/>
      </rPr>
      <t xml:space="preserve">Heads up!   </t>
    </r>
    <r>
      <rPr>
        <b/>
        <sz val="11"/>
        <color theme="2" tint="-0.749992370372631"/>
        <rFont val="Calibri"/>
        <family val="2"/>
        <scheme val="minor"/>
      </rPr>
      <t>This calculator is for internal University of Melbourne use only and must not be shared with external parties.</t>
    </r>
  </si>
  <si>
    <t>PROJECT DETAILS</t>
  </si>
  <si>
    <r>
      <t>Project Title (Name)</t>
    </r>
    <r>
      <rPr>
        <b/>
        <sz val="11"/>
        <color rgb="FFFF0000"/>
        <rFont val="Calibri"/>
        <family val="2"/>
        <scheme val="minor"/>
      </rPr>
      <t>*</t>
    </r>
  </si>
  <si>
    <r>
      <t>Lead UoM Chief Investigator</t>
    </r>
    <r>
      <rPr>
        <b/>
        <sz val="11"/>
        <color rgb="FFFF0000"/>
        <rFont val="Calibri"/>
        <family val="2"/>
        <scheme val="minor"/>
      </rPr>
      <t>*</t>
    </r>
  </si>
  <si>
    <r>
      <t>Funder</t>
    </r>
    <r>
      <rPr>
        <b/>
        <sz val="11"/>
        <color rgb="FFFF0000"/>
        <rFont val="Calibri"/>
        <family val="2"/>
        <scheme val="minor"/>
      </rPr>
      <t>*</t>
    </r>
  </si>
  <si>
    <t>Other</t>
  </si>
  <si>
    <t>Specify Other Funder</t>
  </si>
  <si>
    <r>
      <t>Department</t>
    </r>
    <r>
      <rPr>
        <b/>
        <sz val="11"/>
        <color rgb="FFFF0000"/>
        <rFont val="Calibri"/>
        <family val="2"/>
        <scheme val="minor"/>
      </rPr>
      <t>*</t>
    </r>
  </si>
  <si>
    <t>Faculty</t>
  </si>
  <si>
    <t>Scheme (Grants Only)</t>
  </si>
  <si>
    <r>
      <t>Project Duration</t>
    </r>
    <r>
      <rPr>
        <b/>
        <sz val="11"/>
        <color rgb="FFFF0000"/>
        <rFont val="Calibri"/>
        <family val="2"/>
        <scheme val="minor"/>
      </rPr>
      <t>*</t>
    </r>
  </si>
  <si>
    <r>
      <t xml:space="preserve">Start Year </t>
    </r>
    <r>
      <rPr>
        <b/>
        <sz val="11"/>
        <color rgb="FFFF0000"/>
        <rFont val="Calibri"/>
        <family val="2"/>
        <scheme val="minor"/>
      </rPr>
      <t>*</t>
    </r>
  </si>
  <si>
    <t>Start Month</t>
  </si>
  <si>
    <r>
      <t xml:space="preserve">End Year </t>
    </r>
    <r>
      <rPr>
        <b/>
        <sz val="11"/>
        <color rgb="FFFF0000"/>
        <rFont val="Calibri"/>
        <family val="2"/>
        <scheme val="minor"/>
      </rPr>
      <t>*^</t>
    </r>
  </si>
  <si>
    <t>End Month</t>
  </si>
  <si>
    <t>NOTE: The 'month' entered here WILL impact calculations in the tool. Calculations in the tool will assume expenditure only in the specified time period'.</t>
  </si>
  <si>
    <t>January</t>
  </si>
  <si>
    <t>December</t>
  </si>
  <si>
    <r>
      <t>Budget Currency</t>
    </r>
    <r>
      <rPr>
        <b/>
        <sz val="11"/>
        <color rgb="FFFF0000"/>
        <rFont val="Calibri"/>
        <family val="2"/>
        <scheme val="minor"/>
      </rPr>
      <t>*</t>
    </r>
  </si>
  <si>
    <t>AUD - Australian Dollar</t>
  </si>
  <si>
    <r>
      <t>Project Attributes</t>
    </r>
    <r>
      <rPr>
        <b/>
        <vertAlign val="superscript"/>
        <sz val="12"/>
        <color rgb="FFFF0000"/>
        <rFont val="Calibri"/>
        <family val="2"/>
        <scheme val="minor"/>
      </rPr>
      <t>#</t>
    </r>
  </si>
  <si>
    <t>Company</t>
  </si>
  <si>
    <t>Cost Centre</t>
  </si>
  <si>
    <t xml:space="preserve">Activity </t>
  </si>
  <si>
    <t>Region</t>
  </si>
  <si>
    <t>C001</t>
  </si>
  <si>
    <t>Research</t>
  </si>
  <si>
    <t>Parkville</t>
  </si>
  <si>
    <t>Additional Information / Comments</t>
  </si>
  <si>
    <r>
      <rPr>
        <b/>
        <sz val="11"/>
        <color rgb="FFFF0000"/>
        <rFont val="Calibri"/>
        <family val="2"/>
        <scheme val="minor"/>
      </rPr>
      <t xml:space="preserve">* </t>
    </r>
    <r>
      <rPr>
        <b/>
        <sz val="11"/>
        <color theme="1"/>
        <rFont val="Calibri"/>
        <family val="2"/>
        <scheme val="minor"/>
      </rPr>
      <t>Required</t>
    </r>
  </si>
  <si>
    <r>
      <rPr>
        <b/>
        <vertAlign val="superscript"/>
        <sz val="12"/>
        <color rgb="FFFF0000"/>
        <rFont val="Calibri"/>
        <family val="2"/>
        <scheme val="minor"/>
      </rPr>
      <t xml:space="preserve"># </t>
    </r>
    <r>
      <rPr>
        <b/>
        <sz val="11"/>
        <color theme="3" tint="-0.499984740745262"/>
        <rFont val="Calibri"/>
        <family val="2"/>
        <scheme val="minor"/>
      </rPr>
      <t>Please review the fields in the Project Attributes section and make the necessary adjustments if/where required. If information is not provided, information will be sought from academic support staff or the use of default codes.  If post project setup adjustments to correct the account codes are required please note this will be considered a low priority and may take some months to action.</t>
    </r>
  </si>
  <si>
    <r>
      <rPr>
        <b/>
        <sz val="11"/>
        <color rgb="FFFF0000"/>
        <rFont val="Calibri"/>
        <family val="2"/>
        <scheme val="minor"/>
      </rPr>
      <t>^</t>
    </r>
    <r>
      <rPr>
        <b/>
        <sz val="11"/>
        <color theme="3" tint="-0.499984740745262"/>
        <rFont val="Calibri"/>
        <family val="2"/>
        <scheme val="minor"/>
      </rPr>
      <t xml:space="preserve"> 'Staff Costs' tab will not function if an end date is not specified.</t>
    </r>
  </si>
  <si>
    <t>Approval from Dean is required. The cost multiplier on staff costs is less than 1.70 (check Cell F37). Only exempt for Category 1 Grants.</t>
  </si>
  <si>
    <r>
      <rPr>
        <b/>
        <sz val="9"/>
        <color theme="1"/>
        <rFont val="Calibri"/>
        <family val="2"/>
        <scheme val="minor"/>
      </rPr>
      <t xml:space="preserve">NOTE: </t>
    </r>
    <r>
      <rPr>
        <sz val="9"/>
        <color theme="1"/>
        <rFont val="Calibri"/>
        <family val="2"/>
        <scheme val="minor"/>
      </rPr>
      <t>Staff costs (column J, L etc.) includes the base salary plus salary on-costs plus overheads. The base salary rate is multiplied by a series of factors, for a breakdown of on-costs, see On cost calculator tab.</t>
    </r>
  </si>
  <si>
    <t xml:space="preserve">The overheads are calculated by applying the cost recovery multiplier as specified in cell D11 to the base salary plus salary on-costs. </t>
  </si>
  <si>
    <t>STAFF COSTS</t>
  </si>
  <si>
    <t>EBA Multiplier</t>
  </si>
  <si>
    <t xml:space="preserve"> </t>
  </si>
  <si>
    <t>Direct Salary and On-Costs Paid by the Project</t>
  </si>
  <si>
    <t>Cost Recovery Multiplier</t>
  </si>
  <si>
    <r>
      <t>Have all Chief Investigators costs been included in this page?</t>
    </r>
    <r>
      <rPr>
        <i/>
        <sz val="11"/>
        <rFont val="Calibri"/>
        <family val="2"/>
        <scheme val="minor"/>
      </rPr>
      <t xml:space="preserve"> (Please select Yes or No)</t>
    </r>
  </si>
  <si>
    <t>Name / Role</t>
  </si>
  <si>
    <r>
      <t>WorkDay Person Category -</t>
    </r>
    <r>
      <rPr>
        <b/>
        <sz val="11"/>
        <color rgb="FFFF0000"/>
        <rFont val="Calibri"/>
        <family val="2"/>
        <scheme val="minor"/>
      </rPr>
      <t>HIDE THIS COL</t>
    </r>
  </si>
  <si>
    <t>Employment  Type</t>
  </si>
  <si>
    <t>Category</t>
  </si>
  <si>
    <t>Classification</t>
  </si>
  <si>
    <t>FTE / Daily / Hourly</t>
  </si>
  <si>
    <t>Rate (AUD) as at</t>
  </si>
  <si>
    <t>Time</t>
  </si>
  <si>
    <t>Full Recovery (2.5)</t>
  </si>
  <si>
    <t>In-kind contributions (University investment) of Staff Time to the Project</t>
  </si>
  <si>
    <t>This section is required, but is for information purposes, unless in-kind contributions (University investment) are not required by a sponsor. It is NOT included in the price charged to a sponsor or a client.</t>
  </si>
  <si>
    <t>Default value is 2.5</t>
  </si>
  <si>
    <t xml:space="preserve">NOTE: Cost recovery for in-kind contributions (University investment)  has been set at the average full indirect cost of research activity across the University. It provides a useful bench mark for understanding the full costs of faculty contributions to projects. It can also be used where a sponsor requires in-kind contributions (University investment) to a project. Please be mindful that some sponsors specify their own method for calculating in-kind contributions (University investment). The 2.5 default rate is not protected so feel free to alter it, if required. </t>
  </si>
  <si>
    <t>Name</t>
  </si>
  <si>
    <t>Rate as at (AUD)</t>
  </si>
  <si>
    <t>Indirect Cost Calculation on In-kind contributions (University investment) - Use as needed</t>
  </si>
  <si>
    <t>Calculating cost recovery on in-kind contributions (University investment) is useful where cost recovery, but not salaries, can be charged on a project</t>
  </si>
  <si>
    <t>Cost Recovery on In-kind contributions (University investment)</t>
  </si>
  <si>
    <t>=I$69-I$69/pCRInKind</t>
  </si>
  <si>
    <t>NON-STAFF COSTS</t>
  </si>
  <si>
    <t>Cost group (drop down)</t>
  </si>
  <si>
    <r>
      <t xml:space="preserve">Party
</t>
    </r>
    <r>
      <rPr>
        <sz val="12"/>
        <color theme="0"/>
        <rFont val="Calibri"/>
        <family val="2"/>
        <scheme val="minor"/>
      </rPr>
      <t>(Choose from dropdown)</t>
    </r>
  </si>
  <si>
    <t>Expense type</t>
  </si>
  <si>
    <t>Description (free text)</t>
  </si>
  <si>
    <t>In Kind?</t>
  </si>
  <si>
    <r>
      <t>Additional 10% added to direct cost</t>
    </r>
    <r>
      <rPr>
        <b/>
        <sz val="10"/>
        <color rgb="FF00B050"/>
        <rFont val="Calibri"/>
        <family val="2"/>
        <scheme val="minor"/>
      </rPr>
      <t>*</t>
    </r>
  </si>
  <si>
    <t>Additional Indirect Rate multiplier</t>
  </si>
  <si>
    <t>Additional Notes</t>
  </si>
  <si>
    <t>No</t>
  </si>
  <si>
    <r>
      <t xml:space="preserve">These additional costs can be difficult to determine. If no better method is available, they can be estimated as being roughly 10% of the cost of the item – if necessary, the calculator provides an option to apply this estimate (10% on top of identified costs) by selecting ‘yes’ in column R.
</t>
    </r>
    <r>
      <rPr>
        <sz val="11"/>
        <color rgb="FF339933"/>
        <rFont val="Calibri"/>
        <family val="2"/>
        <scheme val="minor"/>
      </rPr>
      <t xml:space="preserve">*It is best practice not to apply the additional 10% if an additional indirect rate multiplier is entered.
</t>
    </r>
    <r>
      <rPr>
        <b/>
        <sz val="11"/>
        <color rgb="FF000000"/>
        <rFont val="Calibri"/>
        <family val="2"/>
        <scheme val="minor"/>
      </rPr>
      <t xml:space="preserve">Non-Staff category Totals </t>
    </r>
    <r>
      <rPr>
        <sz val="11"/>
        <color indexed="8"/>
        <rFont val="Calibri"/>
        <family val="2"/>
        <scheme val="minor"/>
      </rPr>
      <t>include cost, additional 10% and additional multiplier (applied to cost + additional 10% where selected).
The application of this method is not appropriate for PhD Stipends and Shared Grants categories of non-s</t>
    </r>
    <r>
      <rPr>
        <sz val="11"/>
        <rFont val="Calibri"/>
        <family val="2"/>
        <scheme val="minor"/>
      </rPr>
      <t xml:space="preserve">taff costs and is </t>
    </r>
    <r>
      <rPr>
        <u/>
        <sz val="11"/>
        <rFont val="Calibri"/>
        <family val="2"/>
        <scheme val="minor"/>
      </rPr>
      <t>not</t>
    </r>
    <r>
      <rPr>
        <sz val="11"/>
        <rFont val="Calibri"/>
        <family val="2"/>
        <scheme val="minor"/>
      </rPr>
      <t xml:space="preserve"> available in those categories.</t>
    </r>
  </si>
  <si>
    <t>Direct Non-Staff Costs (including additional 10%)</t>
  </si>
  <si>
    <t>Indirect Non-Staff Costs</t>
  </si>
  <si>
    <r>
      <t xml:space="preserve">Non-Staff Costs Total </t>
    </r>
    <r>
      <rPr>
        <sz val="11"/>
        <rFont val="Calibri"/>
        <family val="2"/>
        <scheme val="minor"/>
      </rPr>
      <t>(incl indirect rate multiplier if applied)</t>
    </r>
  </si>
  <si>
    <t>In kind (University investment) - Direct Non-Staff Costs (including additional 10%)</t>
  </si>
  <si>
    <t xml:space="preserve"> In kind (University investment) - Indirect Non-Staff Costs</t>
  </si>
  <si>
    <t>In-Kind (University investment) - Non-Staff CostsTotal</t>
  </si>
  <si>
    <t>Contingency (557B)</t>
  </si>
  <si>
    <t>Summary by Category</t>
  </si>
  <si>
    <t>Advertising and marketing</t>
  </si>
  <si>
    <t>Advertising and marketing - In kind (University investment)</t>
  </si>
  <si>
    <t>Advertising, Marketing and Promotional Expenses</t>
  </si>
  <si>
    <t>Direct costs</t>
  </si>
  <si>
    <t>Additional 10% (on direct cost)</t>
  </si>
  <si>
    <t>Indirect Costs</t>
  </si>
  <si>
    <t>In kind: Advertising, Marketing and Promotional Expenses</t>
  </si>
  <si>
    <t>Consumable Goods and Supplies</t>
  </si>
  <si>
    <t>Consumable Goods and Supplies - In kind (University investment)</t>
  </si>
  <si>
    <t>Consumable Goods</t>
  </si>
  <si>
    <t>In kind: Consumable Goods</t>
  </si>
  <si>
    <t>Library</t>
  </si>
  <si>
    <t>In kind: Library</t>
  </si>
  <si>
    <t>Data Management</t>
  </si>
  <si>
    <t>Data Management - In kind (University investment)</t>
  </si>
  <si>
    <t>Computer Software and Services (inlcudes Research data manangment and software services)</t>
  </si>
  <si>
    <t>In kind: Computer Software and Services (inlcudes Research data manangment and software services)</t>
  </si>
  <si>
    <t>Equipment and maintenance and utilities</t>
  </si>
  <si>
    <t>Equipment and maintenance and utilities - In kind (University investment)</t>
  </si>
  <si>
    <t>Major assets and equipment (&gt;$10,000)/infrastructure costs</t>
  </si>
  <si>
    <t>Minor Assets and Equipment (Asset &lt; $10,000) Non-Capitalised Equipment</t>
  </si>
  <si>
    <t>Rental and Hire</t>
  </si>
  <si>
    <t>Repairs and Maintenance</t>
  </si>
  <si>
    <t>Utilities and Services</t>
  </si>
  <si>
    <t>Expert Services and Consultants and Contractors</t>
  </si>
  <si>
    <t>Expert Services and Consultants and Contractors - In kind (University investment)</t>
  </si>
  <si>
    <t>Consultants</t>
  </si>
  <si>
    <t>In kind: Consultants</t>
  </si>
  <si>
    <t>Contracted and Temporary Labour</t>
  </si>
  <si>
    <t>In kind: Contracted and Temporary Labour</t>
  </si>
  <si>
    <t>Contracted Services (ex. ICA)</t>
  </si>
  <si>
    <t>In kind: Contracted Services (ex. ICA)</t>
  </si>
  <si>
    <t>Other expert services</t>
  </si>
  <si>
    <t>In kind: Other expert services</t>
  </si>
  <si>
    <t>Other consumable service</t>
  </si>
  <si>
    <t>Other consumable service - In kind (University investment)</t>
  </si>
  <si>
    <t>Open Access Fees</t>
  </si>
  <si>
    <t>In kind: Open Access Fees</t>
  </si>
  <si>
    <t>Professional memberships and subscriptions</t>
  </si>
  <si>
    <t>In kind: Professional memberships and subscriptions</t>
  </si>
  <si>
    <t>PhD Stipends</t>
  </si>
  <si>
    <t xml:space="preserve"> PhD Stipends - In kind (University investment)</t>
  </si>
  <si>
    <t>Other Student Support (includes PhD Stipends/grants)</t>
  </si>
  <si>
    <t>Not Applicable - Additional 10% (on direct cost)</t>
  </si>
  <si>
    <t>In kind: Other Student Support (includes PhD Stipends/grants)</t>
  </si>
  <si>
    <t>Shared Grant Payments</t>
  </si>
  <si>
    <t>Shared Grant Payments - In kind (University investment)</t>
  </si>
  <si>
    <t>Contributions to HEPS</t>
  </si>
  <si>
    <t>In kind: Contributions to HEPS</t>
  </si>
  <si>
    <t>Travel and entertainment</t>
  </si>
  <si>
    <t>Travel and entertainment - In kind (University investment)</t>
  </si>
  <si>
    <t>Entertainment and catering</t>
  </si>
  <si>
    <t>In kind: Entertainment and catering</t>
  </si>
  <si>
    <t>Travel, Staff Development, and Conference Expense</t>
  </si>
  <si>
    <t>In kind: Travel, Staff Development, and Conference Expense</t>
  </si>
  <si>
    <t>`</t>
  </si>
  <si>
    <t>Summary (Read only)</t>
  </si>
  <si>
    <t>Use details in this section to populate the Cayuse Proposal Form Financial Details section</t>
  </si>
  <si>
    <t>Currency Nominated for the project</t>
  </si>
  <si>
    <t>Total amount requested for project</t>
  </si>
  <si>
    <t>Amount expected to be received by UoM</t>
  </si>
  <si>
    <t>Cost recovery multiplier used</t>
  </si>
  <si>
    <t>Total Project Cost to UoM (including in-kind)</t>
  </si>
  <si>
    <t>Justification for cost recovery multiplier</t>
  </si>
  <si>
    <t>Cash co-contributions (university investment) - in AUD</t>
  </si>
  <si>
    <t>PRICE SUMMARY</t>
  </si>
  <si>
    <r>
      <rPr>
        <b/>
        <sz val="12"/>
        <color theme="1"/>
        <rFont val="Calibri"/>
        <family val="2"/>
        <scheme val="minor"/>
      </rPr>
      <t>Notes</t>
    </r>
    <r>
      <rPr>
        <sz val="10"/>
        <rFont val="Calibri"/>
        <family val="2"/>
        <scheme val="minor"/>
      </rPr>
      <t xml:space="preserve">
The </t>
    </r>
    <r>
      <rPr>
        <b/>
        <sz val="10"/>
        <rFont val="Calibri"/>
        <family val="2"/>
        <scheme val="minor"/>
      </rPr>
      <t>Full Project Cost</t>
    </r>
    <r>
      <rPr>
        <sz val="10"/>
        <rFont val="Calibri"/>
        <family val="2"/>
        <scheme val="minor"/>
      </rPr>
      <t xml:space="preserve"> is the full cost of the project including overheads, on-cost and in-kind contributions.
Consider inclusion of </t>
    </r>
    <r>
      <rPr>
        <b/>
        <sz val="10"/>
        <rFont val="Calibri"/>
        <family val="2"/>
        <scheme val="minor"/>
      </rPr>
      <t>Project Contingency</t>
    </r>
    <r>
      <rPr>
        <sz val="10"/>
        <rFont val="Calibri"/>
        <family val="2"/>
        <scheme val="minor"/>
      </rPr>
      <t xml:space="preserve"> and </t>
    </r>
    <r>
      <rPr>
        <b/>
        <sz val="10"/>
        <rFont val="Calibri"/>
        <family val="2"/>
        <scheme val="minor"/>
      </rPr>
      <t>Project Management fee</t>
    </r>
    <r>
      <rPr>
        <sz val="10"/>
        <rFont val="Calibri"/>
        <family val="2"/>
        <scheme val="minor"/>
      </rPr>
      <t xml:space="preserve"> wherever possible. Some funders specifically allow such fees. Contingency fees and Project management Fees can be built into the Price by inclusion in the Staff costs and Non-staff costs tabs. Inclusion of a Project Contingency of 10% is recommended wherever possible.
</t>
    </r>
    <r>
      <rPr>
        <b/>
        <sz val="10"/>
        <rFont val="Calibri"/>
        <family val="2"/>
        <scheme val="minor"/>
      </rPr>
      <t>The Price to be charged to Funder</t>
    </r>
    <r>
      <rPr>
        <sz val="10"/>
        <rFont val="Calibri"/>
        <family val="2"/>
        <scheme val="minor"/>
      </rPr>
      <t xml:space="preserve"> indicates the amount of funding sought from the Funder. The Indirect Cost Recovery multiplier can be increased or decreased to adjust the price. In-kind contributions are not included in the price.
</t>
    </r>
    <r>
      <rPr>
        <b/>
        <sz val="10"/>
        <rFont val="Calibri"/>
        <family val="2"/>
        <scheme val="minor"/>
      </rPr>
      <t xml:space="preserve">University Position </t>
    </r>
    <r>
      <rPr>
        <sz val="10"/>
        <rFont val="Calibri"/>
        <family val="2"/>
        <scheme val="minor"/>
      </rPr>
      <t xml:space="preserve">is the amount of deficit or surplus funding resulting from the project as priced. Basically, it is 'Price to be charged to Funder' - 'Full Project Cost (including in-kind and case contributions)'.
</t>
    </r>
    <r>
      <rPr>
        <b/>
        <sz val="10"/>
        <rFont val="Calibri"/>
        <family val="2"/>
        <scheme val="minor"/>
      </rPr>
      <t>When is authorisation needed from a Dean/Dean's delegate?</t>
    </r>
    <r>
      <rPr>
        <sz val="10"/>
        <rFont val="Calibri"/>
        <family val="2"/>
        <scheme val="minor"/>
      </rPr>
      <t xml:space="preserve">
Where projects are not costed with the minimum cost recovery multiplier applied to Salaries and other project costs are not 'fully priced', authorisation is required from a Dean/Dean's delegate for the project to proceed - Unless there are documented sponsor requirements that prohibit full costing.
This worksheets helps to identify cases where authorisation is required from a Dean/Dean's delegate by flagging those cases where:
  - A salary cost recovery multiplier of less than the Minimum Cost Recovery Multiplier (2.2 for projects commencing 2022) is applied to salary costs.
</t>
    </r>
    <r>
      <rPr>
        <b/>
        <sz val="10"/>
        <rFont val="Calibri"/>
        <family val="2"/>
        <scheme val="minor"/>
      </rPr>
      <t>OR</t>
    </r>
    <r>
      <rPr>
        <sz val="10"/>
        <rFont val="Calibri"/>
        <family val="2"/>
        <scheme val="minor"/>
      </rPr>
      <t xml:space="preserve">
 - There are in-kind (University investment) and the project is therefore not fully priced).</t>
    </r>
  </si>
  <si>
    <t>Indirect Cost Recovery multiplier (applied to salaries)</t>
  </si>
  <si>
    <t>Staff Costs (excluding in-kind (University investment))</t>
  </si>
  <si>
    <t>Project Contingency</t>
  </si>
  <si>
    <t>%</t>
  </si>
  <si>
    <t>Project Management fee</t>
  </si>
  <si>
    <t>Project Cost (excluding in-kind (University investment))</t>
  </si>
  <si>
    <t>In-kind (University investment) Staff Costs</t>
  </si>
  <si>
    <t>In-kind (University investment) Non-Staff Costs</t>
  </si>
  <si>
    <t>Total In-kind (University investment) Project Costs</t>
  </si>
  <si>
    <t>Staff Costs % (excluding in-kind (University investment))</t>
  </si>
  <si>
    <t>Non-Staff Costs % (excluding in-kind (University investment))</t>
  </si>
  <si>
    <t>Total Project Cost (including in-kind (University Investment))</t>
  </si>
  <si>
    <t>Cash Co-contribution  (University investment)  by Department</t>
  </si>
  <si>
    <t>Cash Co-contribution  (University investment) by Faculty</t>
  </si>
  <si>
    <t>Cash Co-contribution  (University investment) by Chancellery</t>
  </si>
  <si>
    <t>Total Price to be charged to Funder (Excluding GST)</t>
  </si>
  <si>
    <t>Total Price to be charged to Funder (Including GST)</t>
  </si>
  <si>
    <t>Cash benefit/cost</t>
  </si>
  <si>
    <t>Total In-kind contribution (University investment)</t>
  </si>
  <si>
    <t>Total Cash Co-Contribution (University investment - Department, Faculty and Chancellery)</t>
  </si>
  <si>
    <t>University Position</t>
  </si>
  <si>
    <t>Authorisation required by Dean/Dean's delegate?</t>
  </si>
  <si>
    <r>
      <rPr>
        <b/>
        <sz val="10"/>
        <rFont val="Calibri"/>
        <family val="2"/>
        <scheme val="minor"/>
      </rPr>
      <t>Note:</t>
    </r>
    <r>
      <rPr>
        <sz val="10"/>
        <rFont val="Calibri"/>
        <family val="2"/>
        <scheme val="minor"/>
      </rPr>
      <t xml:space="preserve"> For the avoidance of doubt, requirements in relation to the recovery of indirect costs and the application of Minimum Cost Recovery Multipliers as set out in the Research Funding Costing and Pricing Policy do not apply where full cost recovery is expressly prohibited by the terms and conditions of ARC, NHMRC, other competitive grant schemes or the sponsors' funding rules.  
In cases where the terms and conditions of a funding scheme allow only limited cost recovery, applicants must request cost recovery to the maximum allowable.</t>
    </r>
  </si>
  <si>
    <t xml:space="preserve">                                                                   PART A Project Details </t>
  </si>
  <si>
    <t>PART A Project Details</t>
  </si>
  <si>
    <t>Comments for Part A</t>
  </si>
  <si>
    <t>Admin use only</t>
  </si>
  <si>
    <t>Total</t>
  </si>
  <si>
    <t>Staff Costs</t>
  </si>
  <si>
    <t>Project Title *</t>
  </si>
  <si>
    <t>Non-Staff Costs</t>
  </si>
  <si>
    <t>External Party *</t>
  </si>
  <si>
    <t>Partner 1</t>
  </si>
  <si>
    <t>Partner 2</t>
  </si>
  <si>
    <t>Partner 3</t>
  </si>
  <si>
    <t>Lead UoM Chief Investigator *</t>
  </si>
  <si>
    <t>Department *</t>
  </si>
  <si>
    <t xml:space="preserve">Project Duration and Currency *
</t>
  </si>
  <si>
    <t xml:space="preserve">Start Year </t>
  </si>
  <si>
    <t xml:space="preserve">End Year </t>
  </si>
  <si>
    <t>Budget Currency</t>
  </si>
  <si>
    <t>Project Attributes</t>
  </si>
  <si>
    <t xml:space="preserve">Location </t>
  </si>
  <si>
    <t>Total Contract Value (Excl. GST)</t>
  </si>
  <si>
    <t>Total Contract Value (Incl. GST)</t>
  </si>
  <si>
    <t>PART B Price Summary</t>
  </si>
  <si>
    <t>Comments for Part B</t>
  </si>
  <si>
    <t>Total Price Sought from Sponsor</t>
  </si>
  <si>
    <t>Price Excluding GST</t>
  </si>
  <si>
    <t>GST</t>
  </si>
  <si>
    <t>Yes</t>
  </si>
  <si>
    <t>Total Price</t>
  </si>
  <si>
    <t>Full Project Cost (excluding in-kind)</t>
  </si>
  <si>
    <t xml:space="preserve">Total In-kind (University investment) </t>
  </si>
  <si>
    <t>Total Cash Co-Contribution (University investment - Department, Academic Division and Chancellery)</t>
  </si>
  <si>
    <t>University Postion</t>
  </si>
  <si>
    <t>PART C Authorisation by Department</t>
  </si>
  <si>
    <t>Comments for Part C</t>
  </si>
  <si>
    <t>Budget Form completed by:</t>
  </si>
  <si>
    <t>Signature</t>
  </si>
  <si>
    <t>Name (please print)</t>
  </si>
  <si>
    <t>Position (please print)</t>
  </si>
  <si>
    <t>Date</t>
  </si>
  <si>
    <t>Head of Department Authorisation:</t>
  </si>
  <si>
    <t>PART D Authorisation by Faculty/School</t>
  </si>
  <si>
    <t>Comments for Part D</t>
  </si>
  <si>
    <r>
      <rPr>
        <b/>
        <sz val="11"/>
        <rFont val="Calibri"/>
        <family val="2"/>
        <scheme val="minor"/>
      </rPr>
      <t>When is authorisation needed from a Dean/Dean's delegate?</t>
    </r>
    <r>
      <rPr>
        <sz val="11"/>
        <rFont val="Calibri"/>
        <family val="2"/>
        <scheme val="minor"/>
      </rPr>
      <t xml:space="preserve">
Where projects are not costed with the minimum cost recovery multiplier applied to Salaries and other project costs are not 'fully priced', authorisation is required from a Dean/Dean's delegate for the project to proceed - Unless there are documented sponsor requirements that prohibit full costing.
This worksheets helps to identify cases where authorisation is required from a Dean/Dean's delegate by flagging those cases where:
 - A salary cost recovery multiplier of less than the Minimum Cost Recovery Multiplier (2.2 for projects commencing 2025) is applied to salary costs.
OR
 - There are in-kind (University investment) and the project is therefore not fully priced.
Authorisation </t>
    </r>
    <r>
      <rPr>
        <b/>
        <sz val="11"/>
        <rFont val="Calibri"/>
        <family val="2"/>
        <scheme val="minor"/>
      </rPr>
      <t>is not</t>
    </r>
    <r>
      <rPr>
        <sz val="11"/>
        <rFont val="Calibri"/>
        <family val="2"/>
        <scheme val="minor"/>
      </rPr>
      <t xml:space="preserve"> required from a Dean/Dean's delegate in cases where there are documented sponsor requirements that prohibit full costing. In such cases, a clear explinaton must be provided in Part D - Reason Authorisation is not required from a Dean/Dean's delegate.</t>
    </r>
  </si>
  <si>
    <t>Change cost multiplier</t>
  </si>
  <si>
    <t>Faculty / School Authorisation #1:</t>
  </si>
  <si>
    <t>Faculty / School Authorisation #2:</t>
  </si>
  <si>
    <t>Reason for discounting or subsidising the project costs:</t>
  </si>
  <si>
    <t>Please select a reason for discounting or subsiding the project costs (select from list above). You can also provide additional information as required. This information facilitates contract executions and helps prevent delays resulting from requests for additional explanation. This section should be completed before presentation to a Dean or Dean's delegate.</t>
  </si>
  <si>
    <t>Reason Authorisation is not required from a Dean/Dean's delegate:</t>
  </si>
  <si>
    <t>Authorisation is not required from a Dean/Dean's delegate in cases where there are documented sponsor requirements that prohibit full costing. In such cases, a clear explinaton must be provided in this text box.</t>
  </si>
  <si>
    <t xml:space="preserve">                                                                            Part E Staff Budget</t>
  </si>
  <si>
    <t>Part E Staff Budget</t>
  </si>
  <si>
    <t>Comments for Part E</t>
  </si>
  <si>
    <t>If all UOM staff costs (including CI costs) are not included in the Staff Costs provide reasons.</t>
  </si>
  <si>
    <t>E1</t>
  </si>
  <si>
    <t>Salaries and On-Costs</t>
  </si>
  <si>
    <t>Academic Continuing</t>
  </si>
  <si>
    <t>Academic Fixed-Term</t>
  </si>
  <si>
    <t>Professional Continuing</t>
  </si>
  <si>
    <t>Professional Fixed-Term</t>
  </si>
  <si>
    <t>Academic Casual</t>
  </si>
  <si>
    <t>Professional Casual</t>
  </si>
  <si>
    <t>Total Salaries and On-Costs</t>
  </si>
  <si>
    <t>E2</t>
  </si>
  <si>
    <t>Indirect Cost Recovery (Salaries)</t>
  </si>
  <si>
    <t>Cost Recovery (Salaries) (723B)</t>
  </si>
  <si>
    <t>Cost Recovery (Salaries) Multiplier</t>
  </si>
  <si>
    <t>E3</t>
  </si>
  <si>
    <t>Total Staff Costs</t>
  </si>
  <si>
    <t>Have all UoM staff costs (including all CI costs) been included in the Staff Costs tab?</t>
  </si>
  <si>
    <t>Update answer</t>
  </si>
  <si>
    <t>All UoM staff costs (including all CI costs) must be included as either direct costs or in-kind contributions.</t>
  </si>
  <si>
    <t xml:space="preserve">                                                                   PART F Non-Staff Budget</t>
  </si>
  <si>
    <t>Part F Non-staff Budget</t>
  </si>
  <si>
    <t>Comments for Part F</t>
  </si>
  <si>
    <t>F1</t>
  </si>
  <si>
    <t xml:space="preserve">Contingency </t>
  </si>
  <si>
    <t>Total Non Staff Costs (inc additonal 10%)</t>
  </si>
  <si>
    <t>F2</t>
  </si>
  <si>
    <t>Indirect Cost recovery (Non-Salaries)</t>
  </si>
  <si>
    <t>Cost Recovery (Non-Salaries) (723B)</t>
  </si>
  <si>
    <t>F3</t>
  </si>
  <si>
    <t xml:space="preserve">Total Non-Staff Costs </t>
  </si>
  <si>
    <t xml:space="preserve">                                                                   PART G Allocation of Indirect Costs</t>
  </si>
  <si>
    <t>PART G Allocation of indirect costs</t>
  </si>
  <si>
    <t>Comments for Part G</t>
  </si>
  <si>
    <t>G1</t>
  </si>
  <si>
    <t>Total Indirect Cost Recovery</t>
  </si>
  <si>
    <t>Cost Recovery ($) (723B)</t>
  </si>
  <si>
    <t>Cost Recovery (%) of Price Excluding GST</t>
  </si>
  <si>
    <t>G2</t>
  </si>
  <si>
    <t>Allocation of Indirect Costs</t>
  </si>
  <si>
    <t>This section provides the full distribution of indirect costs for project in the Faculties. Please use % split format which must equal to 100%.</t>
  </si>
  <si>
    <t>Allocations to:</t>
  </si>
  <si>
    <t>Proportion</t>
  </si>
  <si>
    <t>School</t>
  </si>
  <si>
    <t>Department</t>
  </si>
  <si>
    <t>Chief Invesigator</t>
  </si>
  <si>
    <t>Total Allocations (must equal to 100.00%)</t>
  </si>
  <si>
    <t xml:space="preserve">                                                                   PART H Themis Allocation of Indirect Costs</t>
  </si>
  <si>
    <t>PART H WorkDay Allocation of Indirect Costs</t>
  </si>
  <si>
    <t>Comments for Part H</t>
  </si>
  <si>
    <t>H1</t>
  </si>
  <si>
    <t>Allocation of Indirect Costs is based on distributions in Part H. Note that overheads will be distributed across Faculty, School, Department and CI. This section autopopulates, do not enter % values. The cost recovery is based on the average listed in Column P of Total Allocations in Part G. Please note, the figure calculated is: [indirect costs/(contract value - indirect costs) *100].</t>
  </si>
  <si>
    <t xml:space="preserve">Percentage </t>
  </si>
  <si>
    <t>Chief Investigator</t>
  </si>
  <si>
    <t>Cost Recovery %</t>
  </si>
  <si>
    <t>NOTE: The Total Cost Recovery % is based on Total Contract Value excluding the amounts at Part F - Non Staff Budget</t>
  </si>
  <si>
    <t>PART I In-kind (University investment) Staff and Non-Staff Costs</t>
  </si>
  <si>
    <t>Comments for Part I</t>
  </si>
  <si>
    <t>Change cost multiplier for in-kind (university investment) contributions</t>
  </si>
  <si>
    <t>I1</t>
  </si>
  <si>
    <t>In-kind (University investment) Staff Salaries</t>
  </si>
  <si>
    <t xml:space="preserve"> Professional Casual</t>
  </si>
  <si>
    <t>Total In-kind (University investment)  Staff Costs</t>
  </si>
  <si>
    <t>I2</t>
  </si>
  <si>
    <t>Total In-kind (University investment) Non-Staff Costs</t>
  </si>
  <si>
    <t>I3</t>
  </si>
  <si>
    <t>Total In-kind (University investment) Costs</t>
  </si>
  <si>
    <t>PART J Deliverables (optional for contracts)</t>
  </si>
  <si>
    <t>Comments for Part J</t>
  </si>
  <si>
    <t xml:space="preserve">This section must be completed for Grants. Please record all technical and financial deliverables and invoicing dates. </t>
  </si>
  <si>
    <t>This section is optional for Contacts. If left blank, the Contracts team will populate deliverables and invoicing dates based on information in the Contract.</t>
  </si>
  <si>
    <t>No.</t>
  </si>
  <si>
    <t>Description</t>
  </si>
  <si>
    <t>Type</t>
  </si>
  <si>
    <t>Invoice Amount</t>
  </si>
  <si>
    <t>Due Date</t>
  </si>
  <si>
    <t>Dependency</t>
  </si>
  <si>
    <t>Sponsor</t>
  </si>
  <si>
    <t>Short description</t>
  </si>
  <si>
    <t>Indicate currency and amount</t>
  </si>
  <si>
    <t>E.g. 01-Aug-13 or  duration from start date, e.g. 6 mths</t>
  </si>
  <si>
    <t>Note number of dependent task</t>
  </si>
  <si>
    <t>Leave blank if only one sponsor</t>
  </si>
  <si>
    <t>WD PERSON CATEGORY - HIDE</t>
  </si>
  <si>
    <t>Position</t>
  </si>
  <si>
    <t>Cost Factors</t>
  </si>
  <si>
    <t>Value</t>
  </si>
  <si>
    <t>Base Salary</t>
  </si>
  <si>
    <t>Superannuation</t>
  </si>
  <si>
    <t>Sub-total (1)</t>
  </si>
  <si>
    <t>Payroll Tax</t>
  </si>
  <si>
    <t>Workcover</t>
  </si>
  <si>
    <r>
      <t>Long Service leave</t>
    </r>
    <r>
      <rPr>
        <i/>
        <sz val="11"/>
        <rFont val="Calibri"/>
        <family val="2"/>
        <scheme val="minor"/>
      </rPr>
      <t xml:space="preserve"> (on gross salary)</t>
    </r>
  </si>
  <si>
    <r>
      <t xml:space="preserve">Parental Leave Provision </t>
    </r>
    <r>
      <rPr>
        <i/>
        <sz val="11"/>
        <rFont val="Calibri"/>
        <family val="2"/>
        <scheme val="minor"/>
      </rPr>
      <t>(on gross salary)</t>
    </r>
  </si>
  <si>
    <t>Override Default UoM costs %</t>
  </si>
  <si>
    <t>Sub-total (2)</t>
  </si>
  <si>
    <r>
      <t xml:space="preserve">Annual Leave Provision </t>
    </r>
    <r>
      <rPr>
        <i/>
        <sz val="11"/>
        <rFont val="Calibri"/>
        <family val="2"/>
        <scheme val="minor"/>
      </rPr>
      <t>(on gross salary)</t>
    </r>
  </si>
  <si>
    <t>Salary + on costs (without annual leave taken)</t>
  </si>
  <si>
    <t>Less Standard Annual Leave</t>
  </si>
  <si>
    <t>Sub-total (3) - Requested Salary + oncosts</t>
  </si>
  <si>
    <t>Total on costs</t>
  </si>
  <si>
    <t>Cost recovery multiplier</t>
  </si>
  <si>
    <r>
      <t>Total - Requested salary +oncosts + overheads (</t>
    </r>
    <r>
      <rPr>
        <b/>
        <i/>
        <sz val="9"/>
        <color theme="0"/>
        <rFont val="Calibri"/>
        <family val="2"/>
        <scheme val="minor"/>
      </rPr>
      <t>excl annual leave taken</t>
    </r>
    <r>
      <rPr>
        <b/>
        <sz val="11"/>
        <color theme="0"/>
        <rFont val="Calibri"/>
        <family val="2"/>
        <scheme val="minor"/>
      </rPr>
      <t>)</t>
    </r>
  </si>
  <si>
    <t xml:space="preserve">Total (excl annual leave taken) - Requested salary + oncosts + overheads </t>
  </si>
  <si>
    <t>Total Salary with no annual leave taken</t>
  </si>
  <si>
    <t>In-kind Contributions of Staff Time to the Project</t>
  </si>
  <si>
    <r>
      <t xml:space="preserve">This form is to be used when a Department wishes to share funds (i.e. </t>
    </r>
    <r>
      <rPr>
        <u/>
        <sz val="10"/>
        <color theme="1"/>
        <rFont val="Arial Narrow"/>
        <family val="2"/>
      </rPr>
      <t>total funds awarded to UOM)</t>
    </r>
    <r>
      <rPr>
        <sz val="10"/>
        <color theme="1"/>
        <rFont val="Arial Narrow"/>
        <family val="2"/>
      </rPr>
      <t xml:space="preserve"> with another Department of the University.</t>
    </r>
  </si>
  <si>
    <t xml:space="preserve">The fully signed form, together with budget form/s, should be forwarded to the relevant RIC Grant or Contract Officer for action. </t>
  </si>
  <si>
    <t>Original Owning Department details:</t>
  </si>
  <si>
    <t>External ID/Sponsor reference number:</t>
  </si>
  <si>
    <t>Cayuse ID</t>
  </si>
  <si>
    <t>WorkDay ID</t>
  </si>
  <si>
    <t>Department/School</t>
  </si>
  <si>
    <t>Project Title</t>
  </si>
  <si>
    <t>Sharing of Funds</t>
  </si>
  <si>
    <t>Amounts are often indexed by the funding body each year and therefore may differ from the original awarded amount/s.</t>
  </si>
  <si>
    <t>Please indicate split of funding with other UOM department/s below as the fixed $ amount per year.</t>
  </si>
  <si>
    <r>
      <t>1</t>
    </r>
    <r>
      <rPr>
        <sz val="10"/>
        <color theme="1"/>
        <rFont val="Arial Narrow"/>
        <family val="2"/>
      </rPr>
      <t xml:space="preserve">. A percentage of total funds to be shared with a department, must total 100%. This will allow indexation to be shared </t>
    </r>
    <r>
      <rPr>
        <b/>
        <i/>
        <sz val="10"/>
        <color theme="1"/>
        <rFont val="Arial Narrow"/>
        <family val="2"/>
      </rPr>
      <t>OR</t>
    </r>
  </si>
  <si>
    <r>
      <t>2.</t>
    </r>
    <r>
      <rPr>
        <sz val="10"/>
        <color theme="1"/>
        <rFont val="Arial Narrow"/>
        <family val="2"/>
      </rPr>
      <t xml:space="preserve"> Where a fixed amount only is to go to a particular department, state the fixed $ amount per year and tick the box below</t>
    </r>
  </si>
  <si>
    <t xml:space="preserve">   </t>
  </si>
  <si>
    <t>Department / School</t>
  </si>
  <si>
    <t>Researcher name</t>
  </si>
  <si>
    <t>WorkDay Cost Centre</t>
  </si>
  <si>
    <t>WorkDay Project ID</t>
  </si>
  <si>
    <t>RMS Project ID</t>
  </si>
  <si>
    <r>
      <t>* For a non-research quantum (HERDC) distribution transfer to be made, please state Account '</t>
    </r>
    <r>
      <rPr>
        <i/>
        <sz val="9"/>
        <color rgb="FFFF0000"/>
        <rFont val="Arial Narrow"/>
        <family val="2"/>
      </rPr>
      <t>xxxx'</t>
    </r>
    <r>
      <rPr>
        <i/>
        <sz val="9"/>
        <color theme="1"/>
        <rFont val="Arial Narrow"/>
        <family val="2"/>
      </rPr>
      <t xml:space="preserve"> as part of the full account string. A child account will be created for the Recipient Department Shared Agreement record.</t>
    </r>
  </si>
  <si>
    <t>Budget form</t>
  </si>
  <si>
    <t>Please ensure a signed budget form for each department (including original owning department) is submitted with this form to ensure an accurate budget is loaded. Budget form is not required for Medical Research Institute staff or where the funding is NHMRC / ARC.</t>
  </si>
  <si>
    <t>Transfer of funds – action required by department administrators and Research Accounting Services</t>
  </si>
  <si>
    <t xml:space="preserve">For lead ARC and lead NHMRC grants, transfer of funds to sharing departments is actioned by the Research Accounting Services. Provide a copy of the signed form to the Research Accounting generic email as follows: </t>
  </si>
  <si>
    <t>NHMRC related</t>
  </si>
  <si>
    <t>ARC related</t>
  </si>
  <si>
    <t>Certification</t>
  </si>
  <si>
    <t xml:space="preserve">In signing this, the parties acknowledge that the funds will be counted as research income in the department to which they are credited </t>
  </si>
  <si>
    <t>Researcher Signature</t>
  </si>
  <si>
    <t xml:space="preserve">HOD name </t>
  </si>
  <si>
    <t>HOD signature</t>
  </si>
  <si>
    <t>[Copy and Paste Signature Picture here]</t>
  </si>
  <si>
    <r>
      <t>SUPPORT AND FOLLOW-UP:</t>
    </r>
    <r>
      <rPr>
        <sz val="10.5"/>
        <color rgb="FF000000"/>
        <rFont val="Calibri"/>
        <family val="2"/>
      </rPr>
      <t xml:space="preserve"> For any queries about the department details or other related matters for this shared funding arrangement, please direct your query via email to </t>
    </r>
    <r>
      <rPr>
        <u/>
        <sz val="10.5"/>
        <color rgb="FF0000FF"/>
        <rFont val="Calibri"/>
        <family val="2"/>
      </rPr>
      <t>RIC-PSDA@unimelb.edu.au</t>
    </r>
  </si>
  <si>
    <t>aklsdfj</t>
  </si>
  <si>
    <t>[Enter date]</t>
  </si>
  <si>
    <t>Dear</t>
  </si>
  <si>
    <t>[Enter funder contact name]</t>
  </si>
  <si>
    <t>Re:</t>
  </si>
  <si>
    <t>Please find below indicative pricing and scope of work based on past discussions. This information is provided for discussion purposes only.</t>
  </si>
  <si>
    <t>Proposed Scope of work and timeline:</t>
  </si>
  <si>
    <t>Deliverable</t>
  </si>
  <si>
    <t>Delivery date</t>
  </si>
  <si>
    <t>Price to be charged to the Funder (ex GST)</t>
  </si>
  <si>
    <t>Contribution from the University of Melbourne to project</t>
  </si>
  <si>
    <t>Please note that the information contained in this letter has been provided for indicative pricing and discussion purposes only, and is not a legally binding offer capable of acceptance. This information is confidential and you must not distribute it to any third party, in whole or part, without the University of Melbourne’s express written permission.</t>
  </si>
  <si>
    <t>The University of Melbourne makes no representation, warranty or undertaking, express or implied, as to the accuracy, reliability, completeness or reasonableness of this information. Any assumptions, opinions and estimates expressed in this information constitute the University of Melbourne’s judgment as of the current date and are subject to change without notice. Any projections contained in this information are based on a number of assumptions as to internal approvals, compliance with regulatory requirements and market conditions, and there can be no guarantee that any projected outcomes will be achieved.</t>
  </si>
  <si>
    <t>Yours sincerely,</t>
  </si>
  <si>
    <t>[Insert Title]</t>
  </si>
  <si>
    <t xml:space="preserve">The University of Melbourne </t>
  </si>
  <si>
    <t>[Insert phone number]</t>
  </si>
  <si>
    <t>[Insert email]</t>
  </si>
  <si>
    <t>WORKDAY BUDGET SETUP</t>
  </si>
  <si>
    <t>For Office Use Only</t>
  </si>
  <si>
    <t>NOTES</t>
  </si>
  <si>
    <t>Costing String</t>
  </si>
  <si>
    <r>
      <rPr>
        <b/>
        <sz val="11"/>
        <color theme="1"/>
        <rFont val="Calibri"/>
        <family val="2"/>
      </rPr>
      <t>Project Cost centre -</t>
    </r>
    <r>
      <rPr>
        <sz val="11"/>
        <color theme="1"/>
        <rFont val="Calibri"/>
        <family val="2"/>
      </rPr>
      <t xml:space="preserve"> If unavailable leave blank, this can be populated in the downloaded version
</t>
    </r>
    <r>
      <rPr>
        <b/>
        <sz val="11"/>
        <color theme="1"/>
        <rFont val="Calibri"/>
        <family val="2"/>
      </rPr>
      <t>Revenue Category</t>
    </r>
    <r>
      <rPr>
        <sz val="11"/>
        <color theme="1"/>
        <rFont val="Calibri"/>
        <family val="2"/>
      </rPr>
      <t xml:space="preserve"> - Dropdown list with options
</t>
    </r>
    <r>
      <rPr>
        <b/>
        <sz val="11"/>
        <color theme="1"/>
        <rFont val="Calibri"/>
        <family val="2"/>
      </rPr>
      <t>Generate Budget -</t>
    </r>
    <r>
      <rPr>
        <sz val="11"/>
        <color theme="1"/>
        <rFont val="Calibri"/>
        <family val="2"/>
      </rPr>
      <t xml:space="preserve"> This will open a new WorkDay (WD) Budget tab which will show the itemised budget for the project duration broken down by revenue and expenditure codes. The WD budget will provide an option to download an </t>
    </r>
    <r>
      <rPr>
        <b/>
        <sz val="11"/>
        <color theme="1"/>
        <rFont val="Calibri"/>
        <family val="2"/>
      </rPr>
      <t>EIB</t>
    </r>
    <r>
      <rPr>
        <sz val="11"/>
        <color theme="1"/>
        <rFont val="Calibri"/>
        <family val="2"/>
      </rPr>
      <t xml:space="preserve"> copy for uploading into WorkDay.</t>
    </r>
  </si>
  <si>
    <t>Project Cost Centre</t>
  </si>
  <si>
    <t>External Party</t>
  </si>
  <si>
    <r>
      <t>Revenue Category</t>
    </r>
    <r>
      <rPr>
        <b/>
        <sz val="11"/>
        <color rgb="FFFF0000"/>
        <rFont val="Calibri"/>
        <family val="2"/>
      </rPr>
      <t>*</t>
    </r>
  </si>
  <si>
    <t>State and Local Government Grants</t>
  </si>
  <si>
    <t>Revenue Ledger Account ID</t>
  </si>
  <si>
    <t>EIB Staging table</t>
  </si>
  <si>
    <t>Return</t>
  </si>
  <si>
    <t>Enterprise Interface Builder for WorkDay Budget upload</t>
  </si>
  <si>
    <t>Revenue/Expense</t>
  </si>
  <si>
    <t>Revenue/Expense Type</t>
  </si>
  <si>
    <t>Revenue/Cost Category</t>
  </si>
  <si>
    <t>Revenue Category/Person Category/Spend Sub-Category</t>
  </si>
  <si>
    <t>Expense 
Ledger Account ID</t>
  </si>
  <si>
    <t>Budget 
Ledger Account ID</t>
  </si>
  <si>
    <t>Header Key ID (EIB)</t>
  </si>
  <si>
    <t>Total of this category</t>
  </si>
  <si>
    <t>Start Year</t>
  </si>
  <si>
    <t>End Year</t>
  </si>
  <si>
    <t>Start Row ID</t>
  </si>
  <si>
    <t>End Row ID</t>
  </si>
  <si>
    <t>Expense</t>
  </si>
  <si>
    <t>Salaries</t>
  </si>
  <si>
    <t>Salaries - Overheads</t>
  </si>
  <si>
    <t>Non-Staff costs</t>
  </si>
  <si>
    <t>Othe Student Support (includes PhD Stipends/grants)</t>
  </si>
  <si>
    <t>Revenue</t>
  </si>
  <si>
    <t>Co-contributions</t>
  </si>
  <si>
    <t>Chancellery</t>
  </si>
  <si>
    <t>In-Kind Staff costs</t>
  </si>
  <si>
    <t>In-Kind Non-Staff costs</t>
  </si>
  <si>
    <t>Import Budget High Volume - v42.0</t>
  </si>
  <si>
    <t>Area</t>
  </si>
  <si>
    <t>All</t>
  </si>
  <si>
    <t>Comment Data</t>
  </si>
  <si>
    <t>Budget Data</t>
  </si>
  <si>
    <t>Restrictions</t>
  </si>
  <si>
    <t>Required</t>
  </si>
  <si>
    <t>Optional</t>
  </si>
  <si>
    <t>Format</t>
  </si>
  <si>
    <t>Text</t>
  </si>
  <si>
    <t>Plan_ID</t>
  </si>
  <si>
    <t>Budget_Import_Mode_ID</t>
  </si>
  <si>
    <t>Y/N</t>
  </si>
  <si>
    <t>Contingent_Worker_ID</t>
  </si>
  <si>
    <t>Budget_Structure_ID</t>
  </si>
  <si>
    <t>Project_Budget_ID</t>
  </si>
  <si>
    <t>Budget_Period_ID</t>
  </si>
  <si>
    <t>Fields</t>
  </si>
  <si>
    <t>Header Key*</t>
  </si>
  <si>
    <t>Budget</t>
  </si>
  <si>
    <t>Import Mode</t>
  </si>
  <si>
    <t>Auto Complete</t>
  </si>
  <si>
    <t>Comment</t>
  </si>
  <si>
    <t>Worker</t>
  </si>
  <si>
    <t>Submit</t>
  </si>
  <si>
    <t>Budget Structure*</t>
  </si>
  <si>
    <t>Budget Name*</t>
  </si>
  <si>
    <t>Budget Memo</t>
  </si>
  <si>
    <t>Budget Period</t>
  </si>
  <si>
    <t>REPLACE_ALL</t>
  </si>
  <si>
    <t>Y</t>
  </si>
  <si>
    <t>Grants_and_Contracts_Plan_Structure</t>
  </si>
  <si>
    <t>Import Budget EIB Baseline</t>
  </si>
  <si>
    <t>Budget Lines Data</t>
  </si>
  <si>
    <t>Company_Reference_ID</t>
  </si>
  <si>
    <t>Number</t>
  </si>
  <si>
    <t>Fiscal_Posting_Interval_ID</t>
  </si>
  <si>
    <t>Ledger_Account_ID</t>
  </si>
  <si>
    <t>Account_Set_ID</t>
  </si>
  <si>
    <t>Book_Code_ID</t>
  </si>
  <si>
    <t>Currency_ID</t>
  </si>
  <si>
    <t>Number (26,6)</t>
  </si>
  <si>
    <t>Number (18,6)</t>
  </si>
  <si>
    <t>Unit_of_Time_ID</t>
  </si>
  <si>
    <t>Custom_Organization_Reference_ID</t>
  </si>
  <si>
    <t>Cost_Center_Reference_ID</t>
  </si>
  <si>
    <t>Fund_Hierarchy_ID</t>
  </si>
  <si>
    <t>Gift_Reference_ID</t>
  </si>
  <si>
    <t>Program_ID</t>
  </si>
  <si>
    <t>Project_Hierarchy_ID</t>
  </si>
  <si>
    <t>Region_Reference_ID</t>
  </si>
  <si>
    <t>Business_Unit_ID</t>
  </si>
  <si>
    <t>Revenue_Category_ID</t>
  </si>
  <si>
    <t>Spend_Category_ID</t>
  </si>
  <si>
    <t>Project_ID</t>
  </si>
  <si>
    <t>CAD</t>
  </si>
  <si>
    <t>AUD</t>
  </si>
  <si>
    <t>THIS VIEW IS READ-ONLY</t>
  </si>
  <si>
    <t>Funder (External Party)</t>
  </si>
  <si>
    <t>Chief UoM Lead Investigator</t>
  </si>
  <si>
    <t>Agreement Administrator</t>
  </si>
  <si>
    <t xml:space="preserve">Project Duration and Currency 
</t>
  </si>
  <si>
    <t>Staff Costs (Ex GST)</t>
  </si>
  <si>
    <t>Non-Staff Costs (Ex GST)</t>
  </si>
  <si>
    <t xml:space="preserve">                                                                   PART B Price Summary</t>
  </si>
  <si>
    <t>B1</t>
  </si>
  <si>
    <t xml:space="preserve">                                                                   PART E Staff Budget</t>
  </si>
  <si>
    <t>Total (AUD)</t>
  </si>
  <si>
    <t>Total (must equal to 100.00%)</t>
  </si>
  <si>
    <t xml:space="preserve">                                                                   PART G Deliverables (optional for contracts)</t>
  </si>
  <si>
    <t>If you exceed the number of lines provided here, please continue after PART I</t>
  </si>
  <si>
    <t xml:space="preserve">                                                                   PART H Authorisation by Department</t>
  </si>
  <si>
    <t xml:space="preserve">                                                                   PART I Authorisation by Faculty / School</t>
  </si>
  <si>
    <r>
      <rPr>
        <b/>
        <sz val="11"/>
        <rFont val="Calibri"/>
        <family val="2"/>
      </rPr>
      <t>When is authorisation needed from a Dean/Dean's delegate?</t>
    </r>
    <r>
      <rPr>
        <sz val="11"/>
        <rFont val="Calibri"/>
        <family val="2"/>
      </rPr>
      <t xml:space="preserve">
Where projects are not costed with the minimum cost recovery multiplier applied to Salaries and other project costs are not 'fully priced', authorisation is required from a Dean/Dean's delegate for the project to proceed - Unless there are documented sponsor requirements that prohibit full costing.
This worksheets helps to identify cases where authorisation is required from a Dean/Dean's delegate by flagging those cases where:
 - A salary cost recovery multiplier of less than the Minimum Cost Recovery Multiplier (1.8 for projects commencing 2021) is applied to salary costs.
OR
 - There are in-kind contributions (and the project is therefore not fully priced).
Authorisation </t>
    </r>
    <r>
      <rPr>
        <b/>
        <sz val="11"/>
        <rFont val="Calibri"/>
        <family val="2"/>
      </rPr>
      <t>is not</t>
    </r>
    <r>
      <rPr>
        <sz val="11"/>
        <rFont val="Calibri"/>
        <family val="2"/>
      </rPr>
      <t xml:space="preserve"> required from a Dean/Dean's delegate in cases where there are documented sponsor requirements that prohibit full costing. In such cases, a clear explinaton must be provided in Part I - Reason Authorisation is not required from a Dean/Dean's delegate.</t>
    </r>
  </si>
  <si>
    <t>Please provide a reason in this text box - this information facilitates contract executions and helps prevent delays resulting from requests for additional explanation. This section should be completed before presentation to a Dean or Dean's delegate.</t>
  </si>
  <si>
    <t xml:space="preserve">                                                                      PART I In-kind Staff and Non-Staff Costs</t>
  </si>
  <si>
    <t>In-kind Staff Salaries</t>
  </si>
  <si>
    <t>Total In-kind Costs</t>
  </si>
  <si>
    <t xml:space="preserve">                                                                   PART G Deliverables (Cont.)</t>
  </si>
  <si>
    <t>Australian Dollar</t>
  </si>
  <si>
    <t>1.00 AUD</t>
  </si>
  <si>
    <t>inv. 1.00 AUD</t>
  </si>
  <si>
    <t>Rates Source:</t>
  </si>
  <si>
    <t>https://www.x-rates.com/table/?from=AUD&amp;amount=1</t>
  </si>
  <si>
    <t>Argentine Peso</t>
  </si>
  <si>
    <t>Rates Refreshed at:</t>
  </si>
  <si>
    <t>Bahraini Dinar</t>
  </si>
  <si>
    <t>Botswana Pula</t>
  </si>
  <si>
    <t>Brazilian Real</t>
  </si>
  <si>
    <t>Bruneian Dollar</t>
  </si>
  <si>
    <t>Bulgarian Lev</t>
  </si>
  <si>
    <t>Canadian Dollar</t>
  </si>
  <si>
    <t>Chilean Peso</t>
  </si>
  <si>
    <t>Chinese Yuan Renminbi</t>
  </si>
  <si>
    <t>Colombian Peso</t>
  </si>
  <si>
    <t>Czech Koruna</t>
  </si>
  <si>
    <t>Danish Krone</t>
  </si>
  <si>
    <t>Euro</t>
  </si>
  <si>
    <t>Hong Kong Dollar</t>
  </si>
  <si>
    <t>Hungarian Forint</t>
  </si>
  <si>
    <t>Icelandic Krona</t>
  </si>
  <si>
    <t>Indian Rupee</t>
  </si>
  <si>
    <t>Indonesian Rupiah</t>
  </si>
  <si>
    <t>Iranian Rial</t>
  </si>
  <si>
    <t>Israeli Shekel</t>
  </si>
  <si>
    <t>Japanese Yen</t>
  </si>
  <si>
    <t>Kazakhstani Tenge</t>
  </si>
  <si>
    <t>South Korean Won</t>
  </si>
  <si>
    <t>Kuwaiti Dinar</t>
  </si>
  <si>
    <t>Libyan Dinar</t>
  </si>
  <si>
    <t>Malaysian Ringgit</t>
  </si>
  <si>
    <t>Mauritian Rupee</t>
  </si>
  <si>
    <t>Mexican Peso</t>
  </si>
  <si>
    <t>Nepalese Rupee</t>
  </si>
  <si>
    <t>New Zealand Dollar</t>
  </si>
  <si>
    <t>Norwegian Krone</t>
  </si>
  <si>
    <t>Omani Rial</t>
  </si>
  <si>
    <t>Pakistani Rupee</t>
  </si>
  <si>
    <t>Philippine Peso</t>
  </si>
  <si>
    <t>Polish Zloty</t>
  </si>
  <si>
    <t>Qatari Riyal</t>
  </si>
  <si>
    <t>Romanian New Leu</t>
  </si>
  <si>
    <t>Russian Ruble</t>
  </si>
  <si>
    <t>Saudi Arabian Riyal</t>
  </si>
  <si>
    <t>Singapore Dollar</t>
  </si>
  <si>
    <t>South African Rand</t>
  </si>
  <si>
    <t>Sri Lankan Rupee</t>
  </si>
  <si>
    <t>Swedish Krona</t>
  </si>
  <si>
    <t>Swiss Franc</t>
  </si>
  <si>
    <t>Taiwan New Dollar</t>
  </si>
  <si>
    <t>Thai Baht</t>
  </si>
  <si>
    <t>Trinidadian Dollar</t>
  </si>
  <si>
    <t>Turkish Lira</t>
  </si>
  <si>
    <t>Emirati Dirham</t>
  </si>
  <si>
    <t>British Pound</t>
  </si>
  <si>
    <t>US Dollar</t>
  </si>
  <si>
    <t>Salary Rates</t>
  </si>
  <si>
    <t/>
  </si>
  <si>
    <t>EBA Increase</t>
  </si>
  <si>
    <t>Salary Rate Multipliers</t>
  </si>
  <si>
    <t>Activity Codes</t>
  </si>
  <si>
    <t>Research Types</t>
  </si>
  <si>
    <t>For Accounting String</t>
  </si>
  <si>
    <t>Revenue Category</t>
  </si>
  <si>
    <t>Vlookup ID</t>
  </si>
  <si>
    <t>Payroll Type</t>
  </si>
  <si>
    <t>Rate (est)</t>
  </si>
  <si>
    <t>Year</t>
  </si>
  <si>
    <t>Multiplier</t>
  </si>
  <si>
    <t>Activity</t>
  </si>
  <si>
    <t>Employment Type</t>
  </si>
  <si>
    <t>On-Costs Multiplier</t>
  </si>
  <si>
    <t>Dept code</t>
  </si>
  <si>
    <t>School Code</t>
  </si>
  <si>
    <t>Faculty code</t>
  </si>
  <si>
    <t>Budget Unit</t>
  </si>
  <si>
    <t>Unique Dept Codes from the Dept-Faculty Table</t>
  </si>
  <si>
    <t>Budget Ledger ID</t>
  </si>
  <si>
    <t>Fortnight</t>
  </si>
  <si>
    <t>Academic</t>
  </si>
  <si>
    <t>RA Grade 1.1</t>
  </si>
  <si>
    <t>FTE</t>
  </si>
  <si>
    <t>ACT_02</t>
  </si>
  <si>
    <t>Continuing</t>
  </si>
  <si>
    <t>CCH_H1_5_01</t>
  </si>
  <si>
    <t>Faculty of Arts, Admin, Centres and Institute</t>
  </si>
  <si>
    <t>CCH_H1_4_01</t>
  </si>
  <si>
    <t>Faculty of Arts</t>
  </si>
  <si>
    <t>CCH_H1_3_01</t>
  </si>
  <si>
    <t>NHMRC</t>
  </si>
  <si>
    <t>RA Grade 1.2</t>
  </si>
  <si>
    <t>Daily</t>
  </si>
  <si>
    <t>Research Training</t>
  </si>
  <si>
    <t>ACT_03</t>
  </si>
  <si>
    <t>Grant Category 1</t>
  </si>
  <si>
    <t>Fixed-Term</t>
  </si>
  <si>
    <t>CCH_H1_5_05</t>
  </si>
  <si>
    <t>School of Culture and Communication</t>
  </si>
  <si>
    <t>CCH_H1_4_04</t>
  </si>
  <si>
    <t>ARC</t>
  </si>
  <si>
    <t>RA Grade 1.3</t>
  </si>
  <si>
    <t>Hourly</t>
  </si>
  <si>
    <t>Grant Non-Category 1</t>
  </si>
  <si>
    <t>Casual</t>
  </si>
  <si>
    <t>CCH_H1_5_02</t>
  </si>
  <si>
    <t>Level A.1</t>
  </si>
  <si>
    <t>Contract Research</t>
  </si>
  <si>
    <t>Asia Institute</t>
  </si>
  <si>
    <t>CCH_H1_5_03</t>
  </si>
  <si>
    <t>CCH_H1_4_02</t>
  </si>
  <si>
    <t>Contributions from Other Higher Education Providers</t>
  </si>
  <si>
    <t>Level A.2</t>
  </si>
  <si>
    <t>Salary Maximum Step</t>
  </si>
  <si>
    <t>CCH_H1_5_07</t>
  </si>
  <si>
    <t>School of Languages and Linguistics</t>
  </si>
  <si>
    <t>CCH_H1_4_06</t>
  </si>
  <si>
    <t>Overseas Government Grants</t>
  </si>
  <si>
    <t>Level A.3</t>
  </si>
  <si>
    <t>Max. Step</t>
  </si>
  <si>
    <t>Regions</t>
  </si>
  <si>
    <t>Currencies -Obsolete (DELETE)</t>
  </si>
  <si>
    <t>CCH_H1_5_06</t>
  </si>
  <si>
    <t>School of Historical and Philosophical Studies</t>
  </si>
  <si>
    <t>CCH_H1_4_05</t>
  </si>
  <si>
    <t>Non-Government Grants</t>
  </si>
  <si>
    <t>Lookup List</t>
  </si>
  <si>
    <t>Level A.4</t>
  </si>
  <si>
    <t>Level A</t>
  </si>
  <si>
    <t>Currency</t>
  </si>
  <si>
    <t>CCH_H1_5_08</t>
  </si>
  <si>
    <t>School of Social and Political Sciences</t>
  </si>
  <si>
    <t>CCH_H1_4_07</t>
  </si>
  <si>
    <t>Consultancies and Contracts</t>
  </si>
  <si>
    <t>Level A.5</t>
  </si>
  <si>
    <t>Level B</t>
  </si>
  <si>
    <t>RE_001</t>
  </si>
  <si>
    <t>CCH_H1_5_04</t>
  </si>
  <si>
    <t>Graduate School of Humanities and Social Sciences</t>
  </si>
  <si>
    <t>CCH_H1_4_03</t>
  </si>
  <si>
    <t>Level A.6</t>
  </si>
  <si>
    <t>Level C</t>
  </si>
  <si>
    <t>Creswick</t>
  </si>
  <si>
    <t>RE_002</t>
  </si>
  <si>
    <t>BRL - Brazilian Real</t>
  </si>
  <si>
    <t>The Peter Doherty Institute for Infection and Immunity</t>
  </si>
  <si>
    <t>CCH_H1_5_09</t>
  </si>
  <si>
    <t>MDHS Centres and Institutes</t>
  </si>
  <si>
    <t>CCH_H1_4_08</t>
  </si>
  <si>
    <t>Faculty of Medicine, Dentistry and Health Sciences</t>
  </si>
  <si>
    <t>CCH_H1_3_02</t>
  </si>
  <si>
    <t>Level A.7</t>
  </si>
  <si>
    <t>Level D</t>
  </si>
  <si>
    <t>Werribee</t>
  </si>
  <si>
    <t>RE_003</t>
  </si>
  <si>
    <t>NOK - Norwegian Krona</t>
  </si>
  <si>
    <t>Currencies</t>
  </si>
  <si>
    <t>Level A.8</t>
  </si>
  <si>
    <t>Level E</t>
  </si>
  <si>
    <t>Burnley</t>
  </si>
  <si>
    <t>RE_004</t>
  </si>
  <si>
    <t>CHF - Swiss Franc</t>
  </si>
  <si>
    <t>Level B.1</t>
  </si>
  <si>
    <t>RA Grade 1</t>
  </si>
  <si>
    <t>Dookie</t>
  </si>
  <si>
    <t>RE_005</t>
  </si>
  <si>
    <t>CNY - Chinese Yuan</t>
  </si>
  <si>
    <t>Department and Faculties</t>
  </si>
  <si>
    <t>Level B.2</t>
  </si>
  <si>
    <t>UOM 1</t>
  </si>
  <si>
    <t>Southbank</t>
  </si>
  <si>
    <t>RE_006</t>
  </si>
  <si>
    <t>EUR - Euro</t>
  </si>
  <si>
    <t>Level B.3</t>
  </si>
  <si>
    <t>UOM 2</t>
  </si>
  <si>
    <t>Fishermans Bend</t>
  </si>
  <si>
    <t>RE_007</t>
  </si>
  <si>
    <t>GBP - Pound Sterling</t>
  </si>
  <si>
    <t>Level B.4</t>
  </si>
  <si>
    <t>UOM 3</t>
  </si>
  <si>
    <t>Victorian Comprehensive Cancer Centre</t>
  </si>
  <si>
    <t>RE_008</t>
  </si>
  <si>
    <t>HKD - Hong Kong Dollar</t>
  </si>
  <si>
    <t>Level B.5</t>
  </si>
  <si>
    <t>UOM 4</t>
  </si>
  <si>
    <t>Royal Women's Hospital</t>
  </si>
  <si>
    <t>RE_009</t>
  </si>
  <si>
    <t>IDR - Indonesian Rupiah</t>
  </si>
  <si>
    <t>Cost Recovery Multipliers</t>
  </si>
  <si>
    <t>Level B.6</t>
  </si>
  <si>
    <t>UOM 5</t>
  </si>
  <si>
    <t>St Vincent's Health</t>
  </si>
  <si>
    <t>RE_010</t>
  </si>
  <si>
    <t>INR - Indian Rupee</t>
  </si>
  <si>
    <t>Level C.1</t>
  </si>
  <si>
    <t>UOM 6</t>
  </si>
  <si>
    <t>Northern Health</t>
  </si>
  <si>
    <t>RE_011</t>
  </si>
  <si>
    <t>JPY - Japanese Yen</t>
  </si>
  <si>
    <t>On-Costs Percentages</t>
  </si>
  <si>
    <t>Level C.2</t>
  </si>
  <si>
    <t>UOM 7</t>
  </si>
  <si>
    <t>Western Health</t>
  </si>
  <si>
    <t>RE_012</t>
  </si>
  <si>
    <t>MYR - Malaysian Ringgit</t>
  </si>
  <si>
    <t>Level C.3</t>
  </si>
  <si>
    <t>UOM 8</t>
  </si>
  <si>
    <t>Mercy Public Hospitals</t>
  </si>
  <si>
    <t>RE_013</t>
  </si>
  <si>
    <t>NZD - New Zealand Dollar</t>
  </si>
  <si>
    <t>Post-Graduate Student Stipends</t>
  </si>
  <si>
    <t>Level C.4</t>
  </si>
  <si>
    <t>UOM 9</t>
  </si>
  <si>
    <t>Melbourne Health</t>
  </si>
  <si>
    <t>RE_014</t>
  </si>
  <si>
    <t>SGD - Singapore Dollar</t>
  </si>
  <si>
    <t>Level C.5</t>
  </si>
  <si>
    <t>Override UoM Oncosts %</t>
  </si>
  <si>
    <t>UOM 10</t>
  </si>
  <si>
    <t>Royal Victorian Eye &amp; Ear Hospital</t>
  </si>
  <si>
    <t>RE_015</t>
  </si>
  <si>
    <t>USD - United States Dollar</t>
  </si>
  <si>
    <t>Faculty of Architecture, Building and Planning - Admin</t>
  </si>
  <si>
    <t>CCH_H1_5_22</t>
  </si>
  <si>
    <t>Faculty of Architecture, Building and Planning, Admin, Centres and Institute</t>
  </si>
  <si>
    <t>CCH_H1_4_10</t>
  </si>
  <si>
    <t>Faculty of Architecture, Building and Planning</t>
  </si>
  <si>
    <t>CCH_H1_3_04</t>
  </si>
  <si>
    <t>Revenue Categories</t>
  </si>
  <si>
    <t>Level C.6</t>
  </si>
  <si>
    <t>Oncost %</t>
  </si>
  <si>
    <t>Austin Health</t>
  </si>
  <si>
    <t>RE_016</t>
  </si>
  <si>
    <t>Faculty of Architecture, Building and Planning - Centres and Institutes</t>
  </si>
  <si>
    <t>CCH_H1_5_23</t>
  </si>
  <si>
    <t>Level D.1</t>
  </si>
  <si>
    <t>Minimum Cost Recovery Multiplier</t>
  </si>
  <si>
    <t>Royal Children's Hospital</t>
  </si>
  <si>
    <t>RE_017</t>
  </si>
  <si>
    <r>
      <t>Salary On-Costs</t>
    </r>
    <r>
      <rPr>
        <b/>
        <vertAlign val="superscript"/>
        <sz val="20"/>
        <rFont val="Calibri"/>
        <family val="2"/>
      </rPr>
      <t>*#</t>
    </r>
  </si>
  <si>
    <t>Faculty of Architecture, Building and Planning (D)</t>
  </si>
  <si>
    <t>CCH_H1_5_24</t>
  </si>
  <si>
    <t>Faculty of Architecture, Building and Planning (S)</t>
  </si>
  <si>
    <t>CCH_H1_4_11</t>
  </si>
  <si>
    <t>Level D.2</t>
  </si>
  <si>
    <t>Post-Graduate Student Stipends (548B)</t>
  </si>
  <si>
    <t>Dental Health Services Victoria</t>
  </si>
  <si>
    <t>RE_018</t>
  </si>
  <si>
    <t>Level D.3</t>
  </si>
  <si>
    <t>Rural Health Service</t>
  </si>
  <si>
    <t>RE_019</t>
  </si>
  <si>
    <t>Faculty of Business and Economics - Admin</t>
  </si>
  <si>
    <t>CCH_H1_5_26</t>
  </si>
  <si>
    <t>Faculty of Business and Economics, Admin, Centres and Institute</t>
  </si>
  <si>
    <t>CCH_H1_4_13</t>
  </si>
  <si>
    <t>Faculty of Business and Economics</t>
  </si>
  <si>
    <t>CCH_H1_3_05</t>
  </si>
  <si>
    <t>Level D.4</t>
  </si>
  <si>
    <t>Residential - Clinical</t>
  </si>
  <si>
    <t>RE_020</t>
  </si>
  <si>
    <t>Faculty of Business and Economics - Centres and Institutes</t>
  </si>
  <si>
    <t>CCH_H1_5_27</t>
  </si>
  <si>
    <t>Level E.1</t>
  </si>
  <si>
    <t>Residential - Student Accommodation</t>
  </si>
  <si>
    <t>RE_021</t>
  </si>
  <si>
    <t>Department of Accounting</t>
  </si>
  <si>
    <t>CCH_H1_5_28</t>
  </si>
  <si>
    <t>Faculty of Business and Economics (S)</t>
  </si>
  <si>
    <t>CCH_H1_4_14</t>
  </si>
  <si>
    <t>Superannuation rates</t>
  </si>
  <si>
    <t>Professional</t>
  </si>
  <si>
    <t>UOM 1.1</t>
  </si>
  <si>
    <t>3% increase each year</t>
  </si>
  <si>
    <t>Portfolio - Special Crown Leases</t>
  </si>
  <si>
    <t>RE_022</t>
  </si>
  <si>
    <t>Department of Business Administration</t>
  </si>
  <si>
    <t>CCH_H1_5_29</t>
  </si>
  <si>
    <t>UOM 1.2</t>
  </si>
  <si>
    <t>Portfolio - Bequests/Trust Properties</t>
  </si>
  <si>
    <t>RE_023</t>
  </si>
  <si>
    <t>Department of Economics</t>
  </si>
  <si>
    <t>CCH_H1_5_30</t>
  </si>
  <si>
    <t>Locations/ Regions</t>
  </si>
  <si>
    <t>UOM 1.3</t>
  </si>
  <si>
    <t>Portfolio - Commercial</t>
  </si>
  <si>
    <t>RE_024</t>
  </si>
  <si>
    <t>Department of Finance</t>
  </si>
  <si>
    <t>CCH_H1_5_31</t>
  </si>
  <si>
    <t>UOM 2.1</t>
  </si>
  <si>
    <t>Hawthorn</t>
  </si>
  <si>
    <t>RE_025</t>
  </si>
  <si>
    <t>DisplayName</t>
  </si>
  <si>
    <t>Currency Code</t>
  </si>
  <si>
    <t>Currency Desc</t>
  </si>
  <si>
    <t>1 AUD =</t>
  </si>
  <si>
    <t>Inv 1 AUD</t>
  </si>
  <si>
    <t>Department of Management and Marketing</t>
  </si>
  <si>
    <t>CCH_H1_5_32</t>
  </si>
  <si>
    <t>UOM 2.2</t>
  </si>
  <si>
    <t>Shepparton</t>
  </si>
  <si>
    <t>RE_026</t>
  </si>
  <si>
    <t>UOM 2.3</t>
  </si>
  <si>
    <t>Ballarat</t>
  </si>
  <si>
    <t>RE_027</t>
  </si>
  <si>
    <t>BHD - Bahraini Dinar</t>
  </si>
  <si>
    <t>BHD</t>
  </si>
  <si>
    <t>UOM 3.1</t>
  </si>
  <si>
    <t>Germany</t>
  </si>
  <si>
    <t>RE_028</t>
  </si>
  <si>
    <t>CAD - Canadian Dollar</t>
  </si>
  <si>
    <t>Faculty of Engineering and Information Technology - Admin</t>
  </si>
  <si>
    <t>CCH_H1_5_35</t>
  </si>
  <si>
    <t>Faculty of Engineering and Information Technology, Admin, Centres and Institute</t>
  </si>
  <si>
    <t>CCH_H1_4_17</t>
  </si>
  <si>
    <t>Faculty of Engineering and Information Technology</t>
  </si>
  <si>
    <t>CCH_H1_3_06</t>
  </si>
  <si>
    <t>UOM 3.2</t>
  </si>
  <si>
    <t>Singapore</t>
  </si>
  <si>
    <t>RE_029</t>
  </si>
  <si>
    <t>CHF</t>
  </si>
  <si>
    <t>Faculty of Engineering and Information Technology - Centres and Institutes</t>
  </si>
  <si>
    <t>CCH_H1_5_36</t>
  </si>
  <si>
    <t>UOM 3.3</t>
  </si>
  <si>
    <t>China</t>
  </si>
  <si>
    <t>RE_030</t>
  </si>
  <si>
    <t>CNY</t>
  </si>
  <si>
    <t>Department of Biomedical Engineering</t>
  </si>
  <si>
    <t>CCH_H1_5_37</t>
  </si>
  <si>
    <t>School of Chemical and Biomedical Engineering</t>
  </si>
  <si>
    <t>CCH_H1_4_18</t>
  </si>
  <si>
    <t>UOM 3.4</t>
  </si>
  <si>
    <t>2026 onwards Superannuation</t>
  </si>
  <si>
    <t>DKK - Danish Krone</t>
  </si>
  <si>
    <t>DKK</t>
  </si>
  <si>
    <t>Department of Chemical Engineering</t>
  </si>
  <si>
    <t>CCH_H1_5_38</t>
  </si>
  <si>
    <t>UOM 3.5</t>
  </si>
  <si>
    <t>Staff Type</t>
  </si>
  <si>
    <t>EUR</t>
  </si>
  <si>
    <t>School of Computing and Information Systems (D)</t>
  </si>
  <si>
    <t>CCH_H1_5_39</t>
  </si>
  <si>
    <t>School of Computing and Information Systems</t>
  </si>
  <si>
    <t>CCH_H1_4_19</t>
  </si>
  <si>
    <t>UOM 3.6</t>
  </si>
  <si>
    <t>External Parties</t>
  </si>
  <si>
    <t>GBP</t>
  </si>
  <si>
    <t>School of Electrical, Mechanical and Infrastructure Engineering - Admin</t>
  </si>
  <si>
    <t>CCH_H1_5_40</t>
  </si>
  <si>
    <t>School of Electrical, Mechanical and Infrastructure Engineering</t>
  </si>
  <si>
    <t>CCH_H1_4_20</t>
  </si>
  <si>
    <t>UOM 4.1</t>
  </si>
  <si>
    <t>Party List</t>
  </si>
  <si>
    <t>HKD</t>
  </si>
  <si>
    <t>Department of Electrical and Electronic Engineering</t>
  </si>
  <si>
    <t>CCH_H1_5_41</t>
  </si>
  <si>
    <t>UOM 4.2</t>
  </si>
  <si>
    <t>IDR</t>
  </si>
  <si>
    <t>Department of Infrastructure Engineering</t>
  </si>
  <si>
    <t>CCH_H1_5_42</t>
  </si>
  <si>
    <t>UOM 4.3</t>
  </si>
  <si>
    <t>INR</t>
  </si>
  <si>
    <t>Department of Mechanical Engineering</t>
  </si>
  <si>
    <t>CCH_H1_5_43</t>
  </si>
  <si>
    <t>UOM 4.4</t>
  </si>
  <si>
    <t>JPY</t>
  </si>
  <si>
    <t>Faculty of Fine Arts and Music - Admin</t>
  </si>
  <si>
    <t>CCH_H1_5_44</t>
  </si>
  <si>
    <t>Faculty of Fine Arts and Music, Admin, Centres and Institute</t>
  </si>
  <si>
    <t>CCH_H1_4_21</t>
  </si>
  <si>
    <t>Faculty of Fine Arts and Music</t>
  </si>
  <si>
    <t>CCH_H1_3_07</t>
  </si>
  <si>
    <t>UOM 5.1</t>
  </si>
  <si>
    <t>KRW - South Korean Won</t>
  </si>
  <si>
    <t>KRW</t>
  </si>
  <si>
    <t>UOM 5.2</t>
  </si>
  <si>
    <t>Deliverable Types</t>
  </si>
  <si>
    <t>MYR</t>
  </si>
  <si>
    <t>Melbourne Conservatorium of Music</t>
  </si>
  <si>
    <t>CCH_H1_5_46</t>
  </si>
  <si>
    <t>Faculty of Fine Arts and Music (S)</t>
  </si>
  <si>
    <t>CCH_H1_4_22</t>
  </si>
  <si>
    <t>UOM 5.3</t>
  </si>
  <si>
    <t>NOK</t>
  </si>
  <si>
    <t>Victorian College of the Arts</t>
  </si>
  <si>
    <t>CCH_H1_5_47</t>
  </si>
  <si>
    <t>UOM 5.4</t>
  </si>
  <si>
    <t>EAUR</t>
  </si>
  <si>
    <t>External Audit Report</t>
  </si>
  <si>
    <t>NZD</t>
  </si>
  <si>
    <t>Faculty of Medicine, Dentistry and Health Sciences - Admin (D)</t>
  </si>
  <si>
    <t>CCH_H1_5_48</t>
  </si>
  <si>
    <t>Faculty of Medicine, Dentistry and Health Sciences - Admin</t>
  </si>
  <si>
    <t>CCH_H1_4_23</t>
  </si>
  <si>
    <t>UOM 5.5</t>
  </si>
  <si>
    <t>LookupID</t>
  </si>
  <si>
    <t>FINR</t>
  </si>
  <si>
    <t>Financial Report</t>
  </si>
  <si>
    <t>Full Cost Recovery</t>
  </si>
  <si>
    <t>SEK - Swedish Krona</t>
  </si>
  <si>
    <t>SEK</t>
  </si>
  <si>
    <t>Centre for Cancer Research</t>
  </si>
  <si>
    <t>CCH_H1_5_49</t>
  </si>
  <si>
    <t>UOM 5.6</t>
  </si>
  <si>
    <t>INKD</t>
  </si>
  <si>
    <t>In Kind Report</t>
  </si>
  <si>
    <t>SGD</t>
  </si>
  <si>
    <t>Centre for Collaborative Practice</t>
  </si>
  <si>
    <t>CCH_H1_5_50</t>
  </si>
  <si>
    <t>UOM 5.7</t>
  </si>
  <si>
    <t>IAUR</t>
  </si>
  <si>
    <t>Internal Audit Report</t>
  </si>
  <si>
    <t>THB - Thai Baht</t>
  </si>
  <si>
    <t>THB</t>
  </si>
  <si>
    <t>Centre for Digital Transformation of Health</t>
  </si>
  <si>
    <t>CCH_H1_5_51</t>
  </si>
  <si>
    <t>UOM 5.8</t>
  </si>
  <si>
    <t>OVRN</t>
  </si>
  <si>
    <t>Overheads(non-invoicing)</t>
  </si>
  <si>
    <t>TWD - New Taiwan Dollar</t>
  </si>
  <si>
    <t>TWD</t>
  </si>
  <si>
    <t>Centre for Youth Mental Health (Orygen)</t>
  </si>
  <si>
    <t>CCH_H1_5_52</t>
  </si>
  <si>
    <t>UOM 6.1</t>
  </si>
  <si>
    <t>RINV</t>
  </si>
  <si>
    <t>Raise Invoice</t>
  </si>
  <si>
    <t>USD</t>
  </si>
  <si>
    <t>Comprehensive Dementia Centre</t>
  </si>
  <si>
    <t>CCH_H1_5_53</t>
  </si>
  <si>
    <t>UOM 6.2</t>
  </si>
  <si>
    <t>RIUS</t>
  </si>
  <si>
    <t>Raise Invoice for US Claims</t>
  </si>
  <si>
    <t>Department of Medical Biology (WEHI)</t>
  </si>
  <si>
    <t>CCH_H1_5_54</t>
  </si>
  <si>
    <t>UOM 6.3</t>
  </si>
  <si>
    <t>RCTI</t>
  </si>
  <si>
    <t>RCTI Income Due</t>
  </si>
  <si>
    <t>Themis Justifications</t>
  </si>
  <si>
    <t>Florey Department of Neuroscience and Mental Health</t>
  </si>
  <si>
    <t>CCH_H1_5_55</t>
  </si>
  <si>
    <t>UOM 6.4</t>
  </si>
  <si>
    <t>SHGP</t>
  </si>
  <si>
    <t>Shared Grant Expense Payment</t>
  </si>
  <si>
    <t>Justification Options</t>
  </si>
  <si>
    <t>Medical Bionics Department</t>
  </si>
  <si>
    <t>CCH_H1_5_56</t>
  </si>
  <si>
    <t>UOM 6.5</t>
  </si>
  <si>
    <t>PRES</t>
  </si>
  <si>
    <t>Technical / Milestone Report</t>
  </si>
  <si>
    <t>Faculty strategic reason</t>
  </si>
  <si>
    <t>Melbourne Bioinformatics (VLSCI)</t>
  </si>
  <si>
    <t>CCH_H1_5_57</t>
  </si>
  <si>
    <t>UOM 7.1</t>
  </si>
  <si>
    <t>Overheads not allowed by funder</t>
  </si>
  <si>
    <t>UOM 7.2</t>
  </si>
  <si>
    <t>Some limited overheads allowed by funder; maximum applied</t>
  </si>
  <si>
    <t>UOM 7.3</t>
  </si>
  <si>
    <t>Budget Types</t>
  </si>
  <si>
    <t>Non-lead proposal; UoM aligned to lead organisation's pricing policy</t>
  </si>
  <si>
    <t>Months</t>
  </si>
  <si>
    <t>Melbourne Poche Centre for Indigenous Health</t>
  </si>
  <si>
    <t>CCH_H1_5_60</t>
  </si>
  <si>
    <t>UOM 7.4</t>
  </si>
  <si>
    <t>UoM negotiated rate (e.g. Department of Defence)</t>
  </si>
  <si>
    <t>Month</t>
  </si>
  <si>
    <t>Mon_Number</t>
  </si>
  <si>
    <t>Concatenated</t>
  </si>
  <si>
    <t>National Ageing Research Institute</t>
  </si>
  <si>
    <t>CCH_H1_5_61</t>
  </si>
  <si>
    <t>UOM 7.5</t>
  </si>
  <si>
    <t>Expenditure Budget</t>
  </si>
  <si>
    <t>Compliant with policy; full cost (or greater) recovered</t>
  </si>
  <si>
    <t>CCH_H1_5_62</t>
  </si>
  <si>
    <t>UOM 8.1</t>
  </si>
  <si>
    <t>Revenue Budget</t>
  </si>
  <si>
    <t>February</t>
  </si>
  <si>
    <t>The Sir Peter MacCallum Department of Oncology</t>
  </si>
  <si>
    <t>CCH_H1_5_63</t>
  </si>
  <si>
    <t>UOM 8.2</t>
  </si>
  <si>
    <t>March</t>
  </si>
  <si>
    <t>UOM 8.3</t>
  </si>
  <si>
    <t>April</t>
  </si>
  <si>
    <t>Melbourne Dental School (D)</t>
  </si>
  <si>
    <t>CCH_H1_5_65</t>
  </si>
  <si>
    <t>Melbourne Dental School</t>
  </si>
  <si>
    <t>CCH_H1_4_24</t>
  </si>
  <si>
    <t>UOM 8.4</t>
  </si>
  <si>
    <t>May</t>
  </si>
  <si>
    <t>Melbourne Medical School - Admin</t>
  </si>
  <si>
    <t>CCH_H1_5_66</t>
  </si>
  <si>
    <t>Melbourne Medical School</t>
  </si>
  <si>
    <t>CCH_H1_4_25</t>
  </si>
  <si>
    <t>UOM 8.5</t>
  </si>
  <si>
    <t>June</t>
  </si>
  <si>
    <t>UOM 9.1</t>
  </si>
  <si>
    <t>July</t>
  </si>
  <si>
    <t>UOM 9.2</t>
  </si>
  <si>
    <t>Leave Loading</t>
  </si>
  <si>
    <t>August</t>
  </si>
  <si>
    <t>Baker Department of Cardiometabolic Health</t>
  </si>
  <si>
    <t>CCH_H1_5_69</t>
  </si>
  <si>
    <t>UOM 9.3</t>
  </si>
  <si>
    <t>September</t>
  </si>
  <si>
    <t>Department of Clinical Pathology</t>
  </si>
  <si>
    <t>CCH_H1_5_70</t>
  </si>
  <si>
    <t>October</t>
  </si>
  <si>
    <t>Department of Critical Care</t>
  </si>
  <si>
    <t>CCH_H1_5_71</t>
  </si>
  <si>
    <t xml:space="preserve">November </t>
  </si>
  <si>
    <t>CCH_H1_5_72</t>
  </si>
  <si>
    <t>Department of Infectious Diseases</t>
  </si>
  <si>
    <t>CCH_H1_5_73</t>
  </si>
  <si>
    <t>Department of Medical Education</t>
  </si>
  <si>
    <t>CCH_H1_5_74</t>
  </si>
  <si>
    <t>Department of Medicine</t>
  </si>
  <si>
    <t>CCH_H1_5_75</t>
  </si>
  <si>
    <t>CCH_H1_5_76</t>
  </si>
  <si>
    <t>Department of Paediatrics</t>
  </si>
  <si>
    <t>CCH_H1_5_77</t>
  </si>
  <si>
    <t>Department of Psychiatry</t>
  </si>
  <si>
    <t>CCH_H1_5_78</t>
  </si>
  <si>
    <t>Department of Radiology</t>
  </si>
  <si>
    <t>CCH_H1_5_79</t>
  </si>
  <si>
    <t>Department of Rural Health</t>
  </si>
  <si>
    <t>CCH_H1_5_80</t>
  </si>
  <si>
    <t>Department of Surgery</t>
  </si>
  <si>
    <t>CCH_H1_5_81</t>
  </si>
  <si>
    <t>Melbourne School of Health Sciences - Admin</t>
  </si>
  <si>
    <t>CCH_H1_5_82</t>
  </si>
  <si>
    <t>Melbourne School of Health Sciences</t>
  </si>
  <si>
    <t>CCH_H1_4_26</t>
  </si>
  <si>
    <t>Work Cover</t>
  </si>
  <si>
    <t>Department of Audiology and Speech Pathology</t>
  </si>
  <si>
    <t>CCH_H1_5_83</t>
  </si>
  <si>
    <t>Department of Nursing</t>
  </si>
  <si>
    <t>CCH_H1_5_84</t>
  </si>
  <si>
    <t>Department of Optometry and Vision Sciences</t>
  </si>
  <si>
    <t>CCH_H1_5_85</t>
  </si>
  <si>
    <t>Department of Physiotherapy</t>
  </si>
  <si>
    <t>CCH_H1_5_86</t>
  </si>
  <si>
    <t>Department of Social Work</t>
  </si>
  <si>
    <t>CCH_H1_5_87</t>
  </si>
  <si>
    <t>Melbourne School of Population and Global Health (D)</t>
  </si>
  <si>
    <t>CCH_H1_5_88</t>
  </si>
  <si>
    <t>Melbourne School of Population and Global Health</t>
  </si>
  <si>
    <t>CCH_H1_4_27</t>
  </si>
  <si>
    <t>Parental Leave</t>
  </si>
  <si>
    <t>Melbourne School of Population and Global Health - Centres and Institutes</t>
  </si>
  <si>
    <t>CCH_H1_5_89</t>
  </si>
  <si>
    <t>Parental Leave Loading</t>
  </si>
  <si>
    <t>Melbourne School of Psychological Sciences (D)</t>
  </si>
  <si>
    <t>CCH_H1_5_90</t>
  </si>
  <si>
    <t>Melbourne School of Psychological Sciences</t>
  </si>
  <si>
    <t>CCH_H1_4_28</t>
  </si>
  <si>
    <t>Melbourne School of Psychological Sciences - Centres and Institutes</t>
  </si>
  <si>
    <t>CCH_H1_5_91</t>
  </si>
  <si>
    <t>School of Biomedical Sciences - Admin</t>
  </si>
  <si>
    <t>CCH_H1_5_92</t>
  </si>
  <si>
    <t>School of Biomedical Sciences</t>
  </si>
  <si>
    <t>CCH_H1_4_29</t>
  </si>
  <si>
    <t>Department of Anatomy and Physiology</t>
  </si>
  <si>
    <t>CCH_H1_5_93</t>
  </si>
  <si>
    <t>Department of Biochemistry and Pharmacology</t>
  </si>
  <si>
    <t>CCH_H1_5_94</t>
  </si>
  <si>
    <t>Department of Microbiology and Immunology</t>
  </si>
  <si>
    <t>CCH_H1_5_95</t>
  </si>
  <si>
    <t>Long Service Leave</t>
  </si>
  <si>
    <t>Faculty of Science - Admin</t>
  </si>
  <si>
    <t>CCH_H1_5_96</t>
  </si>
  <si>
    <t>Faculty of Science, Admin, Centres and Institute</t>
  </si>
  <si>
    <t>CCH_H1_4_30</t>
  </si>
  <si>
    <t>Faculty of Science</t>
  </si>
  <si>
    <t>CCH_H1_3_08</t>
  </si>
  <si>
    <t>Faculty of Science - Centres and Institutes</t>
  </si>
  <si>
    <t>CCH_H1_5_97</t>
  </si>
  <si>
    <t>School of Agriculture, Food and Ecosystem Sciences (D)</t>
  </si>
  <si>
    <t>CCH_H1_5_98</t>
  </si>
  <si>
    <t>School of Agriculture, Food and Ecosystem Sciences</t>
  </si>
  <si>
    <t>CCH_H1_4_31</t>
  </si>
  <si>
    <t>School of BioSciences (D)</t>
  </si>
  <si>
    <t>CCH_H1_5_99</t>
  </si>
  <si>
    <t>School of BioSciences</t>
  </si>
  <si>
    <t>CCH_H1_4_32</t>
  </si>
  <si>
    <t>School of BioSciences - Centres and Institutes</t>
  </si>
  <si>
    <t>CCH_H1_5_100</t>
  </si>
  <si>
    <t>School of Chemistry (D)</t>
  </si>
  <si>
    <t>CCH_H1_5_101</t>
  </si>
  <si>
    <t>School of Chemistry</t>
  </si>
  <si>
    <t>CCH_H1_4_33</t>
  </si>
  <si>
    <t>Annual Leave Provision</t>
  </si>
  <si>
    <t>School of Geography, Earth and Atmospheric Sciences (D)</t>
  </si>
  <si>
    <t>CCH_H1_5_103</t>
  </si>
  <si>
    <t>School of Geography, Earth and Atmospheric Sciences</t>
  </si>
  <si>
    <t>CCH_H1_4_34</t>
  </si>
  <si>
    <t>Annual Leave Loading</t>
  </si>
  <si>
    <t>School of Geography, Earth and Atmospheric Sciences - Centres and Institutes</t>
  </si>
  <si>
    <t>CCH_H1_5_104</t>
  </si>
  <si>
    <t>School of Mathematics and Statistics (D)</t>
  </si>
  <si>
    <t>CCH_H1_5_105</t>
  </si>
  <si>
    <t>School of Mathematics and Statistics</t>
  </si>
  <si>
    <t>CCH_H1_4_35</t>
  </si>
  <si>
    <t>School of Mathematics and Statistics - Centres and Institutes</t>
  </si>
  <si>
    <t>CCH_H1_5_106</t>
  </si>
  <si>
    <t>School of Physics (D)</t>
  </si>
  <si>
    <t>CCH_H1_5_107</t>
  </si>
  <si>
    <t>School of Physics</t>
  </si>
  <si>
    <t>CCH_H1_4_36</t>
  </si>
  <si>
    <t>School of Physics - Centres and Institutes</t>
  </si>
  <si>
    <t>CCH_H1_5_108</t>
  </si>
  <si>
    <t>CCH_H1_5_109</t>
  </si>
  <si>
    <t>CCH_H1_4_37</t>
  </si>
  <si>
    <t>CCH_H1_5_110</t>
  </si>
  <si>
    <t>Working Days per year</t>
  </si>
  <si>
    <t>CCH_H1_5_111</t>
  </si>
  <si>
    <t>CCH_H1_4_38</t>
  </si>
  <si>
    <t>CCH_H1_3_09</t>
  </si>
  <si>
    <t>No of days</t>
  </si>
  <si>
    <t>CCH_H1_5_112</t>
  </si>
  <si>
    <t>CCH_H1_5_113</t>
  </si>
  <si>
    <t>CCH_H1_4_39</t>
  </si>
  <si>
    <t>Melbourne Law School - Admin</t>
  </si>
  <si>
    <t>CCH_H1_5_114</t>
  </si>
  <si>
    <t>Melbourne Law School (S)</t>
  </si>
  <si>
    <t>CCH_H1_4_40</t>
  </si>
  <si>
    <t>Melbourne Law School</t>
  </si>
  <si>
    <t>CCH_H1_3_10</t>
  </si>
  <si>
    <t>Melbourne Law School - Centres and Institutes</t>
  </si>
  <si>
    <t>CCH_H1_5_115</t>
  </si>
  <si>
    <t>Leave Loading Maximum Amount</t>
  </si>
  <si>
    <t>Melbourne Law School (D)</t>
  </si>
  <si>
    <t>CCH_H1_5_116</t>
  </si>
  <si>
    <t>Max Amount (AUD)</t>
  </si>
  <si>
    <t>Project Duration</t>
  </si>
  <si>
    <t>First Year fraction</t>
  </si>
  <si>
    <t>Last Year Fraction</t>
  </si>
  <si>
    <t>Total Years</t>
  </si>
  <si>
    <t>Total Months</t>
  </si>
  <si>
    <t>Cost Category</t>
  </si>
  <si>
    <t>Cost Subcategory</t>
  </si>
  <si>
    <t>Computer Software and Services</t>
  </si>
  <si>
    <t>School of Chemical and Biomedical Engineering (D)</t>
  </si>
  <si>
    <t>CCH_H1_5_197</t>
  </si>
  <si>
    <t>Faculty of Education - Admin</t>
  </si>
  <si>
    <t>Faculty of Education, Admin, Centres and Institute</t>
  </si>
  <si>
    <t>Faculty of Education</t>
  </si>
  <si>
    <t>Department of Obstetrics, Gynaecology and Newborn Health</t>
  </si>
  <si>
    <t>Available From</t>
  </si>
  <si>
    <t>Version Number</t>
  </si>
  <si>
    <t>2.0</t>
  </si>
  <si>
    <t>2.1</t>
  </si>
  <si>
    <t>2.2</t>
  </si>
  <si>
    <t>Go back</t>
  </si>
  <si>
    <t>2.3</t>
  </si>
  <si>
    <t>2.4</t>
  </si>
  <si>
    <t>2.5</t>
  </si>
  <si>
    <t>2.6</t>
  </si>
  <si>
    <t>2.7</t>
  </si>
  <si>
    <t>3.0</t>
  </si>
  <si>
    <t>3.1</t>
  </si>
  <si>
    <t>3.2</t>
  </si>
  <si>
    <t>3.3</t>
  </si>
  <si>
    <t>3.4</t>
  </si>
  <si>
    <t>3.5</t>
  </si>
  <si>
    <t>3.5.1</t>
  </si>
  <si>
    <t>3.6</t>
  </si>
  <si>
    <t>3.7</t>
  </si>
  <si>
    <t>3.8</t>
  </si>
  <si>
    <t>Lead UoM Chief Investigator</t>
  </si>
  <si>
    <r>
      <t xml:space="preserve">Reason for discounting or subsidising the project costs </t>
    </r>
    <r>
      <rPr>
        <b/>
        <i/>
        <sz val="10"/>
        <rFont val="Calibri"/>
        <family val="2"/>
        <scheme val="minor"/>
      </rPr>
      <t>(select from dropdown)</t>
    </r>
    <r>
      <rPr>
        <b/>
        <sz val="12"/>
        <rFont val="Calibri"/>
        <family val="2"/>
        <scheme val="minor"/>
      </rPr>
      <t>:</t>
    </r>
  </si>
  <si>
    <t>4.0</t>
  </si>
  <si>
    <t xml:space="preserve">Non-Staff Costs (excluding in-kind (University investment)) </t>
  </si>
  <si>
    <t>Faculty of Arts - Admin</t>
  </si>
  <si>
    <t>School of Culture and Communication (D)</t>
  </si>
  <si>
    <t>Asia Institute (D)</t>
  </si>
  <si>
    <t>School of Languages and Linguistics (D)</t>
  </si>
  <si>
    <t>School of Languages and Linguistics - Centres and Institutes</t>
  </si>
  <si>
    <t>CCH_H1_5_200</t>
  </si>
  <si>
    <t>School of Historical and Philosophical Studies (D)</t>
  </si>
  <si>
    <t>Faculty of Arts - Centres and Institutes</t>
  </si>
  <si>
    <t>School of Social and Political Sciences (D)</t>
  </si>
  <si>
    <t>Graduate School of Humanities and Social Sciences (D)</t>
  </si>
  <si>
    <t>Asia Institute - Centres and Institutes</t>
  </si>
  <si>
    <t>CCH_H1_5_199</t>
  </si>
  <si>
    <t>Melbourne Academy of Surgical Anatomy (MDHS)</t>
  </si>
  <si>
    <t>CCH_H1_5_204</t>
  </si>
  <si>
    <t>Melbourne Teaching Health Clinics</t>
  </si>
  <si>
    <t>CCH_H1_5_205</t>
  </si>
  <si>
    <t>Australian Biocommons</t>
  </si>
  <si>
    <t>Department of General Practice and Primary Care</t>
  </si>
  <si>
    <t>Melbourne Veterinary School (D)</t>
  </si>
  <si>
    <t>Melbourne Veterinary School</t>
  </si>
  <si>
    <t>Melbourne Veterinary School - Centres and Institutes</t>
  </si>
  <si>
    <t>Faculty of Education - Centres and Institutes</t>
  </si>
  <si>
    <t>Faculty of Education (D)</t>
  </si>
  <si>
    <t>Faculty of Education (S)</t>
  </si>
  <si>
    <t>School of Social and Political Sciences - Centres and Institutes</t>
  </si>
  <si>
    <t>CCH_H1_5_201</t>
  </si>
  <si>
    <t>Clinical Research Support (MISCH)</t>
  </si>
  <si>
    <t>CCH_H1_5_206</t>
  </si>
  <si>
    <t>Melbourne Academic Centre for Health (MACH)</t>
  </si>
  <si>
    <t>CCH_H1_5_207</t>
  </si>
  <si>
    <t>Business Services Directorate</t>
  </si>
  <si>
    <t>CCH_H1_5_10</t>
  </si>
  <si>
    <t>Business Services</t>
  </si>
  <si>
    <t>CCH_H1_4_09</t>
  </si>
  <si>
    <t>Chief Operating Officer</t>
  </si>
  <si>
    <t>CCH_H1_3_03</t>
  </si>
  <si>
    <t>Client Services</t>
  </si>
  <si>
    <t>CCH_H1_5_11</t>
  </si>
  <si>
    <t>Academic Technology</t>
  </si>
  <si>
    <t>CCH_H1_5_12</t>
  </si>
  <si>
    <t>Office of the Chief Operating Officer (D)</t>
  </si>
  <si>
    <t>CCH_H1_5_121</t>
  </si>
  <si>
    <t xml:space="preserve">Office of the Chief Operating Officer </t>
  </si>
  <si>
    <t>CCH_H1_4_43</t>
  </si>
  <si>
    <t>Governance</t>
  </si>
  <si>
    <t>CCH_H1_5_122</t>
  </si>
  <si>
    <t>Strategy, Planning and Performance</t>
  </si>
  <si>
    <t>CCH_H1_5_123</t>
  </si>
  <si>
    <t>Office of the CFO</t>
  </si>
  <si>
    <t>CCH_H1_5_124</t>
  </si>
  <si>
    <t>Chief Financial Officer Group</t>
  </si>
  <si>
    <t>CCH_H1_4_44</t>
  </si>
  <si>
    <t>Corporate Finance, Property and Sustainability</t>
  </si>
  <si>
    <t>CCH_H1_5_125</t>
  </si>
  <si>
    <t>Financial Planning, Partnering and Advisory</t>
  </si>
  <si>
    <t>CCH_H1_5_126</t>
  </si>
  <si>
    <t>Procurement</t>
  </si>
  <si>
    <t>CCH_H1_5_127</t>
  </si>
  <si>
    <t>Strategic Financial Initiatives</t>
  </si>
  <si>
    <t>CCH_H1_5_128</t>
  </si>
  <si>
    <t>Office of General Counsel</t>
  </si>
  <si>
    <t>CCH_H1_5_129</t>
  </si>
  <si>
    <t>Legal and Risk</t>
  </si>
  <si>
    <t>CCH_H1_4_45</t>
  </si>
  <si>
    <t>Health &amp; Safety</t>
  </si>
  <si>
    <t>CCH_H1_5_13</t>
  </si>
  <si>
    <t>Information Governance Services</t>
  </si>
  <si>
    <t>CCH_H1_5_130</t>
  </si>
  <si>
    <t>Legal Services</t>
  </si>
  <si>
    <t>CCH_H1_5_131</t>
  </si>
  <si>
    <t>Risk and Assurance</t>
  </si>
  <si>
    <t>CCH_H1_5_132</t>
  </si>
  <si>
    <t>Operational Performance Directorate</t>
  </si>
  <si>
    <t>CCH_H1_5_133</t>
  </si>
  <si>
    <t>Operational Performance</t>
  </si>
  <si>
    <t>CCH_H1_4_46</t>
  </si>
  <si>
    <t>Change Practice (OPG)</t>
  </si>
  <si>
    <t>CCH_H1_5_135</t>
  </si>
  <si>
    <t>University Decision Support</t>
  </si>
  <si>
    <t>CCH_H1_5_136</t>
  </si>
  <si>
    <t>Projects and Portfolio Management</t>
  </si>
  <si>
    <t>CCH_H1_5_138</t>
  </si>
  <si>
    <t>Finance Services</t>
  </si>
  <si>
    <t>CCH_H1_5_14</t>
  </si>
  <si>
    <t>Service Experience &amp; Design</t>
  </si>
  <si>
    <t>CCH_H1_5_140</t>
  </si>
  <si>
    <t>RIC Directorate</t>
  </si>
  <si>
    <t>CCH_H1_5_141</t>
  </si>
  <si>
    <t>Research, Innovation and Commercialisation</t>
  </si>
  <si>
    <t>CCH_H1_4_47</t>
  </si>
  <si>
    <t>Commercialisation Ventures</t>
  </si>
  <si>
    <t>CCH_H1_5_142</t>
  </si>
  <si>
    <t>Innovation &amp; Enterprise</t>
  </si>
  <si>
    <t>CCH_H1_5_143</t>
  </si>
  <si>
    <t>Melbourne Entrepreneurial Centre (MEC)</t>
  </si>
  <si>
    <t>CCH_H1_5_144</t>
  </si>
  <si>
    <t>Office of Research Management</t>
  </si>
  <si>
    <t>CCH_H1_5_145</t>
  </si>
  <si>
    <t>Student and Scholarly Services Directorate</t>
  </si>
  <si>
    <t>CCH_H1_5_146</t>
  </si>
  <si>
    <t>Student and Scholarly Services</t>
  </si>
  <si>
    <t>CCH_H1_4_48</t>
  </si>
  <si>
    <t>Future Students</t>
  </si>
  <si>
    <t>CCH_H1_5_147</t>
  </si>
  <si>
    <t>Murrup Barak</t>
  </si>
  <si>
    <t>CCH_H1_5_148</t>
  </si>
  <si>
    <t>Enterprise Technology</t>
  </si>
  <si>
    <t>CCH_H1_5_15</t>
  </si>
  <si>
    <t>University Colleges and Residential Life</t>
  </si>
  <si>
    <t>CCH_H1_5_150</t>
  </si>
  <si>
    <t>Scholarly Services</t>
  </si>
  <si>
    <t>CCH_H1_5_151</t>
  </si>
  <si>
    <t>Student Administration</t>
  </si>
  <si>
    <t>CCH_H1_5_152</t>
  </si>
  <si>
    <t>Student Success</t>
  </si>
  <si>
    <t>CCH_H1_5_154</t>
  </si>
  <si>
    <t>HR Services</t>
  </si>
  <si>
    <t>CCH_H1_5_16</t>
  </si>
  <si>
    <t>Research Computing Services</t>
  </si>
  <si>
    <t>CCH_H1_5_17</t>
  </si>
  <si>
    <t>Campus Management</t>
  </si>
  <si>
    <t>CCH_H1_5_18</t>
  </si>
  <si>
    <t>Planning &amp; Assurance</t>
  </si>
  <si>
    <t>CCH_H1_5_19</t>
  </si>
  <si>
    <t>Cybersecurity</t>
  </si>
  <si>
    <t>CCH_H1_5_20</t>
  </si>
  <si>
    <t>Melbourne Bio-Resources</t>
  </si>
  <si>
    <t>CCH_H1_5_21</t>
  </si>
  <si>
    <t>Office of the VP Advancement</t>
  </si>
  <si>
    <t>CCH_H1_5_118</t>
  </si>
  <si>
    <t>Advancement, Communications &amp; Marketing</t>
  </si>
  <si>
    <t>CCH_H1_4_42</t>
  </si>
  <si>
    <t xml:space="preserve">Advancement, Communications &amp; Marketing </t>
  </si>
  <si>
    <t>CCH_H1_3_11</t>
  </si>
  <si>
    <t>Advancement</t>
  </si>
  <si>
    <t>CCH_H1_5_119</t>
  </si>
  <si>
    <t>Communications and Marketing</t>
  </si>
  <si>
    <t>CCH_H1_5_120</t>
  </si>
  <si>
    <t>Office of the DVC Global, Culture and Engagement</t>
  </si>
  <si>
    <t>CCH_H1_5_155</t>
  </si>
  <si>
    <t>Global, Culture and Engagement (S)</t>
  </si>
  <si>
    <t>CCH_H1_4_49</t>
  </si>
  <si>
    <t>Global, Culture and Engagement</t>
  </si>
  <si>
    <t>CCH_H1_3_12</t>
  </si>
  <si>
    <t>Engagement (GCE)</t>
  </si>
  <si>
    <t>CCH_H1_5_162</t>
  </si>
  <si>
    <t>Melbourne Theatre Company</t>
  </si>
  <si>
    <t>CCH_H1_5_164</t>
  </si>
  <si>
    <t>Global (GCE)</t>
  </si>
  <si>
    <t>CCH_H1_5_202</t>
  </si>
  <si>
    <t>Culture (GCE)</t>
  </si>
  <si>
    <t>CCH_H1_5_203</t>
  </si>
  <si>
    <t>Deputy Vice-Chancellor (Academic)</t>
  </si>
  <si>
    <t>CCH_H1_5_170</t>
  </si>
  <si>
    <t>Office of the Provost (S)</t>
  </si>
  <si>
    <t>CCH_H1_4_50</t>
  </si>
  <si>
    <t>Office of the Provost</t>
  </si>
  <si>
    <t>CCH_H1_3_13</t>
  </si>
  <si>
    <t>Deputy Vice-Chancellor (Indigenous)</t>
  </si>
  <si>
    <t>CCH_H1_5_171</t>
  </si>
  <si>
    <t>Melbourne University Sport</t>
  </si>
  <si>
    <t>CCH_H1_5_172</t>
  </si>
  <si>
    <t>People and Community</t>
  </si>
  <si>
    <t>CCH_H1_5_173</t>
  </si>
  <si>
    <t>Office of the Provost (D)</t>
  </si>
  <si>
    <t>CCH_H1_5_188</t>
  </si>
  <si>
    <t>Melbourne Online</t>
  </si>
  <si>
    <t>CCH_H1_5_198</t>
  </si>
  <si>
    <t>Melbourne Professional Education (MPE)</t>
  </si>
  <si>
    <t>CCH_H1_5_34</t>
  </si>
  <si>
    <t>Office of the Vice-Chancellor (D)</t>
  </si>
  <si>
    <t>CCH_H1_5_174</t>
  </si>
  <si>
    <t>Office of the Vice-Chancellor (S)</t>
  </si>
  <si>
    <t>CCH_H1_4_51</t>
  </si>
  <si>
    <t>Office of the Vice-Chancellor</t>
  </si>
  <si>
    <t>CCH_H1_3_14</t>
  </si>
  <si>
    <t>Office of the DVC Research</t>
  </si>
  <si>
    <t>CCH_H1_5_175</t>
  </si>
  <si>
    <t>Research &amp; Enterprise (S)</t>
  </si>
  <si>
    <t>CCH_H1_4_52</t>
  </si>
  <si>
    <t>Research &amp; Enterprise</t>
  </si>
  <si>
    <t>CCH_H1_3_15</t>
  </si>
  <si>
    <t>Atlantic Fellows for Social Equity</t>
  </si>
  <si>
    <t>CCH_H1_5_176</t>
  </si>
  <si>
    <t>Melbourne Connect</t>
  </si>
  <si>
    <t>CCH_H1_5_178</t>
  </si>
  <si>
    <t>Corporate</t>
  </si>
  <si>
    <t>CCH_H1_5_184</t>
  </si>
  <si>
    <t>University Corporate</t>
  </si>
  <si>
    <t>CCH_H1_4_53</t>
  </si>
  <si>
    <t>University Central Reporting Group</t>
  </si>
  <si>
    <t>CCH_H1_3_16</t>
  </si>
  <si>
    <t>Service Recipients</t>
  </si>
  <si>
    <t>CCH_H1_5_185</t>
  </si>
  <si>
    <t>Nossal Institute Ltd (D)</t>
  </si>
  <si>
    <t>CCH_H1_5_187</t>
  </si>
  <si>
    <t>Nossal Institute Ltd (S)</t>
  </si>
  <si>
    <t>CCH_H1_4_55</t>
  </si>
  <si>
    <t>Nossal Institute Ltd</t>
  </si>
  <si>
    <t>CCH_H1_3_17</t>
  </si>
  <si>
    <t>UM Commercialisation Pty Ltd (D)</t>
  </si>
  <si>
    <t>CCH_H1_5_189</t>
  </si>
  <si>
    <t>UM Commercialisation Pty Ltd (S)</t>
  </si>
  <si>
    <t>CCH_H1_4_56</t>
  </si>
  <si>
    <t>UM Commercialisation Pty Ltd</t>
  </si>
  <si>
    <t>CCH_H1_3_18</t>
  </si>
  <si>
    <t>UM Commercialisation Trust (D)</t>
  </si>
  <si>
    <t>CCH_H1_5_190</t>
  </si>
  <si>
    <t>UM Commercialisation Trust (S)</t>
  </si>
  <si>
    <t>CCH_H1_4_57</t>
  </si>
  <si>
    <t>UM Commercialisation Trust</t>
  </si>
  <si>
    <t>CCH_H1_3_19</t>
  </si>
  <si>
    <t>UMELB (Singapore) (D)</t>
  </si>
  <si>
    <t>CCH_H1_5_191</t>
  </si>
  <si>
    <t>UMELB (Singapore) (S)</t>
  </si>
  <si>
    <t>CCH_H1_4_58</t>
  </si>
  <si>
    <t>UMELB (Singapore)</t>
  </si>
  <si>
    <t>CCH_H1_3_20</t>
  </si>
  <si>
    <t>UOM Commercial Ltd (D)</t>
  </si>
  <si>
    <t>CCH_H1_5_192</t>
  </si>
  <si>
    <t>UOM Commercial Ltd (S)</t>
  </si>
  <si>
    <t>CCH_H1_4_59</t>
  </si>
  <si>
    <t>UOM Commercial Ltd</t>
  </si>
  <si>
    <t>CCH_H1_3_21</t>
  </si>
  <si>
    <t>Melbourne Business School Limited Group (D)</t>
  </si>
  <si>
    <t>CCH_H1_5_193</t>
  </si>
  <si>
    <t>Melbourne Business School Limited Group (S)</t>
  </si>
  <si>
    <t>CCH_H1_4_60</t>
  </si>
  <si>
    <t>Melbourne Business School Limited Group</t>
  </si>
  <si>
    <t>CCH_H1_3_22</t>
  </si>
  <si>
    <t>UoM International Holdings Limited Group (D)</t>
  </si>
  <si>
    <t>CCH_H1_5_194</t>
  </si>
  <si>
    <t>UoM International Holdings Limited Group (S)</t>
  </si>
  <si>
    <t>CCH_H1_4_61</t>
  </si>
  <si>
    <t>UoM International Holdings Limited Group</t>
  </si>
  <si>
    <t>CCH_H1_3_23</t>
  </si>
  <si>
    <t>Ao Mo Da (Beijing) Consulting Co. Ltd (D)</t>
  </si>
  <si>
    <t>CCH_H1_5_195</t>
  </si>
  <si>
    <t>Ao Mo Da (Beijing) Consulting Co. Ltd (S)</t>
  </si>
  <si>
    <t>CCH_H1_4_62</t>
  </si>
  <si>
    <t>Ao Mo Da (Beijing) Consulting Co. Ltd</t>
  </si>
  <si>
    <t>CCH_H1_3_24</t>
  </si>
  <si>
    <t>Unimelb Germany GmbH (D)</t>
  </si>
  <si>
    <t>CCH_H1_5_196</t>
  </si>
  <si>
    <t>Unimelb Germany GmbH (S)</t>
  </si>
  <si>
    <t>CCH_H1_4_63</t>
  </si>
  <si>
    <t xml:space="preserve">Unimelb Germany GmbH </t>
  </si>
  <si>
    <t>CCH_H1_3_25</t>
  </si>
  <si>
    <r>
      <t xml:space="preserve">Department and Faculties </t>
    </r>
    <r>
      <rPr>
        <b/>
        <i/>
        <sz val="12"/>
        <rFont val="Calibri"/>
        <family val="2"/>
      </rPr>
      <t>(List updated 22-May-2025)</t>
    </r>
  </si>
  <si>
    <r>
      <rPr>
        <b/>
        <sz val="11"/>
        <rFont val="Calibri"/>
        <family val="2"/>
        <scheme val="minor"/>
      </rPr>
      <t xml:space="preserve">For MDHS staff </t>
    </r>
    <r>
      <rPr>
        <sz val="11"/>
        <rFont val="Calibri"/>
        <family val="2"/>
        <scheme val="minor"/>
      </rPr>
      <t xml:space="preserve">– At least 25% of any cost recovery must be allocated to Faculty - this will be used to fund the MDHS Faculty Innovation Fund.
Please allocate 25% to ‘Other’ in section G2 and complete section H1 ‘Other’ with the following information:
</t>
    </r>
    <r>
      <rPr>
        <b/>
        <sz val="11"/>
        <rFont val="Calibri"/>
        <family val="2"/>
        <scheme val="minor"/>
      </rPr>
      <t>Cost Centre</t>
    </r>
    <r>
      <rPr>
        <sz val="11"/>
        <rFont val="Calibri"/>
        <family val="2"/>
        <scheme val="minor"/>
      </rPr>
      <t xml:space="preserve">: Faculty Innovation Fund
</t>
    </r>
    <r>
      <rPr>
        <b/>
        <sz val="11"/>
        <rFont val="Calibri"/>
        <family val="2"/>
        <scheme val="minor"/>
      </rPr>
      <t>Cost Centre ID</t>
    </r>
    <r>
      <rPr>
        <sz val="11"/>
        <rFont val="Calibri"/>
        <family val="2"/>
        <scheme val="minor"/>
      </rPr>
      <t>: 10434</t>
    </r>
  </si>
  <si>
    <t>Column H shows the base salary rate as at 1 May 2025, if budgeting in future years, base salary rate increases as mandated in EBA are also included.</t>
  </si>
  <si>
    <t>WorkDay Project</t>
  </si>
  <si>
    <t>4.1</t>
  </si>
  <si>
    <t>GR Stipend Rate</t>
  </si>
  <si>
    <t>Indigenous GR Stipend</t>
  </si>
  <si>
    <t>4.2</t>
  </si>
  <si>
    <t>4.3</t>
  </si>
  <si>
    <t>Research Costing and Pricing tool v4.3.1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</si>
</sst>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quot;$&quot;* #,##0.00_-;_-&quot;$&quot;* &quot;-&quot;??_-;_-@_-"/>
    <numFmt numFmtId="43" formatCode="_-* #,##0.00_-;\-* #,##0.00_-;_-* &quot;-&quot;??_-;_-@_-"/>
    <numFmt numFmtId="164" formatCode="_-&quot;$&quot;* #,##0_-;\-&quot;$&quot;* #,##0_-;_-&quot;$&quot;* &quot;-&quot;??_-;_-@_-"/>
    <numFmt numFmtId="165" formatCode="_-* #,##0_-;\-* #,##0_-;_-* &quot;-&quot;??_-;_-@_-"/>
    <numFmt numFmtId="166" formatCode="_-* #,##0.00000_-;\-* #,##0.00000_-;_-* &quot;-&quot;??_-;_-@_-"/>
    <numFmt numFmtId="167" formatCode="&quot;$&quot;#,##0"/>
    <numFmt numFmtId="168" formatCode="0;;"/>
    <numFmt numFmtId="169" formatCode="0.00%&quot; &quot;"/>
    <numFmt numFmtId="170" formatCode="&quot;$&quot;#,##0.00"/>
    <numFmt numFmtId="171" formatCode="dd/mm/yyyy\ h:mm:ss\ AM/PM"/>
    <numFmt numFmtId="172" formatCode="0.0%"/>
    <numFmt numFmtId="173" formatCode="0.00000"/>
    <numFmt numFmtId="174" formatCode="0.000000"/>
    <numFmt numFmtId="175" formatCode="0.0"/>
    <numFmt numFmtId="176" formatCode="00"/>
  </numFmts>
  <fonts count="215"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6"/>
      <color indexed="9"/>
      <name val="Calibri"/>
      <family val="2"/>
      <scheme val="minor"/>
    </font>
    <font>
      <sz val="11"/>
      <color indexed="8"/>
      <name val="Calibri"/>
      <family val="2"/>
      <scheme val="minor"/>
    </font>
    <font>
      <b/>
      <sz val="11"/>
      <color theme="3" tint="-0.499984740745262"/>
      <name val="Calibri"/>
      <family val="2"/>
      <scheme val="minor"/>
    </font>
    <font>
      <b/>
      <sz val="11"/>
      <color theme="1"/>
      <name val="Calibri"/>
      <family val="2"/>
      <scheme val="minor"/>
    </font>
    <font>
      <b/>
      <sz val="11"/>
      <color indexed="8"/>
      <name val="Calibri"/>
      <family val="2"/>
      <scheme val="minor"/>
    </font>
    <font>
      <sz val="11"/>
      <color theme="3" tint="-0.499984740745262"/>
      <name val="Calibri"/>
      <family val="2"/>
      <scheme val="minor"/>
    </font>
    <font>
      <b/>
      <sz val="11"/>
      <color indexed="9"/>
      <name val="Calibri"/>
      <family val="2"/>
      <scheme val="minor"/>
    </font>
    <font>
      <b/>
      <sz val="11"/>
      <color theme="0"/>
      <name val="Calibri"/>
      <family val="2"/>
      <scheme val="minor"/>
    </font>
    <font>
      <b/>
      <sz val="11"/>
      <name val="Calibri"/>
      <family val="2"/>
      <scheme val="minor"/>
    </font>
    <font>
      <sz val="11"/>
      <name val="Calibri"/>
      <family val="2"/>
      <scheme val="minor"/>
    </font>
    <font>
      <sz val="9"/>
      <color theme="1"/>
      <name val="Calibri"/>
      <family val="2"/>
      <scheme val="minor"/>
    </font>
    <font>
      <sz val="11"/>
      <color indexed="8"/>
      <name val="Calibri"/>
      <family val="2"/>
    </font>
    <font>
      <b/>
      <sz val="8"/>
      <name val="Arial"/>
      <family val="2"/>
    </font>
    <font>
      <b/>
      <i/>
      <sz val="8"/>
      <name val="Arial"/>
      <family val="2"/>
    </font>
    <font>
      <i/>
      <sz val="8"/>
      <name val="Arial"/>
      <family val="2"/>
    </font>
    <font>
      <b/>
      <sz val="9"/>
      <name val="Calibri"/>
      <family val="2"/>
      <scheme val="minor"/>
    </font>
    <font>
      <i/>
      <sz val="9"/>
      <name val="Calibri"/>
      <family val="2"/>
      <scheme val="minor"/>
    </font>
    <font>
      <i/>
      <sz val="8"/>
      <name val="Calibri"/>
      <family val="2"/>
      <scheme val="minor"/>
    </font>
    <font>
      <sz val="9"/>
      <name val="Calibri"/>
      <family val="2"/>
      <scheme val="minor"/>
    </font>
    <font>
      <b/>
      <sz val="12"/>
      <name val="Calibri"/>
      <family val="2"/>
      <scheme val="minor"/>
    </font>
    <font>
      <b/>
      <i/>
      <sz val="10"/>
      <name val="Arial"/>
      <family val="2"/>
    </font>
    <font>
      <sz val="10"/>
      <name val="Arial"/>
      <family val="2"/>
    </font>
    <font>
      <sz val="11"/>
      <color theme="0"/>
      <name val="Calibri"/>
      <family val="2"/>
    </font>
    <font>
      <sz val="11"/>
      <name val="Calibri"/>
      <family val="2"/>
    </font>
    <font>
      <b/>
      <sz val="11"/>
      <color theme="1"/>
      <name val="Calibri"/>
      <family val="2"/>
    </font>
    <font>
      <b/>
      <sz val="10"/>
      <color theme="1"/>
      <name val="Arial"/>
      <family val="2"/>
    </font>
    <font>
      <b/>
      <sz val="10"/>
      <color theme="1"/>
      <name val="Arial Narrow"/>
      <family val="2"/>
    </font>
    <font>
      <sz val="10"/>
      <color theme="1"/>
      <name val="Arial Narrow"/>
      <family val="2"/>
    </font>
    <font>
      <sz val="11"/>
      <color theme="0"/>
      <name val="Calibri"/>
      <family val="2"/>
      <scheme val="minor"/>
    </font>
    <font>
      <u/>
      <sz val="10"/>
      <color theme="1"/>
      <name val="Arial Narrow"/>
      <family val="2"/>
    </font>
    <font>
      <sz val="11"/>
      <color theme="1"/>
      <name val="Arial Narrow"/>
      <family val="2"/>
    </font>
    <font>
      <b/>
      <sz val="12"/>
      <color theme="1"/>
      <name val="Arial Narrow"/>
      <family val="2"/>
    </font>
    <font>
      <b/>
      <sz val="11"/>
      <color theme="1"/>
      <name val="Arial Narrow"/>
      <family val="2"/>
    </font>
    <font>
      <sz val="9"/>
      <color theme="1"/>
      <name val="Arial Narrow"/>
      <family val="2"/>
    </font>
    <font>
      <b/>
      <i/>
      <sz val="10"/>
      <color theme="1"/>
      <name val="Arial Narrow"/>
      <family val="2"/>
    </font>
    <font>
      <b/>
      <sz val="8"/>
      <color theme="1"/>
      <name val="Arial Narrow"/>
      <family val="2"/>
    </font>
    <font>
      <i/>
      <sz val="9"/>
      <color theme="1"/>
      <name val="Arial Narrow"/>
      <family val="2"/>
    </font>
    <font>
      <u/>
      <sz val="11"/>
      <color theme="10"/>
      <name val="Calibri"/>
      <family val="2"/>
    </font>
    <font>
      <b/>
      <sz val="10"/>
      <color indexed="9"/>
      <name val="Source Sans Pro"/>
      <family val="2"/>
    </font>
    <font>
      <sz val="10"/>
      <color indexed="8"/>
      <name val="Source Sans Pro"/>
      <family val="2"/>
    </font>
    <font>
      <sz val="10"/>
      <color theme="1"/>
      <name val="Source Sans Pro"/>
      <family val="2"/>
    </font>
    <font>
      <b/>
      <sz val="10"/>
      <name val="Calibri"/>
      <family val="2"/>
      <scheme val="minor"/>
    </font>
    <font>
      <i/>
      <sz val="11"/>
      <name val="Calibri"/>
      <family val="2"/>
      <scheme val="minor"/>
    </font>
    <font>
      <b/>
      <sz val="18"/>
      <color rgb="FFFFFFFF"/>
      <name val="Roboto"/>
    </font>
    <font>
      <b/>
      <sz val="14"/>
      <color theme="0"/>
      <name val="Roboto"/>
    </font>
    <font>
      <sz val="11"/>
      <color indexed="8"/>
      <name val="Roboto"/>
    </font>
    <font>
      <b/>
      <i/>
      <sz val="11"/>
      <name val="Calibri"/>
      <family val="2"/>
      <scheme val="minor"/>
    </font>
    <font>
      <sz val="9"/>
      <name val="Calibri"/>
      <family val="2"/>
    </font>
    <font>
      <b/>
      <sz val="9"/>
      <name val="Calibri"/>
      <family val="2"/>
    </font>
    <font>
      <b/>
      <sz val="11"/>
      <color theme="0"/>
      <name val="Calibri"/>
      <family val="2"/>
    </font>
    <font>
      <i/>
      <sz val="11"/>
      <color theme="1"/>
      <name val="Calibri"/>
      <family val="2"/>
    </font>
    <font>
      <b/>
      <sz val="9"/>
      <color rgb="FFFF0000"/>
      <name val="Calibri"/>
      <family val="2"/>
      <scheme val="minor"/>
    </font>
    <font>
      <sz val="10"/>
      <name val="Source Sans Pro"/>
      <family val="2"/>
    </font>
    <font>
      <sz val="10"/>
      <color rgb="FFFF0000"/>
      <name val="Source Sans Pro"/>
      <family val="2"/>
    </font>
    <font>
      <sz val="10"/>
      <name val="Calibri"/>
      <family val="2"/>
      <scheme val="minor"/>
    </font>
    <font>
      <b/>
      <sz val="10"/>
      <color theme="0"/>
      <name val="Calibri"/>
      <family val="2"/>
      <scheme val="minor"/>
    </font>
    <font>
      <sz val="11"/>
      <color rgb="FFFF0000"/>
      <name val="Calibri"/>
      <family val="2"/>
      <scheme val="minor"/>
    </font>
    <font>
      <b/>
      <sz val="11"/>
      <color rgb="FFFF0000"/>
      <name val="Calibri"/>
      <family val="2"/>
      <scheme val="minor"/>
    </font>
    <font>
      <b/>
      <sz val="11"/>
      <name val="Calibri"/>
      <family val="2"/>
    </font>
    <font>
      <b/>
      <sz val="10"/>
      <color rgb="FFFF0000"/>
      <name val="Calibri"/>
      <family val="2"/>
      <scheme val="minor"/>
    </font>
    <font>
      <sz val="9"/>
      <color indexed="81"/>
      <name val="Tahoma"/>
      <family val="2"/>
    </font>
    <font>
      <b/>
      <sz val="9"/>
      <color indexed="81"/>
      <name val="Tahoma"/>
      <family val="2"/>
    </font>
    <font>
      <b/>
      <i/>
      <sz val="9"/>
      <name val="Calibri"/>
      <family val="2"/>
      <scheme val="minor"/>
    </font>
    <font>
      <sz val="11"/>
      <color theme="1" tint="0.34998626667073579"/>
      <name val="Calibri"/>
      <family val="2"/>
      <scheme val="minor"/>
    </font>
    <font>
      <b/>
      <sz val="11"/>
      <color theme="1" tint="0.34998626667073579"/>
      <name val="Calibri"/>
      <family val="2"/>
      <scheme val="minor"/>
    </font>
    <font>
      <sz val="11"/>
      <color theme="1" tint="0.34998626667073579"/>
      <name val="Calibri"/>
      <family val="2"/>
    </font>
    <font>
      <b/>
      <sz val="10"/>
      <color theme="1" tint="0.34998626667073579"/>
      <name val="Calibri"/>
      <family val="2"/>
      <scheme val="minor"/>
    </font>
    <font>
      <b/>
      <sz val="10"/>
      <color indexed="8"/>
      <name val="Calibri"/>
      <family val="2"/>
      <scheme val="minor"/>
    </font>
    <font>
      <b/>
      <sz val="10"/>
      <color theme="1"/>
      <name val="Calibri"/>
      <family val="2"/>
      <scheme val="minor"/>
    </font>
    <font>
      <b/>
      <sz val="11"/>
      <color rgb="FF002060"/>
      <name val="Calibri"/>
      <family val="2"/>
      <scheme val="minor"/>
    </font>
    <font>
      <b/>
      <sz val="10.5"/>
      <name val="Calibri"/>
      <family val="2"/>
      <scheme val="minor"/>
    </font>
    <font>
      <sz val="11"/>
      <color theme="1" tint="0.499984740745262"/>
      <name val="Calibri"/>
      <family val="2"/>
      <scheme val="minor"/>
    </font>
    <font>
      <sz val="10"/>
      <name val="Calibri"/>
      <family val="2"/>
    </font>
    <font>
      <sz val="10"/>
      <color theme="0"/>
      <name val="Calibri"/>
      <family val="2"/>
      <scheme val="minor"/>
    </font>
    <font>
      <sz val="8"/>
      <name val="Calibri"/>
      <family val="2"/>
    </font>
    <font>
      <i/>
      <sz val="9"/>
      <color indexed="8"/>
      <name val="Calibri"/>
      <family val="2"/>
      <scheme val="minor"/>
    </font>
    <font>
      <i/>
      <sz val="9"/>
      <color theme="0"/>
      <name val="Calibri"/>
      <family val="2"/>
      <scheme val="minor"/>
    </font>
    <font>
      <sz val="8"/>
      <color theme="0"/>
      <name val="Calibri"/>
      <family val="2"/>
    </font>
    <font>
      <i/>
      <sz val="11"/>
      <name val="Calibri"/>
      <family val="2"/>
    </font>
    <font>
      <i/>
      <sz val="10"/>
      <color rgb="FF002060"/>
      <name val="Calibri"/>
      <family val="2"/>
      <scheme val="minor"/>
    </font>
    <font>
      <i/>
      <sz val="10"/>
      <color rgb="FFFF0000"/>
      <name val="Calibri"/>
      <family val="2"/>
      <scheme val="minor"/>
    </font>
    <font>
      <i/>
      <sz val="10"/>
      <color rgb="FF1F4E79"/>
      <name val="Calibri"/>
      <family val="2"/>
    </font>
    <font>
      <b/>
      <sz val="16"/>
      <name val="Calibri"/>
      <family val="2"/>
      <scheme val="minor"/>
    </font>
    <font>
      <b/>
      <sz val="16"/>
      <name val="Calibri"/>
      <family val="2"/>
    </font>
    <font>
      <b/>
      <sz val="12"/>
      <name val="Calibri"/>
      <family val="2"/>
    </font>
    <font>
      <sz val="8"/>
      <color rgb="FFFF0000"/>
      <name val="Arial Narrow"/>
      <family val="2"/>
    </font>
    <font>
      <b/>
      <i/>
      <sz val="10"/>
      <name val="Calibri"/>
      <family val="2"/>
      <scheme val="minor"/>
    </font>
    <font>
      <i/>
      <sz val="10"/>
      <color rgb="FF0000CC"/>
      <name val="Calibri"/>
      <family val="2"/>
      <scheme val="minor"/>
    </font>
    <font>
      <i/>
      <sz val="9"/>
      <color rgb="FF0000FF"/>
      <name val="Calibri"/>
      <family val="2"/>
      <scheme val="minor"/>
    </font>
    <font>
      <i/>
      <sz val="9"/>
      <color rgb="FF0000CC"/>
      <name val="Calibri"/>
      <family val="2"/>
    </font>
    <font>
      <i/>
      <sz val="9"/>
      <color rgb="FF0000CC"/>
      <name val="Calibri"/>
      <family val="2"/>
      <scheme val="minor"/>
    </font>
    <font>
      <sz val="11"/>
      <color rgb="FF002060"/>
      <name val="Calibri"/>
      <family val="2"/>
      <scheme val="minor"/>
    </font>
    <font>
      <i/>
      <sz val="11"/>
      <color theme="0"/>
      <name val="Calibri"/>
      <family val="2"/>
      <scheme val="minor"/>
    </font>
    <font>
      <i/>
      <sz val="9"/>
      <name val="Calibri"/>
      <family val="2"/>
    </font>
    <font>
      <b/>
      <sz val="9"/>
      <color theme="1"/>
      <name val="Calibri"/>
      <family val="2"/>
      <scheme val="minor"/>
    </font>
    <font>
      <b/>
      <sz val="20"/>
      <color theme="1"/>
      <name val="Calibri"/>
      <family val="2"/>
      <scheme val="minor"/>
    </font>
    <font>
      <sz val="20"/>
      <color theme="1"/>
      <name val="Calibri"/>
      <family val="2"/>
      <scheme val="minor"/>
    </font>
    <font>
      <b/>
      <vertAlign val="superscript"/>
      <sz val="20"/>
      <name val="Calibri"/>
      <family val="2"/>
    </font>
    <font>
      <sz val="11"/>
      <color theme="1"/>
      <name val="Arial"/>
      <family val="2"/>
    </font>
    <font>
      <sz val="11"/>
      <color rgb="FF0274BA"/>
      <name val="Arial"/>
      <family val="2"/>
    </font>
    <font>
      <b/>
      <sz val="9"/>
      <color indexed="8"/>
      <name val="Calibri"/>
      <family val="2"/>
      <scheme val="minor"/>
    </font>
    <font>
      <b/>
      <i/>
      <sz val="12"/>
      <name val="Calibri"/>
      <family val="2"/>
    </font>
    <font>
      <b/>
      <i/>
      <sz val="11"/>
      <color theme="0"/>
      <name val="Calibri"/>
      <family val="2"/>
      <scheme val="minor"/>
    </font>
    <font>
      <b/>
      <i/>
      <sz val="11"/>
      <color rgb="FF094183"/>
      <name val="Calibri"/>
      <family val="2"/>
      <scheme val="minor"/>
    </font>
    <font>
      <i/>
      <sz val="11"/>
      <color rgb="FF094183"/>
      <name val="Calibri"/>
      <family val="2"/>
      <scheme val="minor"/>
    </font>
    <font>
      <i/>
      <sz val="9"/>
      <color rgb="FFC00000"/>
      <name val="Calibri"/>
      <family val="2"/>
      <scheme val="minor"/>
    </font>
    <font>
      <sz val="11"/>
      <color theme="0" tint="-0.14999847407452621"/>
      <name val="Calibri"/>
      <family val="2"/>
      <scheme val="minor"/>
    </font>
    <font>
      <b/>
      <sz val="10"/>
      <color theme="6" tint="-0.249977111117893"/>
      <name val="Calibri"/>
      <family val="2"/>
      <scheme val="minor"/>
    </font>
    <font>
      <b/>
      <i/>
      <sz val="9"/>
      <color theme="0"/>
      <name val="Calibri"/>
      <family val="2"/>
      <scheme val="minor"/>
    </font>
    <font>
      <b/>
      <sz val="12"/>
      <color theme="0"/>
      <name val="Calibri"/>
      <family val="2"/>
      <scheme val="minor"/>
    </font>
    <font>
      <b/>
      <i/>
      <sz val="11"/>
      <color theme="1" tint="0.34998626667073579"/>
      <name val="Calibri"/>
      <family val="2"/>
      <scheme val="minor"/>
    </font>
    <font>
      <i/>
      <sz val="11"/>
      <color theme="1" tint="0.34998626667073579"/>
      <name val="Calibri"/>
      <family val="2"/>
      <scheme val="minor"/>
    </font>
    <font>
      <b/>
      <vertAlign val="superscript"/>
      <sz val="12"/>
      <color rgb="FFFF0000"/>
      <name val="Calibri"/>
      <family val="2"/>
      <scheme val="minor"/>
    </font>
    <font>
      <b/>
      <sz val="10"/>
      <color theme="0" tint="-4.9989318521683403E-2"/>
      <name val="Roboto"/>
    </font>
    <font>
      <i/>
      <sz val="9"/>
      <color theme="1" tint="0.499984740745262"/>
      <name val="Aptos Display"/>
      <family val="2"/>
    </font>
    <font>
      <i/>
      <sz val="10"/>
      <color theme="1" tint="0.34998626667073579"/>
      <name val="Calibri"/>
      <family val="2"/>
      <scheme val="minor"/>
    </font>
    <font>
      <b/>
      <sz val="8"/>
      <color rgb="FFFFFFFF"/>
      <name val="Arial"/>
      <family val="2"/>
    </font>
    <font>
      <sz val="8"/>
      <color rgb="FF808080"/>
      <name val="Arial"/>
      <family val="2"/>
    </font>
    <font>
      <sz val="11"/>
      <color rgb="FF339933"/>
      <name val="Calibri"/>
      <family val="2"/>
      <scheme val="minor"/>
    </font>
    <font>
      <b/>
      <sz val="11"/>
      <color rgb="FF000000"/>
      <name val="Calibri"/>
      <family val="2"/>
      <scheme val="minor"/>
    </font>
    <font>
      <i/>
      <sz val="10"/>
      <name val="Calibri"/>
      <family val="2"/>
      <scheme val="minor"/>
    </font>
    <font>
      <sz val="14"/>
      <color theme="1"/>
      <name val="Calibri"/>
      <family val="2"/>
      <scheme val="minor"/>
    </font>
    <font>
      <b/>
      <sz val="14"/>
      <color theme="1"/>
      <name val="Calibri"/>
      <family val="2"/>
      <scheme val="minor"/>
    </font>
    <font>
      <sz val="14"/>
      <color theme="0"/>
      <name val="Calibri"/>
      <family val="2"/>
      <scheme val="minor"/>
    </font>
    <font>
      <sz val="11"/>
      <color theme="1" tint="0.249977111117893"/>
      <name val="Calibri"/>
      <family val="2"/>
      <scheme val="minor"/>
    </font>
    <font>
      <b/>
      <sz val="11"/>
      <color theme="1" tint="0.249977111117893"/>
      <name val="Calibri"/>
      <family val="2"/>
      <scheme val="minor"/>
    </font>
    <font>
      <b/>
      <sz val="10"/>
      <color theme="1" tint="0.249977111117893"/>
      <name val="Calibri"/>
      <family val="2"/>
      <scheme val="minor"/>
    </font>
    <font>
      <sz val="10"/>
      <color theme="1" tint="0.249977111117893"/>
      <name val="Calibri"/>
      <family val="2"/>
      <scheme val="minor"/>
    </font>
    <font>
      <i/>
      <sz val="10"/>
      <color rgb="FFC00000"/>
      <name val="Calibri"/>
      <family val="2"/>
      <scheme val="minor"/>
    </font>
    <font>
      <b/>
      <sz val="14"/>
      <color rgb="FF000066"/>
      <name val="Arial"/>
      <family val="2"/>
    </font>
    <font>
      <b/>
      <sz val="16"/>
      <color rgb="FF002060"/>
      <name val="Calibri"/>
      <family val="2"/>
    </font>
    <font>
      <u/>
      <sz val="11"/>
      <name val="Calibri"/>
      <family val="2"/>
      <scheme val="minor"/>
    </font>
    <font>
      <b/>
      <sz val="9"/>
      <color theme="1"/>
      <name val="Arial Narrow"/>
      <family val="2"/>
    </font>
    <font>
      <i/>
      <sz val="9"/>
      <color rgb="FFFF0000"/>
      <name val="Arial Narrow"/>
      <family val="2"/>
    </font>
    <font>
      <b/>
      <sz val="10.5"/>
      <color rgb="FF000000"/>
      <name val="Calibri"/>
      <family val="2"/>
    </font>
    <font>
      <sz val="10.5"/>
      <color rgb="FF000000"/>
      <name val="Calibri"/>
      <family val="2"/>
    </font>
    <font>
      <b/>
      <sz val="18"/>
      <color theme="7" tint="-0.249977111117893"/>
      <name val="Calibri"/>
      <family val="2"/>
    </font>
    <font>
      <b/>
      <u/>
      <sz val="11"/>
      <color rgb="FF002060"/>
      <name val="Aptos"/>
      <family val="2"/>
    </font>
    <font>
      <b/>
      <sz val="10"/>
      <name val="Aptos"/>
      <family val="2"/>
    </font>
    <font>
      <sz val="10"/>
      <name val="Aptos"/>
      <family val="2"/>
    </font>
    <font>
      <b/>
      <sz val="18"/>
      <color indexed="9"/>
      <name val="Aptos"/>
      <family val="2"/>
    </font>
    <font>
      <b/>
      <i/>
      <sz val="11"/>
      <color theme="3" tint="-0.499984740745262"/>
      <name val="Calibri"/>
      <family val="2"/>
      <scheme val="minor"/>
    </font>
    <font>
      <b/>
      <i/>
      <sz val="11"/>
      <color rgb="FF0070C0"/>
      <name val="Calibri"/>
      <family val="2"/>
    </font>
    <font>
      <b/>
      <sz val="18"/>
      <color rgb="FF0070C0"/>
      <name val="Aptos Display"/>
      <family val="2"/>
    </font>
    <font>
      <b/>
      <sz val="10"/>
      <name val="Aptos Display"/>
      <family val="2"/>
    </font>
    <font>
      <b/>
      <sz val="14"/>
      <color theme="4" tint="-0.249977111117893"/>
      <name val="Roboto"/>
    </font>
    <font>
      <b/>
      <sz val="11"/>
      <color theme="4" tint="-0.249977111117893"/>
      <name val="Calibri"/>
      <family val="2"/>
    </font>
    <font>
      <sz val="9"/>
      <color theme="4" tint="-0.249977111117893"/>
      <name val="Calibri"/>
      <family val="2"/>
      <scheme val="minor"/>
    </font>
    <font>
      <b/>
      <sz val="12"/>
      <color theme="4" tint="-0.249977111117893"/>
      <name val="Roboto"/>
    </font>
    <font>
      <sz val="8"/>
      <color theme="1"/>
      <name val="Calibri"/>
      <family val="2"/>
      <scheme val="minor"/>
    </font>
    <font>
      <b/>
      <sz val="10"/>
      <color rgb="FF00B050"/>
      <name val="Calibri"/>
      <family val="2"/>
      <scheme val="minor"/>
    </font>
    <font>
      <b/>
      <sz val="16"/>
      <color rgb="FF0070C0"/>
      <name val="Calibri"/>
      <family val="2"/>
    </font>
    <font>
      <b/>
      <sz val="18"/>
      <color rgb="FF0070C0"/>
      <name val="Calibri"/>
      <family val="2"/>
    </font>
    <font>
      <b/>
      <sz val="18"/>
      <name val="Calibri"/>
      <family val="2"/>
    </font>
    <font>
      <b/>
      <sz val="14"/>
      <name val="Calibri"/>
      <family val="2"/>
    </font>
    <font>
      <b/>
      <sz val="18"/>
      <color theme="0"/>
      <name val="Calibri"/>
      <family val="2"/>
    </font>
    <font>
      <b/>
      <sz val="18"/>
      <color rgb="FF0070C0"/>
      <name val="Calibri"/>
      <family val="2"/>
      <scheme val="minor"/>
    </font>
    <font>
      <u/>
      <sz val="11"/>
      <name val="Calibri"/>
      <family val="2"/>
    </font>
    <font>
      <b/>
      <sz val="18"/>
      <color theme="0"/>
      <name val="Calibri"/>
      <family val="2"/>
      <scheme val="minor"/>
    </font>
    <font>
      <b/>
      <sz val="16"/>
      <color theme="0"/>
      <name val="Calibri"/>
      <family val="2"/>
      <scheme val="minor"/>
    </font>
    <font>
      <u/>
      <sz val="11"/>
      <color theme="10"/>
      <name val="Calibri"/>
      <family val="2"/>
      <scheme val="minor"/>
    </font>
    <font>
      <b/>
      <sz val="10"/>
      <color indexed="9"/>
      <name val="Calibri"/>
      <family val="2"/>
      <scheme val="minor"/>
    </font>
    <font>
      <b/>
      <u/>
      <sz val="11"/>
      <color rgb="FF002060"/>
      <name val="Calibri"/>
      <family val="2"/>
      <scheme val="minor"/>
    </font>
    <font>
      <b/>
      <sz val="18"/>
      <color indexed="9"/>
      <name val="Calibri"/>
      <family val="2"/>
      <scheme val="minor"/>
    </font>
    <font>
      <sz val="11"/>
      <color rgb="FFC00000"/>
      <name val="Calibri"/>
      <family val="2"/>
      <scheme val="minor"/>
    </font>
    <font>
      <sz val="9"/>
      <color rgb="FF0070C0"/>
      <name val="Calibri"/>
      <family val="2"/>
      <scheme val="minor"/>
    </font>
    <font>
      <i/>
      <sz val="8"/>
      <color theme="1" tint="0.249977111117893"/>
      <name val="Calibri"/>
      <family val="2"/>
      <scheme val="minor"/>
    </font>
    <font>
      <i/>
      <u/>
      <sz val="10"/>
      <color theme="10"/>
      <name val="Calibri"/>
      <family val="2"/>
      <scheme val="minor"/>
    </font>
    <font>
      <b/>
      <sz val="24"/>
      <name val="Calibri"/>
      <family val="2"/>
    </font>
    <font>
      <b/>
      <sz val="14"/>
      <name val="Roboto"/>
    </font>
    <font>
      <b/>
      <sz val="13"/>
      <name val="Calibri"/>
      <family val="2"/>
    </font>
    <font>
      <b/>
      <i/>
      <sz val="9"/>
      <name val="Calibri"/>
      <family val="2"/>
    </font>
    <font>
      <i/>
      <u/>
      <sz val="10"/>
      <name val="Calibri"/>
      <family val="2"/>
    </font>
    <font>
      <sz val="14"/>
      <name val="Roboto"/>
    </font>
    <font>
      <u/>
      <sz val="10"/>
      <name val="Calibri"/>
      <family val="2"/>
    </font>
    <font>
      <b/>
      <sz val="16"/>
      <color rgb="FFFF0000"/>
      <name val="Calibri"/>
      <family val="2"/>
      <scheme val="minor"/>
    </font>
    <font>
      <b/>
      <sz val="12"/>
      <color rgb="FFFF0000"/>
      <name val="Calibri"/>
      <family val="2"/>
    </font>
    <font>
      <sz val="12"/>
      <color theme="0"/>
      <name val="Calibri"/>
      <family val="2"/>
      <scheme val="minor"/>
    </font>
    <font>
      <b/>
      <sz val="18"/>
      <color rgb="FFFF0000"/>
      <name val="Source Sans Pro"/>
      <family val="2"/>
    </font>
    <font>
      <b/>
      <i/>
      <sz val="11"/>
      <color rgb="FFCC0000"/>
      <name val="Calibri"/>
      <family val="2"/>
      <scheme val="minor"/>
    </font>
    <font>
      <sz val="12"/>
      <color theme="1"/>
      <name val="Calibri"/>
      <family val="2"/>
    </font>
    <font>
      <sz val="11"/>
      <color theme="0" tint="-0.499984740745262"/>
      <name val="Calibri"/>
      <family val="2"/>
      <scheme val="minor"/>
    </font>
    <font>
      <i/>
      <u/>
      <sz val="11"/>
      <name val="Calibri"/>
      <family val="2"/>
      <scheme val="minor"/>
    </font>
    <font>
      <b/>
      <u/>
      <sz val="11"/>
      <name val="Calibri"/>
      <family val="2"/>
      <scheme val="minor"/>
    </font>
    <font>
      <b/>
      <sz val="11"/>
      <color rgb="FFFF0000"/>
      <name val="Calibri"/>
      <family val="2"/>
    </font>
    <font>
      <b/>
      <sz val="18"/>
      <color theme="4"/>
      <name val="Calibri"/>
      <family val="2"/>
      <scheme val="minor"/>
    </font>
    <font>
      <b/>
      <sz val="16"/>
      <color rgb="FFFF0000"/>
      <name val="Calibri"/>
      <family val="2"/>
    </font>
    <font>
      <b/>
      <sz val="36"/>
      <name val="Calibri"/>
      <family val="2"/>
    </font>
    <font>
      <b/>
      <i/>
      <sz val="12"/>
      <color rgb="FFC00000"/>
      <name val="Calibri"/>
      <family val="2"/>
      <scheme val="minor"/>
    </font>
    <font>
      <b/>
      <sz val="14"/>
      <color rgb="FFFF0000"/>
      <name val="Calibri"/>
      <family val="2"/>
    </font>
    <font>
      <sz val="16"/>
      <name val="Calibri"/>
      <family val="2"/>
    </font>
    <font>
      <b/>
      <sz val="12"/>
      <color rgb="FF0070C0"/>
      <name val="Calibri"/>
      <family val="2"/>
      <scheme val="minor"/>
    </font>
    <font>
      <u/>
      <sz val="11"/>
      <color rgb="FF002060"/>
      <name val="Calibri"/>
      <family val="2"/>
      <scheme val="minor"/>
    </font>
    <font>
      <i/>
      <sz val="11"/>
      <color rgb="FFC00000"/>
      <name val="Calibri"/>
      <family val="2"/>
      <scheme val="minor"/>
    </font>
    <font>
      <b/>
      <sz val="11"/>
      <color theme="2" tint="-0.749992370372631"/>
      <name val="Calibri"/>
      <family val="2"/>
      <scheme val="minor"/>
    </font>
    <font>
      <b/>
      <sz val="12"/>
      <color theme="1"/>
      <name val="Calibri"/>
      <family val="2"/>
      <scheme val="minor"/>
    </font>
    <font>
      <b/>
      <sz val="12"/>
      <color theme="4"/>
      <name val="Calibri"/>
      <family val="2"/>
    </font>
    <font>
      <i/>
      <sz val="9"/>
      <color theme="1" tint="0.499984740745262"/>
      <name val="Calibri"/>
      <family val="2"/>
    </font>
    <font>
      <sz val="18"/>
      <color indexed="8"/>
      <name val="Calibri"/>
      <family val="2"/>
      <scheme val="minor"/>
    </font>
    <font>
      <sz val="9"/>
      <color rgb="FFFF0000"/>
      <name val="Calibri"/>
      <family val="2"/>
      <scheme val="minor"/>
    </font>
    <font>
      <sz val="11"/>
      <color rgb="FFC00000"/>
      <name val="Calibri"/>
      <family val="2"/>
    </font>
    <font>
      <u/>
      <sz val="10.5"/>
      <color rgb="FF0000FF"/>
      <name val="Calibri"/>
      <family val="2"/>
    </font>
    <font>
      <sz val="8"/>
      <color rgb="FF000000"/>
      <name val="Segoe UI"/>
      <family val="2"/>
    </font>
    <font>
      <b/>
      <sz val="14"/>
      <color rgb="FF000000"/>
      <name val="Calibri"/>
      <family val="2"/>
    </font>
    <font>
      <b/>
      <sz val="16"/>
      <color rgb="FF000000"/>
      <name val="Calibri"/>
      <family val="2"/>
    </font>
    <font>
      <sz val="11"/>
      <color rgb="FF000000"/>
      <name val="Calibri"/>
      <family val="2"/>
    </font>
    <font>
      <b/>
      <sz val="14"/>
      <color rgb="FF000080"/>
      <name val="Calibri"/>
      <family val="2"/>
    </font>
    <font>
      <b/>
      <sz val="8"/>
      <name val="Calibri"/>
      <family val="2"/>
    </font>
    <font>
      <sz val="10"/>
      <color theme="0" tint="-0.14999847407452621"/>
      <name val="Source Sans Pro"/>
      <family val="2"/>
    </font>
  </fonts>
  <fills count="43">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249977111117893"/>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D9D9D9"/>
        <bgColor indexed="64"/>
      </patternFill>
    </fill>
    <fill>
      <patternFill patternType="solid">
        <fgColor rgb="FF09418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1" tint="0.249977111117893"/>
        <bgColor indexed="64"/>
      </patternFill>
    </fill>
    <fill>
      <patternFill patternType="solid">
        <fgColor theme="3" tint="-0.249977111117893"/>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2060"/>
        <bgColor indexed="64"/>
      </patternFill>
    </fill>
    <fill>
      <patternFill patternType="solid">
        <fgColor rgb="FFF8F8F8"/>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rgb="FF75923C"/>
      </patternFill>
    </fill>
    <fill>
      <patternFill patternType="solid">
        <fgColor rgb="FF333399"/>
      </patternFill>
    </fill>
    <fill>
      <patternFill patternType="solid">
        <fgColor rgb="FF000066"/>
      </patternFill>
    </fill>
    <fill>
      <patternFill patternType="lightHorizontal">
        <fgColor rgb="FFFFFFCC"/>
        <bgColor rgb="FFFFFFFF"/>
      </patternFill>
    </fill>
    <fill>
      <patternFill patternType="solid">
        <fgColor theme="4"/>
        <bgColor indexed="64"/>
      </patternFill>
    </fill>
    <fill>
      <patternFill patternType="solid">
        <fgColor theme="8" tint="0.79998168889431442"/>
        <bgColor indexed="64"/>
      </patternFill>
    </fill>
    <fill>
      <patternFill patternType="solid">
        <fgColor rgb="FF0070C0"/>
        <bgColor indexed="64"/>
      </patternFill>
    </fill>
    <fill>
      <patternFill patternType="solid">
        <fgColor rgb="FFEAF0F6"/>
        <bgColor indexed="64"/>
      </patternFill>
    </fill>
    <fill>
      <patternFill patternType="solid">
        <fgColor theme="4" tint="0.59999389629810485"/>
        <bgColor indexed="64"/>
      </patternFill>
    </fill>
    <fill>
      <patternFill patternType="solid">
        <fgColor theme="6" tint="-9.9978637043366805E-2"/>
        <bgColor indexed="64"/>
      </patternFill>
    </fill>
    <fill>
      <patternFill patternType="solid">
        <fgColor rgb="FFE6E6E6"/>
        <bgColor indexed="64"/>
      </patternFill>
    </fill>
    <fill>
      <patternFill patternType="solid">
        <fgColor theme="1" tint="0.499984740745262"/>
        <bgColor indexed="64"/>
      </patternFill>
    </fill>
    <fill>
      <patternFill patternType="solid">
        <fgColor theme="9" tint="-0.249977111117893"/>
        <bgColor indexed="64"/>
      </patternFill>
    </fill>
    <fill>
      <patternFill patternType="solid">
        <fgColor rgb="FFF3F3F3"/>
        <bgColor indexed="64"/>
      </patternFill>
    </fill>
  </fills>
  <borders count="209">
    <border>
      <left/>
      <right/>
      <top/>
      <bottom/>
      <diagonal/>
    </border>
    <border>
      <left style="thick">
        <color rgb="FF00457C"/>
      </left>
      <right/>
      <top style="thick">
        <color rgb="FF00457C"/>
      </top>
      <bottom style="thick">
        <color rgb="FF00457C"/>
      </bottom>
      <diagonal/>
    </border>
    <border>
      <left/>
      <right/>
      <top style="thick">
        <color rgb="FF00457C"/>
      </top>
      <bottom style="thick">
        <color rgb="FF00457C"/>
      </bottom>
      <diagonal/>
    </border>
    <border>
      <left style="thin">
        <color theme="4" tint="-0.24994659260841701"/>
      </left>
      <right/>
      <top style="thin">
        <color theme="4" tint="-0.24994659260841701"/>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ck">
        <color rgb="FF00457C"/>
      </left>
      <right/>
      <top/>
      <bottom/>
      <diagonal/>
    </border>
    <border>
      <left/>
      <right style="thick">
        <color rgb="FF00457C"/>
      </right>
      <top/>
      <bottom/>
      <diagonal/>
    </border>
    <border>
      <left style="thin">
        <color theme="0"/>
      </left>
      <right style="thin">
        <color theme="0"/>
      </right>
      <top style="thin">
        <color theme="4" tint="-0.24994659260841701"/>
      </top>
      <bottom/>
      <diagonal/>
    </border>
    <border>
      <left style="thin">
        <color theme="0"/>
      </left>
      <right/>
      <top style="thin">
        <color theme="4" tint="-0.24994659260841701"/>
      </top>
      <bottom style="thin">
        <color theme="0"/>
      </bottom>
      <diagonal/>
    </border>
    <border>
      <left/>
      <right style="thin">
        <color theme="0"/>
      </right>
      <top style="thin">
        <color theme="4" tint="-0.24994659260841701"/>
      </top>
      <bottom style="thin">
        <color theme="0"/>
      </bottom>
      <diagonal/>
    </border>
    <border>
      <left style="thin">
        <color theme="0"/>
      </left>
      <right style="thin">
        <color theme="0"/>
      </right>
      <top/>
      <bottom style="thin">
        <color theme="4" tint="-0.24994659260841701"/>
      </bottom>
      <diagonal/>
    </border>
    <border>
      <left style="thin">
        <color theme="0"/>
      </left>
      <right style="thin">
        <color theme="0"/>
      </right>
      <top style="thin">
        <color theme="0"/>
      </top>
      <bottom/>
      <diagonal/>
    </border>
    <border>
      <left style="thin">
        <color theme="0"/>
      </left>
      <right style="thin">
        <color theme="4" tint="-0.24994659260841701"/>
      </right>
      <top/>
      <bottom style="thin">
        <color theme="4" tint="-0.24994659260841701"/>
      </bottom>
      <diagonal/>
    </border>
    <border>
      <left style="thin">
        <color theme="4" tint="-0.24994659260841701"/>
      </left>
      <right style="thin">
        <color theme="4" tint="-0.24994659260841701"/>
      </right>
      <top style="thin">
        <color theme="4" tint="-0.24994659260841701"/>
      </top>
      <bottom style="double">
        <color theme="4" tint="-0.24994659260841701"/>
      </bottom>
      <diagonal/>
    </border>
    <border>
      <left style="thin">
        <color theme="4" tint="-0.24994659260841701"/>
      </left>
      <right style="thin">
        <color theme="0"/>
      </right>
      <top style="thin">
        <color theme="4" tint="-0.24994659260841701"/>
      </top>
      <bottom style="thin">
        <color theme="0"/>
      </bottom>
      <diagonal/>
    </border>
    <border>
      <left style="thin">
        <color theme="4" tint="-0.24994659260841701"/>
      </left>
      <right style="thin">
        <color theme="0"/>
      </right>
      <top style="thin">
        <color theme="0"/>
      </top>
      <bottom/>
      <diagonal/>
    </border>
    <border>
      <left/>
      <right/>
      <top/>
      <bottom style="thick">
        <color rgb="FF00457C"/>
      </bottom>
      <diagonal/>
    </border>
    <border>
      <left/>
      <right style="thick">
        <color rgb="FF00457C"/>
      </right>
      <top/>
      <bottom style="thick">
        <color rgb="FF00457C"/>
      </bottom>
      <diagonal/>
    </border>
    <border>
      <left style="thin">
        <color theme="0"/>
      </left>
      <right/>
      <top style="thin">
        <color theme="4" tint="-0.24994659260841701"/>
      </top>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indexed="64"/>
      </left>
      <right/>
      <top/>
      <bottom/>
      <diagonal/>
    </border>
    <border>
      <left style="thin">
        <color theme="4" tint="-0.24994659260841701"/>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style="thin">
        <color indexed="64"/>
      </top>
      <bottom/>
      <diagonal/>
    </border>
    <border>
      <left/>
      <right style="thin">
        <color indexed="64"/>
      </right>
      <top/>
      <bottom style="thin">
        <color indexed="64"/>
      </bottom>
      <diagonal/>
    </border>
    <border>
      <left style="thin">
        <color theme="7" tint="0.59999389629810485"/>
      </left>
      <right style="thin">
        <color theme="7" tint="0.59999389629810485"/>
      </right>
      <top style="thin">
        <color theme="7" tint="0.59999389629810485"/>
      </top>
      <bottom style="thin">
        <color theme="7" tint="0.59999389629810485"/>
      </bottom>
      <diagonal/>
    </border>
    <border>
      <left style="thin">
        <color theme="7" tint="0.59999389629810485"/>
      </left>
      <right style="thin">
        <color theme="7" tint="0.59999389629810485"/>
      </right>
      <top style="thin">
        <color theme="7" tint="0.59999389629810485"/>
      </top>
      <bottom/>
      <diagonal/>
    </border>
    <border>
      <left style="thin">
        <color theme="7" tint="0.59999389629810485"/>
      </left>
      <right style="thin">
        <color theme="7" tint="0.59999389629810485"/>
      </right>
      <top/>
      <bottom/>
      <diagonal/>
    </border>
    <border>
      <left style="thin">
        <color theme="7" tint="0.59999389629810485"/>
      </left>
      <right style="thin">
        <color theme="7" tint="0.59999389629810485"/>
      </right>
      <top/>
      <bottom style="thin">
        <color theme="7" tint="0.59999389629810485"/>
      </bottom>
      <diagonal/>
    </border>
    <border>
      <left style="thin">
        <color theme="7" tint="0.59999389629810485"/>
      </left>
      <right style="thin">
        <color theme="7" tint="0.59999389629810485"/>
      </right>
      <top style="thin">
        <color theme="7" tint="0.59999389629810485"/>
      </top>
      <bottom style="thin">
        <color theme="0"/>
      </bottom>
      <diagonal/>
    </border>
    <border>
      <left style="thin">
        <color theme="7" tint="0.59999389629810485"/>
      </left>
      <right style="thin">
        <color theme="7" tint="0.59999389629810485"/>
      </right>
      <top style="thin">
        <color theme="0"/>
      </top>
      <bottom style="thin">
        <color theme="0"/>
      </bottom>
      <diagonal/>
    </border>
    <border>
      <left style="thin">
        <color theme="7" tint="0.59999389629810485"/>
      </left>
      <right style="thin">
        <color theme="7" tint="0.59999389629810485"/>
      </right>
      <top style="thin">
        <color theme="0"/>
      </top>
      <bottom style="thin">
        <color theme="7" tint="0.59999389629810485"/>
      </bottom>
      <diagonal/>
    </border>
    <border>
      <left/>
      <right style="thin">
        <color theme="0"/>
      </right>
      <top style="thin">
        <color theme="4" tint="-0.24994659260841701"/>
      </top>
      <bottom style="thin">
        <color theme="4" tint="-0.24994659260841701"/>
      </bottom>
      <diagonal/>
    </border>
    <border>
      <left style="thin">
        <color theme="0"/>
      </left>
      <right/>
      <top style="thin">
        <color theme="4" tint="-0.24994659260841701"/>
      </top>
      <bottom style="thin">
        <color theme="4" tint="-0.24994659260841701"/>
      </bottom>
      <diagonal/>
    </border>
    <border>
      <left style="thin">
        <color theme="4" tint="-0.249977111117893"/>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style="thin">
        <color theme="4" tint="-0.24994659260841701"/>
      </right>
      <top/>
      <bottom/>
      <diagonal/>
    </border>
    <border>
      <left style="thin">
        <color theme="4" tint="-0.249977111117893"/>
      </left>
      <right style="thin">
        <color theme="4" tint="-0.249977111117893"/>
      </right>
      <top/>
      <bottom style="thin">
        <color theme="4"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7" tint="0.5999938962981048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theme="4" tint="-0.24994659260841701"/>
      </top>
      <bottom/>
      <diagonal/>
    </border>
    <border>
      <left style="thin">
        <color theme="0"/>
      </left>
      <right style="thin">
        <color theme="0"/>
      </right>
      <top style="thin">
        <color theme="0"/>
      </top>
      <bottom style="thin">
        <color theme="0"/>
      </bottom>
      <diagonal/>
    </border>
    <border>
      <left style="thin">
        <color theme="4" tint="-0.24994659260841701"/>
      </left>
      <right/>
      <top style="thin">
        <color theme="4" tint="-0.24994659260841701"/>
      </top>
      <bottom style="thin">
        <color theme="0"/>
      </bottom>
      <diagonal/>
    </border>
    <border>
      <left style="thin">
        <color theme="4" tint="-0.24994659260841701"/>
      </left>
      <right style="thin">
        <color theme="3" tint="-0.249977111117893"/>
      </right>
      <top style="thin">
        <color theme="4" tint="-0.24994659260841701"/>
      </top>
      <bottom style="thin">
        <color theme="4" tint="-0.2499465926084170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indexed="64"/>
      </left>
      <right/>
      <top style="thin">
        <color theme="1"/>
      </top>
      <bottom style="thin">
        <color theme="1"/>
      </bottom>
      <diagonal/>
    </border>
    <border>
      <left style="thin">
        <color indexed="64"/>
      </left>
      <right style="thin">
        <color theme="1"/>
      </right>
      <top style="thin">
        <color theme="1"/>
      </top>
      <bottom style="thin">
        <color theme="1"/>
      </bottom>
      <diagonal/>
    </border>
    <border>
      <left style="medium">
        <color indexed="64"/>
      </left>
      <right style="medium">
        <color indexed="64"/>
      </right>
      <top style="medium">
        <color indexed="64"/>
      </top>
      <bottom style="medium">
        <color indexed="64"/>
      </bottom>
      <diagonal/>
    </border>
    <border>
      <left/>
      <right style="thin">
        <color theme="7" tint="0.59999389629810485"/>
      </right>
      <top style="thin">
        <color theme="7" tint="0.59999389629810485"/>
      </top>
      <bottom/>
      <diagonal/>
    </border>
    <border>
      <left/>
      <right style="thin">
        <color theme="7" tint="0.59999389629810485"/>
      </right>
      <top/>
      <bottom/>
      <diagonal/>
    </border>
    <border>
      <left/>
      <right style="thin">
        <color theme="7" tint="0.59999389629810485"/>
      </right>
      <top/>
      <bottom style="thin">
        <color theme="7" tint="0.59999389629810485"/>
      </bottom>
      <diagonal/>
    </border>
    <border>
      <left style="medium">
        <color theme="1"/>
      </left>
      <right style="medium">
        <color theme="1"/>
      </right>
      <top/>
      <bottom/>
      <diagonal/>
    </border>
    <border>
      <left style="thin">
        <color indexed="64"/>
      </left>
      <right style="thin">
        <color indexed="64"/>
      </right>
      <top/>
      <bottom/>
      <diagonal/>
    </border>
    <border>
      <left/>
      <right/>
      <top style="thin">
        <color indexed="64"/>
      </top>
      <bottom style="double">
        <color indexed="64"/>
      </bottom>
      <diagonal/>
    </border>
    <border>
      <left/>
      <right/>
      <top/>
      <bottom style="double">
        <color indexed="64"/>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theme="4" tint="-0.24994659260841701"/>
      </right>
      <top style="thin">
        <color theme="4" tint="-0.24994659260841701"/>
      </top>
      <bottom/>
      <diagonal/>
    </border>
    <border>
      <left style="thin">
        <color rgb="FF094183"/>
      </left>
      <right/>
      <top style="thin">
        <color rgb="FF094183"/>
      </top>
      <bottom style="double">
        <color rgb="FF094183"/>
      </bottom>
      <diagonal/>
    </border>
    <border>
      <left/>
      <right/>
      <top style="thin">
        <color rgb="FF094183"/>
      </top>
      <bottom style="double">
        <color rgb="FF094183"/>
      </bottom>
      <diagonal/>
    </border>
    <border>
      <left style="thin">
        <color theme="4" tint="-0.24994659260841701"/>
      </left>
      <right style="thin">
        <color theme="4" tint="-0.24994659260841701"/>
      </right>
      <top style="thin">
        <color rgb="FF094183"/>
      </top>
      <bottom style="double">
        <color rgb="FF094183"/>
      </bottom>
      <diagonal/>
    </border>
    <border>
      <left style="thin">
        <color indexed="64"/>
      </left>
      <right/>
      <top/>
      <bottom style="thin">
        <color indexed="64"/>
      </bottom>
      <diagonal/>
    </border>
    <border>
      <left/>
      <right style="thin">
        <color theme="4" tint="-0.24994659260841701"/>
      </right>
      <top style="double">
        <color theme="4" tint="-0.24994659260841701"/>
      </top>
      <bottom/>
      <diagonal/>
    </border>
    <border>
      <left/>
      <right style="thin">
        <color theme="4" tint="-0.24994659260841701"/>
      </right>
      <top/>
      <bottom style="double">
        <color theme="4" tint="-0.24994659260841701"/>
      </bottom>
      <diagonal/>
    </border>
    <border>
      <left style="thin">
        <color theme="0"/>
      </left>
      <right style="thin">
        <color theme="0"/>
      </right>
      <top/>
      <bottom/>
      <diagonal/>
    </border>
    <border>
      <left style="thin">
        <color theme="4" tint="-0.24994659260841701"/>
      </left>
      <right style="thin">
        <color theme="0"/>
      </right>
      <top/>
      <bottom/>
      <diagonal/>
    </border>
    <border>
      <left style="thin">
        <color theme="4" tint="-0.24994659260841701"/>
      </left>
      <right/>
      <top style="thin">
        <color rgb="FF094183"/>
      </top>
      <bottom style="double">
        <color rgb="FF094183"/>
      </bottom>
      <diagonal/>
    </border>
    <border>
      <left style="thin">
        <color theme="3"/>
      </left>
      <right style="thin">
        <color theme="3"/>
      </right>
      <top style="thin">
        <color theme="3"/>
      </top>
      <bottom style="thin">
        <color theme="3"/>
      </bottom>
      <diagonal/>
    </border>
    <border>
      <left/>
      <right style="thin">
        <color theme="4" tint="-0.24994659260841701"/>
      </right>
      <top style="medium">
        <color indexed="64"/>
      </top>
      <bottom style="thin">
        <color theme="4" tint="-0.24994659260841701"/>
      </bottom>
      <diagonal/>
    </border>
    <border>
      <left style="thin">
        <color theme="4" tint="-0.24994659260841701"/>
      </left>
      <right style="thin">
        <color theme="4" tint="-0.24994659260841701"/>
      </right>
      <top style="medium">
        <color indexed="64"/>
      </top>
      <bottom style="thin">
        <color theme="4" tint="-0.24994659260841701"/>
      </bottom>
      <diagonal/>
    </border>
    <border>
      <left style="thin">
        <color theme="4" tint="-0.24994659260841701"/>
      </left>
      <right style="medium">
        <color indexed="64"/>
      </right>
      <top style="thin">
        <color theme="4" tint="-0.24994659260841701"/>
      </top>
      <bottom style="thin">
        <color theme="4" tint="-0.24994659260841701"/>
      </bottom>
      <diagonal/>
    </border>
    <border>
      <left/>
      <right/>
      <top style="double">
        <color indexed="64"/>
      </top>
      <bottom/>
      <diagonal/>
    </border>
    <border>
      <left style="thin">
        <color theme="7" tint="0.59999389629810485"/>
      </left>
      <right/>
      <top/>
      <bottom/>
      <diagonal/>
    </border>
    <border>
      <left style="thin">
        <color rgb="FF002060"/>
      </left>
      <right style="thin">
        <color rgb="FF002060"/>
      </right>
      <top style="thin">
        <color rgb="FF002060"/>
      </top>
      <bottom style="thin">
        <color rgb="FF002060"/>
      </bottom>
      <diagonal/>
    </border>
    <border>
      <left style="thin">
        <color theme="7" tint="0.59999389629810485"/>
      </left>
      <right/>
      <top/>
      <bottom style="thin">
        <color theme="7" tint="0.59999389629810485"/>
      </bottom>
      <diagonal/>
    </border>
    <border>
      <left style="thin">
        <color theme="7" tint="0.59999389629810485"/>
      </left>
      <right/>
      <top style="thin">
        <color theme="7" tint="0.59999389629810485"/>
      </top>
      <bottom/>
      <diagonal/>
    </border>
    <border>
      <left style="thin">
        <color theme="1"/>
      </left>
      <right style="thin">
        <color theme="7" tint="0.59999389629810485"/>
      </right>
      <top style="thin">
        <color theme="1"/>
      </top>
      <bottom/>
      <diagonal/>
    </border>
    <border>
      <left style="thin">
        <color theme="7" tint="0.59999389629810485"/>
      </left>
      <right style="thin">
        <color theme="7" tint="0.59999389629810485"/>
      </right>
      <top style="thin">
        <color theme="1"/>
      </top>
      <bottom/>
      <diagonal/>
    </border>
    <border>
      <left style="thin">
        <color theme="7" tint="0.59999389629810485"/>
      </left>
      <right/>
      <top style="thin">
        <color theme="1"/>
      </top>
      <bottom/>
      <diagonal/>
    </border>
    <border>
      <left style="thin">
        <color theme="0" tint="-0.14999847407452621"/>
      </left>
      <right style="thin">
        <color theme="1"/>
      </right>
      <top style="thin">
        <color theme="1"/>
      </top>
      <bottom style="thin">
        <color theme="0" tint="-0.14999847407452621"/>
      </bottom>
      <diagonal/>
    </border>
    <border>
      <left style="thin">
        <color theme="1"/>
      </left>
      <right style="thin">
        <color theme="7" tint="0.59999389629810485"/>
      </right>
      <top style="thin">
        <color theme="7" tint="0.59999389629810485"/>
      </top>
      <bottom/>
      <diagonal/>
    </border>
    <border>
      <left style="thin">
        <color theme="0" tint="-0.14999847407452621"/>
      </left>
      <right style="thin">
        <color theme="1"/>
      </right>
      <top style="thin">
        <color theme="0" tint="-0.14999847407452621"/>
      </top>
      <bottom style="thin">
        <color theme="0" tint="-0.14999847407452621"/>
      </bottom>
      <diagonal/>
    </border>
    <border>
      <left style="thin">
        <color theme="1"/>
      </left>
      <right style="thin">
        <color theme="7" tint="0.59999389629810485"/>
      </right>
      <top style="thin">
        <color theme="7" tint="0.59999389629810485"/>
      </top>
      <bottom style="thin">
        <color theme="1"/>
      </bottom>
      <diagonal/>
    </border>
    <border>
      <left style="thin">
        <color theme="7" tint="0.59999389629810485"/>
      </left>
      <right style="thin">
        <color theme="7" tint="0.59999389629810485"/>
      </right>
      <top style="thin">
        <color theme="7" tint="0.59999389629810485"/>
      </top>
      <bottom style="thin">
        <color theme="1"/>
      </bottom>
      <diagonal/>
    </border>
    <border>
      <left style="thin">
        <color theme="7" tint="0.59999389629810485"/>
      </left>
      <right/>
      <top/>
      <bottom style="thin">
        <color theme="1"/>
      </bottom>
      <diagonal/>
    </border>
    <border>
      <left style="thin">
        <color theme="0" tint="-0.14999847407452621"/>
      </left>
      <right style="thin">
        <color theme="1"/>
      </right>
      <top style="thin">
        <color theme="0" tint="-0.14999847407452621"/>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style="thin">
        <color theme="1"/>
      </right>
      <top/>
      <bottom style="thin">
        <color theme="1"/>
      </bottom>
      <diagonal/>
    </border>
    <border>
      <left style="medium">
        <color indexed="64"/>
      </left>
      <right style="thin">
        <color theme="4" tint="-0.24994659260841701"/>
      </right>
      <top style="medium">
        <color indexed="64"/>
      </top>
      <bottom style="thin">
        <color theme="4" tint="-0.24994659260841701"/>
      </bottom>
      <diagonal/>
    </border>
    <border>
      <left style="thin">
        <color theme="0"/>
      </left>
      <right style="thin">
        <color theme="0"/>
      </right>
      <top style="medium">
        <color indexed="64"/>
      </top>
      <bottom/>
      <diagonal/>
    </border>
    <border>
      <left style="thin">
        <color theme="4" tint="-0.24994659260841701"/>
      </left>
      <right style="thin">
        <color theme="0"/>
      </right>
      <top style="medium">
        <color indexed="64"/>
      </top>
      <bottom/>
      <diagonal/>
    </border>
    <border>
      <left style="thin">
        <color theme="0"/>
      </left>
      <right/>
      <top style="medium">
        <color indexed="64"/>
      </top>
      <bottom style="thin">
        <color theme="0"/>
      </bottom>
      <diagonal/>
    </border>
    <border>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medium">
        <color indexed="64"/>
      </right>
      <top style="thin">
        <color theme="0"/>
      </top>
      <bottom/>
      <diagonal/>
    </border>
    <border>
      <left style="medium">
        <color indexed="64"/>
      </left>
      <right style="thin">
        <color theme="4" tint="-0.24994659260841701"/>
      </right>
      <top/>
      <bottom style="thin">
        <color theme="4" tint="-0.24994659260841701"/>
      </bottom>
      <diagonal/>
    </border>
    <border>
      <left/>
      <right style="thin">
        <color theme="0"/>
      </right>
      <top style="medium">
        <color indexed="64"/>
      </top>
      <bottom/>
      <diagonal/>
    </border>
    <border>
      <left/>
      <right style="thin">
        <color theme="0"/>
      </right>
      <top/>
      <bottom/>
      <diagonal/>
    </border>
    <border>
      <left/>
      <right style="thin">
        <color theme="4" tint="-0.24994659260841701"/>
      </right>
      <top/>
      <bottom style="thin">
        <color theme="4" tint="-0.24994659260841701"/>
      </bottom>
      <diagonal/>
    </border>
    <border>
      <left style="thin">
        <color rgb="FF094183"/>
      </left>
      <right style="thin">
        <color rgb="FF094183"/>
      </right>
      <top style="thin">
        <color rgb="FF094183"/>
      </top>
      <bottom style="double">
        <color rgb="FF094183"/>
      </bottom>
      <diagonal/>
    </border>
    <border>
      <left style="thin">
        <color rgb="FF094183"/>
      </left>
      <right/>
      <top style="thin">
        <color rgb="FF094183"/>
      </top>
      <bottom style="thin">
        <color rgb="FF094183"/>
      </bottom>
      <diagonal/>
    </border>
    <border>
      <left/>
      <right style="thin">
        <color theme="0"/>
      </right>
      <top style="thin">
        <color rgb="FF094183"/>
      </top>
      <bottom style="thin">
        <color rgb="FF094183"/>
      </bottom>
      <diagonal/>
    </border>
    <border>
      <left style="thin">
        <color theme="0"/>
      </left>
      <right/>
      <top style="thin">
        <color rgb="FF094183"/>
      </top>
      <bottom style="thin">
        <color rgb="FF094183"/>
      </bottom>
      <diagonal/>
    </border>
    <border>
      <left/>
      <right/>
      <top style="thin">
        <color rgb="FF094183"/>
      </top>
      <bottom style="thin">
        <color rgb="FF094183"/>
      </bottom>
      <diagonal/>
    </border>
    <border>
      <left/>
      <right style="thin">
        <color rgb="FF094183"/>
      </right>
      <top style="thin">
        <color rgb="FF094183"/>
      </top>
      <bottom style="thin">
        <color rgb="FF094183"/>
      </bottom>
      <diagonal/>
    </border>
    <border>
      <left/>
      <right/>
      <top style="thin">
        <color rgb="FF002060"/>
      </top>
      <bottom style="double">
        <color rgb="FF002060"/>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style="medium">
        <color rgb="FF002060"/>
      </left>
      <right/>
      <top style="medium">
        <color rgb="FF002060"/>
      </top>
      <bottom style="medium">
        <color rgb="FF002060"/>
      </bottom>
      <diagonal/>
    </border>
    <border>
      <left style="medium">
        <color indexed="64"/>
      </left>
      <right/>
      <top style="medium">
        <color rgb="FF002060"/>
      </top>
      <bottom style="medium">
        <color rgb="FF002060"/>
      </bottom>
      <diagonal/>
    </border>
    <border>
      <left style="medium">
        <color indexed="64"/>
      </left>
      <right style="medium">
        <color rgb="FF002060"/>
      </right>
      <top style="medium">
        <color rgb="FF002060"/>
      </top>
      <bottom style="medium">
        <color rgb="FF002060"/>
      </bottom>
      <diagonal/>
    </border>
    <border>
      <left style="thick">
        <color rgb="FF00457C"/>
      </left>
      <right/>
      <top style="medium">
        <color rgb="FF002060"/>
      </top>
      <bottom style="medium">
        <color rgb="FF002060"/>
      </bottom>
      <diagonal/>
    </border>
    <border>
      <left style="thick">
        <color rgb="FF00457C"/>
      </left>
      <right style="medium">
        <color rgb="FF002060"/>
      </right>
      <top style="medium">
        <color rgb="FF002060"/>
      </top>
      <bottom style="medium">
        <color rgb="FF002060"/>
      </bottom>
      <diagonal/>
    </border>
    <border>
      <left style="thin">
        <color indexed="64"/>
      </left>
      <right style="thin">
        <color indexed="64"/>
      </right>
      <top style="thin">
        <color rgb="FF002060"/>
      </top>
      <bottom style="double">
        <color rgb="FF002060"/>
      </bottom>
      <diagonal/>
    </border>
    <border>
      <left style="thin">
        <color rgb="FF002060"/>
      </left>
      <right/>
      <top style="thin">
        <color rgb="FF002060"/>
      </top>
      <bottom style="double">
        <color rgb="FF002060"/>
      </bottom>
      <diagonal/>
    </border>
    <border>
      <left/>
      <right style="thin">
        <color rgb="FF002060"/>
      </right>
      <top style="thin">
        <color rgb="FF002060"/>
      </top>
      <bottom style="double">
        <color rgb="FF002060"/>
      </bottom>
      <diagonal/>
    </border>
    <border>
      <left style="medium">
        <color theme="1"/>
      </left>
      <right style="medium">
        <color theme="1"/>
      </right>
      <top style="medium">
        <color indexed="64"/>
      </top>
      <bottom/>
      <diagonal/>
    </border>
    <border>
      <left style="medium">
        <color theme="1"/>
      </left>
      <right style="medium">
        <color theme="1"/>
      </right>
      <top/>
      <bottom style="medium">
        <color indexed="64"/>
      </bottom>
      <diagonal/>
    </border>
    <border>
      <left/>
      <right style="thin">
        <color theme="0" tint="-0.34998626667073579"/>
      </right>
      <top/>
      <bottom/>
      <diagonal/>
    </border>
    <border>
      <left/>
      <right/>
      <top style="medium">
        <color rgb="FFCCCCCC"/>
      </top>
      <bottom style="medium">
        <color rgb="FFCCCCCC"/>
      </bottom>
      <diagonal/>
    </border>
    <border>
      <left/>
      <right/>
      <top/>
      <bottom style="medium">
        <color rgb="FFCCCCCC"/>
      </bottom>
      <diagonal/>
    </border>
    <border>
      <left style="thin">
        <color theme="7" tint="0.59999389629810485"/>
      </left>
      <right style="thin">
        <color theme="0" tint="-0.34998626667073579"/>
      </right>
      <top style="thin">
        <color theme="0"/>
      </top>
      <bottom style="thin">
        <color theme="0"/>
      </bottom>
      <diagonal/>
    </border>
    <border>
      <left/>
      <right style="thin">
        <color theme="4" tint="-0.24994659260841701"/>
      </right>
      <top style="thin">
        <color rgb="FF094183"/>
      </top>
      <bottom style="double">
        <color rgb="FF094183"/>
      </bottom>
      <diagonal/>
    </border>
    <border>
      <left/>
      <right/>
      <top style="double">
        <color rgb="FF094183"/>
      </top>
      <bottom/>
      <diagonal/>
    </border>
    <border>
      <left/>
      <right/>
      <top/>
      <bottom style="thin">
        <color rgb="FF094183"/>
      </bottom>
      <diagonal/>
    </border>
    <border>
      <left style="thin">
        <color theme="7" tint="0.59999389629810485"/>
      </left>
      <right/>
      <top/>
      <bottom style="thin">
        <color indexed="64"/>
      </bottom>
      <diagonal/>
    </border>
    <border>
      <left style="thin">
        <color rgb="FF094183"/>
      </left>
      <right/>
      <top/>
      <bottom style="double">
        <color rgb="FF094183"/>
      </bottom>
      <diagonal/>
    </border>
    <border>
      <left style="thin">
        <color theme="0"/>
      </left>
      <right style="thin">
        <color theme="0"/>
      </right>
      <top/>
      <bottom style="medium">
        <color indexed="64"/>
      </bottom>
      <diagonal/>
    </border>
    <border>
      <left style="thin">
        <color theme="3"/>
      </left>
      <right/>
      <top style="thin">
        <color theme="3"/>
      </top>
      <bottom/>
      <diagonal/>
    </border>
    <border>
      <left/>
      <right style="thin">
        <color theme="3"/>
      </right>
      <top style="thin">
        <color theme="3"/>
      </top>
      <bottom/>
      <diagonal/>
    </border>
    <border>
      <left/>
      <right/>
      <top style="thin">
        <color theme="3"/>
      </top>
      <bottom/>
      <diagonal/>
    </border>
    <border>
      <left style="thin">
        <color theme="3"/>
      </left>
      <right/>
      <top/>
      <bottom/>
      <diagonal/>
    </border>
    <border>
      <left/>
      <right style="thin">
        <color theme="3"/>
      </right>
      <top/>
      <bottom/>
      <diagonal/>
    </border>
    <border>
      <left style="thin">
        <color theme="3"/>
      </left>
      <right/>
      <top/>
      <bottom style="double">
        <color theme="3"/>
      </bottom>
      <diagonal/>
    </border>
    <border>
      <left/>
      <right/>
      <top/>
      <bottom style="double">
        <color theme="3"/>
      </bottom>
      <diagonal/>
    </border>
    <border>
      <left/>
      <right style="thin">
        <color theme="3"/>
      </right>
      <top/>
      <bottom style="double">
        <color theme="3"/>
      </bottom>
      <diagonal/>
    </border>
    <border>
      <left style="thin">
        <color theme="7" tint="0.59999389629810485"/>
      </left>
      <right/>
      <top style="thin">
        <color theme="7" tint="0.59999389629810485"/>
      </top>
      <bottom style="thin">
        <color theme="7" tint="0.59999389629810485"/>
      </bottom>
      <diagonal/>
    </border>
    <border>
      <left/>
      <right/>
      <top style="thin">
        <color theme="4" tint="-0.249977111117893"/>
      </top>
      <bottom style="thin">
        <color theme="4" tint="-0.249977111117893"/>
      </bottom>
      <diagonal/>
    </border>
    <border>
      <left/>
      <right style="thin">
        <color theme="3"/>
      </right>
      <top style="thin">
        <color theme="4" tint="-0.249977111117893"/>
      </top>
      <bottom style="thin">
        <color theme="4" tint="-0.249977111117893"/>
      </bottom>
      <diagonal/>
    </border>
    <border>
      <left/>
      <right/>
      <top style="medium">
        <color theme="3"/>
      </top>
      <bottom/>
      <diagonal/>
    </border>
    <border>
      <left/>
      <right style="medium">
        <color theme="3"/>
      </right>
      <top style="medium">
        <color theme="3"/>
      </top>
      <bottom/>
      <diagonal/>
    </border>
    <border>
      <left/>
      <right style="medium">
        <color theme="3"/>
      </right>
      <top/>
      <bottom/>
      <diagonal/>
    </border>
    <border>
      <left/>
      <right/>
      <top/>
      <bottom style="medium">
        <color theme="3"/>
      </bottom>
      <diagonal/>
    </border>
    <border>
      <left/>
      <right style="medium">
        <color theme="3"/>
      </right>
      <top/>
      <bottom style="medium">
        <color theme="3"/>
      </bottom>
      <diagonal/>
    </border>
    <border>
      <left/>
      <right style="medium">
        <color theme="3"/>
      </right>
      <top style="thin">
        <color theme="3"/>
      </top>
      <bottom/>
      <diagonal/>
    </border>
    <border>
      <left style="thin">
        <color theme="7"/>
      </left>
      <right/>
      <top style="thin">
        <color theme="7"/>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style="medium">
        <color rgb="FF002060"/>
      </right>
      <top/>
      <bottom style="medium">
        <color rgb="FF002060"/>
      </bottom>
      <diagonal/>
    </border>
    <border>
      <left/>
      <right/>
      <top/>
      <bottom style="medium">
        <color rgb="FF002060"/>
      </bottom>
      <diagonal/>
    </border>
    <border>
      <left/>
      <right/>
      <top style="thin">
        <color theme="1" tint="0.499984740745262"/>
      </top>
      <bottom/>
      <diagonal/>
    </border>
    <border>
      <left/>
      <right/>
      <top style="thin">
        <color theme="1" tint="0.499984740745262"/>
      </top>
      <bottom style="medium">
        <color theme="3"/>
      </bottom>
      <diagonal/>
    </border>
    <border>
      <left style="thin">
        <color theme="1" tint="0.499984740745262"/>
      </left>
      <right style="thin">
        <color indexed="64"/>
      </right>
      <top/>
      <bottom/>
      <diagonal/>
    </border>
    <border>
      <left style="thin">
        <color theme="1" tint="0.499984740745262"/>
      </left>
      <right/>
      <top style="thin">
        <color theme="1" tint="0.499984740745262"/>
      </top>
      <bottom/>
      <diagonal/>
    </border>
    <border>
      <left/>
      <right style="thin">
        <color indexed="64"/>
      </right>
      <top style="thin">
        <color theme="1" tint="0.499984740745262"/>
      </top>
      <bottom/>
      <diagonal/>
    </border>
    <border>
      <left/>
      <right style="thin">
        <color indexed="64"/>
      </right>
      <top style="medium">
        <color theme="3"/>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top style="medium">
        <color indexed="64"/>
      </top>
      <bottom style="thin">
        <color theme="0"/>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theme="1"/>
      </top>
      <bottom/>
      <diagonal/>
    </border>
    <border>
      <left style="medium">
        <color indexed="64"/>
      </left>
      <right style="medium">
        <color indexed="64"/>
      </right>
      <top/>
      <bottom style="medium">
        <color theme="1"/>
      </bottom>
      <diagonal/>
    </border>
    <border>
      <left/>
      <right/>
      <top/>
      <bottom style="thin">
        <color theme="4" tint="-0.24994659260841701"/>
      </bottom>
      <diagonal/>
    </border>
    <border>
      <left style="thin">
        <color indexed="64"/>
      </left>
      <right/>
      <top style="thin">
        <color theme="3"/>
      </top>
      <bottom style="thin">
        <color theme="3"/>
      </bottom>
      <diagonal/>
    </border>
    <border>
      <left/>
      <right style="thin">
        <color theme="3"/>
      </right>
      <top style="thin">
        <color theme="3"/>
      </top>
      <bottom style="thin">
        <color theme="3"/>
      </bottom>
      <diagonal/>
    </border>
    <border>
      <left style="thin">
        <color theme="4" tint="-0.24994659260841701"/>
      </left>
      <right/>
      <top style="medium">
        <color indexed="64"/>
      </top>
      <bottom style="thin">
        <color theme="4" tint="-0.24994659260841701"/>
      </bottom>
      <diagonal/>
    </border>
    <border>
      <left style="thin">
        <color theme="4" tint="-0.24994659260841701"/>
      </left>
      <right/>
      <top style="thin">
        <color theme="4" tint="-0.24994659260841701"/>
      </top>
      <bottom/>
      <diagonal/>
    </border>
    <border>
      <left/>
      <right style="thin">
        <color indexed="64"/>
      </right>
      <top style="thin">
        <color theme="1"/>
      </top>
      <bottom style="thin">
        <color theme="1"/>
      </bottom>
      <diagonal/>
    </border>
    <border>
      <left style="thin">
        <color theme="0" tint="-0.14999847407452621"/>
      </left>
      <right style="thin">
        <color theme="7" tint="0.59999389629810485"/>
      </right>
      <top style="thin">
        <color theme="0" tint="-0.14999847407452621"/>
      </top>
      <bottom/>
      <diagonal/>
    </border>
    <border>
      <left style="thin">
        <color theme="7" tint="0.59999389629810485"/>
      </left>
      <right style="thin">
        <color theme="0" tint="-0.34998626667073579"/>
      </right>
      <top style="thin">
        <color theme="0" tint="-0.14999847407452621"/>
      </top>
      <bottom style="thin">
        <color theme="0"/>
      </bottom>
      <diagonal/>
    </border>
    <border>
      <left style="thin">
        <color theme="7" tint="0.59999389629810485"/>
      </left>
      <right style="thin">
        <color theme="0" tint="-0.14999847407452621"/>
      </right>
      <top style="thin">
        <color theme="0" tint="-0.14999847407452621"/>
      </top>
      <bottom style="thin">
        <color theme="0"/>
      </bottom>
      <diagonal/>
    </border>
    <border>
      <left style="thin">
        <color theme="0" tint="-0.14999847407452621"/>
      </left>
      <right style="thin">
        <color theme="7" tint="0.59999389629810485"/>
      </right>
      <top/>
      <bottom/>
      <diagonal/>
    </border>
    <border>
      <left style="thin">
        <color theme="7" tint="0.59999389629810485"/>
      </left>
      <right style="thin">
        <color theme="0" tint="-0.14999847407452621"/>
      </right>
      <top style="thin">
        <color theme="0"/>
      </top>
      <bottom style="thin">
        <color theme="0"/>
      </bottom>
      <diagonal/>
    </border>
    <border>
      <left style="thin">
        <color theme="0" tint="-0.14999847407452621"/>
      </left>
      <right style="thin">
        <color theme="7" tint="0.59999389629810485"/>
      </right>
      <top/>
      <bottom style="thin">
        <color theme="0" tint="-0.14999847407452621"/>
      </bottom>
      <diagonal/>
    </border>
    <border>
      <left style="thin">
        <color theme="7" tint="0.59999389629810485"/>
      </left>
      <right style="thin">
        <color theme="7" tint="0.59999389629810485"/>
      </right>
      <top/>
      <bottom style="thin">
        <color theme="0" tint="-0.14999847407452621"/>
      </bottom>
      <diagonal/>
    </border>
    <border>
      <left style="thin">
        <color theme="7" tint="0.59999389629810485"/>
      </left>
      <right style="thin">
        <color theme="0" tint="-0.14999847407452621"/>
      </right>
      <top style="thin">
        <color theme="0"/>
      </top>
      <bottom style="thin">
        <color theme="0" tint="-0.14999847407452621"/>
      </bottom>
      <diagonal/>
    </border>
  </borders>
  <cellStyleXfs count="7">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4" fontId="17" fillId="0" borderId="0" applyFont="0" applyFill="0" applyBorder="0" applyAlignment="0" applyProtection="0"/>
    <xf numFmtId="0" fontId="43" fillId="0" borderId="0" applyNumberFormat="0" applyFill="0" applyBorder="0" applyAlignment="0" applyProtection="0"/>
    <xf numFmtId="0" fontId="5" fillId="0" borderId="0"/>
  </cellStyleXfs>
  <cellXfs count="1531">
    <xf numFmtId="0" fontId="0" fillId="0" borderId="0" xfId="0"/>
    <xf numFmtId="0" fontId="7" fillId="0" borderId="0" xfId="0" applyFont="1"/>
    <xf numFmtId="0" fontId="8" fillId="2" borderId="0" xfId="0" applyFont="1" applyFill="1" applyAlignment="1">
      <alignment horizontal="left"/>
    </xf>
    <xf numFmtId="0" fontId="7" fillId="2" borderId="9" xfId="0" applyFont="1" applyFill="1" applyBorder="1"/>
    <xf numFmtId="0" fontId="12" fillId="2" borderId="0" xfId="0" applyFont="1" applyFill="1" applyAlignment="1">
      <alignment horizontal="center"/>
    </xf>
    <xf numFmtId="0" fontId="7" fillId="2" borderId="10" xfId="0" applyFont="1" applyFill="1" applyBorder="1"/>
    <xf numFmtId="0" fontId="7" fillId="0" borderId="0" xfId="0" applyFont="1" applyAlignment="1">
      <alignment wrapText="1"/>
    </xf>
    <xf numFmtId="0" fontId="0" fillId="0" borderId="0" xfId="0" applyAlignment="1">
      <alignment vertical="center"/>
    </xf>
    <xf numFmtId="166" fontId="11" fillId="5" borderId="57" xfId="1" applyNumberFormat="1" applyFont="1" applyFill="1" applyBorder="1" applyAlignment="1">
      <alignment horizontal="center"/>
    </xf>
    <xf numFmtId="0" fontId="8" fillId="2" borderId="0" xfId="0" applyFont="1" applyFill="1" applyAlignment="1">
      <alignment horizontal="center"/>
    </xf>
    <xf numFmtId="0" fontId="0" fillId="8" borderId="7" xfId="0" applyFill="1" applyBorder="1"/>
    <xf numFmtId="0" fontId="29" fillId="0" borderId="0" xfId="0" applyFont="1"/>
    <xf numFmtId="0" fontId="30" fillId="0" borderId="0" xfId="0" applyFont="1" applyAlignment="1">
      <alignment vertical="center"/>
    </xf>
    <xf numFmtId="0" fontId="32" fillId="0" borderId="0" xfId="0" applyFont="1" applyAlignment="1">
      <alignment vertical="center"/>
    </xf>
    <xf numFmtId="0" fontId="34" fillId="0" borderId="0" xfId="0" applyFont="1"/>
    <xf numFmtId="0" fontId="34" fillId="0" borderId="0" xfId="0" applyFont="1" applyAlignment="1">
      <alignment wrapText="1"/>
    </xf>
    <xf numFmtId="0" fontId="28" fillId="0" borderId="0" xfId="0" applyFont="1"/>
    <xf numFmtId="0" fontId="45" fillId="0" borderId="0" xfId="0" applyFont="1"/>
    <xf numFmtId="0" fontId="29" fillId="0" borderId="8" xfId="0" applyFont="1" applyBorder="1" applyAlignment="1" applyProtection="1">
      <alignment horizontal="center"/>
      <protection locked="0"/>
    </xf>
    <xf numFmtId="0" fontId="29" fillId="0" borderId="0" xfId="0" applyFont="1" applyAlignment="1">
      <alignment horizontal="center"/>
    </xf>
    <xf numFmtId="0" fontId="14" fillId="3" borderId="0" xfId="0" applyFont="1" applyFill="1" applyAlignment="1">
      <alignment horizontal="center"/>
    </xf>
    <xf numFmtId="0" fontId="14" fillId="3" borderId="0" xfId="0" applyFont="1" applyFill="1" applyAlignment="1">
      <alignment horizontal="left"/>
    </xf>
    <xf numFmtId="0" fontId="14" fillId="3" borderId="0" xfId="0" applyFont="1" applyFill="1" applyAlignment="1">
      <alignment horizontal="left" indent="1"/>
    </xf>
    <xf numFmtId="0" fontId="29" fillId="3" borderId="0" xfId="0" applyFont="1" applyFill="1"/>
    <xf numFmtId="0" fontId="14" fillId="3" borderId="0" xfId="2" applyNumberFormat="1" applyFont="1" applyFill="1"/>
    <xf numFmtId="0" fontId="15" fillId="3" borderId="0" xfId="0" applyFont="1" applyFill="1"/>
    <xf numFmtId="0" fontId="15" fillId="3" borderId="0" xfId="0" applyFont="1" applyFill="1" applyAlignment="1">
      <alignment horizontal="left"/>
    </xf>
    <xf numFmtId="1" fontId="14" fillId="3" borderId="0" xfId="0" applyNumberFormat="1" applyFont="1" applyFill="1"/>
    <xf numFmtId="43" fontId="15" fillId="3" borderId="8" xfId="1" applyFont="1" applyFill="1" applyBorder="1" applyProtection="1">
      <protection locked="0"/>
    </xf>
    <xf numFmtId="0" fontId="7" fillId="3" borderId="10" xfId="0" applyFont="1" applyFill="1" applyBorder="1"/>
    <xf numFmtId="0" fontId="7" fillId="3" borderId="10" xfId="0" applyFont="1" applyFill="1" applyBorder="1" applyAlignment="1">
      <alignment wrapText="1"/>
    </xf>
    <xf numFmtId="0" fontId="7" fillId="3" borderId="10" xfId="0" applyFont="1" applyFill="1" applyBorder="1" applyAlignment="1">
      <alignment horizontal="center"/>
    </xf>
    <xf numFmtId="0" fontId="7" fillId="11" borderId="10" xfId="0" applyFont="1" applyFill="1" applyBorder="1"/>
    <xf numFmtId="0" fontId="15" fillId="3" borderId="8" xfId="0" applyFont="1" applyFill="1" applyBorder="1" applyAlignment="1" applyProtection="1">
      <alignment horizontal="left" indent="1"/>
      <protection locked="0"/>
    </xf>
    <xf numFmtId="1" fontId="15" fillId="3" borderId="0" xfId="0" applyNumberFormat="1" applyFont="1" applyFill="1"/>
    <xf numFmtId="0" fontId="15" fillId="3" borderId="0" xfId="0" applyFont="1" applyFill="1" applyAlignment="1">
      <alignment vertical="top" wrapText="1"/>
    </xf>
    <xf numFmtId="0" fontId="15" fillId="3" borderId="20" xfId="0" applyFont="1" applyFill="1" applyBorder="1" applyAlignment="1">
      <alignment vertical="top" wrapText="1"/>
    </xf>
    <xf numFmtId="0" fontId="15" fillId="3" borderId="20" xfId="0" applyFont="1" applyFill="1" applyBorder="1"/>
    <xf numFmtId="0" fontId="13" fillId="11" borderId="15" xfId="0" applyFont="1" applyFill="1" applyBorder="1" applyAlignment="1">
      <alignment horizontal="center" vertical="center" wrapText="1"/>
    </xf>
    <xf numFmtId="0" fontId="21" fillId="3" borderId="33" xfId="0" applyFont="1" applyFill="1" applyBorder="1" applyAlignment="1">
      <alignment vertical="center"/>
    </xf>
    <xf numFmtId="0" fontId="24" fillId="3" borderId="33" xfId="0" applyFont="1" applyFill="1" applyBorder="1" applyAlignment="1">
      <alignment vertical="center"/>
    </xf>
    <xf numFmtId="0" fontId="24" fillId="3" borderId="32" xfId="0" applyFont="1" applyFill="1" applyBorder="1"/>
    <xf numFmtId="0" fontId="24" fillId="3" borderId="38" xfId="0" applyFont="1" applyFill="1" applyBorder="1"/>
    <xf numFmtId="0" fontId="20" fillId="3" borderId="33" xfId="0" applyFont="1" applyFill="1" applyBorder="1" applyAlignment="1">
      <alignment horizontal="left" vertical="center"/>
    </xf>
    <xf numFmtId="0" fontId="21" fillId="3" borderId="33" xfId="0" applyFont="1" applyFill="1" applyBorder="1" applyAlignment="1">
      <alignment horizontal="center" vertical="center" wrapText="1"/>
    </xf>
    <xf numFmtId="0" fontId="23" fillId="3" borderId="33" xfId="0" applyFont="1" applyFill="1" applyBorder="1" applyAlignment="1">
      <alignment wrapText="1"/>
    </xf>
    <xf numFmtId="0" fontId="24" fillId="3" borderId="33" xfId="0" applyFont="1" applyFill="1" applyBorder="1" applyAlignment="1">
      <alignment vertical="top" wrapText="1"/>
    </xf>
    <xf numFmtId="0" fontId="18" fillId="3" borderId="43" xfId="0" applyFont="1" applyFill="1" applyBorder="1" applyAlignment="1">
      <alignment vertical="center"/>
    </xf>
    <xf numFmtId="0" fontId="19" fillId="3" borderId="43" xfId="0" applyFont="1" applyFill="1" applyBorder="1" applyAlignment="1">
      <alignment vertical="center" wrapText="1"/>
    </xf>
    <xf numFmtId="0" fontId="20" fillId="3" borderId="33" xfId="0" applyFont="1" applyFill="1" applyBorder="1" applyAlignment="1">
      <alignment horizontal="left" vertical="center" wrapText="1"/>
    </xf>
    <xf numFmtId="0" fontId="20" fillId="3" borderId="39" xfId="0" applyFont="1" applyFill="1" applyBorder="1" applyAlignment="1">
      <alignment horizontal="left" vertical="center" wrapText="1"/>
    </xf>
    <xf numFmtId="0" fontId="20" fillId="3" borderId="40" xfId="0" applyFont="1" applyFill="1" applyBorder="1" applyAlignment="1">
      <alignment horizontal="left" vertical="center" wrapText="1"/>
    </xf>
    <xf numFmtId="0" fontId="22" fillId="3" borderId="30" xfId="0" applyFont="1" applyFill="1" applyBorder="1" applyAlignment="1">
      <alignment horizontal="left" vertical="center" wrapText="1"/>
    </xf>
    <xf numFmtId="0" fontId="22" fillId="3" borderId="31" xfId="0" applyFont="1" applyFill="1" applyBorder="1" applyAlignment="1">
      <alignment horizontal="left" vertical="center" wrapText="1"/>
    </xf>
    <xf numFmtId="0" fontId="21" fillId="3" borderId="33" xfId="0" applyFont="1" applyFill="1" applyBorder="1" applyAlignment="1">
      <alignment horizontal="left" vertical="center"/>
    </xf>
    <xf numFmtId="0" fontId="25" fillId="3" borderId="25" xfId="0" applyFont="1" applyFill="1" applyBorder="1" applyAlignment="1">
      <alignment horizontal="left" vertical="center" wrapText="1" indent="1"/>
    </xf>
    <xf numFmtId="0" fontId="21" fillId="3" borderId="25" xfId="0" applyFont="1" applyFill="1" applyBorder="1" applyAlignment="1">
      <alignment horizontal="left" vertical="center" indent="1"/>
    </xf>
    <xf numFmtId="0" fontId="21" fillId="3" borderId="33" xfId="0" applyFont="1" applyFill="1" applyBorder="1" applyAlignment="1">
      <alignment horizontal="left" vertical="center" wrapText="1"/>
    </xf>
    <xf numFmtId="0" fontId="21" fillId="3" borderId="39" xfId="0" applyFont="1" applyFill="1" applyBorder="1" applyAlignment="1">
      <alignment horizontal="left" vertical="center"/>
    </xf>
    <xf numFmtId="0" fontId="21" fillId="3" borderId="39" xfId="0" applyFont="1" applyFill="1" applyBorder="1" applyAlignment="1">
      <alignment horizontal="left" vertical="center" wrapText="1"/>
    </xf>
    <xf numFmtId="0" fontId="21" fillId="3" borderId="40" xfId="0" applyFont="1" applyFill="1" applyBorder="1" applyAlignment="1">
      <alignment horizontal="left" vertical="center" wrapText="1"/>
    </xf>
    <xf numFmtId="0" fontId="21" fillId="3" borderId="33" xfId="0" applyFont="1" applyFill="1" applyBorder="1" applyAlignment="1">
      <alignment horizontal="center" vertical="center"/>
    </xf>
    <xf numFmtId="0" fontId="27" fillId="3" borderId="33" xfId="0" applyFont="1" applyFill="1" applyBorder="1" applyAlignment="1">
      <alignment horizontal="center" vertical="center" wrapText="1"/>
    </xf>
    <xf numFmtId="0" fontId="26" fillId="3" borderId="39" xfId="0" applyFont="1" applyFill="1" applyBorder="1" applyAlignment="1">
      <alignment horizontal="left" vertical="center" wrapText="1"/>
    </xf>
    <xf numFmtId="0" fontId="27" fillId="3" borderId="39" xfId="0" applyFont="1" applyFill="1" applyBorder="1" applyAlignment="1">
      <alignment horizontal="center" vertical="center" wrapText="1"/>
    </xf>
    <xf numFmtId="0" fontId="27" fillId="3" borderId="40" xfId="0" applyFont="1" applyFill="1" applyBorder="1" applyAlignment="1">
      <alignment horizontal="center" vertical="center" wrapText="1"/>
    </xf>
    <xf numFmtId="0" fontId="24" fillId="3" borderId="29" xfId="0" applyFont="1" applyFill="1" applyBorder="1"/>
    <xf numFmtId="0" fontId="29" fillId="3" borderId="29" xfId="0" applyFont="1" applyFill="1" applyBorder="1"/>
    <xf numFmtId="0" fontId="29" fillId="3" borderId="32" xfId="0" applyFont="1" applyFill="1" applyBorder="1"/>
    <xf numFmtId="0" fontId="29" fillId="3" borderId="38" xfId="0" applyFont="1" applyFill="1" applyBorder="1"/>
    <xf numFmtId="164" fontId="54" fillId="3" borderId="33" xfId="0" applyNumberFormat="1" applyFont="1" applyFill="1" applyBorder="1"/>
    <xf numFmtId="0" fontId="54" fillId="3" borderId="30" xfId="0" applyFont="1" applyFill="1" applyBorder="1" applyAlignment="1">
      <alignment horizontal="left" wrapText="1"/>
    </xf>
    <xf numFmtId="2" fontId="24" fillId="3" borderId="30" xfId="0" applyNumberFormat="1" applyFont="1" applyFill="1" applyBorder="1"/>
    <xf numFmtId="164" fontId="54" fillId="3" borderId="30" xfId="0" applyNumberFormat="1" applyFont="1" applyFill="1" applyBorder="1"/>
    <xf numFmtId="164" fontId="54" fillId="3" borderId="31" xfId="0" applyNumberFormat="1" applyFont="1" applyFill="1" applyBorder="1"/>
    <xf numFmtId="0" fontId="21" fillId="3" borderId="0" xfId="0" applyFont="1" applyFill="1" applyAlignment="1">
      <alignment vertical="center"/>
    </xf>
    <xf numFmtId="0" fontId="21" fillId="3" borderId="0" xfId="0" applyFont="1" applyFill="1" applyAlignment="1">
      <alignment horizontal="left" vertical="center"/>
    </xf>
    <xf numFmtId="164" fontId="0" fillId="0" borderId="0" xfId="0" applyNumberFormat="1"/>
    <xf numFmtId="0" fontId="54" fillId="3" borderId="0" xfId="0" applyFont="1" applyFill="1" applyAlignment="1">
      <alignment horizontal="left" wrapText="1"/>
    </xf>
    <xf numFmtId="2" fontId="24" fillId="3" borderId="0" xfId="0" applyNumberFormat="1" applyFont="1" applyFill="1"/>
    <xf numFmtId="164" fontId="54" fillId="3" borderId="0" xfId="0" applyNumberFormat="1" applyFont="1" applyFill="1"/>
    <xf numFmtId="0" fontId="54" fillId="3" borderId="0" xfId="0" applyFont="1" applyFill="1" applyAlignment="1">
      <alignment vertical="top"/>
    </xf>
    <xf numFmtId="0" fontId="19" fillId="3" borderId="0" xfId="0" applyFont="1" applyFill="1" applyAlignment="1">
      <alignment vertical="center"/>
    </xf>
    <xf numFmtId="0" fontId="21" fillId="3" borderId="0" xfId="0" applyFont="1" applyFill="1" applyAlignment="1">
      <alignment horizontal="center" vertical="center" wrapText="1"/>
    </xf>
    <xf numFmtId="0" fontId="22" fillId="3" borderId="0" xfId="0" applyFont="1" applyFill="1" applyAlignment="1">
      <alignment horizontal="center" wrapText="1"/>
    </xf>
    <xf numFmtId="0" fontId="24" fillId="3" borderId="0" xfId="0" applyFont="1" applyFill="1" applyAlignment="1">
      <alignment horizontal="center" vertical="top" wrapText="1"/>
    </xf>
    <xf numFmtId="0" fontId="19" fillId="3" borderId="0" xfId="0" applyFont="1" applyFill="1" applyAlignment="1">
      <alignment vertical="center" wrapText="1"/>
    </xf>
    <xf numFmtId="0" fontId="25" fillId="3" borderId="0" xfId="0" applyFont="1" applyFill="1" applyAlignment="1">
      <alignment horizontal="left" vertical="center" wrapText="1" indent="1"/>
    </xf>
    <xf numFmtId="0" fontId="21" fillId="3" borderId="0" xfId="0" applyFont="1" applyFill="1" applyAlignment="1">
      <alignment horizontal="left" vertical="center" indent="1"/>
    </xf>
    <xf numFmtId="0" fontId="21" fillId="3" borderId="0" xfId="0" applyFont="1" applyFill="1" applyAlignment="1">
      <alignment horizontal="left" vertical="center" wrapText="1"/>
    </xf>
    <xf numFmtId="0" fontId="26" fillId="3" borderId="0" xfId="0" applyFont="1" applyFill="1" applyAlignment="1">
      <alignment vertical="center" wrapText="1"/>
    </xf>
    <xf numFmtId="0" fontId="13" fillId="3" borderId="0" xfId="0" applyFont="1" applyFill="1" applyAlignment="1">
      <alignment horizontal="center"/>
    </xf>
    <xf numFmtId="0" fontId="34" fillId="3" borderId="10" xfId="0" applyFont="1" applyFill="1" applyBorder="1"/>
    <xf numFmtId="0" fontId="58" fillId="0" borderId="0" xfId="0" applyFont="1"/>
    <xf numFmtId="0" fontId="59" fillId="0" borderId="0" xfId="0" applyFont="1"/>
    <xf numFmtId="0" fontId="24" fillId="3" borderId="30" xfId="0" applyFont="1" applyFill="1" applyBorder="1"/>
    <xf numFmtId="0" fontId="21" fillId="3" borderId="0" xfId="0" applyFont="1" applyFill="1"/>
    <xf numFmtId="0" fontId="24" fillId="3" borderId="0" xfId="0" applyFont="1" applyFill="1" applyAlignment="1">
      <alignment vertical="center"/>
    </xf>
    <xf numFmtId="0" fontId="24" fillId="3" borderId="33" xfId="0" applyFont="1" applyFill="1" applyBorder="1" applyAlignment="1">
      <alignment horizontal="center"/>
    </xf>
    <xf numFmtId="0" fontId="24" fillId="3" borderId="0" xfId="0" applyFont="1" applyFill="1"/>
    <xf numFmtId="0" fontId="24" fillId="3" borderId="0" xfId="0" applyFont="1" applyFill="1" applyAlignment="1">
      <alignment horizontal="center"/>
    </xf>
    <xf numFmtId="0" fontId="21" fillId="3" borderId="0" xfId="0" applyFont="1" applyFill="1" applyAlignment="1">
      <alignment vertical="top"/>
    </xf>
    <xf numFmtId="0" fontId="24" fillId="3" borderId="0" xfId="0" applyFont="1" applyFill="1" applyAlignment="1">
      <alignment vertical="center" wrapText="1"/>
    </xf>
    <xf numFmtId="0" fontId="24" fillId="3" borderId="33" xfId="0" applyFont="1" applyFill="1" applyBorder="1"/>
    <xf numFmtId="0" fontId="21" fillId="3" borderId="33" xfId="0" applyFont="1" applyFill="1" applyBorder="1"/>
    <xf numFmtId="0" fontId="24" fillId="3" borderId="39" xfId="0" applyFont="1" applyFill="1" applyBorder="1"/>
    <xf numFmtId="0" fontId="24" fillId="3" borderId="40" xfId="0" applyFont="1" applyFill="1" applyBorder="1"/>
    <xf numFmtId="0" fontId="0" fillId="0" borderId="0" xfId="0" quotePrefix="1"/>
    <xf numFmtId="49" fontId="0" fillId="0" borderId="0" xfId="0" applyNumberFormat="1"/>
    <xf numFmtId="0" fontId="14" fillId="0" borderId="0" xfId="0" applyFont="1" applyAlignment="1">
      <alignment horizontal="left" indent="1"/>
    </xf>
    <xf numFmtId="165" fontId="14" fillId="0" borderId="0" xfId="0" applyNumberFormat="1" applyFont="1" applyAlignment="1">
      <alignment horizontal="left" indent="1"/>
    </xf>
    <xf numFmtId="0" fontId="15" fillId="0" borderId="0" xfId="0" applyFont="1"/>
    <xf numFmtId="0" fontId="48" fillId="0" borderId="0" xfId="0" applyFont="1" applyAlignment="1">
      <alignment wrapText="1"/>
    </xf>
    <xf numFmtId="0" fontId="43" fillId="0" borderId="0" xfId="5"/>
    <xf numFmtId="0" fontId="56" fillId="0" borderId="0" xfId="0" applyFont="1" applyAlignment="1">
      <alignment horizontal="right"/>
    </xf>
    <xf numFmtId="0" fontId="14" fillId="3" borderId="0" xfId="0" applyFont="1" applyFill="1" applyAlignment="1">
      <alignment horizontal="left" vertical="top"/>
    </xf>
    <xf numFmtId="0" fontId="72" fillId="8" borderId="0" xfId="2" applyNumberFormat="1" applyFont="1" applyFill="1" applyBorder="1" applyAlignment="1">
      <alignment horizontal="right" vertical="center"/>
    </xf>
    <xf numFmtId="165" fontId="72" fillId="8" borderId="0" xfId="2" applyNumberFormat="1" applyFont="1" applyFill="1" applyBorder="1" applyAlignment="1">
      <alignment vertical="center"/>
    </xf>
    <xf numFmtId="165" fontId="47" fillId="0" borderId="0" xfId="2" applyNumberFormat="1" applyFont="1" applyFill="1" applyBorder="1" applyAlignment="1">
      <alignment vertical="center"/>
    </xf>
    <xf numFmtId="0" fontId="14" fillId="3" borderId="0" xfId="0" applyFont="1" applyFill="1" applyAlignment="1">
      <alignment vertical="top"/>
    </xf>
    <xf numFmtId="0" fontId="65" fillId="0" borderId="0" xfId="2" applyNumberFormat="1" applyFont="1" applyFill="1" applyBorder="1" applyAlignment="1">
      <alignment horizontal="left" vertical="center"/>
    </xf>
    <xf numFmtId="0" fontId="24" fillId="3" borderId="0" xfId="0" applyFont="1" applyFill="1" applyAlignment="1">
      <alignment horizontal="right" vertical="center"/>
    </xf>
    <xf numFmtId="0" fontId="21" fillId="3" borderId="0" xfId="0" applyFont="1" applyFill="1" applyAlignment="1">
      <alignment horizontal="right"/>
    </xf>
    <xf numFmtId="9" fontId="14" fillId="0" borderId="0" xfId="3" applyFont="1" applyFill="1" applyBorder="1" applyAlignment="1">
      <alignment vertical="center"/>
    </xf>
    <xf numFmtId="0" fontId="14" fillId="13" borderId="67" xfId="0" applyFont="1" applyFill="1" applyBorder="1" applyAlignment="1">
      <alignment horizontal="center" vertical="center" wrapText="1"/>
    </xf>
    <xf numFmtId="0" fontId="14" fillId="13" borderId="68" xfId="0" applyFont="1" applyFill="1" applyBorder="1" applyAlignment="1">
      <alignment horizontal="center" vertical="center" wrapText="1"/>
    </xf>
    <xf numFmtId="0" fontId="21" fillId="3" borderId="30" xfId="0" applyFont="1" applyFill="1" applyBorder="1"/>
    <xf numFmtId="0" fontId="21" fillId="3" borderId="32" xfId="0" applyFont="1" applyFill="1" applyBorder="1" applyAlignment="1">
      <alignment horizontal="right"/>
    </xf>
    <xf numFmtId="0" fontId="54" fillId="3" borderId="0" xfId="0" applyFont="1" applyFill="1"/>
    <xf numFmtId="0" fontId="54" fillId="3" borderId="7" xfId="0" applyFont="1" applyFill="1" applyBorder="1" applyAlignment="1">
      <alignment horizontal="center" vertical="center" wrapText="1"/>
    </xf>
    <xf numFmtId="0" fontId="54" fillId="3" borderId="33" xfId="0" applyFont="1" applyFill="1" applyBorder="1"/>
    <xf numFmtId="0" fontId="53" fillId="3" borderId="0" xfId="0" applyFont="1" applyFill="1" applyAlignment="1">
      <alignment vertical="top"/>
    </xf>
    <xf numFmtId="9" fontId="24" fillId="3" borderId="33" xfId="0" applyNumberFormat="1" applyFont="1" applyFill="1" applyBorder="1"/>
    <xf numFmtId="1" fontId="24" fillId="3" borderId="0" xfId="0" applyNumberFormat="1" applyFont="1" applyFill="1" applyAlignment="1">
      <alignment horizontal="right"/>
    </xf>
    <xf numFmtId="1" fontId="24" fillId="3" borderId="0" xfId="0" applyNumberFormat="1" applyFont="1" applyFill="1"/>
    <xf numFmtId="1" fontId="54" fillId="3" borderId="0" xfId="0" applyNumberFormat="1" applyFont="1" applyFill="1"/>
    <xf numFmtId="0" fontId="54" fillId="3" borderId="0" xfId="0" applyFont="1" applyFill="1" applyAlignment="1">
      <alignment horizontal="left" vertical="top"/>
    </xf>
    <xf numFmtId="0" fontId="54" fillId="3" borderId="0" xfId="0" applyFont="1" applyFill="1" applyAlignment="1">
      <alignment horizontal="left" indent="1"/>
    </xf>
    <xf numFmtId="43" fontId="21" fillId="3" borderId="0" xfId="1" applyFont="1" applyFill="1" applyBorder="1" applyProtection="1"/>
    <xf numFmtId="0" fontId="29" fillId="3" borderId="39" xfId="0" applyFont="1" applyFill="1" applyBorder="1"/>
    <xf numFmtId="0" fontId="29" fillId="3" borderId="40" xfId="0" applyFont="1" applyFill="1" applyBorder="1"/>
    <xf numFmtId="0" fontId="54" fillId="3" borderId="30" xfId="0" applyFont="1" applyFill="1" applyBorder="1"/>
    <xf numFmtId="0" fontId="29" fillId="3" borderId="30" xfId="0" applyFont="1" applyFill="1" applyBorder="1"/>
    <xf numFmtId="0" fontId="29" fillId="3" borderId="31" xfId="0" applyFont="1" applyFill="1" applyBorder="1"/>
    <xf numFmtId="0" fontId="24" fillId="3" borderId="0" xfId="0" applyFont="1" applyFill="1" applyAlignment="1">
      <alignment horizontal="left"/>
    </xf>
    <xf numFmtId="0" fontId="29" fillId="3" borderId="33" xfId="0" applyFont="1" applyFill="1" applyBorder="1"/>
    <xf numFmtId="9" fontId="24" fillId="3" borderId="0" xfId="0" applyNumberFormat="1" applyFont="1" applyFill="1" applyAlignment="1">
      <alignment horizontal="right"/>
    </xf>
    <xf numFmtId="9" fontId="24" fillId="3" borderId="0" xfId="3" applyFont="1" applyFill="1" applyBorder="1" applyAlignment="1" applyProtection="1">
      <alignment horizontal="right"/>
    </xf>
    <xf numFmtId="9" fontId="21" fillId="3" borderId="0" xfId="0" applyNumberFormat="1" applyFont="1" applyFill="1" applyAlignment="1">
      <alignment horizontal="right"/>
    </xf>
    <xf numFmtId="9" fontId="21" fillId="3" borderId="0" xfId="3" applyFont="1" applyFill="1" applyBorder="1" applyAlignment="1" applyProtection="1">
      <alignment horizontal="right"/>
    </xf>
    <xf numFmtId="0" fontId="29" fillId="3" borderId="32" xfId="0" applyFont="1" applyFill="1" applyBorder="1" applyAlignment="1">
      <alignment vertical="center"/>
    </xf>
    <xf numFmtId="0" fontId="24" fillId="3" borderId="33" xfId="0" applyFont="1" applyFill="1" applyBorder="1" applyAlignment="1">
      <alignment horizontal="left" vertical="center" wrapText="1"/>
    </xf>
    <xf numFmtId="0" fontId="21" fillId="3" borderId="33" xfId="0" applyFont="1" applyFill="1" applyBorder="1" applyAlignment="1">
      <alignment horizontal="center"/>
    </xf>
    <xf numFmtId="164" fontId="21" fillId="3" borderId="33" xfId="0" applyNumberFormat="1" applyFont="1" applyFill="1" applyBorder="1"/>
    <xf numFmtId="169" fontId="54" fillId="3" borderId="41" xfId="4" applyNumberFormat="1" applyFont="1" applyFill="1" applyBorder="1" applyProtection="1"/>
    <xf numFmtId="0" fontId="21" fillId="3" borderId="32" xfId="0" applyFont="1" applyFill="1" applyBorder="1" applyAlignment="1">
      <alignment horizontal="right" vertical="top"/>
    </xf>
    <xf numFmtId="0" fontId="53" fillId="3" borderId="33" xfId="0" applyFont="1" applyFill="1" applyBorder="1" applyAlignment="1">
      <alignment horizontal="left" wrapText="1"/>
    </xf>
    <xf numFmtId="0" fontId="21" fillId="3" borderId="33" xfId="0" applyFont="1" applyFill="1" applyBorder="1" applyAlignment="1">
      <alignment horizontal="left" vertical="top" wrapText="1"/>
    </xf>
    <xf numFmtId="0" fontId="34" fillId="3" borderId="0" xfId="0" applyFont="1" applyFill="1"/>
    <xf numFmtId="0" fontId="57" fillId="3" borderId="0" xfId="0" applyFont="1" applyFill="1" applyAlignment="1">
      <alignment horizontal="left" vertical="top" wrapText="1"/>
    </xf>
    <xf numFmtId="0" fontId="33" fillId="0" borderId="0" xfId="0" applyFont="1" applyAlignment="1">
      <alignment vertical="center"/>
    </xf>
    <xf numFmtId="0" fontId="36" fillId="0" borderId="0" xfId="0" applyFont="1"/>
    <xf numFmtId="0" fontId="37" fillId="0" borderId="0" xfId="0" applyFont="1" applyAlignment="1">
      <alignment vertical="center"/>
    </xf>
    <xf numFmtId="0" fontId="32" fillId="0" borderId="0" xfId="0" applyFont="1" applyAlignment="1">
      <alignment vertical="top"/>
    </xf>
    <xf numFmtId="0" fontId="36" fillId="0" borderId="0" xfId="0" applyFont="1" applyAlignment="1">
      <alignment vertical="center"/>
    </xf>
    <xf numFmtId="0" fontId="37" fillId="0" borderId="0" xfId="0" applyFont="1"/>
    <xf numFmtId="0" fontId="33" fillId="0" borderId="0" xfId="0" applyFont="1" applyAlignment="1">
      <alignment horizontal="left" vertical="top" wrapText="1"/>
    </xf>
    <xf numFmtId="0" fontId="33" fillId="0" borderId="0" xfId="0" applyFont="1"/>
    <xf numFmtId="0" fontId="33" fillId="0" borderId="0" xfId="0" applyFont="1" applyAlignment="1">
      <alignment vertical="top"/>
    </xf>
    <xf numFmtId="0" fontId="5" fillId="0" borderId="0" xfId="0" applyFont="1"/>
    <xf numFmtId="0" fontId="0" fillId="0" borderId="0" xfId="0" applyAlignment="1">
      <alignment horizontal="center"/>
    </xf>
    <xf numFmtId="0" fontId="13" fillId="3" borderId="0" xfId="0" applyFont="1" applyFill="1" applyAlignment="1" applyProtection="1">
      <alignment horizontal="center"/>
      <protection locked="0"/>
    </xf>
    <xf numFmtId="0" fontId="34" fillId="0" borderId="0" xfId="0" applyFont="1" applyProtection="1">
      <protection locked="0"/>
    </xf>
    <xf numFmtId="0" fontId="33" fillId="0" borderId="0" xfId="0" applyFont="1" applyAlignment="1" applyProtection="1">
      <alignment horizontal="left"/>
      <protection locked="0"/>
    </xf>
    <xf numFmtId="170" fontId="39" fillId="0" borderId="0" xfId="0" applyNumberFormat="1" applyFont="1" applyAlignment="1" applyProtection="1">
      <alignment horizontal="center" vertical="center"/>
      <protection locked="0"/>
    </xf>
    <xf numFmtId="0" fontId="39" fillId="0" borderId="0" xfId="0" applyFont="1"/>
    <xf numFmtId="0" fontId="36" fillId="0" borderId="0" xfId="0" applyFont="1" applyAlignment="1">
      <alignment vertical="center" wrapText="1"/>
    </xf>
    <xf numFmtId="0" fontId="33" fillId="0" borderId="0" xfId="0" applyFont="1" applyAlignment="1" applyProtection="1">
      <alignment vertical="center"/>
      <protection locked="0"/>
    </xf>
    <xf numFmtId="0" fontId="32" fillId="10" borderId="64" xfId="0" applyFont="1" applyFill="1" applyBorder="1" applyAlignment="1">
      <alignment horizontal="center" vertical="top" wrapText="1"/>
    </xf>
    <xf numFmtId="167" fontId="39" fillId="0" borderId="7" xfId="2" applyNumberFormat="1" applyFont="1" applyBorder="1" applyAlignment="1" applyProtection="1">
      <alignment horizontal="center" vertical="center"/>
      <protection locked="0"/>
    </xf>
    <xf numFmtId="0" fontId="32" fillId="10" borderId="7" xfId="0" applyFont="1" applyFill="1" applyBorder="1" applyAlignment="1">
      <alignment horizontal="center" vertical="top" wrapText="1"/>
    </xf>
    <xf numFmtId="0" fontId="14" fillId="0" borderId="7" xfId="0" applyFont="1" applyBorder="1" applyAlignment="1" applyProtection="1">
      <alignment horizontal="center"/>
      <protection locked="0"/>
    </xf>
    <xf numFmtId="0" fontId="68" fillId="3" borderId="0" xfId="0" applyFont="1" applyFill="1" applyAlignment="1">
      <alignment horizontal="left" vertical="top" indent="1"/>
    </xf>
    <xf numFmtId="0" fontId="24" fillId="8" borderId="37" xfId="0" applyFont="1" applyFill="1" applyBorder="1" applyAlignment="1">
      <alignment horizontal="center" vertical="center"/>
    </xf>
    <xf numFmtId="0" fontId="21" fillId="8" borderId="7" xfId="0" applyFont="1" applyFill="1" applyBorder="1" applyAlignment="1">
      <alignment horizontal="center" vertical="center" wrapText="1"/>
    </xf>
    <xf numFmtId="0" fontId="54" fillId="8" borderId="7" xfId="0" applyFont="1" applyFill="1" applyBorder="1" applyAlignment="1">
      <alignment horizontal="center" vertical="center" wrapText="1"/>
    </xf>
    <xf numFmtId="43" fontId="21" fillId="8" borderId="7" xfId="1" applyFont="1" applyFill="1" applyBorder="1" applyProtection="1"/>
    <xf numFmtId="0" fontId="21" fillId="8" borderId="7" xfId="0" applyFont="1" applyFill="1" applyBorder="1" applyAlignment="1">
      <alignment horizontal="center" vertical="center"/>
    </xf>
    <xf numFmtId="169" fontId="54" fillId="8" borderId="37" xfId="3" applyNumberFormat="1" applyFont="1" applyFill="1" applyBorder="1" applyProtection="1"/>
    <xf numFmtId="0" fontId="22" fillId="8" borderId="7" xfId="0" applyFont="1" applyFill="1" applyBorder="1" applyAlignment="1">
      <alignment horizontal="center" wrapText="1"/>
    </xf>
    <xf numFmtId="0" fontId="21" fillId="8" borderId="7" xfId="0" applyFont="1" applyFill="1" applyBorder="1" applyAlignment="1">
      <alignment horizontal="center" vertical="top" wrapText="1"/>
    </xf>
    <xf numFmtId="0" fontId="21" fillId="8" borderId="35" xfId="0" applyFont="1" applyFill="1" applyBorder="1" applyAlignment="1">
      <alignment vertical="center"/>
    </xf>
    <xf numFmtId="0" fontId="21" fillId="8" borderId="34" xfId="0" applyFont="1" applyFill="1" applyBorder="1" applyAlignment="1">
      <alignment horizontal="left" vertical="center" indent="1"/>
    </xf>
    <xf numFmtId="0" fontId="21" fillId="8" borderId="35" xfId="0" applyFont="1" applyFill="1" applyBorder="1" applyAlignment="1">
      <alignment horizontal="left" vertical="center" indent="1"/>
    </xf>
    <xf numFmtId="0" fontId="21" fillId="8" borderId="6" xfId="0" applyFont="1" applyFill="1" applyBorder="1" applyAlignment="1">
      <alignment horizontal="left" vertical="center" indent="1"/>
    </xf>
    <xf numFmtId="0" fontId="21" fillId="8" borderId="44" xfId="0" applyFont="1" applyFill="1" applyBorder="1" applyAlignment="1">
      <alignment horizontal="left" vertical="center" indent="1"/>
    </xf>
    <xf numFmtId="169" fontId="24" fillId="8" borderId="7" xfId="0" applyNumberFormat="1" applyFont="1" applyFill="1" applyBorder="1"/>
    <xf numFmtId="169" fontId="54" fillId="8" borderId="41" xfId="4" applyNumberFormat="1" applyFont="1" applyFill="1" applyBorder="1" applyProtection="1"/>
    <xf numFmtId="43" fontId="14" fillId="12" borderId="17" xfId="1" applyFont="1" applyFill="1" applyBorder="1" applyAlignment="1">
      <alignment vertical="center"/>
    </xf>
    <xf numFmtId="0" fontId="75" fillId="8" borderId="0" xfId="0" applyFont="1" applyFill="1" applyAlignment="1">
      <alignment horizontal="left" indent="1"/>
    </xf>
    <xf numFmtId="0" fontId="14" fillId="8" borderId="0" xfId="0" applyFont="1" applyFill="1" applyAlignment="1">
      <alignment horizontal="left" indent="1"/>
    </xf>
    <xf numFmtId="164" fontId="54" fillId="8" borderId="0" xfId="4" applyNumberFormat="1" applyFont="1" applyFill="1" applyBorder="1" applyProtection="1"/>
    <xf numFmtId="164" fontId="54" fillId="3" borderId="0" xfId="4" applyNumberFormat="1" applyFont="1" applyFill="1" applyBorder="1" applyProtection="1"/>
    <xf numFmtId="0" fontId="21" fillId="3" borderId="0" xfId="0" applyFont="1" applyFill="1" applyAlignment="1">
      <alignment horizontal="left"/>
    </xf>
    <xf numFmtId="0" fontId="0" fillId="3" borderId="0" xfId="0" applyFill="1"/>
    <xf numFmtId="164" fontId="54" fillId="3" borderId="0" xfId="4" applyNumberFormat="1" applyFont="1" applyFill="1" applyBorder="1" applyAlignment="1" applyProtection="1">
      <alignment vertical="center"/>
    </xf>
    <xf numFmtId="0" fontId="54" fillId="3" borderId="0" xfId="0" applyFont="1" applyFill="1" applyAlignment="1">
      <alignment horizontal="left" vertical="center" wrapText="1"/>
    </xf>
    <xf numFmtId="2" fontId="24" fillId="3" borderId="0" xfId="0" applyNumberFormat="1" applyFont="1" applyFill="1" applyAlignment="1">
      <alignment vertical="center"/>
    </xf>
    <xf numFmtId="164" fontId="54" fillId="3" borderId="0" xfId="0" applyNumberFormat="1" applyFont="1" applyFill="1" applyAlignment="1">
      <alignment vertical="center"/>
    </xf>
    <xf numFmtId="164" fontId="54" fillId="3" borderId="33" xfId="0" applyNumberFormat="1" applyFont="1" applyFill="1" applyBorder="1" applyAlignment="1">
      <alignment vertical="center"/>
    </xf>
    <xf numFmtId="0" fontId="46" fillId="0" borderId="0" xfId="0" applyFont="1"/>
    <xf numFmtId="0" fontId="43" fillId="0" borderId="0" xfId="5" applyProtection="1"/>
    <xf numFmtId="44" fontId="29" fillId="6" borderId="50" xfId="0" applyNumberFormat="1" applyFont="1" applyFill="1" applyBorder="1"/>
    <xf numFmtId="0" fontId="22" fillId="0" borderId="0" xfId="0" applyFont="1"/>
    <xf numFmtId="0" fontId="81" fillId="0" borderId="0" xfId="0" applyFont="1"/>
    <xf numFmtId="0" fontId="22" fillId="0" borderId="0" xfId="0" applyFont="1" applyAlignment="1">
      <alignment horizontal="right"/>
    </xf>
    <xf numFmtId="0" fontId="22" fillId="0" borderId="0" xfId="0" applyFont="1" applyAlignment="1">
      <alignment horizontal="left"/>
    </xf>
    <xf numFmtId="2" fontId="22" fillId="0" borderId="0" xfId="0" applyNumberFormat="1" applyFont="1"/>
    <xf numFmtId="43" fontId="22" fillId="0" borderId="0" xfId="0" applyNumberFormat="1" applyFont="1"/>
    <xf numFmtId="1" fontId="68" fillId="0" borderId="0" xfId="0" applyNumberFormat="1" applyFont="1"/>
    <xf numFmtId="0" fontId="82" fillId="0" borderId="0" xfId="0" applyFont="1"/>
    <xf numFmtId="43" fontId="15" fillId="3" borderId="8" xfId="1" applyFont="1" applyFill="1" applyBorder="1" applyProtection="1"/>
    <xf numFmtId="0" fontId="60" fillId="3" borderId="38" xfId="0" applyFont="1" applyFill="1" applyBorder="1" applyAlignment="1">
      <alignment vertical="top" wrapText="1"/>
    </xf>
    <xf numFmtId="0" fontId="60" fillId="3" borderId="39" xfId="0" applyFont="1" applyFill="1" applyBorder="1" applyAlignment="1">
      <alignment vertical="top" wrapText="1"/>
    </xf>
    <xf numFmtId="0" fontId="61" fillId="11" borderId="15" xfId="0" applyFont="1" applyFill="1" applyBorder="1" applyAlignment="1">
      <alignment horizontal="center" vertical="center" wrapText="1"/>
    </xf>
    <xf numFmtId="0" fontId="0" fillId="0" borderId="0" xfId="0" applyAlignment="1" applyProtection="1">
      <alignment vertical="center"/>
      <protection locked="0"/>
    </xf>
    <xf numFmtId="0" fontId="56" fillId="0" borderId="0" xfId="0" applyFont="1" applyAlignment="1">
      <alignment vertical="top"/>
    </xf>
    <xf numFmtId="0" fontId="56" fillId="0" borderId="0" xfId="0" applyFont="1" applyAlignment="1">
      <alignment horizontal="left" vertical="top"/>
    </xf>
    <xf numFmtId="0" fontId="0" fillId="0" borderId="0" xfId="0" applyAlignment="1">
      <alignment vertical="top"/>
    </xf>
    <xf numFmtId="0" fontId="0" fillId="0" borderId="0" xfId="0" applyProtection="1">
      <protection locked="0"/>
    </xf>
    <xf numFmtId="164" fontId="83" fillId="3" borderId="8" xfId="2" applyNumberFormat="1" applyFont="1" applyFill="1" applyBorder="1" applyProtection="1">
      <protection locked="0"/>
    </xf>
    <xf numFmtId="0" fontId="86" fillId="0" borderId="0" xfId="0" applyFont="1" applyAlignment="1">
      <alignment horizontal="right" vertical="center"/>
    </xf>
    <xf numFmtId="0" fontId="90" fillId="0" borderId="0" xfId="0" applyFont="1"/>
    <xf numFmtId="15" fontId="29" fillId="6" borderId="0" xfId="0" applyNumberFormat="1" applyFont="1" applyFill="1" applyAlignment="1">
      <alignment horizontal="center"/>
    </xf>
    <xf numFmtId="0" fontId="29" fillId="7" borderId="45" xfId="0" applyFont="1" applyFill="1" applyBorder="1" applyAlignment="1">
      <alignment horizontal="center" vertical="center" wrapText="1"/>
    </xf>
    <xf numFmtId="0" fontId="29" fillId="7" borderId="46" xfId="0" applyFont="1" applyFill="1" applyBorder="1" applyAlignment="1">
      <alignment horizontal="center" vertical="center" wrapText="1"/>
    </xf>
    <xf numFmtId="0" fontId="29" fillId="0" borderId="46" xfId="0" applyFont="1" applyBorder="1" applyAlignment="1">
      <alignment horizontal="left" indent="1"/>
    </xf>
    <xf numFmtId="0" fontId="29" fillId="0" borderId="47" xfId="0" applyFont="1" applyBorder="1" applyAlignment="1">
      <alignment horizontal="center"/>
    </xf>
    <xf numFmtId="0" fontId="29" fillId="0" borderId="47" xfId="0" applyFont="1" applyBorder="1" applyAlignment="1">
      <alignment horizontal="left" indent="1"/>
    </xf>
    <xf numFmtId="2" fontId="29" fillId="6" borderId="49" xfId="0" applyNumberFormat="1" applyFont="1" applyFill="1" applyBorder="1"/>
    <xf numFmtId="169" fontId="29" fillId="6" borderId="50" xfId="1" applyNumberFormat="1" applyFont="1" applyFill="1" applyBorder="1" applyProtection="1"/>
    <xf numFmtId="173" fontId="29" fillId="0" borderId="47" xfId="1" applyNumberFormat="1" applyFont="1" applyBorder="1" applyProtection="1"/>
    <xf numFmtId="174" fontId="29" fillId="6" borderId="50" xfId="0" applyNumberFormat="1" applyFont="1" applyFill="1" applyBorder="1"/>
    <xf numFmtId="2" fontId="29" fillId="6" borderId="50" xfId="0" applyNumberFormat="1" applyFont="1" applyFill="1" applyBorder="1"/>
    <xf numFmtId="0" fontId="29" fillId="0" borderId="48" xfId="0" applyFont="1" applyBorder="1" applyAlignment="1">
      <alignment horizontal="left" indent="1"/>
    </xf>
    <xf numFmtId="174" fontId="29" fillId="0" borderId="48" xfId="1" applyNumberFormat="1" applyFont="1" applyBorder="1" applyProtection="1"/>
    <xf numFmtId="2" fontId="29" fillId="6" borderId="51" xfId="0" applyNumberFormat="1" applyFont="1" applyFill="1" applyBorder="1"/>
    <xf numFmtId="0" fontId="29" fillId="0" borderId="48" xfId="0" applyFont="1" applyBorder="1" applyAlignment="1">
      <alignment horizontal="center"/>
    </xf>
    <xf numFmtId="43" fontId="29" fillId="0" borderId="0" xfId="0" applyNumberFormat="1" applyFont="1"/>
    <xf numFmtId="0" fontId="29" fillId="0" borderId="0" xfId="0" applyFont="1" applyAlignment="1">
      <alignment horizontal="left" indent="1"/>
    </xf>
    <xf numFmtId="165" fontId="29" fillId="0" borderId="46" xfId="1" applyNumberFormat="1" applyFont="1" applyBorder="1" applyProtection="1"/>
    <xf numFmtId="165" fontId="29" fillId="0" borderId="47" xfId="1" applyNumberFormat="1" applyFont="1" applyBorder="1" applyProtection="1"/>
    <xf numFmtId="0" fontId="29" fillId="0" borderId="46" xfId="0" applyFont="1" applyBorder="1" applyAlignment="1">
      <alignment horizontal="center"/>
    </xf>
    <xf numFmtId="173" fontId="29" fillId="0" borderId="48" xfId="1" applyNumberFormat="1" applyFont="1" applyBorder="1" applyProtection="1"/>
    <xf numFmtId="169" fontId="29" fillId="0" borderId="0" xfId="1" applyNumberFormat="1" applyFont="1" applyProtection="1"/>
    <xf numFmtId="165" fontId="29" fillId="0" borderId="48" xfId="1" applyNumberFormat="1" applyFont="1" applyBorder="1" applyProtection="1"/>
    <xf numFmtId="166" fontId="29" fillId="0" borderId="0" xfId="1" applyNumberFormat="1" applyFont="1" applyProtection="1"/>
    <xf numFmtId="0" fontId="29" fillId="7" borderId="46" xfId="0" applyFont="1" applyFill="1" applyBorder="1" applyAlignment="1">
      <alignment horizontal="center" vertical="top" wrapText="1"/>
    </xf>
    <xf numFmtId="0" fontId="90" fillId="0" borderId="0" xfId="0" applyFont="1" applyAlignment="1">
      <alignment vertical="top"/>
    </xf>
    <xf numFmtId="0" fontId="29" fillId="0" borderId="75" xfId="0" applyFont="1" applyBorder="1" applyAlignment="1">
      <alignment horizontal="center"/>
    </xf>
    <xf numFmtId="0" fontId="29" fillId="0" borderId="46" xfId="0" applyFont="1" applyBorder="1"/>
    <xf numFmtId="0" fontId="29" fillId="0" borderId="76" xfId="0" applyFont="1" applyBorder="1" applyAlignment="1">
      <alignment horizontal="center"/>
    </xf>
    <xf numFmtId="0" fontId="29" fillId="0" borderId="47" xfId="0" applyFont="1" applyBorder="1"/>
    <xf numFmtId="44" fontId="29" fillId="6" borderId="50" xfId="0" applyNumberFormat="1" applyFont="1" applyFill="1" applyBorder="1" applyAlignment="1">
      <alignment wrapText="1"/>
    </xf>
    <xf numFmtId="0" fontId="29" fillId="0" borderId="47" xfId="0" applyFont="1" applyBorder="1" applyAlignment="1">
      <alignment horizontal="left"/>
    </xf>
    <xf numFmtId="0" fontId="29" fillId="0" borderId="77" xfId="0" applyFont="1" applyBorder="1" applyAlignment="1">
      <alignment horizontal="center"/>
    </xf>
    <xf numFmtId="0" fontId="29" fillId="0" borderId="48" xfId="0" applyFont="1" applyBorder="1"/>
    <xf numFmtId="166" fontId="29" fillId="0" borderId="0" xfId="1" applyNumberFormat="1" applyFont="1"/>
    <xf numFmtId="169" fontId="29" fillId="0" borderId="0" xfId="1" applyNumberFormat="1" applyFont="1"/>
    <xf numFmtId="0" fontId="29" fillId="9" borderId="0" xfId="0" applyFont="1" applyFill="1"/>
    <xf numFmtId="174" fontId="29" fillId="0" borderId="47" xfId="1" applyNumberFormat="1" applyFont="1" applyBorder="1" applyProtection="1"/>
    <xf numFmtId="170" fontId="68" fillId="3" borderId="30" xfId="0" applyNumberFormat="1" applyFont="1" applyFill="1" applyBorder="1" applyAlignment="1">
      <alignment horizontal="left" vertical="center" wrapText="1"/>
    </xf>
    <xf numFmtId="43" fontId="7" fillId="3" borderId="10" xfId="0" applyNumberFormat="1" applyFont="1" applyFill="1" applyBorder="1"/>
    <xf numFmtId="0" fontId="54" fillId="8" borderId="6" xfId="0" applyFont="1" applyFill="1" applyBorder="1" applyAlignment="1">
      <alignment horizontal="center" vertical="center" wrapText="1"/>
    </xf>
    <xf numFmtId="0" fontId="74" fillId="3" borderId="0" xfId="0" applyFont="1" applyFill="1" applyAlignment="1">
      <alignment horizontal="left" vertical="center" indent="1"/>
    </xf>
    <xf numFmtId="0" fontId="52" fillId="3" borderId="0" xfId="0" applyFont="1" applyFill="1" applyAlignment="1">
      <alignment vertical="center"/>
    </xf>
    <xf numFmtId="0" fontId="93" fillId="3" borderId="0" xfId="0" applyFont="1" applyFill="1" applyAlignment="1">
      <alignment vertical="center"/>
    </xf>
    <xf numFmtId="0" fontId="94" fillId="0" borderId="0" xfId="0" applyFont="1" applyAlignment="1">
      <alignment vertical="center" wrapText="1"/>
    </xf>
    <xf numFmtId="15" fontId="61" fillId="11" borderId="91" xfId="0" applyNumberFormat="1" applyFont="1" applyFill="1" applyBorder="1" applyAlignment="1">
      <alignment horizontal="center" vertical="center" wrapText="1"/>
    </xf>
    <xf numFmtId="14" fontId="0" fillId="0" borderId="0" xfId="0" applyNumberFormat="1"/>
    <xf numFmtId="0" fontId="14" fillId="3" borderId="0" xfId="0" applyFont="1" applyFill="1" applyAlignment="1">
      <alignment horizontal="left" vertical="top" wrapText="1"/>
    </xf>
    <xf numFmtId="0" fontId="50" fillId="11" borderId="0" xfId="0" applyFont="1" applyFill="1" applyAlignment="1">
      <alignment horizontal="center" vertical="center"/>
    </xf>
    <xf numFmtId="0" fontId="14" fillId="3" borderId="0" xfId="0" applyFont="1" applyFill="1" applyAlignment="1">
      <alignment horizontal="center" vertical="center" wrapText="1"/>
    </xf>
    <xf numFmtId="0" fontId="24" fillId="3" borderId="0" xfId="0" applyFont="1" applyFill="1" applyAlignment="1">
      <alignment horizontal="left" indent="1"/>
    </xf>
    <xf numFmtId="0" fontId="53" fillId="3" borderId="0" xfId="0" applyFont="1" applyFill="1" applyAlignment="1">
      <alignment horizontal="left" indent="1"/>
    </xf>
    <xf numFmtId="0" fontId="54" fillId="3" borderId="0" xfId="0" applyFont="1" applyFill="1" applyAlignment="1">
      <alignment horizontal="left"/>
    </xf>
    <xf numFmtId="0" fontId="32" fillId="10" borderId="62" xfId="0" applyFont="1" applyFill="1" applyBorder="1" applyAlignment="1">
      <alignment horizontal="center" vertical="top" wrapText="1"/>
    </xf>
    <xf numFmtId="0" fontId="36" fillId="0" borderId="0" xfId="0" applyFont="1" applyAlignment="1">
      <alignment horizontal="left" vertical="top" wrapText="1"/>
    </xf>
    <xf numFmtId="0" fontId="33" fillId="0" borderId="0" xfId="0" applyFont="1" applyAlignment="1">
      <alignment horizontal="left" vertical="center" wrapText="1"/>
    </xf>
    <xf numFmtId="0" fontId="33" fillId="0" borderId="0" xfId="0" applyFont="1" applyAlignment="1">
      <alignment horizontal="left" wrapText="1"/>
    </xf>
    <xf numFmtId="0" fontId="21" fillId="3" borderId="35" xfId="0" applyFont="1" applyFill="1" applyBorder="1" applyAlignment="1">
      <alignment horizontal="left" vertical="center"/>
    </xf>
    <xf numFmtId="0" fontId="0" fillId="0" borderId="0" xfId="0" applyAlignment="1">
      <alignment horizontal="left"/>
    </xf>
    <xf numFmtId="0" fontId="21" fillId="3" borderId="7" xfId="0" applyFont="1" applyFill="1" applyBorder="1" applyAlignment="1">
      <alignment horizontal="left" vertical="center"/>
    </xf>
    <xf numFmtId="0" fontId="46" fillId="0" borderId="0" xfId="0" applyFont="1" applyProtection="1">
      <protection locked="0"/>
    </xf>
    <xf numFmtId="44" fontId="15" fillId="12" borderId="8" xfId="2" applyFont="1" applyFill="1" applyBorder="1"/>
    <xf numFmtId="0" fontId="29" fillId="7" borderId="46" xfId="0" applyFont="1" applyFill="1" applyBorder="1" applyAlignment="1">
      <alignment horizontal="left" vertical="center"/>
    </xf>
    <xf numFmtId="2" fontId="29" fillId="0" borderId="48" xfId="0" applyNumberFormat="1" applyFont="1" applyBorder="1" applyAlignment="1">
      <alignment horizontal="center"/>
    </xf>
    <xf numFmtId="0" fontId="54" fillId="8" borderId="0" xfId="0" applyFont="1" applyFill="1"/>
    <xf numFmtId="0" fontId="29" fillId="8" borderId="0" xfId="0" applyFont="1" applyFill="1"/>
    <xf numFmtId="0" fontId="0" fillId="8" borderId="0" xfId="0" applyFill="1"/>
    <xf numFmtId="1" fontId="65" fillId="3" borderId="0" xfId="0" applyNumberFormat="1" applyFont="1" applyFill="1"/>
    <xf numFmtId="0" fontId="9" fillId="0" borderId="133" xfId="0" applyFont="1" applyBorder="1" applyAlignment="1">
      <alignment horizontal="right" vertical="center" wrapText="1"/>
    </xf>
    <xf numFmtId="0" fontId="9" fillId="0" borderId="135" xfId="0" applyFont="1" applyBorder="1" applyAlignment="1">
      <alignment horizontal="right" vertical="center" wrapText="1"/>
    </xf>
    <xf numFmtId="164" fontId="99" fillId="8" borderId="0" xfId="4" applyNumberFormat="1" applyFont="1" applyFill="1" applyBorder="1" applyAlignment="1" applyProtection="1">
      <alignment horizontal="center" vertical="center"/>
    </xf>
    <xf numFmtId="164" fontId="99" fillId="8" borderId="136" xfId="4" applyNumberFormat="1" applyFont="1" applyFill="1" applyBorder="1" applyAlignment="1" applyProtection="1">
      <alignment horizontal="center" vertical="center"/>
    </xf>
    <xf numFmtId="164" fontId="53" fillId="8" borderId="0" xfId="4" applyNumberFormat="1" applyFont="1" applyFill="1" applyBorder="1" applyAlignment="1" applyProtection="1">
      <alignment vertical="center"/>
    </xf>
    <xf numFmtId="164" fontId="54" fillId="8" borderId="7" xfId="4" applyNumberFormat="1" applyFont="1" applyFill="1" applyBorder="1" applyAlignment="1" applyProtection="1">
      <alignment vertical="center"/>
    </xf>
    <xf numFmtId="169" fontId="24" fillId="3" borderId="7" xfId="3" applyNumberFormat="1" applyFont="1" applyFill="1" applyBorder="1" applyProtection="1"/>
    <xf numFmtId="44" fontId="24" fillId="3" borderId="7" xfId="4" applyFont="1" applyFill="1" applyBorder="1" applyAlignment="1" applyProtection="1">
      <alignment vertical="top" wrapText="1"/>
    </xf>
    <xf numFmtId="164" fontId="53" fillId="8" borderId="7" xfId="4" applyNumberFormat="1" applyFont="1" applyFill="1" applyBorder="1" applyAlignment="1" applyProtection="1">
      <alignment vertical="center"/>
    </xf>
    <xf numFmtId="164" fontId="53" fillId="8" borderId="64" xfId="4" applyNumberFormat="1" applyFont="1" applyFill="1" applyBorder="1" applyAlignment="1" applyProtection="1">
      <alignment vertical="center"/>
    </xf>
    <xf numFmtId="164" fontId="54" fillId="8" borderId="64" xfId="4" applyNumberFormat="1" applyFont="1" applyFill="1" applyBorder="1" applyAlignment="1" applyProtection="1">
      <alignment vertical="center"/>
    </xf>
    <xf numFmtId="164" fontId="54" fillId="8" borderId="144" xfId="4" applyNumberFormat="1" applyFont="1" applyFill="1" applyBorder="1" applyAlignment="1" applyProtection="1">
      <alignment vertical="center"/>
    </xf>
    <xf numFmtId="164" fontId="54" fillId="8" borderId="136" xfId="4" applyNumberFormat="1" applyFont="1" applyFill="1" applyBorder="1" applyProtection="1"/>
    <xf numFmtId="164" fontId="54" fillId="8" borderId="146" xfId="4" applyNumberFormat="1" applyFont="1" applyFill="1" applyBorder="1" applyAlignment="1" applyProtection="1">
      <alignment vertical="center"/>
    </xf>
    <xf numFmtId="0" fontId="21" fillId="3" borderId="7" xfId="0" applyFont="1" applyFill="1" applyBorder="1" applyAlignment="1">
      <alignment horizontal="center"/>
    </xf>
    <xf numFmtId="0" fontId="21" fillId="8" borderId="145" xfId="0" applyFont="1" applyFill="1" applyBorder="1" applyAlignment="1">
      <alignment horizontal="left"/>
    </xf>
    <xf numFmtId="0" fontId="54" fillId="8" borderId="136" xfId="0" applyFont="1" applyFill="1" applyBorder="1"/>
    <xf numFmtId="0" fontId="29" fillId="8" borderId="136" xfId="0" applyFont="1" applyFill="1" applyBorder="1"/>
    <xf numFmtId="49" fontId="24" fillId="3" borderId="7" xfId="0" applyNumberFormat="1" applyFont="1" applyFill="1" applyBorder="1" applyAlignment="1">
      <alignment horizontal="center"/>
    </xf>
    <xf numFmtId="0" fontId="24" fillId="3" borderId="7" xfId="0" applyFont="1" applyFill="1" applyBorder="1" applyAlignment="1">
      <alignment horizontal="center" vertical="top" wrapText="1"/>
    </xf>
    <xf numFmtId="15" fontId="24" fillId="3" borderId="7" xfId="0" applyNumberFormat="1" applyFont="1" applyFill="1" applyBorder="1" applyAlignment="1">
      <alignment horizontal="center" vertical="top" wrapText="1"/>
    </xf>
    <xf numFmtId="14" fontId="25" fillId="3" borderId="7" xfId="0" applyNumberFormat="1" applyFont="1" applyFill="1" applyBorder="1" applyAlignment="1">
      <alignment horizontal="center" vertical="center" wrapText="1"/>
    </xf>
    <xf numFmtId="0" fontId="60" fillId="3" borderId="0" xfId="0" quotePrefix="1" applyFont="1" applyFill="1" applyAlignment="1">
      <alignment horizontal="left" vertical="top" wrapText="1"/>
    </xf>
    <xf numFmtId="0" fontId="60" fillId="3" borderId="0" xfId="0" applyFont="1" applyFill="1" applyAlignment="1">
      <alignment horizontal="left" vertical="top" wrapText="1"/>
    </xf>
    <xf numFmtId="0" fontId="13" fillId="11" borderId="127" xfId="0" applyFont="1" applyFill="1" applyBorder="1" applyAlignment="1">
      <alignment horizontal="center" vertical="center" wrapText="1"/>
    </xf>
    <xf numFmtId="0" fontId="13" fillId="17" borderId="124" xfId="0" applyFont="1" applyFill="1" applyBorder="1" applyAlignment="1">
      <alignment horizontal="center" vertical="center" wrapText="1"/>
    </xf>
    <xf numFmtId="0" fontId="13" fillId="11" borderId="128" xfId="0" applyFont="1" applyFill="1" applyBorder="1" applyAlignment="1">
      <alignment horizontal="center" vertical="center" wrapText="1"/>
    </xf>
    <xf numFmtId="0" fontId="61" fillId="17" borderId="125" xfId="0" applyFont="1" applyFill="1" applyBorder="1" applyAlignment="1">
      <alignment horizontal="center" vertical="center" wrapText="1"/>
    </xf>
    <xf numFmtId="0" fontId="14" fillId="16" borderId="126" xfId="0" applyFont="1" applyFill="1" applyBorder="1" applyAlignment="1">
      <alignment horizontal="left"/>
    </xf>
    <xf numFmtId="0" fontId="14" fillId="16" borderId="129" xfId="0" applyFont="1" applyFill="1" applyBorder="1" applyAlignment="1">
      <alignment horizontal="left"/>
    </xf>
    <xf numFmtId="0" fontId="14" fillId="16" borderId="24" xfId="0" applyFont="1" applyFill="1" applyBorder="1" applyAlignment="1">
      <alignment horizontal="left"/>
    </xf>
    <xf numFmtId="0" fontId="14" fillId="16" borderId="96" xfId="0" applyFont="1" applyFill="1" applyBorder="1" applyAlignment="1">
      <alignment horizontal="left"/>
    </xf>
    <xf numFmtId="43" fontId="15" fillId="12" borderId="96" xfId="2" applyNumberFormat="1" applyFont="1" applyFill="1" applyBorder="1" applyAlignment="1" applyProtection="1">
      <alignment horizontal="right" vertical="top"/>
    </xf>
    <xf numFmtId="43" fontId="15" fillId="8" borderId="96" xfId="2" applyNumberFormat="1" applyFont="1" applyFill="1" applyBorder="1" applyProtection="1"/>
    <xf numFmtId="43" fontId="13" fillId="17" borderId="97" xfId="2" applyNumberFormat="1" applyFont="1" applyFill="1" applyBorder="1" applyProtection="1"/>
    <xf numFmtId="0" fontId="14" fillId="16" borderId="8" xfId="0" applyFont="1" applyFill="1" applyBorder="1" applyAlignment="1">
      <alignment horizontal="left"/>
    </xf>
    <xf numFmtId="43" fontId="15" fillId="12" borderId="8" xfId="2" applyNumberFormat="1" applyFont="1" applyFill="1" applyBorder="1" applyAlignment="1" applyProtection="1">
      <alignment vertical="top"/>
    </xf>
    <xf numFmtId="43" fontId="15" fillId="8" borderId="8" xfId="2" applyNumberFormat="1" applyFont="1" applyFill="1" applyBorder="1" applyAlignment="1" applyProtection="1">
      <alignment vertical="top"/>
    </xf>
    <xf numFmtId="10" fontId="15" fillId="12" borderId="8" xfId="3" applyNumberFormat="1" applyFont="1" applyFill="1" applyBorder="1" applyAlignment="1" applyProtection="1">
      <alignment vertical="top"/>
    </xf>
    <xf numFmtId="10" fontId="15" fillId="8" borderId="8" xfId="3" applyNumberFormat="1" applyFont="1" applyFill="1" applyBorder="1" applyAlignment="1" applyProtection="1">
      <alignment vertical="top"/>
    </xf>
    <xf numFmtId="0" fontId="13" fillId="20" borderId="8" xfId="0" applyFont="1" applyFill="1" applyBorder="1" applyAlignment="1">
      <alignment horizontal="left"/>
    </xf>
    <xf numFmtId="10" fontId="34" fillId="20" borderId="8" xfId="3" applyNumberFormat="1" applyFont="1" applyFill="1" applyBorder="1" applyAlignment="1" applyProtection="1">
      <alignment vertical="top"/>
    </xf>
    <xf numFmtId="0" fontId="48" fillId="16" borderId="8" xfId="0" applyFont="1" applyFill="1" applyBorder="1" applyAlignment="1">
      <alignment horizontal="right"/>
    </xf>
    <xf numFmtId="1" fontId="15" fillId="12" borderId="8" xfId="3" applyNumberFormat="1" applyFont="1" applyFill="1" applyBorder="1" applyAlignment="1" applyProtection="1">
      <alignment vertical="top"/>
    </xf>
    <xf numFmtId="1" fontId="15" fillId="8" borderId="8" xfId="3" applyNumberFormat="1" applyFont="1" applyFill="1" applyBorder="1" applyAlignment="1" applyProtection="1">
      <alignment vertical="top"/>
    </xf>
    <xf numFmtId="10" fontId="34" fillId="20" borderId="8" xfId="3" applyNumberFormat="1" applyFont="1" applyFill="1" applyBorder="1" applyAlignment="1" applyProtection="1">
      <alignment horizontal="right" vertical="top" indent="1"/>
    </xf>
    <xf numFmtId="0" fontId="13" fillId="19" borderId="23" xfId="0" applyFont="1" applyFill="1" applyBorder="1" applyAlignment="1">
      <alignment horizontal="left"/>
    </xf>
    <xf numFmtId="43" fontId="98" fillId="19" borderId="23" xfId="2" quotePrefix="1" applyNumberFormat="1" applyFont="1" applyFill="1" applyBorder="1" applyProtection="1"/>
    <xf numFmtId="43" fontId="13" fillId="19" borderId="23" xfId="2" applyNumberFormat="1" applyFont="1" applyFill="1" applyBorder="1" applyProtection="1"/>
    <xf numFmtId="44" fontId="15" fillId="0" borderId="27" xfId="2" applyFont="1" applyFill="1" applyBorder="1" applyAlignment="1" applyProtection="1">
      <alignment horizontal="right"/>
    </xf>
    <xf numFmtId="43" fontId="47" fillId="0" borderId="27" xfId="2" applyNumberFormat="1" applyFont="1" applyFill="1" applyBorder="1" applyAlignment="1" applyProtection="1">
      <alignment horizontal="right" vertical="center"/>
    </xf>
    <xf numFmtId="43" fontId="72" fillId="0" borderId="27" xfId="2" applyNumberFormat="1" applyFont="1" applyFill="1" applyBorder="1" applyAlignment="1" applyProtection="1">
      <alignment vertical="center"/>
    </xf>
    <xf numFmtId="43" fontId="61" fillId="0" borderId="28" xfId="2" applyNumberFormat="1" applyFont="1" applyFill="1" applyBorder="1" applyAlignment="1" applyProtection="1">
      <alignment vertical="center"/>
    </xf>
    <xf numFmtId="165" fontId="47" fillId="0" borderId="0" xfId="2" applyNumberFormat="1" applyFont="1" applyFill="1" applyBorder="1" applyAlignment="1" applyProtection="1">
      <alignment vertical="center"/>
    </xf>
    <xf numFmtId="0" fontId="14" fillId="16" borderId="119" xfId="0" applyFont="1" applyFill="1" applyBorder="1" applyAlignment="1">
      <alignment horizontal="left"/>
    </xf>
    <xf numFmtId="0" fontId="14" fillId="16" borderId="95" xfId="0" applyFont="1" applyFill="1" applyBorder="1" applyAlignment="1">
      <alignment horizontal="left"/>
    </xf>
    <xf numFmtId="0" fontId="104" fillId="24" borderId="150" xfId="0" applyFont="1" applyFill="1" applyBorder="1" applyAlignment="1">
      <alignment horizontal="left" vertical="top" wrapText="1"/>
    </xf>
    <xf numFmtId="0" fontId="104" fillId="24" borderId="0" xfId="0" applyFont="1" applyFill="1" applyAlignment="1">
      <alignment horizontal="left" vertical="center" wrapText="1"/>
    </xf>
    <xf numFmtId="0" fontId="104" fillId="24" borderId="151" xfId="0" applyFont="1" applyFill="1" applyBorder="1" applyAlignment="1">
      <alignment horizontal="left" vertical="center" wrapText="1"/>
    </xf>
    <xf numFmtId="0" fontId="105" fillId="24" borderId="150" xfId="5" applyFont="1" applyFill="1" applyBorder="1" applyAlignment="1">
      <alignment horizontal="left" vertical="top" wrapText="1"/>
    </xf>
    <xf numFmtId="0" fontId="31" fillId="24" borderId="150" xfId="0" applyFont="1" applyFill="1" applyBorder="1" applyAlignment="1">
      <alignment horizontal="left" vertical="top" wrapText="1"/>
    </xf>
    <xf numFmtId="0" fontId="104" fillId="24" borderId="150" xfId="5" applyFont="1" applyFill="1" applyBorder="1" applyAlignment="1">
      <alignment horizontal="left" vertical="top" wrapText="1"/>
    </xf>
    <xf numFmtId="171" fontId="56" fillId="0" borderId="0" xfId="0" applyNumberFormat="1" applyFont="1"/>
    <xf numFmtId="22" fontId="0" fillId="0" borderId="0" xfId="0" applyNumberFormat="1"/>
    <xf numFmtId="0" fontId="29" fillId="7" borderId="64" xfId="0" applyFont="1" applyFill="1" applyBorder="1" applyAlignment="1">
      <alignment horizontal="center" vertical="center" wrapText="1"/>
    </xf>
    <xf numFmtId="0" fontId="78" fillId="0" borderId="0" xfId="0" applyFont="1" applyAlignment="1">
      <alignment vertical="top" wrapText="1"/>
    </xf>
    <xf numFmtId="0" fontId="29" fillId="0" borderId="64" xfId="0" applyFont="1" applyBorder="1"/>
    <xf numFmtId="44" fontId="29" fillId="0" borderId="152" xfId="0" applyNumberFormat="1" applyFont="1" applyBorder="1"/>
    <xf numFmtId="165" fontId="14" fillId="12" borderId="130" xfId="2" applyNumberFormat="1" applyFont="1" applyFill="1" applyBorder="1"/>
    <xf numFmtId="165" fontId="97" fillId="12" borderId="130" xfId="2" applyNumberFormat="1" applyFont="1" applyFill="1" applyBorder="1"/>
    <xf numFmtId="165" fontId="14" fillId="12" borderId="87" xfId="2" applyNumberFormat="1" applyFont="1" applyFill="1" applyBorder="1"/>
    <xf numFmtId="165" fontId="13" fillId="3" borderId="89" xfId="2" applyNumberFormat="1" applyFont="1" applyFill="1" applyBorder="1" applyAlignment="1">
      <alignment vertical="center"/>
    </xf>
    <xf numFmtId="165" fontId="13" fillId="3" borderId="90" xfId="2" applyNumberFormat="1" applyFont="1" applyFill="1" applyBorder="1" applyAlignment="1">
      <alignment vertical="center"/>
    </xf>
    <xf numFmtId="165" fontId="75" fillId="12" borderId="87" xfId="2" applyNumberFormat="1" applyFont="1" applyFill="1" applyBorder="1"/>
    <xf numFmtId="165" fontId="15" fillId="0" borderId="0" xfId="0" applyNumberFormat="1" applyFont="1"/>
    <xf numFmtId="165" fontId="14" fillId="21" borderId="87" xfId="2" applyNumberFormat="1" applyFont="1" applyFill="1" applyBorder="1"/>
    <xf numFmtId="43" fontId="108" fillId="17" borderId="97" xfId="2" applyNumberFormat="1" applyFont="1" applyFill="1" applyBorder="1" applyProtection="1"/>
    <xf numFmtId="0" fontId="29" fillId="0" borderId="0" xfId="0" applyFont="1" applyAlignment="1">
      <alignment horizontal="center" vertical="center" wrapText="1"/>
    </xf>
    <xf numFmtId="175" fontId="29" fillId="0" borderId="0" xfId="0" applyNumberFormat="1" applyFont="1" applyAlignment="1">
      <alignment horizontal="center"/>
    </xf>
    <xf numFmtId="0" fontId="29" fillId="7" borderId="47" xfId="0" applyFont="1" applyFill="1" applyBorder="1" applyAlignment="1">
      <alignment horizontal="center" vertical="top" wrapText="1"/>
    </xf>
    <xf numFmtId="1" fontId="29" fillId="0" borderId="48" xfId="0" applyNumberFormat="1" applyFont="1" applyBorder="1" applyAlignment="1">
      <alignment horizontal="center"/>
    </xf>
    <xf numFmtId="0" fontId="109" fillId="16" borderId="8" xfId="0" applyFont="1" applyFill="1" applyBorder="1" applyAlignment="1">
      <alignment horizontal="left"/>
    </xf>
    <xf numFmtId="10" fontId="110" fillId="12" borderId="8" xfId="2" applyNumberFormat="1" applyFont="1" applyFill="1" applyBorder="1" applyAlignment="1" applyProtection="1">
      <alignment vertical="top"/>
    </xf>
    <xf numFmtId="43" fontId="110" fillId="12" borderId="8" xfId="2" applyNumberFormat="1" applyFont="1" applyFill="1" applyBorder="1" applyAlignment="1" applyProtection="1">
      <alignment horizontal="right" vertical="top" indent="1"/>
    </xf>
    <xf numFmtId="0" fontId="29" fillId="8" borderId="105" xfId="0" applyFont="1" applyFill="1" applyBorder="1" applyAlignment="1">
      <alignment horizontal="left" indent="1"/>
    </xf>
    <xf numFmtId="166" fontId="29" fillId="8" borderId="0" xfId="1" applyNumberFormat="1" applyFont="1" applyFill="1" applyProtection="1"/>
    <xf numFmtId="0" fontId="29" fillId="8" borderId="99" xfId="0" applyFont="1" applyFill="1" applyBorder="1" applyAlignment="1">
      <alignment horizontal="left" indent="1"/>
    </xf>
    <xf numFmtId="0" fontId="29" fillId="8" borderId="101" xfId="0" applyFont="1" applyFill="1" applyBorder="1" applyAlignment="1">
      <alignment horizontal="left" indent="1"/>
    </xf>
    <xf numFmtId="0" fontId="29" fillId="8" borderId="0" xfId="0" applyFont="1" applyFill="1" applyAlignment="1">
      <alignment horizontal="center"/>
    </xf>
    <xf numFmtId="169" fontId="29" fillId="8" borderId="0" xfId="1" applyNumberFormat="1" applyFont="1" applyFill="1" applyProtection="1"/>
    <xf numFmtId="0" fontId="90" fillId="8" borderId="0" xfId="0" applyFont="1" applyFill="1" applyAlignment="1">
      <alignment horizontal="center"/>
    </xf>
    <xf numFmtId="0" fontId="29" fillId="8" borderId="0" xfId="1" applyNumberFormat="1" applyFont="1" applyFill="1" applyProtection="1"/>
    <xf numFmtId="0" fontId="29" fillId="8" borderId="103" xfId="0" applyFont="1" applyFill="1" applyBorder="1" applyAlignment="1">
      <alignment horizontal="left" indent="1"/>
    </xf>
    <xf numFmtId="0" fontId="29" fillId="8" borderId="104" xfId="0" applyFont="1" applyFill="1" applyBorder="1" applyAlignment="1">
      <alignment horizontal="left" indent="1"/>
    </xf>
    <xf numFmtId="0" fontId="29" fillId="8" borderId="107" xfId="0" applyFont="1" applyFill="1" applyBorder="1" applyAlignment="1">
      <alignment horizontal="left" indent="1"/>
    </xf>
    <xf numFmtId="0" fontId="29" fillId="8" borderId="46" xfId="0" applyFont="1" applyFill="1" applyBorder="1" applyAlignment="1">
      <alignment horizontal="left" indent="1"/>
    </xf>
    <xf numFmtId="0" fontId="29" fillId="8" borderId="102" xfId="0" applyFont="1" applyFill="1" applyBorder="1" applyAlignment="1">
      <alignment horizontal="left" indent="1"/>
    </xf>
    <xf numFmtId="0" fontId="29" fillId="8" borderId="109" xfId="0" applyFont="1" applyFill="1" applyBorder="1" applyAlignment="1">
      <alignment horizontal="left" indent="1"/>
    </xf>
    <xf numFmtId="0" fontId="29" fillId="8" borderId="110" xfId="0" applyFont="1" applyFill="1" applyBorder="1" applyAlignment="1">
      <alignment horizontal="left" indent="1"/>
    </xf>
    <xf numFmtId="0" fontId="29" fillId="8" borderId="111" xfId="0" applyFont="1" applyFill="1" applyBorder="1" applyAlignment="1">
      <alignment horizontal="left" indent="1"/>
    </xf>
    <xf numFmtId="0" fontId="29" fillId="8" borderId="113" xfId="0" applyFont="1" applyFill="1" applyBorder="1" applyAlignment="1">
      <alignment horizontal="left" indent="1"/>
    </xf>
    <xf numFmtId="0" fontId="29" fillId="8" borderId="115" xfId="0" applyFont="1" applyFill="1" applyBorder="1" applyAlignment="1">
      <alignment horizontal="left" indent="1"/>
    </xf>
    <xf numFmtId="0" fontId="29" fillId="8" borderId="117" xfId="0" applyFont="1" applyFill="1" applyBorder="1" applyAlignment="1">
      <alignment horizontal="left" indent="1"/>
    </xf>
    <xf numFmtId="9" fontId="29" fillId="8" borderId="118" xfId="0" applyNumberFormat="1" applyFont="1" applyFill="1" applyBorder="1"/>
    <xf numFmtId="166" fontId="29" fillId="8" borderId="0" xfId="1" applyNumberFormat="1" applyFont="1" applyFill="1"/>
    <xf numFmtId="10" fontId="29" fillId="8" borderId="118" xfId="0" applyNumberFormat="1" applyFont="1" applyFill="1" applyBorder="1"/>
    <xf numFmtId="169" fontId="29" fillId="8" borderId="0" xfId="1" applyNumberFormat="1" applyFont="1" applyFill="1"/>
    <xf numFmtId="0" fontId="90" fillId="8" borderId="0" xfId="0" applyFont="1" applyFill="1" applyAlignment="1">
      <alignment horizontal="left"/>
    </xf>
    <xf numFmtId="0" fontId="90" fillId="8" borderId="0" xfId="0" applyFont="1" applyFill="1"/>
    <xf numFmtId="2" fontId="29" fillId="8" borderId="48" xfId="0" applyNumberFormat="1" applyFont="1" applyFill="1" applyBorder="1" applyAlignment="1">
      <alignment horizontal="center"/>
    </xf>
    <xf numFmtId="9" fontId="77" fillId="0" borderId="0" xfId="3" applyFont="1" applyFill="1" applyBorder="1" applyAlignment="1">
      <alignment vertical="center"/>
    </xf>
    <xf numFmtId="0" fontId="64" fillId="8" borderId="0" xfId="0" applyFont="1" applyFill="1"/>
    <xf numFmtId="43" fontId="29" fillId="8" borderId="0" xfId="0" applyNumberFormat="1" applyFont="1" applyFill="1"/>
    <xf numFmtId="0" fontId="29" fillId="8" borderId="62" xfId="0" applyFont="1" applyFill="1" applyBorder="1" applyAlignment="1">
      <alignment horizontal="left" indent="1"/>
    </xf>
    <xf numFmtId="0" fontId="29" fillId="8" borderId="25" xfId="0" applyFont="1" applyFill="1" applyBorder="1" applyAlignment="1">
      <alignment horizontal="left" indent="1"/>
    </xf>
    <xf numFmtId="0" fontId="29" fillId="8" borderId="88" xfId="0" applyFont="1" applyFill="1" applyBorder="1" applyAlignment="1">
      <alignment horizontal="left" indent="1"/>
    </xf>
    <xf numFmtId="165" fontId="14" fillId="0" borderId="87" xfId="2" applyNumberFormat="1" applyFont="1" applyFill="1" applyBorder="1" applyProtection="1">
      <protection locked="0"/>
    </xf>
    <xf numFmtId="165" fontId="9" fillId="0" borderId="100" xfId="2" applyNumberFormat="1" applyFont="1" applyFill="1" applyBorder="1" applyProtection="1">
      <protection locked="0"/>
    </xf>
    <xf numFmtId="0" fontId="111" fillId="0" borderId="0" xfId="0" applyFont="1" applyAlignment="1">
      <alignment horizontal="left" indent="1"/>
    </xf>
    <xf numFmtId="0" fontId="112" fillId="0" borderId="0" xfId="0" applyFont="1" applyProtection="1">
      <protection locked="0" hidden="1"/>
    </xf>
    <xf numFmtId="0" fontId="21" fillId="3" borderId="32" xfId="0" applyFont="1" applyFill="1" applyBorder="1" applyAlignment="1">
      <alignment horizontal="right" vertical="center"/>
    </xf>
    <xf numFmtId="0" fontId="21" fillId="0" borderId="0" xfId="0" applyFont="1" applyAlignment="1">
      <alignment horizontal="left" vertical="center" indent="1"/>
    </xf>
    <xf numFmtId="9" fontId="29" fillId="8" borderId="106" xfId="0" applyNumberFormat="1" applyFont="1" applyFill="1" applyBorder="1"/>
    <xf numFmtId="9" fontId="29" fillId="8" borderId="108" xfId="0" applyNumberFormat="1" applyFont="1" applyFill="1" applyBorder="1"/>
    <xf numFmtId="172" fontId="29" fillId="8" borderId="106" xfId="0" applyNumberFormat="1" applyFont="1" applyFill="1" applyBorder="1"/>
    <xf numFmtId="172" fontId="29" fillId="8" borderId="108" xfId="0" applyNumberFormat="1" applyFont="1" applyFill="1" applyBorder="1"/>
    <xf numFmtId="172" fontId="29" fillId="8" borderId="112" xfId="0" applyNumberFormat="1" applyFont="1" applyFill="1" applyBorder="1"/>
    <xf numFmtId="10" fontId="29" fillId="8" borderId="114" xfId="0" applyNumberFormat="1" applyFont="1" applyFill="1" applyBorder="1"/>
    <xf numFmtId="10" fontId="29" fillId="8" borderId="116" xfId="0" applyNumberFormat="1" applyFont="1" applyFill="1" applyBorder="1"/>
    <xf numFmtId="10" fontId="29" fillId="8" borderId="63" xfId="0" applyNumberFormat="1" applyFont="1" applyFill="1" applyBorder="1"/>
    <xf numFmtId="10" fontId="29" fillId="8" borderId="36" xfId="0" applyNumberFormat="1" applyFont="1" applyFill="1" applyBorder="1"/>
    <xf numFmtId="10" fontId="29" fillId="8" borderId="44" xfId="0" applyNumberFormat="1" applyFont="1" applyFill="1" applyBorder="1"/>
    <xf numFmtId="165" fontId="14" fillId="12" borderId="87" xfId="2" applyNumberFormat="1" applyFont="1" applyFill="1" applyBorder="1" applyProtection="1"/>
    <xf numFmtId="10" fontId="110" fillId="0" borderId="8" xfId="2" applyNumberFormat="1" applyFont="1" applyFill="1" applyBorder="1" applyAlignment="1" applyProtection="1">
      <alignment vertical="top"/>
    </xf>
    <xf numFmtId="43" fontId="110" fillId="0" borderId="8" xfId="2" applyNumberFormat="1" applyFont="1" applyFill="1" applyBorder="1" applyAlignment="1" applyProtection="1">
      <alignment horizontal="right" vertical="top" indent="1"/>
    </xf>
    <xf numFmtId="0" fontId="115" fillId="19" borderId="23" xfId="0" applyFont="1" applyFill="1" applyBorder="1" applyAlignment="1">
      <alignment horizontal="right" vertical="center"/>
    </xf>
    <xf numFmtId="0" fontId="52" fillId="13" borderId="8" xfId="0" applyFont="1" applyFill="1" applyBorder="1" applyAlignment="1">
      <alignment horizontal="left"/>
    </xf>
    <xf numFmtId="10" fontId="52" fillId="13" borderId="8" xfId="3" applyNumberFormat="1" applyFont="1" applyFill="1" applyBorder="1" applyAlignment="1" applyProtection="1">
      <alignment vertical="top"/>
    </xf>
    <xf numFmtId="10" fontId="29" fillId="8" borderId="48" xfId="3" applyNumberFormat="1" applyFont="1" applyFill="1" applyBorder="1" applyAlignment="1" applyProtection="1">
      <alignment horizontal="center"/>
      <protection locked="0"/>
    </xf>
    <xf numFmtId="0" fontId="29" fillId="0" borderId="0" xfId="0" applyFont="1" applyAlignment="1" applyProtection="1">
      <alignment horizontal="center"/>
      <protection locked="0"/>
    </xf>
    <xf numFmtId="165" fontId="15" fillId="12" borderId="96" xfId="2" applyNumberFormat="1" applyFont="1" applyFill="1" applyBorder="1" applyProtection="1"/>
    <xf numFmtId="165" fontId="15" fillId="12" borderId="8" xfId="2" applyNumberFormat="1" applyFont="1" applyFill="1" applyBorder="1" applyProtection="1"/>
    <xf numFmtId="165" fontId="15" fillId="12" borderId="23" xfId="2" applyNumberFormat="1" applyFont="1" applyFill="1" applyBorder="1" applyProtection="1"/>
    <xf numFmtId="165" fontId="34" fillId="20" borderId="23" xfId="2" applyNumberFormat="1" applyFont="1" applyFill="1" applyBorder="1" applyProtection="1"/>
    <xf numFmtId="165" fontId="52" fillId="13" borderId="23" xfId="2" applyNumberFormat="1" applyFont="1" applyFill="1" applyBorder="1" applyProtection="1"/>
    <xf numFmtId="165" fontId="14" fillId="12" borderId="23" xfId="2" applyNumberFormat="1" applyFont="1" applyFill="1" applyBorder="1" applyProtection="1"/>
    <xf numFmtId="165" fontId="110" fillId="12" borderId="23" xfId="2" applyNumberFormat="1" applyFont="1" applyFill="1" applyBorder="1" applyProtection="1"/>
    <xf numFmtId="165" fontId="13" fillId="19" borderId="23" xfId="2" applyNumberFormat="1" applyFont="1" applyFill="1" applyBorder="1" applyProtection="1"/>
    <xf numFmtId="165" fontId="15" fillId="8" borderId="96" xfId="2" applyNumberFormat="1" applyFont="1" applyFill="1" applyBorder="1" applyAlignment="1" applyProtection="1">
      <alignment wrapText="1"/>
    </xf>
    <xf numFmtId="165" fontId="15" fillId="8" borderId="8" xfId="2" applyNumberFormat="1" applyFont="1" applyFill="1" applyBorder="1" applyProtection="1"/>
    <xf numFmtId="165" fontId="15" fillId="8" borderId="23" xfId="2" applyNumberFormat="1" applyFont="1" applyFill="1" applyBorder="1" applyProtection="1"/>
    <xf numFmtId="165" fontId="14" fillId="8" borderId="23" xfId="2" applyNumberFormat="1" applyFont="1" applyFill="1" applyBorder="1" applyProtection="1"/>
    <xf numFmtId="165" fontId="110" fillId="0" borderId="23" xfId="2" applyNumberFormat="1" applyFont="1" applyFill="1" applyBorder="1" applyProtection="1"/>
    <xf numFmtId="0" fontId="14" fillId="26" borderId="96" xfId="0" applyFont="1" applyFill="1" applyBorder="1" applyAlignment="1">
      <alignment horizontal="left"/>
    </xf>
    <xf numFmtId="0" fontId="14" fillId="26" borderId="8" xfId="0" applyFont="1" applyFill="1" applyBorder="1" applyAlignment="1">
      <alignment horizontal="left"/>
    </xf>
    <xf numFmtId="0" fontId="102" fillId="27" borderId="27" xfId="0" applyFont="1" applyFill="1" applyBorder="1"/>
    <xf numFmtId="0" fontId="101" fillId="27" borderId="27" xfId="0" applyFont="1" applyFill="1" applyBorder="1" applyAlignment="1">
      <alignment vertical="top"/>
    </xf>
    <xf numFmtId="44" fontId="101" fillId="27" borderId="27" xfId="0" applyNumberFormat="1" applyFont="1" applyFill="1" applyBorder="1" applyAlignment="1">
      <alignment vertical="top"/>
    </xf>
    <xf numFmtId="0" fontId="101" fillId="27" borderId="28" xfId="2" applyNumberFormat="1" applyFont="1" applyFill="1" applyBorder="1" applyAlignment="1" applyProtection="1">
      <alignment horizontal="right" vertical="center"/>
    </xf>
    <xf numFmtId="0" fontId="14" fillId="26" borderId="129" xfId="0" applyFont="1" applyFill="1" applyBorder="1" applyAlignment="1">
      <alignment horizontal="left"/>
    </xf>
    <xf numFmtId="0" fontId="14" fillId="26" borderId="24" xfId="0" applyFont="1" applyFill="1" applyBorder="1" applyAlignment="1">
      <alignment horizontal="left"/>
    </xf>
    <xf numFmtId="0" fontId="48" fillId="26" borderId="8" xfId="0" applyFont="1" applyFill="1" applyBorder="1" applyAlignment="1">
      <alignment horizontal="right"/>
    </xf>
    <xf numFmtId="0" fontId="109" fillId="26" borderId="8" xfId="0" applyFont="1" applyFill="1" applyBorder="1" applyAlignment="1">
      <alignment horizontal="left"/>
    </xf>
    <xf numFmtId="0" fontId="21" fillId="8" borderId="159" xfId="0" applyFont="1" applyFill="1" applyBorder="1" applyAlignment="1">
      <alignment horizontal="left"/>
    </xf>
    <xf numFmtId="0" fontId="54" fillId="8" borderId="161" xfId="0" applyFont="1" applyFill="1" applyBorder="1"/>
    <xf numFmtId="0" fontId="29" fillId="8" borderId="161" xfId="0" applyFont="1" applyFill="1" applyBorder="1"/>
    <xf numFmtId="164" fontId="54" fillId="8" borderId="161" xfId="4" applyNumberFormat="1" applyFont="1" applyFill="1" applyBorder="1" applyProtection="1"/>
    <xf numFmtId="164" fontId="99" fillId="8" borderId="161" xfId="4" applyNumberFormat="1" applyFont="1" applyFill="1" applyBorder="1" applyAlignment="1" applyProtection="1">
      <alignment horizontal="center" vertical="center"/>
    </xf>
    <xf numFmtId="164" fontId="54" fillId="8" borderId="160" xfId="4" applyNumberFormat="1" applyFont="1" applyFill="1" applyBorder="1" applyAlignment="1" applyProtection="1">
      <alignment vertical="center"/>
    </xf>
    <xf numFmtId="0" fontId="21" fillId="8" borderId="162" xfId="0" applyFont="1" applyFill="1" applyBorder="1" applyAlignment="1">
      <alignment horizontal="left"/>
    </xf>
    <xf numFmtId="164" fontId="54" fillId="8" borderId="163" xfId="4" applyNumberFormat="1" applyFont="1" applyFill="1" applyBorder="1" applyAlignment="1" applyProtection="1">
      <alignment vertical="center"/>
    </xf>
    <xf numFmtId="0" fontId="21" fillId="8" borderId="164" xfId="0" applyFont="1" applyFill="1" applyBorder="1" applyAlignment="1">
      <alignment horizontal="left"/>
    </xf>
    <xf numFmtId="0" fontId="54" fillId="8" borderId="165" xfId="0" applyFont="1" applyFill="1" applyBorder="1"/>
    <xf numFmtId="0" fontId="29" fillId="8" borderId="165" xfId="0" applyFont="1" applyFill="1" applyBorder="1"/>
    <xf numFmtId="164" fontId="54" fillId="8" borderId="165" xfId="4" applyNumberFormat="1" applyFont="1" applyFill="1" applyBorder="1" applyProtection="1"/>
    <xf numFmtId="164" fontId="99" fillId="8" borderId="165" xfId="4" applyNumberFormat="1" applyFont="1" applyFill="1" applyBorder="1" applyAlignment="1" applyProtection="1">
      <alignment horizontal="center" vertical="center"/>
    </xf>
    <xf numFmtId="164" fontId="54" fillId="8" borderId="166" xfId="4" applyNumberFormat="1" applyFont="1" applyFill="1" applyBorder="1" applyAlignment="1" applyProtection="1">
      <alignment vertical="center"/>
    </xf>
    <xf numFmtId="0" fontId="29" fillId="0" borderId="31" xfId="0" applyFont="1" applyBorder="1"/>
    <xf numFmtId="0" fontId="24" fillId="0" borderId="33" xfId="0" applyFont="1" applyBorder="1"/>
    <xf numFmtId="0" fontId="24" fillId="0" borderId="40" xfId="0" applyFont="1" applyBorder="1"/>
    <xf numFmtId="0" fontId="29" fillId="0" borderId="167" xfId="0" applyFont="1" applyBorder="1" applyAlignment="1">
      <alignment horizontal="left" indent="1"/>
    </xf>
    <xf numFmtId="169" fontId="29" fillId="6" borderId="51" xfId="1" applyNumberFormat="1" applyFont="1" applyFill="1" applyBorder="1" applyProtection="1"/>
    <xf numFmtId="0" fontId="10" fillId="2" borderId="8" xfId="0" applyFont="1" applyFill="1" applyBorder="1" applyAlignment="1">
      <alignment horizontal="center" vertical="center" wrapText="1"/>
    </xf>
    <xf numFmtId="0" fontId="8" fillId="2" borderId="8" xfId="0" applyFont="1" applyFill="1" applyBorder="1" applyAlignment="1">
      <alignment horizontal="center" vertical="center"/>
    </xf>
    <xf numFmtId="0" fontId="119" fillId="0" borderId="0" xfId="0" applyFont="1" applyAlignment="1">
      <alignment wrapText="1"/>
    </xf>
    <xf numFmtId="0" fontId="10" fillId="0" borderId="0" xfId="0" applyFont="1"/>
    <xf numFmtId="0" fontId="10" fillId="0" borderId="0" xfId="0" applyFont="1" applyAlignment="1">
      <alignment horizontal="left"/>
    </xf>
    <xf numFmtId="0" fontId="9" fillId="0" borderId="0" xfId="0" applyFont="1" applyAlignment="1">
      <alignment horizontal="left" vertical="center"/>
    </xf>
    <xf numFmtId="0" fontId="9" fillId="0" borderId="0" xfId="0" applyFont="1" applyAlignment="1">
      <alignment vertical="center"/>
    </xf>
    <xf numFmtId="0" fontId="8" fillId="0" borderId="0" xfId="0" applyFont="1" applyAlignment="1">
      <alignment horizontal="left" vertical="center" indent="1"/>
    </xf>
    <xf numFmtId="0" fontId="100" fillId="0" borderId="0" xfId="0" applyFont="1" applyAlignment="1" applyProtection="1">
      <alignment horizontal="left" vertical="center" indent="1"/>
      <protection locked="0"/>
    </xf>
    <xf numFmtId="0" fontId="73" fillId="0" borderId="0" xfId="0" applyFont="1" applyAlignment="1">
      <alignment horizontal="left" vertical="center" indent="1"/>
    </xf>
    <xf numFmtId="0" fontId="106" fillId="0" borderId="0" xfId="0" applyFont="1" applyAlignment="1">
      <alignment horizontal="right" vertical="center"/>
    </xf>
    <xf numFmtId="0" fontId="8" fillId="0" borderId="0" xfId="0" applyFont="1" applyAlignment="1">
      <alignment vertical="top" wrapText="1"/>
    </xf>
    <xf numFmtId="0" fontId="29" fillId="7" borderId="7" xfId="0" applyFont="1" applyFill="1" applyBorder="1" applyAlignment="1">
      <alignment horizontal="center" vertical="center" wrapText="1"/>
    </xf>
    <xf numFmtId="0" fontId="29" fillId="0" borderId="7" xfId="0" applyFont="1" applyBorder="1"/>
    <xf numFmtId="0" fontId="29" fillId="0" borderId="7" xfId="0" quotePrefix="1" applyFont="1" applyBorder="1"/>
    <xf numFmtId="0" fontId="8" fillId="0" borderId="0" xfId="0" applyFont="1" applyAlignment="1">
      <alignment horizontal="right" vertical="center" indent="2"/>
    </xf>
    <xf numFmtId="0" fontId="8" fillId="0" borderId="170" xfId="0" applyFont="1" applyBorder="1"/>
    <xf numFmtId="0" fontId="10" fillId="0" borderId="170" xfId="0" applyFont="1" applyBorder="1"/>
    <xf numFmtId="0" fontId="9" fillId="0" borderId="172" xfId="0" applyFont="1" applyBorder="1" applyAlignment="1">
      <alignment vertical="center"/>
    </xf>
    <xf numFmtId="0" fontId="7" fillId="0" borderId="172" xfId="0" applyFont="1" applyBorder="1"/>
    <xf numFmtId="49" fontId="24" fillId="8" borderId="37" xfId="0" applyNumberFormat="1" applyFont="1" applyFill="1" applyBorder="1" applyAlignment="1">
      <alignment horizontal="center" vertical="center"/>
    </xf>
    <xf numFmtId="0" fontId="53" fillId="3" borderId="0" xfId="0" applyFont="1" applyFill="1"/>
    <xf numFmtId="0" fontId="122" fillId="29" borderId="7" xfId="0" applyFont="1" applyFill="1" applyBorder="1"/>
    <xf numFmtId="0" fontId="122" fillId="30" borderId="7" xfId="0" applyFont="1" applyFill="1" applyBorder="1"/>
    <xf numFmtId="0" fontId="122" fillId="31" borderId="7" xfId="0" applyFont="1" applyFill="1" applyBorder="1"/>
    <xf numFmtId="0" fontId="123" fillId="32" borderId="7" xfId="0" applyFont="1" applyFill="1" applyBorder="1"/>
    <xf numFmtId="49" fontId="0" fillId="14" borderId="0" xfId="0" applyNumberFormat="1" applyFill="1" applyAlignment="1">
      <alignment wrapText="1"/>
    </xf>
    <xf numFmtId="0" fontId="122" fillId="29" borderId="7" xfId="0" applyFont="1" applyFill="1" applyBorder="1" applyAlignment="1">
      <alignment vertical="top" wrapText="1"/>
    </xf>
    <xf numFmtId="0" fontId="123" fillId="32" borderId="7" xfId="0" applyFont="1" applyFill="1" applyBorder="1" applyAlignment="1">
      <alignment vertical="top" wrapText="1"/>
    </xf>
    <xf numFmtId="0" fontId="0" fillId="0" borderId="0" xfId="0" applyAlignment="1">
      <alignment vertical="top" wrapText="1"/>
    </xf>
    <xf numFmtId="0" fontId="29" fillId="0" borderId="46" xfId="0" applyFont="1" applyBorder="1" applyAlignment="1">
      <alignment horizontal="left" vertical="top"/>
    </xf>
    <xf numFmtId="0" fontId="29" fillId="0" borderId="46" xfId="0" applyFont="1" applyBorder="1" applyAlignment="1">
      <alignment horizontal="center" vertical="top"/>
    </xf>
    <xf numFmtId="0" fontId="0" fillId="0" borderId="176" xfId="0" applyBorder="1"/>
    <xf numFmtId="17" fontId="29" fillId="0" borderId="0" xfId="0" applyNumberFormat="1" applyFont="1"/>
    <xf numFmtId="1" fontId="29" fillId="0" borderId="46" xfId="0" applyNumberFormat="1" applyFont="1" applyBorder="1" applyAlignment="1">
      <alignment horizontal="left" vertical="top"/>
    </xf>
    <xf numFmtId="2" fontId="0" fillId="0" borderId="0" xfId="0" applyNumberFormat="1"/>
    <xf numFmtId="176" fontId="29" fillId="0" borderId="46" xfId="0" applyNumberFormat="1" applyFont="1" applyBorder="1" applyAlignment="1">
      <alignment horizontal="left" indent="1"/>
    </xf>
    <xf numFmtId="0" fontId="0" fillId="0" borderId="0" xfId="0" applyAlignment="1" applyProtection="1">
      <alignment horizontal="center"/>
      <protection locked="0"/>
    </xf>
    <xf numFmtId="0" fontId="51" fillId="0" borderId="0" xfId="0" applyFont="1" applyProtection="1">
      <protection locked="0"/>
    </xf>
    <xf numFmtId="0" fontId="7" fillId="3" borderId="9" xfId="0" applyFont="1" applyFill="1" applyBorder="1" applyProtection="1">
      <protection locked="0"/>
    </xf>
    <xf numFmtId="0" fontId="14" fillId="3" borderId="0" xfId="0" applyFont="1" applyFill="1" applyAlignment="1" applyProtection="1">
      <alignment horizontal="center"/>
      <protection locked="0"/>
    </xf>
    <xf numFmtId="0" fontId="7" fillId="0" borderId="0" xfId="0" applyFont="1" applyProtection="1">
      <protection locked="0"/>
    </xf>
    <xf numFmtId="0" fontId="50" fillId="0" borderId="0" xfId="0" applyFont="1" applyAlignment="1" applyProtection="1">
      <alignment horizontal="center" vertical="center" wrapText="1"/>
      <protection locked="0"/>
    </xf>
    <xf numFmtId="0" fontId="50" fillId="0" borderId="0" xfId="0" applyFont="1" applyAlignment="1" applyProtection="1">
      <alignment horizontal="center" wrapText="1"/>
      <protection locked="0"/>
    </xf>
    <xf numFmtId="167" fontId="60" fillId="3" borderId="0" xfId="2" applyNumberFormat="1" applyFont="1" applyFill="1" applyBorder="1" applyAlignment="1" applyProtection="1">
      <alignment vertical="top"/>
      <protection locked="0"/>
    </xf>
    <xf numFmtId="167" fontId="60" fillId="3" borderId="0" xfId="2" applyNumberFormat="1" applyFont="1" applyFill="1" applyBorder="1" applyAlignment="1" applyProtection="1">
      <alignment horizontal="center"/>
      <protection locked="0"/>
    </xf>
    <xf numFmtId="0" fontId="62" fillId="0" borderId="0" xfId="0" applyFont="1" applyAlignment="1" applyProtection="1">
      <alignment horizontal="right"/>
      <protection locked="0"/>
    </xf>
    <xf numFmtId="0" fontId="14" fillId="3" borderId="0" xfId="0" applyFont="1" applyFill="1" applyAlignment="1" applyProtection="1">
      <alignment horizontal="left" vertical="center"/>
      <protection locked="0"/>
    </xf>
    <xf numFmtId="0" fontId="113" fillId="0" borderId="0" xfId="2" applyNumberFormat="1" applyFont="1" applyFill="1" applyBorder="1" applyAlignment="1" applyProtection="1">
      <alignment horizontal="left" vertical="center"/>
      <protection locked="0"/>
    </xf>
    <xf numFmtId="0" fontId="65" fillId="0" borderId="0" xfId="2" applyNumberFormat="1" applyFont="1" applyFill="1" applyBorder="1" applyAlignment="1" applyProtection="1">
      <alignment horizontal="right" vertical="center"/>
      <protection locked="0"/>
    </xf>
    <xf numFmtId="0" fontId="13" fillId="11" borderId="22" xfId="0" applyFont="1" applyFill="1" applyBorder="1" applyAlignment="1" applyProtection="1">
      <alignment horizontal="center" vertical="center" wrapText="1"/>
      <protection locked="0"/>
    </xf>
    <xf numFmtId="0" fontId="7" fillId="0" borderId="0" xfId="0" applyFont="1" applyAlignment="1" applyProtection="1">
      <alignment horizontal="center" vertical="center"/>
      <protection locked="0"/>
    </xf>
    <xf numFmtId="43" fontId="117" fillId="8" borderId="8" xfId="2" applyNumberFormat="1" applyFont="1" applyFill="1" applyBorder="1" applyProtection="1">
      <protection locked="0"/>
    </xf>
    <xf numFmtId="165" fontId="117" fillId="12" borderId="8" xfId="2" applyNumberFormat="1" applyFont="1" applyFill="1" applyBorder="1" applyProtection="1">
      <protection locked="0"/>
    </xf>
    <xf numFmtId="0" fontId="14" fillId="12" borderId="157" xfId="0" applyFont="1" applyFill="1" applyBorder="1" applyAlignment="1" applyProtection="1">
      <alignment horizontal="left" vertical="top"/>
      <protection locked="0"/>
    </xf>
    <xf numFmtId="0" fontId="64" fillId="12" borderId="86" xfId="0" applyFont="1" applyFill="1" applyBorder="1" applyProtection="1">
      <protection locked="0"/>
    </xf>
    <xf numFmtId="165" fontId="14" fillId="12" borderId="87" xfId="2" applyNumberFormat="1" applyFont="1" applyFill="1" applyBorder="1" applyProtection="1">
      <protection locked="0"/>
    </xf>
    <xf numFmtId="164" fontId="14" fillId="3" borderId="0" xfId="2" applyNumberFormat="1" applyFont="1" applyFill="1" applyBorder="1" applyAlignment="1" applyProtection="1">
      <alignment vertical="center"/>
      <protection locked="0"/>
    </xf>
    <xf numFmtId="165" fontId="0" fillId="0" borderId="0" xfId="0" applyNumberFormat="1" applyProtection="1">
      <protection locked="0"/>
    </xf>
    <xf numFmtId="0" fontId="70" fillId="8" borderId="0" xfId="0" applyFont="1" applyFill="1" applyAlignment="1" applyProtection="1">
      <alignment horizontal="left" vertical="top"/>
      <protection locked="0"/>
    </xf>
    <xf numFmtId="0" fontId="70" fillId="8" borderId="0" xfId="0" applyFont="1" applyFill="1" applyAlignment="1" applyProtection="1">
      <alignment horizontal="left" indent="1"/>
      <protection locked="0"/>
    </xf>
    <xf numFmtId="164" fontId="60" fillId="8" borderId="0" xfId="2" applyNumberFormat="1" applyFont="1" applyFill="1" applyBorder="1" applyAlignment="1" applyProtection="1">
      <alignment vertical="center"/>
      <protection locked="0"/>
    </xf>
    <xf numFmtId="0" fontId="14" fillId="2" borderId="93" xfId="0" applyFont="1" applyFill="1" applyBorder="1" applyAlignment="1" applyProtection="1">
      <alignment horizontal="left" vertical="top"/>
      <protection locked="0"/>
    </xf>
    <xf numFmtId="0" fontId="64" fillId="2" borderId="86" xfId="0" applyFont="1" applyFill="1" applyBorder="1" applyProtection="1">
      <protection locked="0"/>
    </xf>
    <xf numFmtId="165" fontId="14" fillId="2" borderId="87" xfId="2" applyNumberFormat="1" applyFont="1" applyFill="1" applyBorder="1" applyProtection="1">
      <protection locked="0"/>
    </xf>
    <xf numFmtId="0" fontId="71" fillId="8" borderId="0" xfId="0" applyFont="1" applyFill="1" applyAlignment="1" applyProtection="1">
      <alignment horizontal="left"/>
      <protection locked="0"/>
    </xf>
    <xf numFmtId="0" fontId="29" fillId="3" borderId="0" xfId="0" applyFont="1" applyFill="1" applyAlignment="1" applyProtection="1">
      <alignment horizontal="center"/>
      <protection locked="0"/>
    </xf>
    <xf numFmtId="0" fontId="29" fillId="3" borderId="0" xfId="0" applyFont="1" applyFill="1" applyAlignment="1" applyProtection="1">
      <alignment vertical="top"/>
      <protection locked="0"/>
    </xf>
    <xf numFmtId="0" fontId="29" fillId="3" borderId="0" xfId="0" applyFont="1" applyFill="1" applyProtection="1">
      <protection locked="0"/>
    </xf>
    <xf numFmtId="164" fontId="15" fillId="3" borderId="0" xfId="0" applyNumberFormat="1" applyFont="1" applyFill="1" applyAlignment="1" applyProtection="1">
      <alignment horizontal="center"/>
      <protection locked="0"/>
    </xf>
    <xf numFmtId="0" fontId="14" fillId="25" borderId="85" xfId="0" applyFont="1" applyFill="1" applyBorder="1" applyAlignment="1" applyProtection="1">
      <alignment horizontal="left" vertical="top"/>
      <protection locked="0"/>
    </xf>
    <xf numFmtId="0" fontId="15" fillId="3" borderId="3" xfId="0" applyFont="1" applyFill="1" applyBorder="1" applyAlignment="1" applyProtection="1">
      <alignment horizontal="left" vertical="center" wrapText="1"/>
      <protection locked="0"/>
    </xf>
    <xf numFmtId="0" fontId="15" fillId="3" borderId="3" xfId="0" applyFont="1" applyFill="1" applyBorder="1" applyAlignment="1" applyProtection="1">
      <alignment vertical="center" wrapText="1"/>
      <protection locked="0"/>
    </xf>
    <xf numFmtId="165" fontId="15" fillId="12" borderId="8" xfId="2" applyNumberFormat="1" applyFont="1" applyFill="1" applyBorder="1" applyAlignment="1" applyProtection="1">
      <alignment vertical="center"/>
      <protection locked="0"/>
    </xf>
    <xf numFmtId="0" fontId="7" fillId="0" borderId="9" xfId="0" applyFont="1" applyBorder="1" applyProtection="1">
      <protection locked="0"/>
    </xf>
    <xf numFmtId="0" fontId="70" fillId="0" borderId="0" xfId="0" applyFont="1" applyAlignment="1" applyProtection="1">
      <alignment horizontal="left" vertical="top"/>
      <protection locked="0"/>
    </xf>
    <xf numFmtId="0" fontId="70" fillId="0" borderId="0" xfId="0" applyFont="1" applyAlignment="1" applyProtection="1">
      <alignment horizontal="left" indent="1"/>
      <protection locked="0"/>
    </xf>
    <xf numFmtId="0" fontId="72" fillId="0" borderId="0" xfId="2" applyNumberFormat="1" applyFont="1" applyFill="1" applyBorder="1" applyAlignment="1" applyProtection="1">
      <alignment horizontal="left" vertical="center"/>
      <protection locked="0"/>
    </xf>
    <xf numFmtId="164" fontId="60" fillId="0" borderId="0" xfId="2" applyNumberFormat="1" applyFont="1" applyFill="1" applyBorder="1" applyAlignment="1" applyProtection="1">
      <alignment vertical="center"/>
      <protection locked="0"/>
    </xf>
    <xf numFmtId="164" fontId="15" fillId="0" borderId="0" xfId="0" applyNumberFormat="1" applyFont="1" applyAlignment="1" applyProtection="1">
      <alignment horizontal="center"/>
      <protection locked="0"/>
    </xf>
    <xf numFmtId="0" fontId="14" fillId="0" borderId="0" xfId="0" applyFont="1" applyAlignment="1" applyProtection="1">
      <alignment horizontal="center"/>
      <protection locked="0"/>
    </xf>
    <xf numFmtId="0" fontId="116" fillId="8" borderId="5" xfId="0" applyFont="1" applyFill="1" applyBorder="1" applyAlignment="1" applyProtection="1">
      <alignment wrapText="1"/>
      <protection locked="0"/>
    </xf>
    <xf numFmtId="0" fontId="56" fillId="0" borderId="0" xfId="0" applyFont="1" applyAlignment="1" applyProtection="1">
      <alignment vertical="top" wrapText="1"/>
      <protection locked="0"/>
    </xf>
    <xf numFmtId="43" fontId="15" fillId="0" borderId="3" xfId="2" applyNumberFormat="1" applyFont="1" applyFill="1" applyBorder="1" applyProtection="1">
      <protection locked="0"/>
    </xf>
    <xf numFmtId="0" fontId="15" fillId="3" borderId="3" xfId="0" applyFont="1" applyFill="1" applyBorder="1" applyAlignment="1" applyProtection="1">
      <alignment vertical="top" wrapText="1"/>
      <protection locked="0"/>
    </xf>
    <xf numFmtId="43" fontId="15" fillId="0" borderId="8" xfId="2" applyNumberFormat="1" applyFont="1" applyFill="1" applyBorder="1" applyAlignment="1" applyProtection="1">
      <alignment vertical="top"/>
      <protection locked="0"/>
    </xf>
    <xf numFmtId="165" fontId="15" fillId="12" borderId="8" xfId="2" applyNumberFormat="1" applyFont="1" applyFill="1" applyBorder="1" applyAlignment="1" applyProtection="1">
      <alignment vertical="top"/>
      <protection locked="0"/>
    </xf>
    <xf numFmtId="0" fontId="72" fillId="8" borderId="0" xfId="2" applyNumberFormat="1" applyFont="1" applyFill="1" applyBorder="1" applyAlignment="1" applyProtection="1">
      <alignment horizontal="right" vertical="center"/>
      <protection locked="0"/>
    </xf>
    <xf numFmtId="164" fontId="126" fillId="0" borderId="0" xfId="2" applyNumberFormat="1" applyFont="1" applyFill="1" applyBorder="1" applyAlignment="1" applyProtection="1">
      <alignment vertical="center"/>
      <protection locked="0"/>
    </xf>
    <xf numFmtId="0" fontId="121" fillId="0" borderId="0" xfId="2" applyNumberFormat="1" applyFont="1" applyFill="1" applyBorder="1" applyAlignment="1" applyProtection="1">
      <alignment horizontal="left" vertical="center"/>
      <protection locked="0"/>
    </xf>
    <xf numFmtId="0" fontId="128" fillId="0" borderId="0" xfId="2" applyNumberFormat="1" applyFont="1" applyFill="1" applyBorder="1" applyAlignment="1" applyProtection="1">
      <alignment vertical="center"/>
      <protection locked="0"/>
    </xf>
    <xf numFmtId="164" fontId="127" fillId="0" borderId="0" xfId="2" applyNumberFormat="1" applyFont="1" applyFill="1" applyBorder="1" applyAlignment="1" applyProtection="1">
      <alignment vertical="center"/>
      <protection locked="0"/>
    </xf>
    <xf numFmtId="164" fontId="127" fillId="0" borderId="0" xfId="0" applyNumberFormat="1" applyFont="1" applyAlignment="1" applyProtection="1">
      <alignment horizontal="center"/>
      <protection locked="0"/>
    </xf>
    <xf numFmtId="0" fontId="128" fillId="0" borderId="0" xfId="0" applyFont="1" applyAlignment="1" applyProtection="1">
      <alignment horizontal="center"/>
      <protection locked="0"/>
    </xf>
    <xf numFmtId="0" fontId="127" fillId="0" borderId="0" xfId="0" applyFont="1" applyProtection="1">
      <protection locked="0"/>
    </xf>
    <xf numFmtId="0" fontId="15" fillId="12" borderId="0" xfId="0" applyFont="1" applyFill="1" applyProtection="1">
      <protection locked="0"/>
    </xf>
    <xf numFmtId="0" fontId="64" fillId="12" borderId="153" xfId="0" applyFont="1" applyFill="1" applyBorder="1" applyProtection="1">
      <protection locked="0"/>
    </xf>
    <xf numFmtId="0" fontId="64" fillId="2" borderId="153" xfId="0" applyFont="1" applyFill="1" applyBorder="1" applyProtection="1">
      <protection locked="0"/>
    </xf>
    <xf numFmtId="0" fontId="116" fillId="8" borderId="3" xfId="0" applyFont="1" applyFill="1" applyBorder="1" applyProtection="1">
      <protection locked="0"/>
    </xf>
    <xf numFmtId="0" fontId="116" fillId="8" borderId="5" xfId="0" applyFont="1" applyFill="1" applyBorder="1" applyProtection="1">
      <protection locked="0"/>
    </xf>
    <xf numFmtId="0" fontId="69" fillId="8" borderId="3" xfId="0" applyFont="1" applyFill="1" applyBorder="1" applyProtection="1">
      <protection locked="0"/>
    </xf>
    <xf numFmtId="0" fontId="69" fillId="8" borderId="5" xfId="0" applyFont="1" applyFill="1" applyBorder="1" applyProtection="1">
      <protection locked="0"/>
    </xf>
    <xf numFmtId="0" fontId="116" fillId="8" borderId="4" xfId="0" applyFont="1" applyFill="1" applyBorder="1" applyProtection="1">
      <protection locked="0"/>
    </xf>
    <xf numFmtId="0" fontId="61" fillId="8" borderId="0" xfId="2" applyNumberFormat="1" applyFont="1" applyFill="1" applyBorder="1" applyAlignment="1" applyProtection="1">
      <alignment horizontal="left" vertical="center"/>
      <protection locked="0"/>
    </xf>
    <xf numFmtId="164" fontId="79" fillId="8" borderId="0" xfId="2" applyNumberFormat="1" applyFont="1" applyFill="1" applyBorder="1" applyAlignment="1" applyProtection="1">
      <alignment vertical="center"/>
      <protection locked="0"/>
    </xf>
    <xf numFmtId="0" fontId="7" fillId="8" borderId="0" xfId="0" applyFont="1" applyFill="1" applyProtection="1">
      <protection locked="0"/>
    </xf>
    <xf numFmtId="0" fontId="61" fillId="33" borderId="0" xfId="2" applyNumberFormat="1" applyFont="1" applyFill="1" applyBorder="1" applyAlignment="1" applyProtection="1">
      <alignment horizontal="left" vertical="center"/>
      <protection locked="0"/>
    </xf>
    <xf numFmtId="164" fontId="79" fillId="33" borderId="0" xfId="2" applyNumberFormat="1" applyFont="1" applyFill="1" applyBorder="1" applyAlignment="1" applyProtection="1">
      <alignment vertical="center"/>
      <protection locked="0"/>
    </xf>
    <xf numFmtId="0" fontId="7" fillId="33" borderId="0" xfId="0" applyFont="1" applyFill="1" applyProtection="1">
      <protection locked="0"/>
    </xf>
    <xf numFmtId="0" fontId="15" fillId="15" borderId="0" xfId="0" applyFont="1" applyFill="1" applyProtection="1">
      <protection locked="0"/>
    </xf>
    <xf numFmtId="0" fontId="127" fillId="0" borderId="177" xfId="0" applyFont="1" applyBorder="1" applyProtection="1">
      <protection locked="0"/>
    </xf>
    <xf numFmtId="0" fontId="128" fillId="0" borderId="0" xfId="0" applyFont="1" applyAlignment="1" applyProtection="1">
      <alignment horizontal="left" vertical="top"/>
      <protection locked="0"/>
    </xf>
    <xf numFmtId="0" fontId="128" fillId="0" borderId="0" xfId="0" applyFont="1" applyAlignment="1" applyProtection="1">
      <alignment horizontal="left" indent="1"/>
      <protection locked="0"/>
    </xf>
    <xf numFmtId="164" fontId="127" fillId="0" borderId="178" xfId="2" applyNumberFormat="1" applyFont="1" applyFill="1" applyBorder="1" applyAlignment="1" applyProtection="1">
      <alignment vertical="center"/>
      <protection locked="0"/>
    </xf>
    <xf numFmtId="0" fontId="34" fillId="33" borderId="177" xfId="0" applyFont="1" applyFill="1" applyBorder="1" applyProtection="1">
      <protection locked="0"/>
    </xf>
    <xf numFmtId="0" fontId="13" fillId="33" borderId="0" xfId="0" applyFont="1" applyFill="1" applyAlignment="1" applyProtection="1">
      <alignment horizontal="left" vertical="top"/>
      <protection locked="0"/>
    </xf>
    <xf numFmtId="0" fontId="13" fillId="33" borderId="0" xfId="0" applyFont="1" applyFill="1" applyAlignment="1" applyProtection="1">
      <alignment horizontal="left" indent="1"/>
      <protection locked="0"/>
    </xf>
    <xf numFmtId="164" fontId="79" fillId="33" borderId="178" xfId="2" applyNumberFormat="1" applyFont="1" applyFill="1" applyBorder="1" applyAlignment="1" applyProtection="1">
      <alignment vertical="center"/>
      <protection locked="0"/>
    </xf>
    <xf numFmtId="0" fontId="34" fillId="8" borderId="177" xfId="0" applyFont="1" applyFill="1" applyBorder="1" applyProtection="1">
      <protection locked="0"/>
    </xf>
    <xf numFmtId="0" fontId="13" fillId="8" borderId="0" xfId="0" applyFont="1" applyFill="1" applyAlignment="1" applyProtection="1">
      <alignment horizontal="left" vertical="top"/>
      <protection locked="0"/>
    </xf>
    <xf numFmtId="0" fontId="13" fillId="8" borderId="0" xfId="0" applyFont="1" applyFill="1" applyAlignment="1" applyProtection="1">
      <alignment horizontal="left" indent="1"/>
      <protection locked="0"/>
    </xf>
    <xf numFmtId="164" fontId="79" fillId="8" borderId="178" xfId="2" applyNumberFormat="1" applyFont="1" applyFill="1" applyBorder="1" applyAlignment="1" applyProtection="1">
      <alignment vertical="center"/>
      <protection locked="0"/>
    </xf>
    <xf numFmtId="0" fontId="7" fillId="0" borderId="177" xfId="0" applyFont="1" applyBorder="1" applyProtection="1">
      <protection locked="0"/>
    </xf>
    <xf numFmtId="0" fontId="70" fillId="0" borderId="0" xfId="0" applyFont="1" applyAlignment="1" applyProtection="1">
      <alignment horizontal="left" vertical="top" indent="1"/>
      <protection locked="0"/>
    </xf>
    <xf numFmtId="164" fontId="126" fillId="0" borderId="178" xfId="2" applyNumberFormat="1" applyFont="1" applyFill="1" applyBorder="1" applyAlignment="1" applyProtection="1">
      <alignment vertical="center"/>
      <protection locked="0"/>
    </xf>
    <xf numFmtId="164" fontId="60" fillId="0" borderId="178" xfId="2" applyNumberFormat="1" applyFont="1" applyFill="1" applyBorder="1" applyAlignment="1" applyProtection="1">
      <alignment vertical="center"/>
      <protection locked="0"/>
    </xf>
    <xf numFmtId="0" fontId="29" fillId="0" borderId="178" xfId="0" applyFont="1" applyBorder="1" applyProtection="1">
      <protection locked="0"/>
    </xf>
    <xf numFmtId="0" fontId="15" fillId="0" borderId="0" xfId="0" applyFont="1" applyProtection="1">
      <protection locked="0"/>
    </xf>
    <xf numFmtId="0" fontId="130" fillId="2" borderId="177" xfId="0" applyFont="1" applyFill="1" applyBorder="1" applyProtection="1">
      <protection locked="0"/>
    </xf>
    <xf numFmtId="0" fontId="131" fillId="2" borderId="0" xfId="0" applyFont="1" applyFill="1" applyAlignment="1" applyProtection="1">
      <alignment horizontal="left" vertical="top"/>
      <protection locked="0"/>
    </xf>
    <xf numFmtId="0" fontId="131" fillId="2" borderId="0" xfId="0" applyFont="1" applyFill="1" applyAlignment="1" applyProtection="1">
      <alignment horizontal="left" indent="1"/>
      <protection locked="0"/>
    </xf>
    <xf numFmtId="0" fontId="132" fillId="2" borderId="0" xfId="2" applyNumberFormat="1" applyFont="1" applyFill="1" applyBorder="1" applyAlignment="1" applyProtection="1">
      <alignment horizontal="left" vertical="center"/>
      <protection locked="0"/>
    </xf>
    <xf numFmtId="164" fontId="133" fillId="2" borderId="0" xfId="2" applyNumberFormat="1" applyFont="1" applyFill="1" applyBorder="1" applyAlignment="1" applyProtection="1">
      <alignment vertical="center"/>
      <protection locked="0"/>
    </xf>
    <xf numFmtId="164" fontId="133" fillId="2" borderId="178" xfId="2" applyNumberFormat="1" applyFont="1" applyFill="1" applyBorder="1" applyAlignment="1" applyProtection="1">
      <alignment vertical="center"/>
      <protection locked="0"/>
    </xf>
    <xf numFmtId="0" fontId="130" fillId="2" borderId="0" xfId="0" applyFont="1" applyFill="1" applyProtection="1">
      <protection locked="0"/>
    </xf>
    <xf numFmtId="0" fontId="14" fillId="25" borderId="177" xfId="0" applyFont="1" applyFill="1" applyBorder="1" applyAlignment="1" applyProtection="1">
      <alignment horizontal="left" vertical="top" indent="1"/>
      <protection locked="0"/>
    </xf>
    <xf numFmtId="0" fontId="14" fillId="25" borderId="0" xfId="0" applyFont="1" applyFill="1" applyAlignment="1" applyProtection="1">
      <alignment horizontal="left" vertical="top" indent="1"/>
      <protection locked="0"/>
    </xf>
    <xf numFmtId="0" fontId="14" fillId="25" borderId="0" xfId="0" applyFont="1" applyFill="1" applyAlignment="1" applyProtection="1">
      <alignment horizontal="left" indent="1"/>
      <protection locked="0"/>
    </xf>
    <xf numFmtId="0" fontId="15" fillId="25" borderId="0" xfId="0" applyFont="1" applyFill="1" applyProtection="1">
      <protection locked="0"/>
    </xf>
    <xf numFmtId="164" fontId="60" fillId="25" borderId="0" xfId="2" applyNumberFormat="1" applyFont="1" applyFill="1" applyBorder="1" applyAlignment="1" applyProtection="1">
      <alignment vertical="center"/>
      <protection locked="0"/>
    </xf>
    <xf numFmtId="164" fontId="60" fillId="25" borderId="178" xfId="2" applyNumberFormat="1" applyFont="1" applyFill="1" applyBorder="1" applyAlignment="1" applyProtection="1">
      <alignment vertical="center"/>
      <protection locked="0"/>
    </xf>
    <xf numFmtId="0" fontId="14" fillId="34" borderId="177" xfId="0" applyFont="1" applyFill="1" applyBorder="1" applyAlignment="1" applyProtection="1">
      <alignment horizontal="left" vertical="top" indent="1"/>
      <protection locked="0"/>
    </xf>
    <xf numFmtId="0" fontId="14" fillId="34" borderId="0" xfId="0" applyFont="1" applyFill="1" applyAlignment="1" applyProtection="1">
      <alignment horizontal="left" vertical="top" indent="1"/>
      <protection locked="0"/>
    </xf>
    <xf numFmtId="0" fontId="14" fillId="34" borderId="0" xfId="0" applyFont="1" applyFill="1" applyAlignment="1" applyProtection="1">
      <alignment horizontal="left" indent="1"/>
      <protection locked="0"/>
    </xf>
    <xf numFmtId="0" fontId="15" fillId="34" borderId="0" xfId="0" applyFont="1" applyFill="1" applyProtection="1">
      <protection locked="0"/>
    </xf>
    <xf numFmtId="164" fontId="60" fillId="34" borderId="0" xfId="2" applyNumberFormat="1" applyFont="1" applyFill="1" applyBorder="1" applyAlignment="1" applyProtection="1">
      <alignment vertical="center"/>
      <protection locked="0"/>
    </xf>
    <xf numFmtId="164" fontId="60" fillId="34" borderId="178" xfId="2" applyNumberFormat="1" applyFont="1" applyFill="1" applyBorder="1" applyAlignment="1" applyProtection="1">
      <alignment vertical="center"/>
      <protection locked="0"/>
    </xf>
    <xf numFmtId="0" fontId="0" fillId="0" borderId="179" xfId="0" applyBorder="1" applyProtection="1">
      <protection locked="0"/>
    </xf>
    <xf numFmtId="0" fontId="0" fillId="0" borderId="181" xfId="0" applyBorder="1" applyProtection="1">
      <protection locked="0"/>
    </xf>
    <xf numFmtId="0" fontId="0" fillId="0" borderId="180" xfId="0" applyBorder="1" applyProtection="1">
      <protection locked="0"/>
    </xf>
    <xf numFmtId="0" fontId="13" fillId="33" borderId="0" xfId="2" applyNumberFormat="1" applyFont="1" applyFill="1" applyBorder="1" applyAlignment="1" applyProtection="1">
      <alignment horizontal="left" vertical="center"/>
      <protection locked="0"/>
    </xf>
    <xf numFmtId="164" fontId="34" fillId="33" borderId="0" xfId="2" applyNumberFormat="1" applyFont="1" applyFill="1" applyBorder="1" applyAlignment="1" applyProtection="1">
      <alignment vertical="center"/>
      <protection locked="0"/>
    </xf>
    <xf numFmtId="164" fontId="34" fillId="33" borderId="178" xfId="2" applyNumberFormat="1" applyFont="1" applyFill="1" applyBorder="1" applyAlignment="1" applyProtection="1">
      <alignment vertical="center"/>
      <protection locked="0"/>
    </xf>
    <xf numFmtId="0" fontId="9" fillId="0" borderId="0" xfId="0" applyFont="1" applyAlignment="1" applyProtection="1">
      <alignment horizontal="center"/>
      <protection locked="0"/>
    </xf>
    <xf numFmtId="0" fontId="131" fillId="2" borderId="0" xfId="2" applyNumberFormat="1" applyFont="1" applyFill="1" applyBorder="1" applyAlignment="1" applyProtection="1">
      <alignment horizontal="left" vertical="center"/>
      <protection locked="0"/>
    </xf>
    <xf numFmtId="164" fontId="130" fillId="2" borderId="0" xfId="2" applyNumberFormat="1" applyFont="1" applyFill="1" applyBorder="1" applyAlignment="1" applyProtection="1">
      <alignment vertical="center"/>
      <protection locked="0"/>
    </xf>
    <xf numFmtId="164" fontId="130" fillId="2" borderId="178" xfId="2" applyNumberFormat="1" applyFont="1" applyFill="1" applyBorder="1" applyAlignment="1" applyProtection="1">
      <alignment vertical="center"/>
      <protection locked="0"/>
    </xf>
    <xf numFmtId="0" fontId="134" fillId="0" borderId="0" xfId="2" applyNumberFormat="1" applyFont="1" applyFill="1" applyBorder="1" applyAlignment="1" applyProtection="1">
      <alignment horizontal="right" vertical="center"/>
      <protection locked="0"/>
    </xf>
    <xf numFmtId="0" fontId="116" fillId="8" borderId="3" xfId="0" applyFont="1" applyFill="1" applyBorder="1" applyAlignment="1" applyProtection="1">
      <alignment vertical="top"/>
      <protection locked="0"/>
    </xf>
    <xf numFmtId="0" fontId="116" fillId="8" borderId="4" xfId="0" applyFont="1" applyFill="1" applyBorder="1" applyAlignment="1" applyProtection="1">
      <alignment vertical="top"/>
      <protection locked="0"/>
    </xf>
    <xf numFmtId="0" fontId="84" fillId="0" borderId="0" xfId="5" applyFont="1" applyAlignment="1" applyProtection="1">
      <alignment vertical="top"/>
      <protection locked="0"/>
    </xf>
    <xf numFmtId="0" fontId="0" fillId="14" borderId="0" xfId="0" applyFill="1"/>
    <xf numFmtId="49" fontId="33" fillId="0" borderId="0" xfId="0" applyNumberFormat="1" applyFont="1" applyAlignment="1" applyProtection="1">
      <alignment horizontal="center" vertical="top"/>
      <protection locked="0"/>
    </xf>
    <xf numFmtId="0" fontId="33" fillId="0" borderId="0" xfId="0" applyFont="1" applyAlignment="1">
      <alignment horizontal="left" vertical="top"/>
    </xf>
    <xf numFmtId="0" fontId="37" fillId="0" borderId="0" xfId="0" applyFont="1" applyAlignment="1">
      <alignment horizontal="left" vertical="top"/>
    </xf>
    <xf numFmtId="0" fontId="36" fillId="0" borderId="0" xfId="0" applyFont="1" applyAlignment="1">
      <alignment vertical="top"/>
    </xf>
    <xf numFmtId="0" fontId="142" fillId="0" borderId="0" xfId="0" applyFont="1"/>
    <xf numFmtId="0" fontId="44" fillId="0" borderId="0" xfId="0" applyFont="1" applyAlignment="1">
      <alignment horizontal="center" vertical="center" wrapText="1"/>
    </xf>
    <xf numFmtId="0" fontId="8" fillId="0" borderId="0" xfId="0" applyFont="1" applyAlignment="1">
      <alignment horizontal="left" vertical="top" indent="1"/>
    </xf>
    <xf numFmtId="0" fontId="8" fillId="0" borderId="0" xfId="0" applyFont="1" applyAlignment="1">
      <alignment horizontal="left" indent="1"/>
    </xf>
    <xf numFmtId="0" fontId="11" fillId="0" borderId="0" xfId="0" applyFont="1" applyAlignment="1">
      <alignment horizontal="left" indent="1"/>
    </xf>
    <xf numFmtId="0" fontId="8" fillId="0" borderId="0" xfId="0" applyFont="1" applyAlignment="1">
      <alignment horizontal="center" vertical="center"/>
    </xf>
    <xf numFmtId="0" fontId="0" fillId="8" borderId="7" xfId="0" applyFill="1" applyBorder="1" applyAlignment="1">
      <alignment horizontal="left"/>
    </xf>
    <xf numFmtId="0" fontId="30" fillId="3" borderId="0" xfId="0" applyFont="1" applyFill="1"/>
    <xf numFmtId="0" fontId="148" fillId="3" borderId="0" xfId="0" applyFont="1" applyFill="1" applyAlignment="1">
      <alignment vertical="center"/>
    </xf>
    <xf numFmtId="0" fontId="44" fillId="8" borderId="0" xfId="0" applyFont="1" applyFill="1" applyAlignment="1">
      <alignment horizontal="center" vertical="center" wrapText="1"/>
    </xf>
    <xf numFmtId="0" fontId="44" fillId="8" borderId="0" xfId="0" applyFont="1" applyFill="1" applyAlignment="1">
      <alignment vertical="center" wrapText="1"/>
    </xf>
    <xf numFmtId="0" fontId="149" fillId="8" borderId="0" xfId="0" applyFont="1" applyFill="1" applyAlignment="1">
      <alignment vertical="top"/>
    </xf>
    <xf numFmtId="0" fontId="144" fillId="8" borderId="0" xfId="2" applyNumberFormat="1" applyFont="1" applyFill="1" applyBorder="1" applyAlignment="1">
      <alignment horizontal="right"/>
    </xf>
    <xf numFmtId="165" fontId="145" fillId="8" borderId="0" xfId="2" applyNumberFormat="1" applyFont="1" applyFill="1" applyBorder="1" applyAlignment="1">
      <alignment horizontal="right"/>
    </xf>
    <xf numFmtId="0" fontId="43" fillId="0" borderId="0" xfId="5" applyFill="1" applyBorder="1"/>
    <xf numFmtId="0" fontId="14" fillId="0" borderId="0" xfId="0" applyFont="1" applyAlignment="1">
      <alignment vertical="center"/>
    </xf>
    <xf numFmtId="0" fontId="6" fillId="8" borderId="9" xfId="0" applyFont="1" applyFill="1" applyBorder="1" applyAlignment="1">
      <alignment vertical="center" wrapText="1"/>
    </xf>
    <xf numFmtId="0" fontId="6" fillId="8" borderId="0" xfId="0" applyFont="1" applyFill="1" applyAlignment="1">
      <alignment vertical="center" wrapText="1"/>
    </xf>
    <xf numFmtId="0" fontId="6" fillId="8" borderId="0" xfId="0" applyFont="1" applyFill="1" applyAlignment="1">
      <alignment horizontal="center" vertical="center" wrapText="1"/>
    </xf>
    <xf numFmtId="0" fontId="149" fillId="8" borderId="0" xfId="0" applyFont="1" applyFill="1" applyAlignment="1">
      <alignment horizontal="left" vertical="top" indent="6"/>
    </xf>
    <xf numFmtId="0" fontId="9" fillId="12" borderId="182" xfId="0" applyFont="1" applyFill="1" applyBorder="1" applyAlignment="1">
      <alignment vertical="center"/>
    </xf>
    <xf numFmtId="0" fontId="143" fillId="0" borderId="0" xfId="5" applyFont="1" applyFill="1" applyBorder="1" applyAlignment="1">
      <alignment horizontal="center" vertical="center"/>
    </xf>
    <xf numFmtId="0" fontId="143" fillId="0" borderId="0" xfId="0" applyFont="1" applyAlignment="1">
      <alignment horizontal="center" vertical="center"/>
    </xf>
    <xf numFmtId="0" fontId="60" fillId="0" borderId="0" xfId="2" applyNumberFormat="1" applyFont="1" applyFill="1" applyBorder="1" applyAlignment="1">
      <alignment horizontal="left"/>
    </xf>
    <xf numFmtId="165" fontId="60" fillId="0" borderId="0" xfId="2" applyNumberFormat="1" applyFont="1" applyFill="1" applyBorder="1"/>
    <xf numFmtId="0" fontId="96" fillId="0" borderId="0" xfId="0" applyFont="1" applyAlignment="1">
      <alignment vertical="top" wrapText="1"/>
    </xf>
    <xf numFmtId="0" fontId="151" fillId="8" borderId="0" xfId="0" applyFont="1" applyFill="1" applyAlignment="1">
      <alignment vertical="center"/>
    </xf>
    <xf numFmtId="0" fontId="152" fillId="0" borderId="0" xfId="0" applyFont="1" applyAlignment="1">
      <alignment horizontal="left" vertical="center"/>
    </xf>
    <xf numFmtId="0" fontId="13" fillId="8" borderId="0" xfId="0" applyFont="1" applyFill="1" applyAlignment="1">
      <alignment horizontal="center"/>
    </xf>
    <xf numFmtId="0" fontId="34" fillId="8" borderId="10" xfId="0" applyFont="1" applyFill="1" applyBorder="1"/>
    <xf numFmtId="0" fontId="49" fillId="35" borderId="0" xfId="0" applyFont="1" applyFill="1" applyAlignment="1">
      <alignment vertical="center"/>
    </xf>
    <xf numFmtId="0" fontId="50" fillId="8" borderId="0" xfId="0" applyFont="1" applyFill="1" applyAlignment="1">
      <alignment horizontal="center" vertical="center"/>
    </xf>
    <xf numFmtId="0" fontId="7" fillId="8" borderId="10" xfId="0" applyFont="1" applyFill="1" applyBorder="1"/>
    <xf numFmtId="0" fontId="153" fillId="0" borderId="0" xfId="0" applyFont="1" applyAlignment="1">
      <alignment vertical="top" wrapText="1"/>
    </xf>
    <xf numFmtId="0" fontId="155" fillId="0" borderId="0" xfId="0" applyFont="1" applyAlignment="1">
      <alignment vertical="center"/>
    </xf>
    <xf numFmtId="0" fontId="9" fillId="37" borderId="0" xfId="0" applyFont="1" applyFill="1" applyAlignment="1">
      <alignment vertical="center"/>
    </xf>
    <xf numFmtId="0" fontId="9" fillId="0" borderId="36" xfId="0" applyFont="1" applyBorder="1" applyAlignment="1">
      <alignment vertical="center"/>
    </xf>
    <xf numFmtId="0" fontId="51" fillId="0" borderId="36" xfId="0" applyFont="1" applyBorder="1" applyProtection="1">
      <protection locked="0"/>
    </xf>
    <xf numFmtId="0" fontId="7" fillId="0" borderId="36" xfId="0" applyFont="1" applyBorder="1" applyProtection="1">
      <protection locked="0"/>
    </xf>
    <xf numFmtId="0" fontId="146" fillId="35" borderId="173" xfId="0" applyFont="1" applyFill="1" applyBorder="1" applyAlignment="1">
      <alignment vertical="center"/>
    </xf>
    <xf numFmtId="167" fontId="60" fillId="3" borderId="187" xfId="2" applyNumberFormat="1" applyFont="1" applyFill="1" applyBorder="1" applyAlignment="1" applyProtection="1">
      <alignment vertical="top"/>
      <protection locked="0"/>
    </xf>
    <xf numFmtId="167" fontId="60" fillId="3" borderId="36" xfId="2" applyNumberFormat="1" applyFont="1" applyFill="1" applyBorder="1" applyAlignment="1" applyProtection="1">
      <alignment vertical="top"/>
      <protection locked="0"/>
    </xf>
    <xf numFmtId="0" fontId="15" fillId="3" borderId="36" xfId="0" applyFont="1" applyFill="1" applyBorder="1" applyProtection="1">
      <protection locked="0"/>
    </xf>
    <xf numFmtId="0" fontId="15" fillId="0" borderId="36" xfId="0" applyFont="1" applyBorder="1" applyProtection="1">
      <protection locked="0"/>
    </xf>
    <xf numFmtId="0" fontId="129" fillId="0" borderId="0" xfId="0" applyFont="1" applyProtection="1">
      <protection locked="0"/>
    </xf>
    <xf numFmtId="0" fontId="149" fillId="8" borderId="0" xfId="0" applyFont="1" applyFill="1" applyAlignment="1">
      <alignment horizontal="left" vertical="top"/>
    </xf>
    <xf numFmtId="0" fontId="9" fillId="0" borderId="182" xfId="0" applyFont="1" applyBorder="1" applyAlignment="1">
      <alignment vertical="center"/>
    </xf>
    <xf numFmtId="0" fontId="14" fillId="0" borderId="79" xfId="0" applyFont="1" applyBorder="1"/>
    <xf numFmtId="0" fontId="15" fillId="0" borderId="79" xfId="0" applyFont="1" applyBorder="1"/>
    <xf numFmtId="0" fontId="15" fillId="0" borderId="42" xfId="0" applyFont="1" applyBorder="1"/>
    <xf numFmtId="0" fontId="15" fillId="0" borderId="44" xfId="0" applyFont="1" applyBorder="1"/>
    <xf numFmtId="0" fontId="158" fillId="8" borderId="0" xfId="0" applyFont="1" applyFill="1" applyAlignment="1">
      <alignment vertical="top"/>
    </xf>
    <xf numFmtId="0" fontId="159" fillId="8" borderId="0" xfId="0" applyFont="1" applyFill="1" applyAlignment="1">
      <alignment vertical="top"/>
    </xf>
    <xf numFmtId="0" fontId="149" fillId="0" borderId="0" xfId="0" applyFont="1" applyAlignment="1">
      <alignment horizontal="left" vertical="top" indent="6"/>
    </xf>
    <xf numFmtId="0" fontId="149" fillId="0" borderId="0" xfId="0" applyFont="1" applyAlignment="1">
      <alignment horizontal="left" vertical="top"/>
    </xf>
    <xf numFmtId="0" fontId="6" fillId="0" borderId="0" xfId="0" applyFont="1" applyAlignment="1">
      <alignment vertical="center" wrapText="1"/>
    </xf>
    <xf numFmtId="0" fontId="0" fillId="3" borderId="36" xfId="0" applyFill="1" applyBorder="1"/>
    <xf numFmtId="0" fontId="29" fillId="0" borderId="149" xfId="6" applyFont="1" applyBorder="1"/>
    <xf numFmtId="0" fontId="160" fillId="7" borderId="45" xfId="6" applyFont="1" applyFill="1" applyBorder="1" applyAlignment="1">
      <alignment horizontal="left" vertical="center" wrapText="1"/>
    </xf>
    <xf numFmtId="0" fontId="14" fillId="3" borderId="0" xfId="0" applyFont="1" applyFill="1" applyAlignment="1" applyProtection="1">
      <alignment horizontal="left" indent="2"/>
      <protection locked="0"/>
    </xf>
    <xf numFmtId="0" fontId="162" fillId="8" borderId="0" xfId="0" applyFont="1" applyFill="1" applyAlignment="1">
      <alignment vertical="top"/>
    </xf>
    <xf numFmtId="0" fontId="13" fillId="19" borderId="84" xfId="0" applyFont="1" applyFill="1" applyBorder="1" applyAlignment="1">
      <alignment horizontal="left"/>
    </xf>
    <xf numFmtId="0" fontId="101" fillId="27" borderId="27" xfId="0" applyFont="1" applyFill="1" applyBorder="1"/>
    <xf numFmtId="0" fontId="7" fillId="0" borderId="36" xfId="0" applyFont="1" applyBorder="1"/>
    <xf numFmtId="0" fontId="157" fillId="8" borderId="0" xfId="0" applyFont="1" applyFill="1" applyAlignment="1">
      <alignment vertical="top"/>
    </xf>
    <xf numFmtId="0" fontId="0" fillId="35" borderId="0" xfId="0" applyFill="1"/>
    <xf numFmtId="0" fontId="30" fillId="7" borderId="46" xfId="0" applyFont="1" applyFill="1" applyBorder="1" applyAlignment="1">
      <alignment horizontal="left" vertical="top" wrapText="1"/>
    </xf>
    <xf numFmtId="0" fontId="30" fillId="7" borderId="46" xfId="0" applyFont="1" applyFill="1" applyBorder="1" applyAlignment="1">
      <alignment horizontal="center" vertical="top" wrapText="1"/>
    </xf>
    <xf numFmtId="0" fontId="30" fillId="7" borderId="47" xfId="0" applyFont="1" applyFill="1" applyBorder="1" applyAlignment="1">
      <alignment horizontal="center" vertical="top" wrapText="1"/>
    </xf>
    <xf numFmtId="0" fontId="7" fillId="35" borderId="36" xfId="0" applyFont="1" applyFill="1" applyBorder="1"/>
    <xf numFmtId="15" fontId="61" fillId="11" borderId="128" xfId="0" applyNumberFormat="1" applyFont="1" applyFill="1" applyBorder="1" applyAlignment="1">
      <alignment horizontal="center" vertical="center" wrapText="1"/>
    </xf>
    <xf numFmtId="43" fontId="15" fillId="12" borderId="24" xfId="2" applyNumberFormat="1" applyFont="1" applyFill="1" applyBorder="1" applyAlignment="1" applyProtection="1">
      <alignment horizontal="right" vertical="top"/>
    </xf>
    <xf numFmtId="165" fontId="15" fillId="12" borderId="24" xfId="2" applyNumberFormat="1" applyFont="1" applyFill="1" applyBorder="1" applyProtection="1"/>
    <xf numFmtId="43" fontId="15" fillId="8" borderId="24" xfId="2" applyNumberFormat="1" applyFont="1" applyFill="1" applyBorder="1" applyProtection="1"/>
    <xf numFmtId="165" fontId="15" fillId="8" borderId="24" xfId="2" applyNumberFormat="1" applyFont="1" applyFill="1" applyBorder="1" applyAlignment="1" applyProtection="1">
      <alignment wrapText="1"/>
    </xf>
    <xf numFmtId="15" fontId="61" fillId="11" borderId="7" xfId="0" applyNumberFormat="1" applyFont="1" applyFill="1" applyBorder="1" applyAlignment="1">
      <alignment horizontal="center" vertical="center" wrapText="1"/>
    </xf>
    <xf numFmtId="0" fontId="61" fillId="11" borderId="7" xfId="0" applyFont="1" applyFill="1" applyBorder="1" applyAlignment="1">
      <alignment horizontal="center" vertical="center" wrapText="1"/>
    </xf>
    <xf numFmtId="0" fontId="7" fillId="8" borderId="36" xfId="0" applyFont="1" applyFill="1" applyBorder="1" applyAlignment="1">
      <alignment wrapText="1"/>
    </xf>
    <xf numFmtId="0" fontId="7" fillId="8" borderId="36" xfId="0" applyFont="1" applyFill="1" applyBorder="1"/>
    <xf numFmtId="165" fontId="47" fillId="8" borderId="36" xfId="2" applyNumberFormat="1" applyFont="1" applyFill="1" applyBorder="1" applyAlignment="1" applyProtection="1">
      <alignment vertical="center"/>
    </xf>
    <xf numFmtId="0" fontId="43" fillId="0" borderId="0" xfId="5" applyAlignment="1">
      <alignment vertical="center" wrapText="1"/>
    </xf>
    <xf numFmtId="0" fontId="85" fillId="8" borderId="0" xfId="0" applyFont="1" applyFill="1" applyAlignment="1">
      <alignment vertical="top" wrapText="1"/>
    </xf>
    <xf numFmtId="0" fontId="85" fillId="8" borderId="56" xfId="0" applyFont="1" applyFill="1" applyBorder="1" applyAlignment="1">
      <alignment vertical="top" wrapText="1"/>
    </xf>
    <xf numFmtId="0" fontId="9" fillId="2" borderId="0" xfId="0" applyFont="1" applyFill="1" applyAlignment="1">
      <alignment vertical="center"/>
    </xf>
    <xf numFmtId="0" fontId="9" fillId="2" borderId="185" xfId="0" applyFont="1" applyFill="1" applyBorder="1" applyAlignment="1">
      <alignment vertical="center"/>
    </xf>
    <xf numFmtId="0" fontId="143" fillId="2" borderId="182" xfId="5" applyFont="1" applyFill="1" applyBorder="1" applyAlignment="1">
      <alignment horizontal="center" vertical="center"/>
    </xf>
    <xf numFmtId="0" fontId="143" fillId="2" borderId="182" xfId="0" applyFont="1" applyFill="1" applyBorder="1" applyAlignment="1">
      <alignment horizontal="center" vertical="center"/>
    </xf>
    <xf numFmtId="0" fontId="9" fillId="2" borderId="182" xfId="0" applyFont="1" applyFill="1" applyBorder="1" applyAlignment="1">
      <alignment vertical="center"/>
    </xf>
    <xf numFmtId="0" fontId="9" fillId="2" borderId="186" xfId="0" applyFont="1" applyFill="1" applyBorder="1" applyAlignment="1">
      <alignment vertical="center"/>
    </xf>
    <xf numFmtId="0" fontId="4" fillId="0" borderId="0" xfId="0" applyFont="1"/>
    <xf numFmtId="0" fontId="4" fillId="0" borderId="36" xfId="0" applyFont="1" applyBorder="1"/>
    <xf numFmtId="0" fontId="15" fillId="3" borderId="30" xfId="0" applyFont="1" applyFill="1" applyBorder="1"/>
    <xf numFmtId="0" fontId="15" fillId="3" borderId="31" xfId="0" applyFont="1" applyFill="1" applyBorder="1"/>
    <xf numFmtId="0" fontId="14" fillId="3" borderId="0" xfId="0" applyFont="1" applyFill="1" applyAlignment="1">
      <alignment vertical="center"/>
    </xf>
    <xf numFmtId="0" fontId="14" fillId="3" borderId="0" xfId="0" applyFont="1" applyFill="1"/>
    <xf numFmtId="0" fontId="15" fillId="3" borderId="0" xfId="0" applyFont="1" applyFill="1" applyAlignment="1">
      <alignment vertical="center"/>
    </xf>
    <xf numFmtId="0" fontId="15" fillId="3" borderId="33" xfId="0" applyFont="1" applyFill="1" applyBorder="1" applyAlignment="1">
      <alignment horizontal="center"/>
    </xf>
    <xf numFmtId="0" fontId="15" fillId="3" borderId="0" xfId="0" applyFont="1" applyFill="1" applyAlignment="1">
      <alignment horizontal="center"/>
    </xf>
    <xf numFmtId="0" fontId="14" fillId="3" borderId="33" xfId="0" applyFont="1" applyFill="1" applyBorder="1" applyAlignment="1">
      <alignment vertical="center"/>
    </xf>
    <xf numFmtId="0" fontId="15" fillId="3" borderId="33" xfId="0" applyFont="1" applyFill="1" applyBorder="1" applyAlignment="1">
      <alignment vertical="center"/>
    </xf>
    <xf numFmtId="0" fontId="15" fillId="3" borderId="0" xfId="0" applyFont="1" applyFill="1" applyAlignment="1">
      <alignment vertical="center" wrapText="1"/>
    </xf>
    <xf numFmtId="0" fontId="14" fillId="3" borderId="0" xfId="0" applyFont="1" applyFill="1" applyAlignment="1">
      <alignment horizontal="left" vertical="center"/>
    </xf>
    <xf numFmtId="0" fontId="14" fillId="3" borderId="0" xfId="0" applyFont="1" applyFill="1" applyAlignment="1">
      <alignment horizontal="left" vertical="center" indent="1"/>
    </xf>
    <xf numFmtId="0" fontId="15" fillId="3" borderId="33" xfId="0" applyFont="1" applyFill="1" applyBorder="1"/>
    <xf numFmtId="0" fontId="14" fillId="8" borderId="7" xfId="0" applyFont="1" applyFill="1" applyBorder="1" applyAlignment="1">
      <alignment horizontal="center" vertical="center"/>
    </xf>
    <xf numFmtId="0" fontId="14" fillId="3" borderId="33" xfId="0" applyFont="1" applyFill="1" applyBorder="1"/>
    <xf numFmtId="0" fontId="15" fillId="8" borderId="37" xfId="0" applyFont="1" applyFill="1" applyBorder="1" applyAlignment="1">
      <alignment horizontal="center" vertical="center"/>
    </xf>
    <xf numFmtId="0" fontId="15" fillId="8" borderId="7" xfId="0" applyFont="1" applyFill="1" applyBorder="1" applyAlignment="1">
      <alignment horizontal="center" vertical="center"/>
    </xf>
    <xf numFmtId="0" fontId="14" fillId="8" borderId="7" xfId="0" applyFont="1" applyFill="1" applyBorder="1" applyAlignment="1">
      <alignment horizontal="center" vertical="center" wrapText="1"/>
    </xf>
    <xf numFmtId="49" fontId="15" fillId="8" borderId="7" xfId="0" applyNumberFormat="1" applyFont="1" applyFill="1" applyBorder="1" applyAlignment="1">
      <alignment horizontal="center" vertical="center"/>
    </xf>
    <xf numFmtId="0" fontId="15" fillId="3" borderId="189" xfId="0" applyFont="1" applyFill="1" applyBorder="1"/>
    <xf numFmtId="0" fontId="14" fillId="3" borderId="0" xfId="0" applyFont="1" applyFill="1" applyAlignment="1">
      <alignment horizontal="right"/>
    </xf>
    <xf numFmtId="0" fontId="14" fillId="0" borderId="0" xfId="0" applyFont="1" applyAlignment="1">
      <alignment horizontal="left"/>
    </xf>
    <xf numFmtId="0" fontId="14" fillId="3" borderId="0" xfId="0" applyFont="1" applyFill="1" applyAlignment="1">
      <alignment horizontal="right" vertical="center"/>
    </xf>
    <xf numFmtId="0" fontId="15" fillId="8" borderId="0" xfId="0" applyFont="1" applyFill="1"/>
    <xf numFmtId="0" fontId="15" fillId="3" borderId="32" xfId="0" applyFont="1" applyFill="1" applyBorder="1"/>
    <xf numFmtId="0" fontId="14" fillId="12" borderId="7" xfId="0" applyFont="1" applyFill="1" applyBorder="1" applyAlignment="1">
      <alignment horizontal="center" vertical="center" wrapText="1"/>
    </xf>
    <xf numFmtId="165" fontId="15" fillId="8" borderId="7" xfId="4" applyNumberFormat="1" applyFont="1" applyFill="1" applyBorder="1" applyAlignment="1" applyProtection="1">
      <alignment vertical="center"/>
    </xf>
    <xf numFmtId="165" fontId="14" fillId="8" borderId="7" xfId="4" applyNumberFormat="1" applyFont="1" applyFill="1" applyBorder="1" applyAlignment="1" applyProtection="1">
      <alignment vertical="center"/>
    </xf>
    <xf numFmtId="0" fontId="14" fillId="3" borderId="7" xfId="0" applyFont="1" applyFill="1" applyBorder="1" applyAlignment="1" applyProtection="1">
      <alignment horizontal="center"/>
      <protection locked="0"/>
    </xf>
    <xf numFmtId="165" fontId="14" fillId="8" borderId="41" xfId="4" applyNumberFormat="1" applyFont="1" applyFill="1" applyBorder="1" applyAlignment="1" applyProtection="1">
      <alignment vertical="center"/>
    </xf>
    <xf numFmtId="164" fontId="14" fillId="3" borderId="0" xfId="4" applyNumberFormat="1" applyFont="1" applyFill="1" applyBorder="1" applyProtection="1"/>
    <xf numFmtId="0" fontId="14" fillId="8" borderId="80" xfId="0" applyFont="1" applyFill="1" applyBorder="1" applyAlignment="1">
      <alignment horizontal="left" vertical="center"/>
    </xf>
    <xf numFmtId="0" fontId="14" fillId="8" borderId="80" xfId="0" applyFont="1" applyFill="1" applyBorder="1"/>
    <xf numFmtId="0" fontId="15" fillId="8" borderId="80" xfId="0" applyFont="1" applyFill="1" applyBorder="1"/>
    <xf numFmtId="164" fontId="14" fillId="8" borderId="80" xfId="4" applyNumberFormat="1" applyFont="1" applyFill="1" applyBorder="1" applyProtection="1"/>
    <xf numFmtId="164" fontId="48" fillId="8" borderId="136" xfId="4" applyNumberFormat="1" applyFont="1" applyFill="1" applyBorder="1" applyAlignment="1" applyProtection="1">
      <alignment horizontal="center" vertical="center"/>
    </xf>
    <xf numFmtId="165" fontId="14" fillId="8" borderId="82" xfId="4" applyNumberFormat="1" applyFont="1" applyFill="1" applyBorder="1" applyAlignment="1" applyProtection="1">
      <alignment vertical="center"/>
    </xf>
    <xf numFmtId="164" fontId="14" fillId="3" borderId="0" xfId="4" applyNumberFormat="1" applyFont="1" applyFill="1" applyBorder="1" applyAlignment="1" applyProtection="1">
      <alignment vertical="center"/>
    </xf>
    <xf numFmtId="0" fontId="14" fillId="8" borderId="43" xfId="0" applyFont="1" applyFill="1" applyBorder="1" applyAlignment="1">
      <alignment horizontal="left"/>
    </xf>
    <xf numFmtId="0" fontId="14" fillId="8" borderId="43" xfId="0" applyFont="1" applyFill="1" applyBorder="1"/>
    <xf numFmtId="0" fontId="15" fillId="8" borderId="43" xfId="0" applyFont="1" applyFill="1" applyBorder="1"/>
    <xf numFmtId="164" fontId="14" fillId="8" borderId="43" xfId="4" applyNumberFormat="1" applyFont="1" applyFill="1" applyBorder="1" applyProtection="1"/>
    <xf numFmtId="164" fontId="48" fillId="8" borderId="43" xfId="4" applyNumberFormat="1" applyFont="1" applyFill="1" applyBorder="1" applyAlignment="1" applyProtection="1">
      <alignment horizontal="center" vertical="center"/>
    </xf>
    <xf numFmtId="165" fontId="14" fillId="8" borderId="63" xfId="4" applyNumberFormat="1" applyFont="1" applyFill="1" applyBorder="1" applyAlignment="1" applyProtection="1">
      <alignment vertical="center"/>
    </xf>
    <xf numFmtId="0" fontId="14" fillId="8" borderId="0" xfId="0" applyFont="1" applyFill="1" applyAlignment="1">
      <alignment horizontal="left"/>
    </xf>
    <xf numFmtId="0" fontId="14" fillId="8" borderId="0" xfId="0" applyFont="1" applyFill="1"/>
    <xf numFmtId="164" fontId="14" fillId="8" borderId="0" xfId="4" applyNumberFormat="1" applyFont="1" applyFill="1" applyBorder="1" applyProtection="1"/>
    <xf numFmtId="164" fontId="48" fillId="8" borderId="0" xfId="4" applyNumberFormat="1" applyFont="1" applyFill="1" applyBorder="1" applyAlignment="1" applyProtection="1">
      <alignment horizontal="center" vertical="center"/>
    </xf>
    <xf numFmtId="165" fontId="14" fillId="8" borderId="36" xfId="4" applyNumberFormat="1" applyFont="1" applyFill="1" applyBorder="1" applyAlignment="1" applyProtection="1">
      <alignment vertical="center"/>
    </xf>
    <xf numFmtId="0" fontId="14" fillId="8" borderId="81" xfId="0" applyFont="1" applyFill="1" applyBorder="1" applyAlignment="1">
      <alignment horizontal="left"/>
    </xf>
    <xf numFmtId="0" fontId="14" fillId="8" borderId="81" xfId="0" applyFont="1" applyFill="1" applyBorder="1"/>
    <xf numFmtId="0" fontId="15" fillId="8" borderId="81" xfId="0" applyFont="1" applyFill="1" applyBorder="1"/>
    <xf numFmtId="164" fontId="14" fillId="8" borderId="81" xfId="4" applyNumberFormat="1" applyFont="1" applyFill="1" applyBorder="1" applyProtection="1"/>
    <xf numFmtId="164" fontId="48" fillId="8" borderId="81" xfId="4" applyNumberFormat="1" applyFont="1" applyFill="1" applyBorder="1" applyAlignment="1" applyProtection="1">
      <alignment horizontal="center" vertical="center"/>
    </xf>
    <xf numFmtId="165" fontId="14" fillId="8" borderId="83" xfId="4" applyNumberFormat="1" applyFont="1" applyFill="1" applyBorder="1" applyAlignment="1" applyProtection="1">
      <alignment vertical="center"/>
    </xf>
    <xf numFmtId="170" fontId="52" fillId="3" borderId="30" xfId="0" applyNumberFormat="1" applyFont="1" applyFill="1" applyBorder="1" applyAlignment="1">
      <alignment horizontal="left" vertical="center" wrapText="1"/>
    </xf>
    <xf numFmtId="0" fontId="48" fillId="3" borderId="30" xfId="0" applyFont="1" applyFill="1" applyBorder="1" applyAlignment="1">
      <alignment horizontal="left" vertical="center" wrapText="1"/>
    </xf>
    <xf numFmtId="0" fontId="48" fillId="3" borderId="31" xfId="0" applyFont="1" applyFill="1" applyBorder="1" applyAlignment="1">
      <alignment horizontal="left" vertical="center" wrapText="1"/>
    </xf>
    <xf numFmtId="0" fontId="14" fillId="3" borderId="33" xfId="0" applyFont="1" applyFill="1" applyBorder="1" applyAlignment="1">
      <alignment horizontal="left" vertical="center"/>
    </xf>
    <xf numFmtId="14" fontId="14" fillId="3" borderId="7" xfId="0" applyNumberFormat="1" applyFont="1" applyFill="1" applyBorder="1" applyAlignment="1" applyProtection="1">
      <alignment horizontal="center" vertical="center" wrapText="1"/>
      <protection locked="0"/>
    </xf>
    <xf numFmtId="0" fontId="14" fillId="3" borderId="25" xfId="0" applyFont="1" applyFill="1" applyBorder="1" applyAlignment="1">
      <alignment horizontal="left" vertical="center" wrapText="1" indent="1"/>
    </xf>
    <xf numFmtId="0" fontId="14" fillId="3" borderId="0" xfId="0" applyFont="1" applyFill="1" applyAlignment="1">
      <alignment horizontal="left" vertical="center" wrapText="1" indent="1"/>
    </xf>
    <xf numFmtId="0" fontId="14" fillId="8" borderId="35" xfId="0" applyFont="1" applyFill="1" applyBorder="1" applyAlignment="1">
      <alignment horizontal="left" vertical="center" indent="1"/>
    </xf>
    <xf numFmtId="0" fontId="14" fillId="8" borderId="35" xfId="0" applyFont="1" applyFill="1" applyBorder="1" applyAlignment="1">
      <alignment vertical="center"/>
    </xf>
    <xf numFmtId="0" fontId="14" fillId="8" borderId="34" xfId="0" applyFont="1" applyFill="1" applyBorder="1" applyAlignment="1">
      <alignment horizontal="left" vertical="center" indent="1"/>
    </xf>
    <xf numFmtId="0" fontId="14" fillId="8" borderId="6" xfId="0" applyFont="1" applyFill="1" applyBorder="1" applyAlignment="1">
      <alignment horizontal="left" vertical="center" indent="1"/>
    </xf>
    <xf numFmtId="0" fontId="14" fillId="8" borderId="44" xfId="0" applyFont="1" applyFill="1" applyBorder="1" applyAlignment="1">
      <alignment horizontal="left" vertical="center" indent="1"/>
    </xf>
    <xf numFmtId="0" fontId="14" fillId="3" borderId="25" xfId="0" applyFont="1" applyFill="1" applyBorder="1" applyAlignment="1">
      <alignment horizontal="left" vertical="center" indent="1"/>
    </xf>
    <xf numFmtId="0" fontId="14" fillId="3" borderId="33" xfId="0" applyFont="1" applyFill="1" applyBorder="1" applyAlignment="1">
      <alignment horizontal="left" vertical="center" wrapText="1"/>
    </xf>
    <xf numFmtId="0" fontId="14" fillId="3" borderId="0" xfId="0" applyFont="1" applyFill="1" applyAlignment="1">
      <alignment horizontal="left" vertical="center" wrapText="1"/>
    </xf>
    <xf numFmtId="0" fontId="14" fillId="3" borderId="39" xfId="0" applyFont="1" applyFill="1" applyBorder="1" applyAlignment="1">
      <alignment horizontal="left" vertical="center"/>
    </xf>
    <xf numFmtId="0" fontId="14" fillId="3" borderId="39" xfId="0" applyFont="1" applyFill="1" applyBorder="1" applyAlignment="1">
      <alignment horizontal="left" vertical="center" wrapText="1"/>
    </xf>
    <xf numFmtId="0" fontId="14" fillId="3" borderId="40" xfId="0" applyFont="1" applyFill="1" applyBorder="1" applyAlignment="1">
      <alignment horizontal="left" vertical="center" wrapText="1"/>
    </xf>
    <xf numFmtId="0" fontId="14" fillId="3" borderId="0" xfId="0" applyFont="1" applyFill="1" applyAlignment="1" applyProtection="1">
      <alignment vertical="center"/>
      <protection locked="0"/>
    </xf>
    <xf numFmtId="0" fontId="14" fillId="3" borderId="33" xfId="0" applyFont="1" applyFill="1" applyBorder="1" applyAlignment="1">
      <alignment horizontal="center" vertical="center"/>
    </xf>
    <xf numFmtId="0" fontId="14" fillId="3" borderId="43" xfId="0" applyFont="1" applyFill="1" applyBorder="1" applyAlignment="1">
      <alignment horizontal="left" vertical="center"/>
    </xf>
    <xf numFmtId="0" fontId="52" fillId="3" borderId="0" xfId="0" applyFont="1" applyFill="1" applyAlignment="1">
      <alignment vertical="center" wrapText="1"/>
    </xf>
    <xf numFmtId="0" fontId="15" fillId="3" borderId="33" xfId="0" applyFont="1" applyFill="1" applyBorder="1" applyAlignment="1">
      <alignment horizontal="center" vertical="center" wrapText="1"/>
    </xf>
    <xf numFmtId="0" fontId="15" fillId="3" borderId="0" xfId="0" quotePrefix="1" applyFont="1" applyFill="1" applyAlignment="1" applyProtection="1">
      <alignment horizontal="left" vertical="top" wrapText="1"/>
      <protection locked="0"/>
    </xf>
    <xf numFmtId="0" fontId="15" fillId="3" borderId="0" xfId="0" applyFont="1" applyFill="1" applyAlignment="1" applyProtection="1">
      <alignment horizontal="left" vertical="top" wrapText="1"/>
      <protection locked="0"/>
    </xf>
    <xf numFmtId="0" fontId="15" fillId="3" borderId="36" xfId="0" applyFont="1" applyFill="1" applyBorder="1"/>
    <xf numFmtId="0" fontId="52" fillId="3" borderId="39" xfId="0" applyFont="1" applyFill="1" applyBorder="1" applyAlignment="1">
      <alignment horizontal="left" vertical="center" wrapText="1"/>
    </xf>
    <xf numFmtId="0" fontId="15" fillId="3" borderId="39" xfId="0" applyFont="1" applyFill="1" applyBorder="1" applyAlignment="1">
      <alignment horizontal="center" vertical="center" wrapText="1"/>
    </xf>
    <xf numFmtId="0" fontId="15" fillId="3" borderId="40" xfId="0" applyFont="1" applyFill="1" applyBorder="1" applyAlignment="1">
      <alignment horizontal="center" vertical="center" wrapText="1"/>
    </xf>
    <xf numFmtId="0" fontId="14" fillId="3" borderId="30" xfId="0" applyFont="1" applyFill="1" applyBorder="1"/>
    <xf numFmtId="0" fontId="14" fillId="3" borderId="36" xfId="0" applyFont="1" applyFill="1" applyBorder="1" applyAlignment="1">
      <alignment horizontal="right"/>
    </xf>
    <xf numFmtId="0" fontId="15" fillId="3" borderId="0" xfId="0" applyFont="1" applyFill="1" applyAlignment="1">
      <alignment horizontal="left" indent="1"/>
    </xf>
    <xf numFmtId="0" fontId="15" fillId="3" borderId="0" xfId="0" applyFont="1" applyFill="1" applyAlignment="1">
      <alignment vertical="top"/>
    </xf>
    <xf numFmtId="9" fontId="15" fillId="3" borderId="33" xfId="0" applyNumberFormat="1" applyFont="1" applyFill="1" applyBorder="1"/>
    <xf numFmtId="1" fontId="15" fillId="3" borderId="0" xfId="0" applyNumberFormat="1" applyFont="1" applyFill="1" applyAlignment="1">
      <alignment horizontal="right"/>
    </xf>
    <xf numFmtId="0" fontId="14" fillId="3" borderId="189" xfId="0" applyFont="1" applyFill="1" applyBorder="1" applyAlignment="1">
      <alignment horizontal="right"/>
    </xf>
    <xf numFmtId="43" fontId="14" fillId="8" borderId="7" xfId="1" applyFont="1" applyFill="1" applyBorder="1" applyProtection="1"/>
    <xf numFmtId="43" fontId="14" fillId="3" borderId="0" xfId="1" applyFont="1" applyFill="1" applyBorder="1" applyProtection="1"/>
    <xf numFmtId="0" fontId="15" fillId="3" borderId="189" xfId="0" applyFont="1" applyFill="1" applyBorder="1" applyAlignment="1">
      <alignment vertical="center" wrapText="1"/>
    </xf>
    <xf numFmtId="0" fontId="15" fillId="0" borderId="36" xfId="0" applyFont="1" applyBorder="1" applyAlignment="1">
      <alignment vertical="top" wrapText="1"/>
    </xf>
    <xf numFmtId="0" fontId="15" fillId="3" borderId="39" xfId="0" applyFont="1" applyFill="1" applyBorder="1" applyAlignment="1">
      <alignment vertical="top" wrapText="1"/>
    </xf>
    <xf numFmtId="0" fontId="15" fillId="3" borderId="39" xfId="0" applyFont="1" applyFill="1" applyBorder="1"/>
    <xf numFmtId="0" fontId="15" fillId="3" borderId="40" xfId="0" applyFont="1" applyFill="1" applyBorder="1"/>
    <xf numFmtId="0" fontId="15" fillId="0" borderId="36" xfId="0" applyFont="1" applyBorder="1"/>
    <xf numFmtId="0" fontId="14" fillId="0" borderId="189" xfId="0" applyFont="1" applyBorder="1" applyAlignment="1">
      <alignment horizontal="right"/>
    </xf>
    <xf numFmtId="0" fontId="15" fillId="0" borderId="189" xfId="0" applyFont="1" applyBorder="1"/>
    <xf numFmtId="0" fontId="15" fillId="3" borderId="0" xfId="0" applyFont="1" applyFill="1" applyAlignment="1">
      <alignment horizontal="left" vertical="center" indent="1"/>
    </xf>
    <xf numFmtId="165" fontId="14" fillId="8" borderId="64" xfId="4" applyNumberFormat="1" applyFont="1" applyFill="1" applyBorder="1" applyAlignment="1" applyProtection="1">
      <alignment vertical="center"/>
    </xf>
    <xf numFmtId="0" fontId="14" fillId="0" borderId="189" xfId="0" applyFont="1" applyBorder="1" applyAlignment="1">
      <alignment horizontal="right" vertical="center"/>
    </xf>
    <xf numFmtId="0" fontId="14" fillId="0" borderId="0" xfId="0" applyFont="1" applyAlignment="1">
      <alignment horizontal="left" vertical="center" indent="1"/>
    </xf>
    <xf numFmtId="0" fontId="14" fillId="0" borderId="36" xfId="0" applyFont="1" applyBorder="1" applyAlignment="1">
      <alignment horizontal="right"/>
    </xf>
    <xf numFmtId="169" fontId="14" fillId="8" borderId="37" xfId="3" applyNumberFormat="1" applyFont="1" applyFill="1" applyBorder="1" applyProtection="1"/>
    <xf numFmtId="9" fontId="15" fillId="3" borderId="0" xfId="0" applyNumberFormat="1" applyFont="1" applyFill="1" applyAlignment="1">
      <alignment horizontal="right"/>
    </xf>
    <xf numFmtId="9" fontId="15" fillId="3" borderId="0" xfId="3" applyFont="1" applyFill="1" applyBorder="1" applyAlignment="1" applyProtection="1">
      <alignment horizontal="right"/>
    </xf>
    <xf numFmtId="9" fontId="14" fillId="3" borderId="0" xfId="0" applyNumberFormat="1" applyFont="1" applyFill="1" applyAlignment="1">
      <alignment horizontal="right"/>
    </xf>
    <xf numFmtId="9" fontId="14" fillId="3" borderId="0" xfId="3" applyFont="1" applyFill="1" applyBorder="1" applyAlignment="1" applyProtection="1">
      <alignment horizontal="right"/>
    </xf>
    <xf numFmtId="0" fontId="15" fillId="0" borderId="36" xfId="0" applyFont="1" applyBorder="1" applyAlignment="1">
      <alignment vertical="center"/>
    </xf>
    <xf numFmtId="0" fontId="15" fillId="3" borderId="33" xfId="0" applyFont="1" applyFill="1" applyBorder="1" applyAlignment="1">
      <alignment horizontal="left" vertical="center" wrapText="1"/>
    </xf>
    <xf numFmtId="0" fontId="14" fillId="3" borderId="33" xfId="0" applyFont="1" applyFill="1" applyBorder="1" applyAlignment="1">
      <alignment horizontal="center"/>
    </xf>
    <xf numFmtId="169" fontId="15" fillId="3" borderId="7" xfId="3" applyNumberFormat="1" applyFont="1" applyFill="1" applyBorder="1" applyProtection="1">
      <protection locked="0"/>
    </xf>
    <xf numFmtId="164" fontId="14" fillId="3" borderId="33" xfId="0" applyNumberFormat="1" applyFont="1" applyFill="1" applyBorder="1"/>
    <xf numFmtId="169" fontId="15" fillId="3" borderId="7" xfId="0" applyNumberFormat="1" applyFont="1" applyFill="1" applyBorder="1" applyProtection="1">
      <protection locked="0"/>
    </xf>
    <xf numFmtId="169" fontId="14" fillId="3" borderId="41" xfId="4" applyNumberFormat="1" applyFont="1" applyFill="1" applyBorder="1" applyProtection="1"/>
    <xf numFmtId="2" fontId="15" fillId="3" borderId="0" xfId="0" applyNumberFormat="1" applyFont="1" applyFill="1" applyAlignment="1">
      <alignment vertical="center"/>
    </xf>
    <xf numFmtId="164" fontId="14" fillId="3" borderId="0" xfId="0" applyNumberFormat="1" applyFont="1" applyFill="1" applyAlignment="1">
      <alignment vertical="center"/>
    </xf>
    <xf numFmtId="164" fontId="14" fillId="3" borderId="33" xfId="0" applyNumberFormat="1" applyFont="1" applyFill="1" applyBorder="1" applyAlignment="1">
      <alignment vertical="center"/>
    </xf>
    <xf numFmtId="0" fontId="14" fillId="3" borderId="30" xfId="0" applyFont="1" applyFill="1" applyBorder="1" applyAlignment="1">
      <alignment horizontal="left" wrapText="1"/>
    </xf>
    <xf numFmtId="2" fontId="15" fillId="3" borderId="30" xfId="0" applyNumberFormat="1" applyFont="1" applyFill="1" applyBorder="1"/>
    <xf numFmtId="164" fontId="14" fillId="3" borderId="30" xfId="0" applyNumberFormat="1" applyFont="1" applyFill="1" applyBorder="1"/>
    <xf numFmtId="164" fontId="14" fillId="3" borderId="31" xfId="0" applyNumberFormat="1" applyFont="1" applyFill="1" applyBorder="1"/>
    <xf numFmtId="0" fontId="14" fillId="0" borderId="36" xfId="0" applyFont="1" applyBorder="1" applyAlignment="1">
      <alignment horizontal="right" vertical="top"/>
    </xf>
    <xf numFmtId="0" fontId="15" fillId="3" borderId="0" xfId="0" applyFont="1" applyFill="1" applyAlignment="1">
      <alignment horizontal="center" vertical="top" wrapText="1"/>
    </xf>
    <xf numFmtId="169" fontId="15" fillId="8" borderId="7" xfId="0" applyNumberFormat="1" applyFont="1" applyFill="1" applyBorder="1"/>
    <xf numFmtId="49" fontId="15" fillId="3" borderId="7" xfId="0" applyNumberFormat="1" applyFont="1" applyFill="1" applyBorder="1" applyAlignment="1" applyProtection="1">
      <alignment horizontal="center"/>
      <protection locked="0"/>
    </xf>
    <xf numFmtId="169" fontId="14" fillId="8" borderId="41" xfId="4" applyNumberFormat="1" applyFont="1" applyFill="1" applyBorder="1" applyProtection="1"/>
    <xf numFmtId="0" fontId="14" fillId="3" borderId="0" xfId="0" applyFont="1" applyFill="1" applyAlignment="1">
      <alignment horizontal="left" wrapText="1"/>
    </xf>
    <xf numFmtId="0" fontId="15" fillId="3" borderId="33" xfId="0" applyFont="1" applyFill="1" applyBorder="1" applyAlignment="1">
      <alignment horizontal="left" wrapText="1"/>
    </xf>
    <xf numFmtId="0" fontId="14" fillId="0" borderId="0" xfId="0" applyFont="1" applyAlignment="1">
      <alignment wrapText="1"/>
    </xf>
    <xf numFmtId="0" fontId="14" fillId="0" borderId="36" xfId="0" applyFont="1" applyBorder="1" applyAlignment="1">
      <alignment wrapText="1"/>
    </xf>
    <xf numFmtId="2" fontId="15" fillId="3" borderId="0" xfId="0" applyNumberFormat="1" applyFont="1" applyFill="1"/>
    <xf numFmtId="164" fontId="14" fillId="3" borderId="0" xfId="0" applyNumberFormat="1" applyFont="1" applyFill="1"/>
    <xf numFmtId="0" fontId="48" fillId="3" borderId="33" xfId="0" applyFont="1" applyFill="1" applyBorder="1" applyAlignment="1">
      <alignment horizontal="left" vertical="center"/>
    </xf>
    <xf numFmtId="0" fontId="14" fillId="12" borderId="6" xfId="0" applyFont="1" applyFill="1" applyBorder="1" applyAlignment="1">
      <alignment horizontal="center" vertical="center" wrapText="1"/>
    </xf>
    <xf numFmtId="0" fontId="14" fillId="3" borderId="33" xfId="0" applyFont="1" applyFill="1" applyBorder="1" applyAlignment="1">
      <alignment horizontal="center" vertical="center" wrapText="1"/>
    </xf>
    <xf numFmtId="0" fontId="14" fillId="8" borderId="6" xfId="0" applyFont="1" applyFill="1" applyBorder="1" applyAlignment="1">
      <alignment horizontal="center" vertical="top" wrapText="1"/>
    </xf>
    <xf numFmtId="0" fontId="48" fillId="8" borderId="7" xfId="0" applyFont="1" applyFill="1" applyBorder="1" applyAlignment="1">
      <alignment horizontal="center" wrapText="1"/>
    </xf>
    <xf numFmtId="0" fontId="48" fillId="3" borderId="0" xfId="0" applyFont="1" applyFill="1" applyAlignment="1">
      <alignment horizontal="center" wrapText="1"/>
    </xf>
    <xf numFmtId="0" fontId="48" fillId="3" borderId="33" xfId="0" applyFont="1" applyFill="1" applyBorder="1" applyAlignment="1">
      <alignment wrapText="1"/>
    </xf>
    <xf numFmtId="0" fontId="15" fillId="3" borderId="7" xfId="0" applyFont="1" applyFill="1" applyBorder="1" applyAlignment="1" applyProtection="1">
      <alignment horizontal="center" vertical="top" wrapText="1"/>
      <protection locked="0"/>
    </xf>
    <xf numFmtId="44" fontId="15" fillId="3" borderId="7" xfId="4" applyFont="1" applyFill="1" applyBorder="1" applyAlignment="1" applyProtection="1">
      <alignment vertical="top" wrapText="1"/>
      <protection locked="0"/>
    </xf>
    <xf numFmtId="15" fontId="15" fillId="3" borderId="7" xfId="0" applyNumberFormat="1" applyFont="1" applyFill="1" applyBorder="1" applyAlignment="1" applyProtection="1">
      <alignment horizontal="center" vertical="top" wrapText="1"/>
      <protection locked="0"/>
    </xf>
    <xf numFmtId="0" fontId="15" fillId="3" borderId="33" xfId="0" applyFont="1" applyFill="1" applyBorder="1" applyAlignment="1">
      <alignment vertical="top" wrapText="1"/>
    </xf>
    <xf numFmtId="0" fontId="15" fillId="0" borderId="188" xfId="0" applyFont="1" applyBorder="1"/>
    <xf numFmtId="0" fontId="48" fillId="3" borderId="39" xfId="0" applyFont="1" applyFill="1" applyBorder="1" applyAlignment="1">
      <alignment horizontal="left" vertical="center" wrapText="1"/>
    </xf>
    <xf numFmtId="0" fontId="48" fillId="3" borderId="40" xfId="0" applyFont="1" applyFill="1" applyBorder="1" applyAlignment="1">
      <alignment horizontal="left" vertical="center" wrapText="1"/>
    </xf>
    <xf numFmtId="0" fontId="162" fillId="8" borderId="0" xfId="0" applyFont="1" applyFill="1" applyAlignment="1">
      <alignment horizontal="left" vertical="top" indent="6"/>
    </xf>
    <xf numFmtId="0" fontId="162" fillId="8" borderId="0" xfId="0" applyFont="1" applyFill="1" applyAlignment="1">
      <alignment horizontal="left" vertical="top"/>
    </xf>
    <xf numFmtId="0" fontId="167" fillId="8" borderId="0" xfId="0" applyFont="1" applyFill="1" applyAlignment="1">
      <alignment vertical="center" wrapText="1"/>
    </xf>
    <xf numFmtId="0" fontId="170" fillId="0" borderId="0" xfId="0" applyFont="1" applyProtection="1">
      <protection locked="0" hidden="1"/>
    </xf>
    <xf numFmtId="0" fontId="169" fillId="0" borderId="64" xfId="0" applyFont="1" applyBorder="1" applyAlignment="1">
      <alignment vertical="center" wrapText="1"/>
    </xf>
    <xf numFmtId="0" fontId="169" fillId="0" borderId="43" xfId="0" applyFont="1" applyBorder="1" applyAlignment="1">
      <alignment vertical="center" wrapText="1"/>
    </xf>
    <xf numFmtId="0" fontId="134" fillId="0" borderId="0" xfId="0" applyFont="1" applyAlignment="1">
      <alignment horizontal="left" vertical="top"/>
    </xf>
    <xf numFmtId="0" fontId="15" fillId="0" borderId="0" xfId="0" applyFont="1" applyAlignment="1">
      <alignment horizontal="right"/>
    </xf>
    <xf numFmtId="0" fontId="7" fillId="0" borderId="0" xfId="0" applyFont="1" applyProtection="1">
      <protection locked="0" hidden="1"/>
    </xf>
    <xf numFmtId="0" fontId="166" fillId="0" borderId="0" xfId="5" applyFont="1" applyFill="1" applyBorder="1" applyAlignment="1">
      <alignment horizontal="left" indent="1"/>
    </xf>
    <xf numFmtId="0" fontId="171" fillId="0" borderId="0" xfId="0" applyFont="1" applyAlignment="1">
      <alignment horizontal="left"/>
    </xf>
    <xf numFmtId="167" fontId="15" fillId="0" borderId="0" xfId="0" applyNumberFormat="1" applyFont="1"/>
    <xf numFmtId="165" fontId="7" fillId="0" borderId="0" xfId="0" applyNumberFormat="1" applyFont="1"/>
    <xf numFmtId="0" fontId="134" fillId="0" borderId="0" xfId="5" applyFont="1" applyBorder="1" applyAlignment="1">
      <alignment horizontal="left" vertical="center"/>
    </xf>
    <xf numFmtId="0" fontId="134" fillId="0" borderId="0" xfId="5" applyFont="1" applyBorder="1" applyAlignment="1">
      <alignment horizontal="left" vertical="top"/>
    </xf>
    <xf numFmtId="164" fontId="172" fillId="8" borderId="0" xfId="0" applyNumberFormat="1" applyFont="1" applyFill="1" applyAlignment="1">
      <alignment horizontal="right" vertical="center"/>
    </xf>
    <xf numFmtId="165" fontId="173" fillId="0" borderId="0" xfId="5" applyNumberFormat="1" applyFont="1" applyFill="1" applyBorder="1" applyAlignment="1" applyProtection="1">
      <alignment vertical="center"/>
      <protection locked="0"/>
    </xf>
    <xf numFmtId="0" fontId="14" fillId="0" borderId="7" xfId="0" applyFont="1" applyBorder="1" applyAlignment="1">
      <alignment horizontal="center" vertical="center"/>
    </xf>
    <xf numFmtId="0" fontId="15" fillId="0" borderId="0" xfId="0" applyFont="1" applyProtection="1">
      <protection locked="0" hidden="1"/>
    </xf>
    <xf numFmtId="0" fontId="4" fillId="0" borderId="0" xfId="0" applyFont="1" applyProtection="1">
      <protection locked="0"/>
    </xf>
    <xf numFmtId="0" fontId="24" fillId="0" borderId="0" xfId="0" applyFont="1" applyAlignment="1">
      <alignment vertical="center"/>
    </xf>
    <xf numFmtId="0" fontId="16" fillId="0" borderId="0" xfId="0" applyFont="1" applyAlignment="1">
      <alignment vertical="center"/>
    </xf>
    <xf numFmtId="0" fontId="4" fillId="0" borderId="0" xfId="0" applyFont="1" applyProtection="1">
      <protection locked="0" hidden="1"/>
    </xf>
    <xf numFmtId="0" fontId="164" fillId="35" borderId="0" xfId="0" applyFont="1" applyFill="1" applyAlignment="1">
      <alignment vertical="center"/>
    </xf>
    <xf numFmtId="0" fontId="136" fillId="0" borderId="0" xfId="0" applyFont="1" applyAlignment="1">
      <alignment vertical="center"/>
    </xf>
    <xf numFmtId="0" fontId="88" fillId="22" borderId="1" xfId="0" applyFont="1" applyFill="1" applyBorder="1" applyAlignment="1">
      <alignment vertical="center" wrapText="1"/>
    </xf>
    <xf numFmtId="0" fontId="88" fillId="11" borderId="1" xfId="0" applyFont="1" applyFill="1" applyBorder="1" applyAlignment="1">
      <alignment vertical="center" wrapText="1"/>
    </xf>
    <xf numFmtId="0" fontId="174" fillId="8" borderId="0" xfId="0" applyFont="1" applyFill="1" applyAlignment="1">
      <alignment vertical="center"/>
    </xf>
    <xf numFmtId="0" fontId="176" fillId="22" borderId="74" xfId="0" applyFont="1" applyFill="1" applyBorder="1" applyAlignment="1">
      <alignment vertical="center"/>
    </xf>
    <xf numFmtId="0" fontId="64" fillId="11" borderId="0" xfId="0" applyFont="1" applyFill="1" applyAlignment="1">
      <alignment vertical="center"/>
    </xf>
    <xf numFmtId="0" fontId="29" fillId="11" borderId="0" xfId="0" applyFont="1" applyFill="1"/>
    <xf numFmtId="0" fontId="29" fillId="8" borderId="6" xfId="0" applyFont="1" applyFill="1" applyBorder="1"/>
    <xf numFmtId="0" fontId="64" fillId="8" borderId="7" xfId="0" applyFont="1" applyFill="1" applyBorder="1" applyAlignment="1">
      <alignment horizontal="center"/>
    </xf>
    <xf numFmtId="0" fontId="64" fillId="8" borderId="6" xfId="0" applyFont="1" applyFill="1" applyBorder="1"/>
    <xf numFmtId="164" fontId="29" fillId="8" borderId="7" xfId="0" applyNumberFormat="1" applyFont="1" applyFill="1" applyBorder="1"/>
    <xf numFmtId="172" fontId="29" fillId="8" borderId="7" xfId="0" applyNumberFormat="1" applyFont="1" applyFill="1" applyBorder="1"/>
    <xf numFmtId="0" fontId="29" fillId="0" borderId="0" xfId="0" applyFont="1" applyAlignment="1">
      <alignment wrapText="1"/>
    </xf>
    <xf numFmtId="0" fontId="29" fillId="8" borderId="7" xfId="0" applyFont="1" applyFill="1" applyBorder="1"/>
    <xf numFmtId="0" fontId="54" fillId="0" borderId="0" xfId="0" applyFont="1"/>
    <xf numFmtId="0" fontId="53" fillId="0" borderId="0" xfId="0" applyFont="1"/>
    <xf numFmtId="0" fontId="53" fillId="0" borderId="0" xfId="0" applyFont="1" applyAlignment="1">
      <alignment horizontal="center"/>
    </xf>
    <xf numFmtId="168" fontId="24" fillId="0" borderId="0" xfId="0" applyNumberFormat="1" applyFont="1"/>
    <xf numFmtId="0" fontId="24" fillId="0" borderId="0" xfId="0" applyFont="1"/>
    <xf numFmtId="0" fontId="177" fillId="3" borderId="0" xfId="0" applyFont="1" applyFill="1" applyAlignment="1">
      <alignment horizontal="left" vertical="center"/>
    </xf>
    <xf numFmtId="0" fontId="23" fillId="3" borderId="0" xfId="0" applyFont="1" applyFill="1" applyAlignment="1">
      <alignment horizontal="left" vertical="center"/>
    </xf>
    <xf numFmtId="0" fontId="21" fillId="8" borderId="0" xfId="2" applyNumberFormat="1" applyFont="1" applyFill="1" applyBorder="1" applyAlignment="1" applyProtection="1">
      <alignment horizontal="right"/>
    </xf>
    <xf numFmtId="0" fontId="24" fillId="8" borderId="0" xfId="2" applyNumberFormat="1" applyFont="1" applyFill="1" applyBorder="1" applyAlignment="1" applyProtection="1">
      <alignment horizontal="right"/>
    </xf>
    <xf numFmtId="164" fontId="60" fillId="8" borderId="0" xfId="2" applyNumberFormat="1" applyFont="1" applyFill="1" applyBorder="1" applyAlignment="1" applyProtection="1">
      <alignment horizontal="right" vertical="center"/>
    </xf>
    <xf numFmtId="0" fontId="21" fillId="8" borderId="0" xfId="2" applyNumberFormat="1" applyFont="1" applyFill="1" applyBorder="1" applyAlignment="1" applyProtection="1">
      <alignment horizontal="right" vertical="center"/>
    </xf>
    <xf numFmtId="172" fontId="24" fillId="8" borderId="0" xfId="3" applyNumberFormat="1" applyFont="1" applyFill="1" applyBorder="1" applyAlignment="1" applyProtection="1">
      <alignment horizontal="right" vertical="center"/>
    </xf>
    <xf numFmtId="165" fontId="24" fillId="3" borderId="0" xfId="2" applyNumberFormat="1" applyFont="1" applyFill="1" applyBorder="1" applyAlignment="1" applyProtection="1">
      <alignment horizontal="center" vertical="center"/>
    </xf>
    <xf numFmtId="0" fontId="126" fillId="0" borderId="0" xfId="0" applyFont="1" applyAlignment="1">
      <alignment horizontal="right" vertical="center"/>
    </xf>
    <xf numFmtId="0" fontId="21" fillId="3" borderId="0" xfId="0" applyFont="1" applyFill="1" applyAlignment="1">
      <alignment horizontal="right" vertical="center"/>
    </xf>
    <xf numFmtId="0" fontId="179" fillId="0" borderId="0" xfId="0" applyFont="1"/>
    <xf numFmtId="164" fontId="29" fillId="0" borderId="0" xfId="0" applyNumberFormat="1" applyFont="1"/>
    <xf numFmtId="0" fontId="163" fillId="0" borderId="0" xfId="5" applyFont="1" applyBorder="1" applyProtection="1"/>
    <xf numFmtId="0" fontId="180" fillId="3" borderId="98" xfId="5" applyFont="1" applyFill="1" applyBorder="1" applyAlignment="1" applyProtection="1">
      <alignment vertical="center"/>
    </xf>
    <xf numFmtId="0" fontId="163" fillId="3" borderId="98" xfId="5" applyFont="1" applyFill="1" applyBorder="1" applyAlignment="1" applyProtection="1">
      <alignment vertical="center"/>
    </xf>
    <xf numFmtId="0" fontId="47" fillId="3" borderId="0" xfId="0" applyFont="1" applyFill="1" applyAlignment="1">
      <alignment vertical="center" wrapText="1"/>
    </xf>
    <xf numFmtId="0" fontId="29" fillId="14" borderId="0" xfId="0" applyFont="1" applyFill="1"/>
    <xf numFmtId="0" fontId="29" fillId="0" borderId="0" xfId="0" applyFont="1" applyAlignment="1">
      <alignment vertical="center"/>
    </xf>
    <xf numFmtId="2" fontId="29" fillId="0" borderId="0" xfId="3" applyNumberFormat="1" applyFont="1" applyBorder="1" applyProtection="1"/>
    <xf numFmtId="0" fontId="176" fillId="11" borderId="74" xfId="0" applyFont="1" applyFill="1" applyBorder="1" applyAlignment="1">
      <alignment vertical="center"/>
    </xf>
    <xf numFmtId="0" fontId="180" fillId="3" borderId="0" xfId="5" applyFont="1" applyFill="1" applyBorder="1" applyAlignment="1" applyProtection="1">
      <alignment vertical="top"/>
    </xf>
    <xf numFmtId="0" fontId="29" fillId="0" borderId="36" xfId="0" applyFont="1" applyBorder="1"/>
    <xf numFmtId="0" fontId="181" fillId="3" borderId="0" xfId="0" applyFont="1" applyFill="1" applyAlignment="1">
      <alignment vertical="center"/>
    </xf>
    <xf numFmtId="0" fontId="182" fillId="39" borderId="0" xfId="0" applyFont="1" applyFill="1"/>
    <xf numFmtId="0" fontId="76" fillId="0" borderId="0" xfId="0" applyFont="1" applyAlignment="1">
      <alignment horizontal="left" vertical="center" wrapText="1"/>
    </xf>
    <xf numFmtId="165" fontId="75" fillId="36" borderId="8" xfId="2" applyNumberFormat="1" applyFont="1" applyFill="1" applyBorder="1"/>
    <xf numFmtId="165" fontId="75" fillId="36" borderId="130" xfId="2" applyNumberFormat="1" applyFont="1" applyFill="1" applyBorder="1"/>
    <xf numFmtId="0" fontId="13" fillId="40" borderId="66" xfId="0" applyFont="1" applyFill="1" applyBorder="1" applyAlignment="1">
      <alignment horizontal="center" vertical="center" wrapText="1"/>
    </xf>
    <xf numFmtId="0" fontId="61" fillId="40" borderId="16" xfId="0" applyFont="1" applyFill="1" applyBorder="1" applyAlignment="1">
      <alignment horizontal="center" vertical="center" wrapText="1"/>
    </xf>
    <xf numFmtId="0" fontId="13" fillId="41" borderId="11" xfId="0" applyFont="1" applyFill="1" applyBorder="1" applyAlignment="1">
      <alignment horizontal="center" vertical="center" wrapText="1"/>
    </xf>
    <xf numFmtId="15" fontId="13" fillId="41" borderId="14" xfId="0" applyNumberFormat="1" applyFont="1" applyFill="1" applyBorder="1" applyAlignment="1">
      <alignment horizontal="center" vertical="center" wrapText="1"/>
    </xf>
    <xf numFmtId="0" fontId="13" fillId="41" borderId="15" xfId="0" applyFont="1" applyFill="1" applyBorder="1" applyAlignment="1">
      <alignment horizontal="center" vertical="center" wrapText="1"/>
    </xf>
    <xf numFmtId="165" fontId="15" fillId="8" borderId="8" xfId="2" applyNumberFormat="1" applyFont="1" applyFill="1" applyBorder="1"/>
    <xf numFmtId="165" fontId="14" fillId="8" borderId="130" xfId="2" applyNumberFormat="1" applyFont="1" applyFill="1" applyBorder="1"/>
    <xf numFmtId="0" fontId="13" fillId="41" borderId="12" xfId="0" applyFont="1" applyFill="1" applyBorder="1" applyAlignment="1" applyProtection="1">
      <alignment horizontal="center" vertical="center" wrapText="1"/>
      <protection locked="0"/>
    </xf>
    <xf numFmtId="0" fontId="115" fillId="41" borderId="12" xfId="0" applyFont="1" applyFill="1" applyBorder="1" applyAlignment="1" applyProtection="1">
      <alignment horizontal="center" vertical="center" wrapText="1"/>
      <protection locked="0"/>
    </xf>
    <xf numFmtId="0" fontId="115" fillId="41" borderId="65" xfId="0" applyFont="1" applyFill="1" applyBorder="1" applyAlignment="1" applyProtection="1">
      <alignment horizontal="center" vertical="center" wrapText="1"/>
      <protection locked="0"/>
    </xf>
    <xf numFmtId="0" fontId="61" fillId="11" borderId="12" xfId="0" applyFont="1" applyFill="1" applyBorder="1" applyAlignment="1" applyProtection="1">
      <alignment horizontal="center" vertical="center" wrapText="1"/>
      <protection locked="0"/>
    </xf>
    <xf numFmtId="0" fontId="61" fillId="11" borderId="22" xfId="0" applyFont="1" applyFill="1" applyBorder="1" applyAlignment="1" applyProtection="1">
      <alignment horizontal="center" vertical="center" wrapText="1"/>
      <protection locked="0"/>
    </xf>
    <xf numFmtId="0" fontId="184" fillId="8" borderId="0" xfId="0" applyFont="1" applyFill="1" applyAlignment="1">
      <alignment vertical="center"/>
    </xf>
    <xf numFmtId="0" fontId="8" fillId="42" borderId="161" xfId="0" applyFont="1" applyFill="1" applyBorder="1" applyAlignment="1">
      <alignment vertical="center"/>
    </xf>
    <xf numFmtId="0" fontId="7" fillId="42" borderId="175" xfId="0" applyFont="1" applyFill="1" applyBorder="1" applyAlignment="1">
      <alignment vertical="center"/>
    </xf>
    <xf numFmtId="0" fontId="8" fillId="42" borderId="173" xfId="0" applyFont="1" applyFill="1" applyBorder="1" applyAlignment="1">
      <alignment vertical="center"/>
    </xf>
    <xf numFmtId="0" fontId="8" fillId="42" borderId="173" xfId="0" applyFont="1" applyFill="1" applyBorder="1" applyAlignment="1">
      <alignment vertical="center" wrapText="1"/>
    </xf>
    <xf numFmtId="0" fontId="7" fillId="42" borderId="174" xfId="0" applyFont="1" applyFill="1" applyBorder="1" applyAlignment="1">
      <alignment vertical="center"/>
    </xf>
    <xf numFmtId="0" fontId="147" fillId="0" borderId="0" xfId="0" applyFont="1" applyAlignment="1">
      <alignment horizontal="left" vertical="center" indent="2"/>
    </xf>
    <xf numFmtId="0" fontId="150" fillId="8" borderId="0" xfId="0" applyFont="1" applyFill="1" applyAlignment="1">
      <alignment horizontal="left" vertical="center"/>
    </xf>
    <xf numFmtId="0" fontId="167" fillId="8" borderId="36" xfId="0" applyFont="1" applyFill="1" applyBorder="1" applyAlignment="1">
      <alignment vertical="center" wrapText="1"/>
    </xf>
    <xf numFmtId="0" fontId="169" fillId="0" borderId="36" xfId="0" applyFont="1" applyBorder="1" applyAlignment="1">
      <alignment horizontal="center" vertical="center" wrapText="1"/>
    </xf>
    <xf numFmtId="0" fontId="9" fillId="8" borderId="36" xfId="0" applyFont="1" applyFill="1" applyBorder="1" applyAlignment="1">
      <alignment vertical="center"/>
    </xf>
    <xf numFmtId="0" fontId="15" fillId="0" borderId="88" xfId="0" applyFont="1" applyBorder="1"/>
    <xf numFmtId="0" fontId="24" fillId="0" borderId="42" xfId="0" applyFont="1" applyBorder="1" applyAlignment="1">
      <alignment vertical="center"/>
    </xf>
    <xf numFmtId="0" fontId="168" fillId="2" borderId="34" xfId="5" applyFont="1" applyFill="1" applyBorder="1" applyAlignment="1">
      <alignment horizontal="center" vertical="center"/>
    </xf>
    <xf numFmtId="0" fontId="168" fillId="2" borderId="35" xfId="5" applyFont="1" applyFill="1" applyBorder="1" applyAlignment="1">
      <alignment horizontal="center" vertical="center"/>
    </xf>
    <xf numFmtId="0" fontId="168" fillId="2" borderId="35" xfId="0" applyFont="1" applyFill="1" applyBorder="1" applyAlignment="1">
      <alignment horizontal="center" vertical="center"/>
    </xf>
    <xf numFmtId="0" fontId="9" fillId="2" borderId="35" xfId="0" applyFont="1" applyFill="1" applyBorder="1" applyAlignment="1">
      <alignment vertical="center"/>
    </xf>
    <xf numFmtId="0" fontId="9" fillId="2" borderId="6" xfId="0" applyFont="1" applyFill="1" applyBorder="1" applyAlignment="1">
      <alignment vertical="center"/>
    </xf>
    <xf numFmtId="0" fontId="48" fillId="0" borderId="0" xfId="0" applyFont="1" applyAlignment="1">
      <alignment vertical="top" wrapText="1"/>
    </xf>
    <xf numFmtId="165" fontId="130" fillId="12" borderId="8" xfId="2" applyNumberFormat="1" applyFont="1" applyFill="1" applyBorder="1"/>
    <xf numFmtId="165" fontId="130" fillId="12" borderId="130" xfId="2" applyNumberFormat="1" applyFont="1" applyFill="1" applyBorder="1"/>
    <xf numFmtId="0" fontId="187" fillId="0" borderId="0" xfId="0" applyFont="1" applyAlignment="1">
      <alignment vertical="center"/>
    </xf>
    <xf numFmtId="0" fontId="14" fillId="8" borderId="36" xfId="0" applyFont="1" applyFill="1" applyBorder="1" applyAlignment="1">
      <alignment vertical="center" wrapText="1"/>
    </xf>
    <xf numFmtId="0" fontId="14" fillId="8" borderId="0" xfId="0" applyFont="1" applyFill="1" applyAlignment="1">
      <alignment vertical="center" wrapText="1"/>
    </xf>
    <xf numFmtId="0" fontId="14" fillId="11" borderId="2" xfId="0" applyFont="1" applyFill="1" applyBorder="1" applyAlignment="1">
      <alignment vertical="center" wrapText="1"/>
    </xf>
    <xf numFmtId="0" fontId="14" fillId="11" borderId="1" xfId="0" applyFont="1" applyFill="1" applyBorder="1" applyAlignment="1">
      <alignment vertical="center" wrapText="1"/>
    </xf>
    <xf numFmtId="0" fontId="14" fillId="2" borderId="36" xfId="0" applyFont="1" applyFill="1" applyBorder="1" applyAlignment="1">
      <alignment vertical="center" wrapText="1"/>
    </xf>
    <xf numFmtId="0" fontId="14" fillId="2" borderId="0" xfId="0" applyFont="1" applyFill="1" applyAlignment="1">
      <alignment vertical="top"/>
    </xf>
    <xf numFmtId="0" fontId="14" fillId="2" borderId="0" xfId="0" applyFont="1" applyFill="1" applyAlignment="1">
      <alignment vertical="center" wrapText="1"/>
    </xf>
    <xf numFmtId="0" fontId="14" fillId="11" borderId="0" xfId="0" applyFont="1" applyFill="1" applyAlignment="1">
      <alignment vertical="center" wrapText="1"/>
    </xf>
    <xf numFmtId="0" fontId="14" fillId="11" borderId="0" xfId="0" applyFont="1" applyFill="1" applyAlignment="1">
      <alignment vertical="center"/>
    </xf>
    <xf numFmtId="0" fontId="15" fillId="11" borderId="0" xfId="0" applyFont="1" applyFill="1"/>
    <xf numFmtId="0" fontId="15" fillId="8" borderId="6" xfId="0" applyFont="1" applyFill="1" applyBorder="1"/>
    <xf numFmtId="0" fontId="14" fillId="8" borderId="7" xfId="0" applyFont="1" applyFill="1" applyBorder="1" applyAlignment="1">
      <alignment horizontal="center"/>
    </xf>
    <xf numFmtId="0" fontId="14" fillId="8" borderId="6" xfId="0" applyFont="1" applyFill="1" applyBorder="1"/>
    <xf numFmtId="164" fontId="15" fillId="8" borderId="7" xfId="0" applyNumberFormat="1" applyFont="1" applyFill="1" applyBorder="1"/>
    <xf numFmtId="172" fontId="15" fillId="8" borderId="7" xfId="0" applyNumberFormat="1" applyFont="1" applyFill="1" applyBorder="1"/>
    <xf numFmtId="0" fontId="15" fillId="0" borderId="0" xfId="0" applyFont="1" applyAlignment="1">
      <alignment wrapText="1"/>
    </xf>
    <xf numFmtId="0" fontId="15" fillId="8" borderId="7" xfId="0" applyFont="1" applyFill="1" applyBorder="1"/>
    <xf numFmtId="0" fontId="14" fillId="0" borderId="0" xfId="0" applyFont="1"/>
    <xf numFmtId="0" fontId="15" fillId="0" borderId="0" xfId="0" applyFont="1" applyAlignment="1">
      <alignment horizontal="center"/>
    </xf>
    <xf numFmtId="168" fontId="15" fillId="0" borderId="0" xfId="0" applyNumberFormat="1" applyFont="1"/>
    <xf numFmtId="0" fontId="52" fillId="3" borderId="0" xfId="0" applyFont="1" applyFill="1" applyAlignment="1">
      <alignment horizontal="left" vertical="center"/>
    </xf>
    <xf numFmtId="0" fontId="48" fillId="0" borderId="0" xfId="0" applyFont="1"/>
    <xf numFmtId="0" fontId="48" fillId="0" borderId="36" xfId="0" applyFont="1" applyBorder="1" applyAlignment="1">
      <alignment horizontal="left" indent="1"/>
    </xf>
    <xf numFmtId="0" fontId="60" fillId="8" borderId="62" xfId="2" applyNumberFormat="1" applyFont="1" applyFill="1" applyBorder="1" applyAlignment="1" applyProtection="1">
      <alignment horizontal="right" vertical="center"/>
    </xf>
    <xf numFmtId="0" fontId="47" fillId="8" borderId="43" xfId="2" applyNumberFormat="1" applyFont="1" applyFill="1" applyBorder="1" applyAlignment="1" applyProtection="1">
      <alignment horizontal="right" vertical="center"/>
    </xf>
    <xf numFmtId="165" fontId="60" fillId="8" borderId="63" xfId="4" applyNumberFormat="1" applyFont="1" applyFill="1" applyBorder="1" applyAlignment="1" applyProtection="1">
      <alignment vertical="center"/>
    </xf>
    <xf numFmtId="172" fontId="15" fillId="8" borderId="0" xfId="3" applyNumberFormat="1" applyFont="1" applyFill="1" applyBorder="1" applyAlignment="1" applyProtection="1">
      <alignment horizontal="right" vertical="center"/>
    </xf>
    <xf numFmtId="0" fontId="52" fillId="0" borderId="0" xfId="2" applyNumberFormat="1" applyFont="1" applyFill="1" applyBorder="1" applyAlignment="1" applyProtection="1">
      <alignment horizontal="right"/>
    </xf>
    <xf numFmtId="0" fontId="48" fillId="0" borderId="0" xfId="2" applyNumberFormat="1" applyFont="1" applyFill="1" applyBorder="1" applyAlignment="1" applyProtection="1">
      <alignment horizontal="right"/>
    </xf>
    <xf numFmtId="164" fontId="48" fillId="0" borderId="0" xfId="2" applyNumberFormat="1" applyFont="1" applyFill="1" applyBorder="1" applyAlignment="1" applyProtection="1">
      <alignment horizontal="right" vertical="center"/>
    </xf>
    <xf numFmtId="0" fontId="188" fillId="0" borderId="0" xfId="5" applyFont="1" applyFill="1" applyAlignment="1" applyProtection="1">
      <alignment horizontal="right" indent="1"/>
      <protection locked="0"/>
    </xf>
    <xf numFmtId="0" fontId="47" fillId="8" borderId="88" xfId="2" applyNumberFormat="1" applyFont="1" applyFill="1" applyBorder="1" applyAlignment="1" applyProtection="1">
      <alignment horizontal="right" vertical="center"/>
    </xf>
    <xf numFmtId="0" fontId="47" fillId="8" borderId="42" xfId="2" applyNumberFormat="1" applyFont="1" applyFill="1" applyBorder="1" applyAlignment="1" applyProtection="1">
      <alignment horizontal="right" vertical="center"/>
    </xf>
    <xf numFmtId="165" fontId="60" fillId="8" borderId="44" xfId="4" applyNumberFormat="1" applyFont="1" applyFill="1" applyBorder="1" applyAlignment="1" applyProtection="1">
      <alignment vertical="center"/>
    </xf>
    <xf numFmtId="165" fontId="15" fillId="3" borderId="0" xfId="2" applyNumberFormat="1" applyFont="1" applyFill="1" applyBorder="1" applyAlignment="1" applyProtection="1">
      <alignment horizontal="center" vertical="center"/>
    </xf>
    <xf numFmtId="0" fontId="14" fillId="8" borderId="0" xfId="2" applyNumberFormat="1" applyFont="1" applyFill="1" applyBorder="1" applyAlignment="1" applyProtection="1">
      <alignment horizontal="right"/>
    </xf>
    <xf numFmtId="0" fontId="15" fillId="8" borderId="0" xfId="2" applyNumberFormat="1" applyFont="1" applyFill="1" applyBorder="1" applyAlignment="1" applyProtection="1">
      <alignment horizontal="right"/>
    </xf>
    <xf numFmtId="164" fontId="15" fillId="8" borderId="0" xfId="2" applyNumberFormat="1" applyFont="1" applyFill="1" applyBorder="1" applyAlignment="1" applyProtection="1">
      <alignment horizontal="right" vertical="center"/>
    </xf>
    <xf numFmtId="0" fontId="188" fillId="0" borderId="0" xfId="5" applyFont="1" applyFill="1" applyAlignment="1" applyProtection="1">
      <alignment horizontal="center"/>
      <protection locked="0"/>
    </xf>
    <xf numFmtId="0" fontId="52" fillId="0" borderId="0" xfId="0" applyFont="1" applyAlignment="1">
      <alignment horizontal="left"/>
    </xf>
    <xf numFmtId="165" fontId="189" fillId="3" borderId="0" xfId="5" applyNumberFormat="1" applyFont="1" applyFill="1" applyBorder="1" applyAlignment="1" applyProtection="1">
      <alignment horizontal="left"/>
    </xf>
    <xf numFmtId="0" fontId="137" fillId="3" borderId="0" xfId="5" applyFont="1" applyFill="1" applyBorder="1" applyAlignment="1" applyProtection="1">
      <alignment vertical="top"/>
      <protection locked="0"/>
    </xf>
    <xf numFmtId="0" fontId="25" fillId="25" borderId="6" xfId="0" applyFont="1" applyFill="1" applyBorder="1" applyAlignment="1">
      <alignment horizontal="left" vertical="center"/>
    </xf>
    <xf numFmtId="0" fontId="25" fillId="25" borderId="7" xfId="0" applyFont="1" applyFill="1" applyBorder="1" applyAlignment="1">
      <alignment horizontal="left" vertical="center"/>
    </xf>
    <xf numFmtId="0" fontId="25" fillId="25" borderId="34" xfId="0" applyFont="1" applyFill="1" applyBorder="1" applyAlignment="1">
      <alignment horizontal="left" vertical="center"/>
    </xf>
    <xf numFmtId="0" fontId="25" fillId="25" borderId="35" xfId="0" applyFont="1" applyFill="1" applyBorder="1" applyAlignment="1">
      <alignment horizontal="left" vertical="center"/>
    </xf>
    <xf numFmtId="0" fontId="14" fillId="0" borderId="0" xfId="0" applyFont="1" applyAlignment="1">
      <alignment horizontal="left" vertical="center"/>
    </xf>
    <xf numFmtId="0" fontId="52" fillId="3" borderId="0" xfId="0" applyFont="1" applyFill="1"/>
    <xf numFmtId="0" fontId="52" fillId="3" borderId="30" xfId="0" applyFont="1" applyFill="1" applyBorder="1"/>
    <xf numFmtId="164" fontId="15" fillId="0" borderId="0" xfId="0" applyNumberFormat="1" applyFont="1"/>
    <xf numFmtId="0" fontId="137" fillId="0" borderId="0" xfId="5" applyFont="1" applyBorder="1"/>
    <xf numFmtId="0" fontId="137" fillId="3" borderId="98" xfId="5" applyFont="1" applyFill="1" applyBorder="1" applyAlignment="1" applyProtection="1">
      <alignment vertical="center"/>
      <protection locked="0"/>
    </xf>
    <xf numFmtId="0" fontId="14" fillId="3" borderId="0" xfId="0" applyFont="1" applyFill="1" applyAlignment="1">
      <alignment vertical="center" wrapText="1"/>
    </xf>
    <xf numFmtId="0" fontId="15" fillId="0" borderId="33" xfId="0" applyFont="1" applyBorder="1"/>
    <xf numFmtId="0" fontId="15" fillId="0" borderId="0" xfId="0" applyFont="1" applyAlignment="1">
      <alignment vertical="center"/>
    </xf>
    <xf numFmtId="2" fontId="15" fillId="0" borderId="0" xfId="3" applyNumberFormat="1" applyFont="1" applyBorder="1"/>
    <xf numFmtId="0" fontId="14" fillId="0" borderId="27" xfId="0" applyFont="1" applyBorder="1" applyAlignment="1">
      <alignment vertical="center"/>
    </xf>
    <xf numFmtId="0" fontId="15" fillId="0" borderId="30" xfId="0" applyFont="1" applyBorder="1" applyAlignment="1" applyProtection="1">
      <alignment vertical="top" wrapText="1"/>
      <protection locked="0"/>
    </xf>
    <xf numFmtId="0" fontId="15" fillId="0" borderId="0" xfId="0" applyFont="1" applyAlignment="1" applyProtection="1">
      <alignment vertical="top" wrapText="1"/>
      <protection locked="0"/>
    </xf>
    <xf numFmtId="0" fontId="165" fillId="35" borderId="74" xfId="0" applyFont="1" applyFill="1" applyBorder="1" applyAlignment="1">
      <alignment vertical="center"/>
    </xf>
    <xf numFmtId="0" fontId="165" fillId="28" borderId="74" xfId="0" applyFont="1" applyFill="1" applyBorder="1" applyAlignment="1">
      <alignment vertical="center"/>
    </xf>
    <xf numFmtId="0" fontId="15" fillId="0" borderId="59" xfId="0" applyFont="1" applyBorder="1"/>
    <xf numFmtId="0" fontId="15" fillId="0" borderId="59" xfId="0" applyFont="1" applyBorder="1" applyAlignment="1">
      <alignment wrapText="1"/>
    </xf>
    <xf numFmtId="0" fontId="0" fillId="8" borderId="25" xfId="0" applyFill="1" applyBorder="1"/>
    <xf numFmtId="0" fontId="0" fillId="8" borderId="36" xfId="0" applyFill="1" applyBorder="1"/>
    <xf numFmtId="0" fontId="191" fillId="8" borderId="0" xfId="0" applyFont="1" applyFill="1" applyAlignment="1">
      <alignment horizontal="left" vertical="top" indent="1"/>
    </xf>
    <xf numFmtId="0" fontId="0" fillId="3" borderId="0" xfId="0" applyFill="1" applyProtection="1">
      <protection locked="0"/>
    </xf>
    <xf numFmtId="0" fontId="0" fillId="8" borderId="88" xfId="0" applyFill="1" applyBorder="1"/>
    <xf numFmtId="0" fontId="0" fillId="8" borderId="42" xfId="0" applyFill="1" applyBorder="1"/>
    <xf numFmtId="0" fontId="0" fillId="8" borderId="44" xfId="0" applyFill="1" applyBorder="1"/>
    <xf numFmtId="0" fontId="95" fillId="0" borderId="0" xfId="0" applyFont="1" applyAlignment="1">
      <alignment vertical="top" wrapText="1"/>
    </xf>
    <xf numFmtId="0" fontId="15" fillId="3" borderId="3" xfId="0" applyFont="1" applyFill="1" applyBorder="1" applyAlignment="1">
      <alignment horizontal="left" wrapText="1" indent="1"/>
    </xf>
    <xf numFmtId="0" fontId="64" fillId="0" borderId="0" xfId="0" applyFont="1"/>
    <xf numFmtId="0" fontId="89" fillId="8" borderId="0" xfId="0" applyFont="1" applyFill="1" applyAlignment="1">
      <alignment vertical="top" wrapText="1"/>
    </xf>
    <xf numFmtId="0" fontId="192" fillId="8" borderId="0" xfId="0" applyFont="1" applyFill="1" applyAlignment="1">
      <alignment horizontal="right"/>
    </xf>
    <xf numFmtId="0" fontId="29" fillId="38" borderId="0" xfId="0" applyFont="1" applyFill="1"/>
    <xf numFmtId="0" fontId="159" fillId="38" borderId="0" xfId="0" applyFont="1" applyFill="1" applyAlignment="1">
      <alignment vertical="top"/>
    </xf>
    <xf numFmtId="0" fontId="193" fillId="38" borderId="0" xfId="0" applyFont="1" applyFill="1" applyAlignment="1">
      <alignment vertical="top"/>
    </xf>
    <xf numFmtId="0" fontId="163" fillId="12" borderId="0" xfId="5" applyFont="1" applyFill="1" applyProtection="1">
      <protection locked="0"/>
    </xf>
    <xf numFmtId="0" fontId="29" fillId="0" borderId="149" xfId="6" applyFont="1" applyBorder="1" applyProtection="1">
      <protection locked="0"/>
    </xf>
    <xf numFmtId="0" fontId="56" fillId="0" borderId="0" xfId="0" applyFont="1"/>
    <xf numFmtId="0" fontId="56" fillId="0" borderId="0" xfId="0" applyFont="1" applyAlignment="1">
      <alignment horizontal="left"/>
    </xf>
    <xf numFmtId="0" fontId="30" fillId="0" borderId="0" xfId="0" applyFont="1"/>
    <xf numFmtId="0" fontId="55" fillId="18" borderId="94" xfId="0" applyFont="1" applyFill="1" applyBorder="1" applyAlignment="1">
      <alignment horizontal="center"/>
    </xf>
    <xf numFmtId="0" fontId="0" fillId="0" borderId="94" xfId="0" applyBorder="1" applyProtection="1">
      <protection locked="0"/>
    </xf>
    <xf numFmtId="0" fontId="89" fillId="8" borderId="0" xfId="0" applyFont="1" applyFill="1" applyAlignment="1">
      <alignment horizontal="right"/>
    </xf>
    <xf numFmtId="0" fontId="0" fillId="0" borderId="36" xfId="0" applyBorder="1"/>
    <xf numFmtId="0" fontId="5" fillId="0" borderId="36" xfId="0" applyFont="1" applyBorder="1"/>
    <xf numFmtId="0" fontId="163" fillId="12" borderId="0" xfId="5" applyFont="1" applyFill="1" applyAlignment="1" applyProtection="1">
      <alignment vertical="top"/>
      <protection locked="0"/>
    </xf>
    <xf numFmtId="0" fontId="196" fillId="8" borderId="0" xfId="0" applyFont="1" applyFill="1" applyAlignment="1">
      <alignment horizontal="right"/>
    </xf>
    <xf numFmtId="0" fontId="89" fillId="8" borderId="0" xfId="0" applyFont="1" applyFill="1" applyAlignment="1">
      <alignment horizontal="right" wrapText="1"/>
    </xf>
    <xf numFmtId="0" fontId="0" fillId="0" borderId="36" xfId="0" applyBorder="1" applyAlignment="1">
      <alignment vertical="top"/>
    </xf>
    <xf numFmtId="0" fontId="149" fillId="2" borderId="0" xfId="0" applyFont="1" applyFill="1" applyAlignment="1">
      <alignment horizontal="left" vertical="top"/>
    </xf>
    <xf numFmtId="0" fontId="0" fillId="2" borderId="0" xfId="0" applyFill="1"/>
    <xf numFmtId="0" fontId="162" fillId="2" borderId="0" xfId="0" applyFont="1" applyFill="1" applyAlignment="1">
      <alignment horizontal="left" vertical="top" indent="6"/>
    </xf>
    <xf numFmtId="0" fontId="162" fillId="2" borderId="0" xfId="0" applyFont="1" applyFill="1" applyAlignment="1">
      <alignment horizontal="left" vertical="top"/>
    </xf>
    <xf numFmtId="0" fontId="6" fillId="2" borderId="0" xfId="0" applyFont="1" applyFill="1" applyAlignment="1">
      <alignment vertical="center" wrapText="1"/>
    </xf>
    <xf numFmtId="0" fontId="149" fillId="2" borderId="0" xfId="0" applyFont="1" applyFill="1" applyAlignment="1">
      <alignment horizontal="left" vertical="top" indent="6"/>
    </xf>
    <xf numFmtId="0" fontId="195" fillId="39" borderId="0" xfId="0" applyFont="1" applyFill="1"/>
    <xf numFmtId="0" fontId="60" fillId="0" borderId="0" xfId="2" applyNumberFormat="1" applyFont="1" applyFill="1" applyBorder="1" applyAlignment="1">
      <alignment horizontal="right"/>
    </xf>
    <xf numFmtId="0" fontId="185" fillId="3" borderId="0" xfId="5" applyFont="1" applyFill="1" applyBorder="1" applyAlignment="1">
      <alignment horizontal="left" vertical="center" indent="14"/>
    </xf>
    <xf numFmtId="0" fontId="194" fillId="3" borderId="0" xfId="5" applyFont="1" applyFill="1" applyBorder="1" applyAlignment="1">
      <alignment horizontal="left" vertical="center"/>
    </xf>
    <xf numFmtId="0" fontId="168" fillId="3" borderId="0" xfId="5" applyFont="1" applyFill="1" applyBorder="1" applyAlignment="1">
      <alignment horizontal="center" vertical="center"/>
    </xf>
    <xf numFmtId="0" fontId="168" fillId="3" borderId="0" xfId="0" applyFont="1" applyFill="1" applyAlignment="1">
      <alignment horizontal="center" vertical="center"/>
    </xf>
    <xf numFmtId="0" fontId="9" fillId="3" borderId="36" xfId="0" applyFont="1" applyFill="1" applyBorder="1" applyAlignment="1">
      <alignment vertical="center"/>
    </xf>
    <xf numFmtId="0" fontId="9" fillId="3" borderId="0" xfId="5" applyFont="1" applyFill="1" applyBorder="1" applyAlignment="1">
      <alignment horizontal="left" vertical="center"/>
    </xf>
    <xf numFmtId="165" fontId="75" fillId="3" borderId="7" xfId="2" applyNumberFormat="1" applyFont="1" applyFill="1" applyBorder="1" applyAlignment="1">
      <alignment horizontal="left" vertical="center"/>
    </xf>
    <xf numFmtId="0" fontId="168" fillId="3" borderId="88" xfId="5" applyFont="1" applyFill="1" applyBorder="1" applyAlignment="1">
      <alignment horizontal="center" vertical="center"/>
    </xf>
    <xf numFmtId="0" fontId="9" fillId="3" borderId="42" xfId="5" applyFont="1" applyFill="1" applyBorder="1" applyAlignment="1">
      <alignment horizontal="left" vertical="center"/>
    </xf>
    <xf numFmtId="0" fontId="168" fillId="3" borderId="42" xfId="5" applyFont="1" applyFill="1" applyBorder="1" applyAlignment="1">
      <alignment horizontal="center" vertical="center"/>
    </xf>
    <xf numFmtId="0" fontId="168" fillId="3" borderId="42" xfId="0" applyFont="1" applyFill="1" applyBorder="1" applyAlignment="1">
      <alignment horizontal="center" vertical="center"/>
    </xf>
    <xf numFmtId="0" fontId="9" fillId="3" borderId="44" xfId="0" applyFont="1" applyFill="1" applyBorder="1" applyAlignment="1">
      <alignment vertical="center"/>
    </xf>
    <xf numFmtId="0" fontId="9" fillId="3" borderId="0" xfId="0" applyFont="1" applyFill="1" applyAlignment="1">
      <alignment vertical="center"/>
    </xf>
    <xf numFmtId="0" fontId="197" fillId="3" borderId="25" xfId="5" applyFont="1" applyFill="1" applyBorder="1" applyAlignment="1">
      <alignment horizontal="left" vertical="center"/>
    </xf>
    <xf numFmtId="0" fontId="198" fillId="3" borderId="0" xfId="5" applyFont="1" applyFill="1" applyBorder="1" applyAlignment="1">
      <alignment horizontal="left" vertical="center" indent="4"/>
    </xf>
    <xf numFmtId="0" fontId="198" fillId="3" borderId="0" xfId="5" applyFont="1" applyFill="1" applyBorder="1" applyAlignment="1">
      <alignment horizontal="left" vertical="center" indent="3"/>
    </xf>
    <xf numFmtId="0" fontId="198" fillId="3" borderId="0" xfId="5" applyFont="1" applyFill="1" applyBorder="1" applyAlignment="1">
      <alignment horizontal="center" vertical="center"/>
    </xf>
    <xf numFmtId="0" fontId="199" fillId="0" borderId="0" xfId="0" applyFont="1"/>
    <xf numFmtId="0" fontId="63" fillId="3" borderId="0" xfId="0" applyFont="1" applyFill="1" applyAlignment="1">
      <alignment horizontal="center"/>
    </xf>
    <xf numFmtId="0" fontId="13" fillId="23" borderId="124" xfId="0" applyFont="1" applyFill="1" applyBorder="1" applyAlignment="1">
      <alignment horizontal="center" vertical="center" wrapText="1"/>
    </xf>
    <xf numFmtId="0" fontId="61" fillId="23" borderId="125" xfId="0" applyFont="1" applyFill="1" applyBorder="1" applyAlignment="1">
      <alignment horizontal="center" vertical="center" wrapText="1"/>
    </xf>
    <xf numFmtId="165" fontId="15" fillId="8" borderId="198" xfId="2" applyNumberFormat="1" applyFont="1" applyFill="1" applyBorder="1" applyAlignment="1" applyProtection="1">
      <alignment wrapText="1"/>
    </xf>
    <xf numFmtId="165" fontId="15" fillId="8" borderId="3" xfId="2" applyNumberFormat="1" applyFont="1" applyFill="1" applyBorder="1" applyProtection="1"/>
    <xf numFmtId="165" fontId="15" fillId="8" borderId="199" xfId="2" applyNumberFormat="1" applyFont="1" applyFill="1" applyBorder="1" applyProtection="1"/>
    <xf numFmtId="165" fontId="34" fillId="20" borderId="199" xfId="2" applyNumberFormat="1" applyFont="1" applyFill="1" applyBorder="1" applyProtection="1"/>
    <xf numFmtId="165" fontId="52" fillId="13" borderId="199" xfId="2" applyNumberFormat="1" applyFont="1" applyFill="1" applyBorder="1" applyProtection="1"/>
    <xf numFmtId="165" fontId="14" fillId="8" borderId="199" xfId="2" applyNumberFormat="1" applyFont="1" applyFill="1" applyBorder="1" applyProtection="1"/>
    <xf numFmtId="165" fontId="110" fillId="0" borderId="199" xfId="2" applyNumberFormat="1" applyFont="1" applyFill="1" applyBorder="1" applyProtection="1"/>
    <xf numFmtId="165" fontId="13" fillId="19" borderId="199" xfId="2" applyNumberFormat="1" applyFont="1" applyFill="1" applyBorder="1" applyProtection="1"/>
    <xf numFmtId="0" fontId="115" fillId="35" borderId="0" xfId="0" applyFont="1" applyFill="1" applyAlignment="1">
      <alignment vertical="center"/>
    </xf>
    <xf numFmtId="170" fontId="29" fillId="8" borderId="48" xfId="0" applyNumberFormat="1" applyFont="1" applyFill="1" applyBorder="1" applyAlignment="1">
      <alignment horizontal="center"/>
    </xf>
    <xf numFmtId="0" fontId="200" fillId="0" borderId="0" xfId="0" applyFont="1" applyAlignment="1">
      <alignment horizontal="left" vertical="center" indent="14"/>
    </xf>
    <xf numFmtId="2" fontId="29" fillId="0" borderId="46" xfId="1" applyNumberFormat="1" applyFont="1" applyBorder="1" applyAlignment="1" applyProtection="1">
      <alignment horizontal="center"/>
    </xf>
    <xf numFmtId="2" fontId="29" fillId="0" borderId="45" xfId="1" applyNumberFormat="1" applyFont="1" applyBorder="1" applyAlignment="1" applyProtection="1">
      <alignment horizontal="center"/>
    </xf>
    <xf numFmtId="3" fontId="60" fillId="0" borderId="0" xfId="2" applyNumberFormat="1" applyFont="1" applyFill="1" applyBorder="1" applyAlignment="1">
      <alignment horizontal="left" vertical="center" indent="3"/>
    </xf>
    <xf numFmtId="0" fontId="75" fillId="3" borderId="7" xfId="0" applyFont="1" applyFill="1" applyBorder="1" applyAlignment="1">
      <alignment horizontal="right" vertical="center"/>
    </xf>
    <xf numFmtId="0" fontId="7" fillId="0" borderId="0" xfId="0" applyFont="1" applyAlignment="1">
      <alignment vertical="center"/>
    </xf>
    <xf numFmtId="0" fontId="202" fillId="8" borderId="62" xfId="0" applyFont="1" applyFill="1" applyBorder="1"/>
    <xf numFmtId="0" fontId="186" fillId="8" borderId="43" xfId="0" applyFont="1" applyFill="1" applyBorder="1"/>
    <xf numFmtId="0" fontId="186" fillId="8" borderId="63" xfId="0" applyFont="1" applyFill="1" applyBorder="1"/>
    <xf numFmtId="0" fontId="203" fillId="0" borderId="0" xfId="0" applyFont="1" applyAlignment="1" applyProtection="1">
      <alignment vertical="top" wrapText="1"/>
      <protection locked="0"/>
    </xf>
    <xf numFmtId="0" fontId="33" fillId="0" borderId="7" xfId="0" applyFont="1" applyBorder="1" applyAlignment="1" applyProtection="1">
      <alignment horizontal="left" vertical="top"/>
      <protection locked="0"/>
    </xf>
    <xf numFmtId="0" fontId="32" fillId="10" borderId="63" xfId="0" applyFont="1" applyFill="1" applyBorder="1" applyAlignment="1">
      <alignment horizontal="center" vertical="top" wrapText="1"/>
    </xf>
    <xf numFmtId="0" fontId="39" fillId="0" borderId="7" xfId="0" applyFont="1" applyBorder="1" applyAlignment="1">
      <alignment horizontal="left" vertical="top" wrapText="1"/>
    </xf>
    <xf numFmtId="43" fontId="60" fillId="0" borderId="8" xfId="2" applyNumberFormat="1" applyFont="1" applyFill="1" applyBorder="1" applyAlignment="1" applyProtection="1">
      <alignment vertical="top"/>
      <protection locked="0"/>
    </xf>
    <xf numFmtId="0" fontId="204" fillId="0" borderId="0" xfId="0" applyFont="1" applyProtection="1">
      <protection locked="0"/>
    </xf>
    <xf numFmtId="0" fontId="205" fillId="0" borderId="0" xfId="0" applyFont="1" applyAlignment="1" applyProtection="1">
      <alignment horizontal="left"/>
      <protection locked="0"/>
    </xf>
    <xf numFmtId="0" fontId="206" fillId="3" borderId="0" xfId="0" applyFont="1" applyFill="1"/>
    <xf numFmtId="0" fontId="14" fillId="12" borderId="7" xfId="0" applyFont="1" applyFill="1" applyBorder="1" applyAlignment="1">
      <alignment horizontal="center" vertical="top" wrapText="1"/>
    </xf>
    <xf numFmtId="165" fontId="39" fillId="0" borderId="7" xfId="3" applyNumberFormat="1" applyFont="1" applyBorder="1" applyAlignment="1" applyProtection="1">
      <alignment horizontal="left" vertical="top"/>
      <protection locked="0"/>
    </xf>
    <xf numFmtId="0" fontId="3" fillId="0" borderId="187" xfId="0" applyFont="1" applyBorder="1"/>
    <xf numFmtId="0" fontId="3" fillId="0" borderId="170" xfId="0" applyFont="1" applyBorder="1" applyAlignment="1">
      <alignment vertical="center"/>
    </xf>
    <xf numFmtId="0" fontId="3" fillId="0" borderId="170" xfId="0" applyFont="1" applyBorder="1"/>
    <xf numFmtId="0" fontId="3" fillId="0" borderId="171" xfId="0" applyFont="1" applyBorder="1" applyAlignment="1">
      <alignment vertical="center"/>
    </xf>
    <xf numFmtId="0" fontId="3" fillId="0" borderId="36" xfId="0" applyFont="1" applyBorder="1"/>
    <xf numFmtId="0" fontId="3" fillId="0" borderId="0" xfId="0" applyFont="1" applyAlignment="1">
      <alignment vertical="center"/>
    </xf>
    <xf numFmtId="0" fontId="3" fillId="0" borderId="0" xfId="0" applyFont="1" applyAlignment="1">
      <alignment vertical="center" wrapText="1"/>
    </xf>
    <xf numFmtId="0" fontId="3" fillId="0" borderId="172" xfId="0" applyFont="1" applyBorder="1" applyAlignment="1">
      <alignment vertical="center"/>
    </xf>
    <xf numFmtId="0" fontId="3" fillId="0" borderId="0" xfId="0" applyFont="1"/>
    <xf numFmtId="0" fontId="3" fillId="0" borderId="0" xfId="0" applyFont="1" applyAlignment="1" applyProtection="1">
      <alignment horizontal="left" vertical="center" indent="1"/>
      <protection locked="0"/>
    </xf>
    <xf numFmtId="0" fontId="3" fillId="0" borderId="0" xfId="0" applyFont="1" applyAlignment="1">
      <alignment horizontal="left" vertical="center" indent="1"/>
    </xf>
    <xf numFmtId="0" fontId="3" fillId="0" borderId="0" xfId="0" applyFont="1" applyAlignment="1" applyProtection="1">
      <alignment horizontal="left" vertical="center" wrapText="1" indent="1"/>
      <protection locked="0"/>
    </xf>
    <xf numFmtId="0" fontId="3" fillId="0" borderId="8" xfId="0" applyFont="1" applyBorder="1" applyAlignment="1" applyProtection="1">
      <alignment horizontal="center" vertical="center"/>
      <protection locked="0"/>
    </xf>
    <xf numFmtId="0" fontId="3" fillId="0" borderId="172" xfId="0" applyFont="1" applyBorder="1"/>
    <xf numFmtId="49" fontId="3" fillId="12" borderId="8" xfId="0" applyNumberFormat="1" applyFont="1" applyFill="1" applyBorder="1" applyAlignment="1">
      <alignment horizontal="center" vertical="center"/>
    </xf>
    <xf numFmtId="0" fontId="3" fillId="12" borderId="8" xfId="0" applyFont="1" applyFill="1" applyBorder="1" applyAlignment="1">
      <alignment horizontal="center" vertical="center"/>
    </xf>
    <xf numFmtId="49" fontId="3" fillId="0" borderId="8" xfId="0" applyNumberFormat="1" applyFont="1" applyBorder="1" applyAlignment="1" applyProtection="1">
      <alignment horizontal="center" vertical="center"/>
      <protection locked="0"/>
    </xf>
    <xf numFmtId="0" fontId="3" fillId="0" borderId="172" xfId="0" applyFont="1" applyBorder="1" applyAlignment="1">
      <alignment horizontal="center"/>
    </xf>
    <xf numFmtId="0" fontId="3" fillId="0" borderId="191" xfId="0" applyFont="1" applyBorder="1"/>
    <xf numFmtId="0" fontId="3" fillId="0" borderId="184" xfId="0" applyFont="1" applyBorder="1"/>
    <xf numFmtId="0" fontId="3" fillId="3" borderId="10" xfId="0" applyFont="1" applyFill="1" applyBorder="1"/>
    <xf numFmtId="0" fontId="3" fillId="3" borderId="3" xfId="0" applyFont="1" applyFill="1" applyBorder="1" applyAlignment="1">
      <alignment vertical="top" wrapText="1"/>
    </xf>
    <xf numFmtId="44" fontId="3" fillId="0" borderId="0" xfId="0" applyNumberFormat="1" applyFont="1"/>
    <xf numFmtId="44" fontId="3" fillId="0" borderId="0" xfId="2" applyFont="1"/>
    <xf numFmtId="164" fontId="3" fillId="0" borderId="0" xfId="0" applyNumberFormat="1" applyFont="1"/>
    <xf numFmtId="0" fontId="3" fillId="8" borderId="10" xfId="0" applyFont="1" applyFill="1" applyBorder="1"/>
    <xf numFmtId="0" fontId="3" fillId="3" borderId="21" xfId="0" applyFont="1" applyFill="1" applyBorder="1"/>
    <xf numFmtId="164" fontId="3" fillId="0" borderId="0" xfId="0" applyNumberFormat="1" applyFont="1" applyAlignment="1" applyProtection="1">
      <alignment horizontal="center"/>
      <protection locked="0"/>
    </xf>
    <xf numFmtId="0" fontId="3" fillId="0" borderId="0" xfId="0" applyFont="1" applyProtection="1">
      <protection locked="0"/>
    </xf>
    <xf numFmtId="0" fontId="3" fillId="3" borderId="25" xfId="5" applyFont="1" applyFill="1" applyBorder="1" applyAlignment="1">
      <alignment horizontal="left" vertical="center"/>
    </xf>
    <xf numFmtId="0" fontId="3" fillId="3" borderId="0" xfId="5" applyFont="1" applyFill="1" applyBorder="1" applyAlignment="1">
      <alignment horizontal="left" vertical="center"/>
    </xf>
    <xf numFmtId="0" fontId="3" fillId="3" borderId="0" xfId="5" applyFont="1" applyFill="1" applyBorder="1" applyAlignment="1">
      <alignment horizontal="left" vertical="center" indent="4"/>
    </xf>
    <xf numFmtId="0" fontId="3" fillId="3" borderId="0" xfId="0" applyFont="1" applyFill="1"/>
    <xf numFmtId="0" fontId="3" fillId="0" borderId="0" xfId="0" applyFont="1" applyAlignment="1">
      <alignment horizontal="left" indent="1"/>
    </xf>
    <xf numFmtId="165" fontId="3" fillId="0" borderId="0" xfId="3" applyNumberFormat="1" applyFont="1" applyFill="1" applyBorder="1" applyAlignment="1">
      <alignment vertical="center"/>
    </xf>
    <xf numFmtId="0" fontId="3" fillId="0" borderId="0" xfId="0" applyFont="1" applyProtection="1">
      <protection locked="0" hidden="1"/>
    </xf>
    <xf numFmtId="44" fontId="3" fillId="0" borderId="0" xfId="2" applyFont="1" applyProtection="1"/>
    <xf numFmtId="0" fontId="3" fillId="0" borderId="27" xfId="0" applyFont="1" applyBorder="1"/>
    <xf numFmtId="0" fontId="3" fillId="8" borderId="36" xfId="0" applyFont="1" applyFill="1" applyBorder="1"/>
    <xf numFmtId="0" fontId="3" fillId="23" borderId="0" xfId="0" applyFont="1" applyFill="1"/>
    <xf numFmtId="0" fontId="52" fillId="3" borderId="0" xfId="0" applyFont="1" applyFill="1" applyAlignment="1">
      <alignment horizontal="left" vertical="top"/>
    </xf>
    <xf numFmtId="0" fontId="0" fillId="3" borderId="7" xfId="0" applyFill="1" applyBorder="1" applyProtection="1">
      <protection locked="0"/>
    </xf>
    <xf numFmtId="10" fontId="15" fillId="12" borderId="24" xfId="3" applyNumberFormat="1" applyFont="1" applyFill="1" applyBorder="1" applyProtection="1"/>
    <xf numFmtId="166" fontId="64" fillId="0" borderId="0" xfId="1" applyNumberFormat="1" applyFont="1" applyAlignment="1" applyProtection="1">
      <alignment horizontal="right"/>
    </xf>
    <xf numFmtId="166" fontId="213" fillId="0" borderId="0" xfId="1" applyNumberFormat="1" applyFont="1" applyAlignment="1" applyProtection="1">
      <alignment horizontal="right"/>
    </xf>
    <xf numFmtId="0" fontId="29" fillId="0" borderId="201" xfId="0" applyFont="1" applyBorder="1" applyAlignment="1">
      <alignment horizontal="left" indent="1"/>
    </xf>
    <xf numFmtId="44" fontId="29" fillId="0" borderId="202" xfId="0" applyNumberFormat="1" applyFont="1" applyBorder="1"/>
    <xf numFmtId="44" fontId="29" fillId="0" borderId="203" xfId="0" applyNumberFormat="1" applyFont="1" applyBorder="1"/>
    <xf numFmtId="0" fontId="29" fillId="0" borderId="204" xfId="0" applyFont="1" applyBorder="1" applyAlignment="1">
      <alignment horizontal="left" indent="1"/>
    </xf>
    <xf numFmtId="44" fontId="29" fillId="0" borderId="205" xfId="0" applyNumberFormat="1" applyFont="1" applyBorder="1"/>
    <xf numFmtId="0" fontId="29" fillId="0" borderId="206" xfId="0" applyFont="1" applyBorder="1" applyAlignment="1">
      <alignment horizontal="left" indent="1"/>
    </xf>
    <xf numFmtId="44" fontId="29" fillId="0" borderId="207" xfId="2" applyFont="1" applyBorder="1" applyProtection="1"/>
    <xf numFmtId="44" fontId="29" fillId="0" borderId="208" xfId="0" applyNumberFormat="1" applyFont="1" applyBorder="1"/>
    <xf numFmtId="0" fontId="29" fillId="8" borderId="204" xfId="0" applyFont="1" applyFill="1" applyBorder="1" applyAlignment="1">
      <alignment horizontal="left" indent="1"/>
    </xf>
    <xf numFmtId="44" fontId="29" fillId="8" borderId="152" xfId="0" applyNumberFormat="1" applyFont="1" applyFill="1" applyBorder="1"/>
    <xf numFmtId="44" fontId="29" fillId="8" borderId="205" xfId="0" applyNumberFormat="1" applyFont="1" applyFill="1" applyBorder="1"/>
    <xf numFmtId="0" fontId="214" fillId="0" borderId="0" xfId="0" applyFont="1"/>
    <xf numFmtId="0" fontId="146" fillId="35" borderId="183" xfId="0" applyFont="1" applyFill="1" applyBorder="1" applyAlignment="1">
      <alignment horizontal="center" vertical="center"/>
    </xf>
    <xf numFmtId="0" fontId="2" fillId="0" borderId="3" xfId="0" applyFont="1" applyBorder="1" applyAlignment="1" applyProtection="1">
      <alignment horizontal="left" vertical="top" wrapText="1" indent="1"/>
      <protection locked="0"/>
    </xf>
    <xf numFmtId="0" fontId="3" fillId="0" borderId="4" xfId="0" applyFont="1" applyBorder="1" applyAlignment="1" applyProtection="1">
      <alignment horizontal="left" vertical="top" wrapText="1" indent="1"/>
      <protection locked="0"/>
    </xf>
    <xf numFmtId="0" fontId="3" fillId="0" borderId="5" xfId="0" applyFont="1" applyBorder="1" applyAlignment="1" applyProtection="1">
      <alignment horizontal="left" vertical="top" wrapText="1" indent="1"/>
      <protection locked="0"/>
    </xf>
    <xf numFmtId="0" fontId="2" fillId="0" borderId="3" xfId="0" applyFont="1" applyBorder="1" applyAlignment="1" applyProtection="1">
      <alignment horizontal="left" vertical="center" wrapText="1" indent="1"/>
      <protection locked="0"/>
    </xf>
    <xf numFmtId="0" fontId="3" fillId="0" borderId="4" xfId="0" applyFont="1" applyBorder="1" applyAlignment="1" applyProtection="1">
      <alignment horizontal="left" vertical="center" wrapText="1" indent="1"/>
      <protection locked="0"/>
    </xf>
    <xf numFmtId="0" fontId="3" fillId="0" borderId="5" xfId="0" applyFont="1" applyBorder="1" applyAlignment="1" applyProtection="1">
      <alignment horizontal="left" vertical="center" wrapText="1" indent="1"/>
      <protection locked="0"/>
    </xf>
    <xf numFmtId="0" fontId="3" fillId="12" borderId="54" xfId="0" applyFont="1" applyFill="1" applyBorder="1" applyAlignment="1">
      <alignment horizontal="left" vertical="center" wrapText="1" indent="1"/>
    </xf>
    <xf numFmtId="0" fontId="3" fillId="12" borderId="168" xfId="0" applyFont="1" applyFill="1" applyBorder="1" applyAlignment="1">
      <alignment horizontal="left" vertical="center" wrapText="1" indent="1"/>
    </xf>
    <xf numFmtId="0" fontId="3" fillId="12" borderId="169" xfId="0" applyFont="1" applyFill="1" applyBorder="1" applyAlignment="1">
      <alignment horizontal="left" vertical="center" wrapText="1" indent="1"/>
    </xf>
    <xf numFmtId="0" fontId="3" fillId="0" borderId="3" xfId="0" applyFont="1" applyBorder="1" applyAlignment="1" applyProtection="1">
      <alignment horizontal="left" vertical="center" indent="1"/>
      <protection locked="0"/>
    </xf>
    <xf numFmtId="0" fontId="3" fillId="0" borderId="4" xfId="0" applyFont="1" applyBorder="1" applyAlignment="1" applyProtection="1">
      <alignment horizontal="left" vertical="center" indent="1"/>
      <protection locked="0"/>
    </xf>
    <xf numFmtId="0" fontId="3" fillId="0" borderId="5" xfId="0" applyFont="1" applyBorder="1" applyAlignment="1" applyProtection="1">
      <alignment horizontal="left" vertical="center" indent="1"/>
      <protection locked="0"/>
    </xf>
    <xf numFmtId="0" fontId="1" fillId="0" borderId="3" xfId="0" applyFont="1" applyBorder="1" applyAlignment="1" applyProtection="1">
      <alignment horizontal="left" vertical="center" indent="1"/>
      <protection locked="0"/>
    </xf>
    <xf numFmtId="0" fontId="8" fillId="42" borderId="0" xfId="0" applyFont="1" applyFill="1" applyAlignment="1">
      <alignment horizontal="left" vertical="center" wrapText="1"/>
    </xf>
    <xf numFmtId="0" fontId="8" fillId="42" borderId="172" xfId="0" applyFont="1" applyFill="1" applyBorder="1" applyAlignment="1">
      <alignment horizontal="left" vertical="center" wrapText="1"/>
    </xf>
    <xf numFmtId="0" fontId="3"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2" fillId="0" borderId="54" xfId="0" applyFont="1" applyBorder="1" applyAlignment="1" applyProtection="1">
      <alignment horizontal="left" vertical="center" wrapText="1" indent="1"/>
      <protection locked="0"/>
    </xf>
    <xf numFmtId="0" fontId="3" fillId="0" borderId="55" xfId="0" applyFont="1" applyBorder="1" applyAlignment="1" applyProtection="1">
      <alignment horizontal="left" vertical="center" wrapText="1" indent="1"/>
      <protection locked="0"/>
    </xf>
    <xf numFmtId="0" fontId="8" fillId="0" borderId="56" xfId="0" applyFont="1" applyBorder="1" applyAlignment="1">
      <alignment horizontal="left" vertical="center" wrapText="1" indent="1"/>
    </xf>
    <xf numFmtId="0" fontId="100" fillId="0" borderId="26" xfId="0" applyFont="1" applyBorder="1" applyAlignment="1">
      <alignment horizontal="left" vertical="center" wrapText="1"/>
    </xf>
    <xf numFmtId="0" fontId="100" fillId="0" borderId="0" xfId="0" applyFont="1" applyAlignment="1">
      <alignment horizontal="left" vertical="center" wrapText="1"/>
    </xf>
    <xf numFmtId="0" fontId="100" fillId="0" borderId="172" xfId="0" applyFont="1" applyBorder="1" applyAlignment="1">
      <alignment horizontal="left" vertical="center" wrapText="1"/>
    </xf>
    <xf numFmtId="0" fontId="120" fillId="0" borderId="26" xfId="0" applyFont="1" applyBorder="1" applyAlignment="1">
      <alignment horizontal="left" indent="1"/>
    </xf>
    <xf numFmtId="0" fontId="120" fillId="0" borderId="0" xfId="0" applyFont="1" applyAlignment="1">
      <alignment horizontal="left" indent="1"/>
    </xf>
    <xf numFmtId="0" fontId="3" fillId="0" borderId="94" xfId="0" applyFont="1" applyBorder="1" applyAlignment="1" applyProtection="1">
      <alignment horizontal="center" vertical="top" wrapText="1"/>
      <protection locked="0"/>
    </xf>
    <xf numFmtId="0" fontId="8" fillId="0" borderId="163" xfId="0" applyFont="1" applyBorder="1" applyAlignment="1">
      <alignment horizontal="left" vertical="top" wrapText="1" indent="1"/>
    </xf>
    <xf numFmtId="0" fontId="96" fillId="0" borderId="0" xfId="0" applyFont="1" applyAlignment="1">
      <alignment horizontal="left" vertical="top" wrapText="1" indent="3"/>
    </xf>
    <xf numFmtId="0" fontId="154" fillId="8" borderId="25" xfId="0" applyFont="1" applyFill="1" applyBorder="1" applyAlignment="1">
      <alignment horizontal="center" vertical="center"/>
    </xf>
    <xf numFmtId="0" fontId="154" fillId="8" borderId="0" xfId="0" applyFont="1" applyFill="1" applyAlignment="1">
      <alignment horizontal="center" vertical="center"/>
    </xf>
    <xf numFmtId="0" fontId="13" fillId="41" borderId="12" xfId="0" applyFont="1" applyFill="1" applyBorder="1" applyAlignment="1">
      <alignment horizontal="center" vertical="center" wrapText="1"/>
    </xf>
    <xf numFmtId="0" fontId="13" fillId="41" borderId="13" xfId="0" applyFont="1" applyFill="1" applyBorder="1" applyAlignment="1">
      <alignment horizontal="center" vertical="center" wrapText="1"/>
    </xf>
    <xf numFmtId="0" fontId="13" fillId="41" borderId="12" xfId="0" quotePrefix="1" applyFont="1" applyFill="1" applyBorder="1" applyAlignment="1">
      <alignment horizontal="center" vertical="center" wrapText="1"/>
    </xf>
    <xf numFmtId="0" fontId="13" fillId="41" borderId="11" xfId="0" applyFont="1" applyFill="1" applyBorder="1" applyAlignment="1">
      <alignment horizontal="center" vertical="center" wrapText="1"/>
    </xf>
    <xf numFmtId="0" fontId="13" fillId="41" borderId="14" xfId="0" applyFont="1" applyFill="1" applyBorder="1" applyAlignment="1">
      <alignment horizontal="center" vertical="center" wrapText="1"/>
    </xf>
    <xf numFmtId="0" fontId="95" fillId="0" borderId="0" xfId="0" applyFont="1" applyAlignment="1">
      <alignment horizontal="left" vertical="top" wrapText="1"/>
    </xf>
    <xf numFmtId="0" fontId="95" fillId="0" borderId="195" xfId="0" applyFont="1" applyBorder="1" applyAlignment="1">
      <alignment horizontal="left" vertical="top" wrapText="1"/>
    </xf>
    <xf numFmtId="0" fontId="146" fillId="35" borderId="173" xfId="0" applyFont="1" applyFill="1" applyBorder="1" applyAlignment="1">
      <alignment horizontal="center" vertical="center"/>
    </xf>
    <xf numFmtId="0" fontId="55" fillId="8" borderId="0" xfId="0" applyFont="1" applyFill="1" applyAlignment="1">
      <alignment horizontal="left"/>
    </xf>
    <xf numFmtId="0" fontId="14" fillId="3" borderId="0" xfId="0" applyFont="1" applyFill="1" applyAlignment="1">
      <alignment horizontal="left" vertical="top" wrapText="1"/>
    </xf>
    <xf numFmtId="0" fontId="13" fillId="41" borderId="18" xfId="0" applyFont="1" applyFill="1" applyBorder="1" applyAlignment="1">
      <alignment horizontal="center" vertical="center" wrapText="1"/>
    </xf>
    <xf numFmtId="0" fontId="13" fillId="41" borderId="19" xfId="0" applyFont="1" applyFill="1" applyBorder="1" applyAlignment="1">
      <alignment horizontal="center" vertical="center" wrapText="1"/>
    </xf>
    <xf numFmtId="0" fontId="52" fillId="3" borderId="0" xfId="0" applyFont="1" applyFill="1" applyAlignment="1">
      <alignment horizontal="left" vertical="center" wrapText="1"/>
    </xf>
    <xf numFmtId="0" fontId="151" fillId="8" borderId="0" xfId="0" applyFont="1" applyFill="1" applyAlignment="1">
      <alignment horizontal="center" vertical="center"/>
    </xf>
    <xf numFmtId="0" fontId="0" fillId="0" borderId="0" xfId="0" applyAlignment="1">
      <alignment horizontal="center"/>
    </xf>
    <xf numFmtId="0" fontId="9" fillId="0" borderId="131" xfId="0" applyFont="1" applyBorder="1" applyAlignment="1">
      <alignment horizontal="right" vertical="center" wrapText="1"/>
    </xf>
    <xf numFmtId="0" fontId="9" fillId="0" borderId="132" xfId="0" applyFont="1" applyBorder="1" applyAlignment="1">
      <alignment horizontal="right" vertical="center" wrapText="1"/>
    </xf>
    <xf numFmtId="0" fontId="9" fillId="0" borderId="133" xfId="0" applyFont="1" applyBorder="1" applyAlignment="1">
      <alignment horizontal="right" vertical="center" wrapText="1"/>
    </xf>
    <xf numFmtId="0" fontId="14" fillId="3" borderId="0" xfId="0" applyFont="1" applyFill="1" applyAlignment="1">
      <alignment horizontal="center" vertical="center" wrapText="1"/>
    </xf>
    <xf numFmtId="0" fontId="9" fillId="0" borderId="134" xfId="0" applyFont="1" applyBorder="1" applyAlignment="1">
      <alignment horizontal="right" vertical="center" wrapText="1"/>
    </xf>
    <xf numFmtId="0" fontId="13" fillId="4" borderId="53" xfId="0" applyFont="1" applyFill="1" applyBorder="1" applyAlignment="1">
      <alignment horizontal="center" vertical="center" wrapText="1"/>
    </xf>
    <xf numFmtId="0" fontId="13" fillId="4" borderId="5" xfId="0" applyFont="1" applyFill="1" applyBorder="1" applyAlignment="1">
      <alignment horizontal="center" vertical="center" wrapText="1"/>
    </xf>
    <xf numFmtId="0" fontId="13" fillId="4" borderId="52"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29" fillId="3" borderId="155" xfId="0" applyFont="1" applyFill="1" applyBorder="1" applyAlignment="1" applyProtection="1">
      <alignment horizontal="left"/>
      <protection locked="0"/>
    </xf>
    <xf numFmtId="43" fontId="63" fillId="0" borderId="93" xfId="2" applyNumberFormat="1" applyFont="1" applyFill="1" applyBorder="1" applyAlignment="1" applyProtection="1">
      <alignment horizontal="left"/>
      <protection locked="0"/>
    </xf>
    <xf numFmtId="43" fontId="63" fillId="0" borderId="153" xfId="2" applyNumberFormat="1" applyFont="1" applyFill="1" applyBorder="1" applyAlignment="1" applyProtection="1">
      <alignment horizontal="left"/>
      <protection locked="0"/>
    </xf>
    <xf numFmtId="0" fontId="72" fillId="8" borderId="154" xfId="2" applyNumberFormat="1" applyFont="1" applyFill="1" applyBorder="1" applyAlignment="1" applyProtection="1">
      <alignment horizontal="left" vertical="center"/>
      <protection locked="0"/>
    </xf>
    <xf numFmtId="0" fontId="186" fillId="0" borderId="0" xfId="0" applyFont="1" applyAlignment="1" applyProtection="1">
      <alignment horizontal="left" vertical="center" wrapText="1"/>
      <protection locked="0"/>
    </xf>
    <xf numFmtId="0" fontId="88" fillId="13" borderId="192" xfId="0" applyFont="1" applyFill="1" applyBorder="1" applyAlignment="1" applyProtection="1">
      <alignment horizontal="center" vertical="center" wrapText="1"/>
      <protection locked="0"/>
    </xf>
    <xf numFmtId="0" fontId="88" fillId="13" borderId="28" xfId="0" applyFont="1" applyFill="1" applyBorder="1" applyAlignment="1" applyProtection="1">
      <alignment horizontal="center" vertical="center" wrapText="1"/>
      <protection locked="0"/>
    </xf>
    <xf numFmtId="0" fontId="7" fillId="0" borderId="29" xfId="0" applyFont="1" applyBorder="1" applyAlignment="1" applyProtection="1">
      <alignment horizontal="left" vertical="top" wrapText="1"/>
      <protection locked="0"/>
    </xf>
    <xf numFmtId="0" fontId="7" fillId="0" borderId="31" xfId="0" applyFont="1" applyBorder="1" applyAlignment="1" applyProtection="1">
      <alignment horizontal="left" vertical="top" wrapText="1"/>
      <protection locked="0"/>
    </xf>
    <xf numFmtId="0" fontId="7" fillId="0" borderId="32" xfId="0" applyFont="1" applyBorder="1" applyAlignment="1" applyProtection="1">
      <alignment horizontal="left" vertical="top" wrapText="1"/>
      <protection locked="0"/>
    </xf>
    <xf numFmtId="0" fontId="7" fillId="0" borderId="33" xfId="0" applyFont="1" applyBorder="1" applyAlignment="1" applyProtection="1">
      <alignment horizontal="left" vertical="top" wrapText="1"/>
      <protection locked="0"/>
    </xf>
    <xf numFmtId="0" fontId="7" fillId="0" borderId="38" xfId="0" applyFont="1" applyBorder="1" applyAlignment="1" applyProtection="1">
      <alignment horizontal="left" vertical="top" wrapText="1"/>
      <protection locked="0"/>
    </xf>
    <xf numFmtId="0" fontId="7" fillId="0" borderId="40" xfId="0" applyFont="1" applyBorder="1" applyAlignment="1" applyProtection="1">
      <alignment horizontal="left" vertical="top" wrapText="1"/>
      <protection locked="0"/>
    </xf>
    <xf numFmtId="0" fontId="116" fillId="8" borderId="3" xfId="0" applyFont="1" applyFill="1" applyBorder="1" applyAlignment="1" applyProtection="1">
      <alignment wrapText="1"/>
      <protection locked="0"/>
    </xf>
    <xf numFmtId="0" fontId="116" fillId="8" borderId="5" xfId="0" applyFont="1" applyFill="1" applyBorder="1" applyAlignment="1" applyProtection="1">
      <alignment wrapText="1"/>
      <protection locked="0"/>
    </xf>
    <xf numFmtId="0" fontId="69" fillId="8" borderId="3" xfId="0" applyFont="1" applyFill="1" applyBorder="1" applyAlignment="1" applyProtection="1">
      <alignment horizontal="left" wrapText="1" indent="1"/>
      <protection locked="0"/>
    </xf>
    <xf numFmtId="0" fontId="69" fillId="8" borderId="5" xfId="0" applyFont="1" applyFill="1" applyBorder="1" applyAlignment="1" applyProtection="1">
      <alignment horizontal="left" wrapText="1" indent="1"/>
      <protection locked="0"/>
    </xf>
    <xf numFmtId="0" fontId="72" fillId="8" borderId="154" xfId="2" applyNumberFormat="1" applyFont="1" applyFill="1" applyBorder="1" applyAlignment="1" applyProtection="1">
      <alignment horizontal="right" vertical="center"/>
      <protection locked="0"/>
    </xf>
    <xf numFmtId="0" fontId="60" fillId="0" borderId="62" xfId="0" applyFont="1" applyBorder="1" applyAlignment="1">
      <alignment horizontal="left" vertical="top" wrapText="1"/>
    </xf>
    <xf numFmtId="0" fontId="60" fillId="0" borderId="43" xfId="0" applyFont="1" applyBorder="1" applyAlignment="1">
      <alignment horizontal="left" vertical="top" wrapText="1"/>
    </xf>
    <xf numFmtId="0" fontId="60" fillId="0" borderId="63" xfId="0" applyFont="1" applyBorder="1" applyAlignment="1">
      <alignment horizontal="left" vertical="top" wrapText="1"/>
    </xf>
    <xf numFmtId="0" fontId="13" fillId="0" borderId="0" xfId="0" applyFont="1" applyAlignment="1">
      <alignment horizontal="left"/>
    </xf>
    <xf numFmtId="0" fontId="169" fillId="35" borderId="0" xfId="0" applyFont="1" applyFill="1" applyAlignment="1">
      <alignment horizontal="center" vertical="center" wrapText="1"/>
    </xf>
    <xf numFmtId="0" fontId="76" fillId="0" borderId="0" xfId="0" applyFont="1" applyAlignment="1">
      <alignment horizontal="left" vertical="center" wrapText="1"/>
    </xf>
    <xf numFmtId="0" fontId="76" fillId="0" borderId="36" xfId="0" applyFont="1" applyBorder="1" applyAlignment="1">
      <alignment horizontal="left" vertical="center" wrapText="1"/>
    </xf>
    <xf numFmtId="165" fontId="75" fillId="3" borderId="34" xfId="2" applyNumberFormat="1" applyFont="1" applyFill="1" applyBorder="1" applyAlignment="1">
      <alignment horizontal="center" vertical="center"/>
    </xf>
    <xf numFmtId="165" fontId="75" fillId="3" borderId="6" xfId="2" applyNumberFormat="1" applyFont="1" applyFill="1" applyBorder="1" applyAlignment="1">
      <alignment horizontal="center" vertical="center"/>
    </xf>
    <xf numFmtId="0" fontId="75" fillId="3" borderId="34" xfId="0" applyFont="1" applyFill="1" applyBorder="1" applyAlignment="1">
      <alignment horizontal="center" vertical="center"/>
    </xf>
    <xf numFmtId="0" fontId="75" fillId="3" borderId="6" xfId="0" applyFont="1" applyFill="1" applyBorder="1" applyAlignment="1">
      <alignment horizontal="center" vertical="center"/>
    </xf>
    <xf numFmtId="0" fontId="60" fillId="0" borderId="25" xfId="0" applyFont="1" applyBorder="1" applyAlignment="1">
      <alignment horizontal="left" vertical="top" wrapText="1"/>
    </xf>
    <xf numFmtId="0" fontId="60" fillId="0" borderId="36" xfId="0" applyFont="1" applyBorder="1" applyAlignment="1">
      <alignment horizontal="left" vertical="top" wrapText="1"/>
    </xf>
    <xf numFmtId="0" fontId="60" fillId="0" borderId="88" xfId="0" applyFont="1" applyBorder="1" applyAlignment="1">
      <alignment horizontal="left" vertical="top" wrapText="1"/>
    </xf>
    <xf numFmtId="0" fontId="60" fillId="0" borderId="44" xfId="0" applyFont="1" applyBorder="1" applyAlignment="1">
      <alignment horizontal="left" vertical="top" wrapText="1"/>
    </xf>
    <xf numFmtId="0" fontId="75" fillId="3" borderId="64" xfId="0" applyFont="1" applyFill="1" applyBorder="1" applyAlignment="1">
      <alignment horizontal="left" vertical="top" wrapText="1"/>
    </xf>
    <xf numFmtId="0" fontId="75" fillId="3" borderId="79" xfId="0" applyFont="1" applyFill="1" applyBorder="1" applyAlignment="1">
      <alignment horizontal="left" vertical="top" wrapText="1"/>
    </xf>
    <xf numFmtId="0" fontId="75" fillId="3" borderId="37" xfId="0" applyFont="1" applyFill="1" applyBorder="1" applyAlignment="1">
      <alignment horizontal="left" vertical="top" wrapText="1"/>
    </xf>
    <xf numFmtId="0" fontId="15" fillId="8" borderId="34" xfId="0" applyFont="1" applyFill="1" applyBorder="1" applyAlignment="1">
      <alignment horizontal="left" vertical="center" wrapText="1" indent="1"/>
    </xf>
    <xf numFmtId="0" fontId="15" fillId="8" borderId="35" xfId="0" applyFont="1" applyFill="1" applyBorder="1" applyAlignment="1">
      <alignment horizontal="left" vertical="center" wrapText="1" indent="1"/>
    </xf>
    <xf numFmtId="0" fontId="164" fillId="35" borderId="27" xfId="0" applyFont="1" applyFill="1" applyBorder="1" applyAlignment="1">
      <alignment horizontal="center"/>
    </xf>
    <xf numFmtId="0" fontId="164" fillId="35" borderId="28" xfId="0" applyFont="1" applyFill="1" applyBorder="1" applyAlignment="1">
      <alignment horizontal="center"/>
    </xf>
    <xf numFmtId="0" fontId="164" fillId="28" borderId="27" xfId="0" applyFont="1" applyFill="1" applyBorder="1" applyAlignment="1">
      <alignment horizontal="center"/>
    </xf>
    <xf numFmtId="0" fontId="164" fillId="28" borderId="28" xfId="0" applyFont="1" applyFill="1" applyBorder="1" applyAlignment="1">
      <alignment horizontal="center"/>
    </xf>
    <xf numFmtId="0" fontId="15" fillId="3" borderId="0" xfId="0" applyFont="1" applyFill="1" applyAlignment="1">
      <alignment horizontal="left" vertical="center" wrapText="1"/>
    </xf>
    <xf numFmtId="49" fontId="15" fillId="8" borderId="69" xfId="0" applyNumberFormat="1" applyFont="1" applyFill="1" applyBorder="1" applyAlignment="1">
      <alignment horizontal="left" vertical="top" wrapText="1" indent="1"/>
    </xf>
    <xf numFmtId="49" fontId="15" fillId="8" borderId="72" xfId="0" applyNumberFormat="1" applyFont="1" applyFill="1" applyBorder="1" applyAlignment="1">
      <alignment horizontal="left" vertical="top" wrapText="1" indent="1"/>
    </xf>
    <xf numFmtId="49" fontId="15" fillId="8" borderId="73" xfId="0" applyNumberFormat="1" applyFont="1" applyFill="1" applyBorder="1" applyAlignment="1">
      <alignment horizontal="left" vertical="top" wrapText="1" indent="1"/>
    </xf>
    <xf numFmtId="0" fontId="15" fillId="0" borderId="0" xfId="0" applyFont="1"/>
    <xf numFmtId="2" fontId="14" fillId="3" borderId="0" xfId="0" applyNumberFormat="1" applyFont="1" applyFill="1" applyAlignment="1">
      <alignment horizontal="left" vertical="top" wrapText="1" indent="1"/>
    </xf>
    <xf numFmtId="0" fontId="15" fillId="8" borderId="6" xfId="0" applyFont="1" applyFill="1" applyBorder="1" applyAlignment="1">
      <alignment horizontal="left" vertical="center" wrapText="1" indent="1"/>
    </xf>
    <xf numFmtId="165" fontId="15" fillId="8" borderId="34" xfId="4" applyNumberFormat="1" applyFont="1" applyFill="1" applyBorder="1" applyAlignment="1" applyProtection="1">
      <alignment horizontal="center" vertical="center"/>
    </xf>
    <xf numFmtId="165" fontId="15" fillId="8" borderId="6" xfId="4" applyNumberFormat="1" applyFont="1" applyFill="1" applyBorder="1" applyAlignment="1" applyProtection="1">
      <alignment horizontal="center" vertical="center"/>
    </xf>
    <xf numFmtId="0" fontId="14" fillId="3" borderId="36" xfId="0" applyFont="1" applyFill="1" applyBorder="1" applyAlignment="1">
      <alignment horizontal="left" vertical="top" wrapText="1"/>
    </xf>
    <xf numFmtId="0" fontId="14" fillId="8" borderId="34" xfId="0" applyFont="1" applyFill="1" applyBorder="1" applyAlignment="1">
      <alignment horizontal="center" vertical="center"/>
    </xf>
    <xf numFmtId="0" fontId="14" fillId="8" borderId="6" xfId="0" applyFont="1" applyFill="1" applyBorder="1" applyAlignment="1">
      <alignment horizontal="center" vertical="center"/>
    </xf>
    <xf numFmtId="0" fontId="15" fillId="8" borderId="69" xfId="0" applyFont="1" applyFill="1" applyBorder="1" applyAlignment="1">
      <alignment horizontal="left" vertical="center" wrapText="1" indent="1"/>
    </xf>
    <xf numFmtId="0" fontId="15" fillId="8" borderId="70" xfId="0" applyFont="1" applyFill="1" applyBorder="1" applyAlignment="1">
      <alignment horizontal="left" vertical="center" wrapText="1" indent="1"/>
    </xf>
    <xf numFmtId="0" fontId="15" fillId="8" borderId="71" xfId="0" applyFont="1" applyFill="1" applyBorder="1" applyAlignment="1">
      <alignment horizontal="left" vertical="center" wrapText="1" indent="1"/>
    </xf>
    <xf numFmtId="0" fontId="15" fillId="3" borderId="98" xfId="0" applyFont="1" applyFill="1" applyBorder="1" applyAlignment="1">
      <alignment horizontal="left" vertical="center" wrapText="1"/>
    </xf>
    <xf numFmtId="0" fontId="15" fillId="3" borderId="0" xfId="0" applyFont="1" applyFill="1" applyAlignment="1">
      <alignment horizontal="left" vertical="top" wrapText="1"/>
    </xf>
    <xf numFmtId="0" fontId="15" fillId="8" borderId="34" xfId="0" applyFont="1" applyFill="1" applyBorder="1" applyAlignment="1">
      <alignment horizontal="center" vertical="center"/>
    </xf>
    <xf numFmtId="0" fontId="15" fillId="8" borderId="6" xfId="0" applyFont="1" applyFill="1" applyBorder="1" applyAlignment="1">
      <alignment horizontal="center" vertical="center"/>
    </xf>
    <xf numFmtId="0" fontId="15" fillId="0" borderId="58" xfId="0" applyFont="1" applyBorder="1" applyAlignment="1" applyProtection="1">
      <alignment horizontal="left" vertical="top" wrapText="1"/>
      <protection locked="0"/>
    </xf>
    <xf numFmtId="0" fontId="15" fillId="0" borderId="59" xfId="0" applyFont="1" applyBorder="1" applyAlignment="1" applyProtection="1">
      <alignment horizontal="left" vertical="top" wrapText="1"/>
      <protection locked="0"/>
    </xf>
    <xf numFmtId="0" fontId="15" fillId="0" borderId="60" xfId="0" applyFont="1" applyBorder="1" applyAlignment="1" applyProtection="1">
      <alignment horizontal="left" vertical="top" wrapText="1"/>
      <protection locked="0"/>
    </xf>
    <xf numFmtId="0" fontId="15" fillId="0" borderId="58" xfId="0" applyFont="1" applyBorder="1" applyAlignment="1" applyProtection="1">
      <alignment horizontal="left" vertical="top" wrapText="1" indent="1"/>
      <protection locked="0"/>
    </xf>
    <xf numFmtId="0" fontId="15" fillId="0" borderId="59" xfId="0" applyFont="1" applyBorder="1" applyAlignment="1" applyProtection="1">
      <alignment horizontal="left" vertical="top" wrapText="1" indent="1"/>
      <protection locked="0"/>
    </xf>
    <xf numFmtId="0" fontId="15" fillId="0" borderId="60" xfId="0" applyFont="1" applyBorder="1" applyAlignment="1" applyProtection="1">
      <alignment horizontal="left" vertical="top" wrapText="1" indent="1"/>
      <protection locked="0"/>
    </xf>
    <xf numFmtId="0" fontId="14" fillId="3" borderId="193" xfId="0" applyFont="1" applyFill="1" applyBorder="1" applyAlignment="1" applyProtection="1">
      <alignment horizontal="center" vertical="center"/>
      <protection locked="0"/>
    </xf>
    <xf numFmtId="0" fontId="14" fillId="3" borderId="59" xfId="0" applyFont="1" applyFill="1" applyBorder="1" applyAlignment="1" applyProtection="1">
      <alignment horizontal="center" vertical="center"/>
      <protection locked="0"/>
    </xf>
    <xf numFmtId="0" fontId="14" fillId="3" borderId="194" xfId="0" applyFont="1" applyFill="1" applyBorder="1" applyAlignment="1" applyProtection="1">
      <alignment horizontal="center" vertical="center"/>
      <protection locked="0"/>
    </xf>
    <xf numFmtId="0" fontId="14" fillId="3" borderId="0" xfId="0" applyFont="1" applyFill="1" applyAlignment="1">
      <alignment horizontal="left"/>
    </xf>
    <xf numFmtId="0" fontId="14" fillId="12" borderId="34" xfId="0" applyFont="1" applyFill="1" applyBorder="1" applyAlignment="1">
      <alignment horizontal="center" vertical="center" wrapText="1"/>
    </xf>
    <xf numFmtId="0" fontId="14" fillId="12" borderId="35" xfId="0" applyFont="1" applyFill="1" applyBorder="1" applyAlignment="1">
      <alignment horizontal="center" vertical="center" wrapText="1"/>
    </xf>
    <xf numFmtId="0" fontId="14" fillId="12" borderId="6" xfId="0" applyFont="1" applyFill="1" applyBorder="1" applyAlignment="1">
      <alignment horizontal="center" vertical="center" wrapText="1"/>
    </xf>
    <xf numFmtId="0" fontId="48" fillId="8" borderId="34" xfId="0" applyFont="1" applyFill="1" applyBorder="1" applyAlignment="1">
      <alignment horizontal="center" wrapText="1"/>
    </xf>
    <xf numFmtId="0" fontId="48" fillId="8" borderId="35" xfId="0" applyFont="1" applyFill="1" applyBorder="1" applyAlignment="1">
      <alignment horizontal="center" wrapText="1"/>
    </xf>
    <xf numFmtId="0" fontId="48" fillId="8" borderId="6" xfId="0" applyFont="1" applyFill="1" applyBorder="1" applyAlignment="1">
      <alignment horizontal="center" wrapText="1"/>
    </xf>
    <xf numFmtId="0" fontId="15" fillId="3" borderId="34" xfId="0" applyFont="1" applyFill="1" applyBorder="1" applyAlignment="1" applyProtection="1">
      <alignment horizontal="left" vertical="top" wrapText="1" indent="1"/>
      <protection locked="0"/>
    </xf>
    <xf numFmtId="0" fontId="15" fillId="3" borderId="35" xfId="0" applyFont="1" applyFill="1" applyBorder="1" applyAlignment="1" applyProtection="1">
      <alignment horizontal="left" vertical="top" wrapText="1" indent="1"/>
      <protection locked="0"/>
    </xf>
    <xf numFmtId="0" fontId="15" fillId="3" borderId="6" xfId="0" applyFont="1" applyFill="1" applyBorder="1" applyAlignment="1" applyProtection="1">
      <alignment horizontal="left" vertical="top" wrapText="1" indent="1"/>
      <protection locked="0"/>
    </xf>
    <xf numFmtId="0" fontId="14" fillId="3" borderId="0" xfId="0" applyFont="1" applyFill="1" applyAlignment="1">
      <alignment horizontal="left" wrapText="1"/>
    </xf>
    <xf numFmtId="0" fontId="14" fillId="3" borderId="42" xfId="0" applyFont="1" applyFill="1" applyBorder="1" applyAlignment="1">
      <alignment horizontal="left" vertical="center" wrapText="1"/>
    </xf>
    <xf numFmtId="0" fontId="15" fillId="3" borderId="0" xfId="0" applyFont="1" applyFill="1" applyAlignment="1">
      <alignment horizontal="left" indent="1"/>
    </xf>
    <xf numFmtId="0" fontId="52" fillId="3" borderId="30" xfId="0" applyFont="1" applyFill="1" applyBorder="1" applyAlignment="1">
      <alignment horizontal="right" vertical="center" indent="1"/>
    </xf>
    <xf numFmtId="0" fontId="15" fillId="3" borderId="34" xfId="0" applyFont="1" applyFill="1" applyBorder="1" applyAlignment="1" applyProtection="1">
      <alignment horizontal="left" vertical="center" wrapText="1"/>
      <protection locked="0"/>
    </xf>
    <xf numFmtId="0" fontId="14" fillId="3" borderId="35" xfId="0" applyFont="1" applyFill="1" applyBorder="1" applyAlignment="1" applyProtection="1">
      <alignment horizontal="left" vertical="center" wrapText="1"/>
      <protection locked="0"/>
    </xf>
    <xf numFmtId="0" fontId="14" fillId="3" borderId="34" xfId="0" applyFont="1" applyFill="1" applyBorder="1" applyAlignment="1" applyProtection="1">
      <alignment horizontal="left" vertical="center" wrapText="1" indent="1"/>
      <protection locked="0"/>
    </xf>
    <xf numFmtId="0" fontId="14" fillId="3" borderId="35" xfId="0" applyFont="1" applyFill="1" applyBorder="1" applyAlignment="1" applyProtection="1">
      <alignment horizontal="left" vertical="center" wrapText="1" indent="1"/>
      <protection locked="0"/>
    </xf>
    <xf numFmtId="0" fontId="14" fillId="3" borderId="6" xfId="0" applyFont="1" applyFill="1" applyBorder="1" applyAlignment="1" applyProtection="1">
      <alignment horizontal="left" vertical="center" wrapText="1" indent="1"/>
      <protection locked="0"/>
    </xf>
    <xf numFmtId="0" fontId="15" fillId="3" borderId="35" xfId="0" applyFont="1" applyFill="1" applyBorder="1" applyAlignment="1" applyProtection="1">
      <alignment horizontal="left" vertical="center" wrapText="1"/>
      <protection locked="0"/>
    </xf>
    <xf numFmtId="0" fontId="15" fillId="3" borderId="25" xfId="0" applyFont="1" applyFill="1" applyBorder="1" applyAlignment="1">
      <alignment horizontal="center" vertical="top" wrapText="1"/>
    </xf>
    <xf numFmtId="0" fontId="15" fillId="3" borderId="0" xfId="0" applyFont="1" applyFill="1" applyAlignment="1">
      <alignment horizontal="center" vertical="top" wrapText="1"/>
    </xf>
    <xf numFmtId="0" fontId="15" fillId="3" borderId="33" xfId="0" applyFont="1" applyFill="1" applyBorder="1" applyAlignment="1">
      <alignment horizontal="center" vertical="top" wrapText="1"/>
    </xf>
    <xf numFmtId="0" fontId="47" fillId="12" borderId="34" xfId="0" applyFont="1" applyFill="1" applyBorder="1" applyAlignment="1">
      <alignment horizontal="center" vertical="top" wrapText="1"/>
    </xf>
    <xf numFmtId="0" fontId="47" fillId="12" borderId="6" xfId="0" applyFont="1" applyFill="1" applyBorder="1" applyAlignment="1">
      <alignment horizontal="center" vertical="top" wrapText="1"/>
    </xf>
    <xf numFmtId="0" fontId="14" fillId="3" borderId="7" xfId="0" applyFont="1" applyFill="1" applyBorder="1" applyAlignment="1" applyProtection="1">
      <alignment horizontal="left" vertical="center"/>
      <protection locked="0"/>
    </xf>
    <xf numFmtId="0" fontId="15" fillId="0" borderId="30" xfId="0" applyFont="1" applyBorder="1" applyAlignment="1" applyProtection="1">
      <alignment horizontal="left" vertical="top" wrapText="1"/>
      <protection locked="0"/>
    </xf>
    <xf numFmtId="0" fontId="15" fillId="0" borderId="0" xfId="0" applyFont="1" applyAlignment="1" applyProtection="1">
      <alignment horizontal="left" vertical="top" wrapText="1"/>
      <protection locked="0"/>
    </xf>
    <xf numFmtId="0" fontId="15" fillId="3" borderId="32" xfId="0" applyFont="1" applyFill="1" applyBorder="1" applyAlignment="1">
      <alignment horizontal="left" vertical="center" wrapText="1" indent="1"/>
    </xf>
    <xf numFmtId="0" fontId="15" fillId="3" borderId="0" xfId="0" applyFont="1" applyFill="1" applyAlignment="1">
      <alignment horizontal="left" vertical="center" wrapText="1" indent="1"/>
    </xf>
    <xf numFmtId="49" fontId="15" fillId="3" borderId="42" xfId="0" quotePrefix="1" applyNumberFormat="1" applyFont="1" applyFill="1" applyBorder="1" applyAlignment="1" applyProtection="1">
      <alignment horizontal="left" vertical="top" wrapText="1"/>
      <protection locked="0"/>
    </xf>
    <xf numFmtId="49" fontId="15" fillId="3" borderId="42" xfId="0" applyNumberFormat="1" applyFont="1" applyFill="1" applyBorder="1" applyAlignment="1" applyProtection="1">
      <alignment horizontal="left" vertical="top" wrapText="1"/>
      <protection locked="0"/>
    </xf>
    <xf numFmtId="49" fontId="15" fillId="3" borderId="44" xfId="0" applyNumberFormat="1" applyFont="1" applyFill="1" applyBorder="1" applyAlignment="1" applyProtection="1">
      <alignment horizontal="left" vertical="top" wrapText="1"/>
      <protection locked="0"/>
    </xf>
    <xf numFmtId="0" fontId="15" fillId="3" borderId="35" xfId="0" quotePrefix="1" applyFont="1" applyFill="1" applyBorder="1" applyAlignment="1" applyProtection="1">
      <alignment horizontal="left" vertical="top" wrapText="1"/>
      <protection locked="0"/>
    </xf>
    <xf numFmtId="0" fontId="15" fillId="3" borderId="35" xfId="0" applyFont="1" applyFill="1" applyBorder="1" applyAlignment="1" applyProtection="1">
      <alignment horizontal="left" vertical="top" wrapText="1"/>
      <protection locked="0"/>
    </xf>
    <xf numFmtId="0" fontId="15" fillId="3" borderId="6" xfId="0" applyFont="1" applyFill="1" applyBorder="1" applyAlignment="1" applyProtection="1">
      <alignment horizontal="left" vertical="top" wrapText="1"/>
      <protection locked="0"/>
    </xf>
    <xf numFmtId="0" fontId="52" fillId="3" borderId="30" xfId="0" applyFont="1" applyFill="1" applyBorder="1" applyAlignment="1">
      <alignment horizontal="center" vertical="center"/>
    </xf>
    <xf numFmtId="0" fontId="137" fillId="3" borderId="30" xfId="5" applyFont="1" applyFill="1" applyBorder="1" applyAlignment="1" applyProtection="1">
      <alignment horizontal="left" vertical="center"/>
      <protection locked="0"/>
    </xf>
    <xf numFmtId="0" fontId="137" fillId="3" borderId="31" xfId="5" applyFont="1" applyFill="1" applyBorder="1" applyAlignment="1" applyProtection="1">
      <alignment horizontal="left" vertical="center"/>
      <protection locked="0"/>
    </xf>
    <xf numFmtId="0" fontId="164" fillId="35" borderId="27" xfId="0" applyFont="1" applyFill="1" applyBorder="1" applyAlignment="1">
      <alignment horizontal="center" vertical="center"/>
    </xf>
    <xf numFmtId="0" fontId="164" fillId="35" borderId="28" xfId="0" applyFont="1" applyFill="1" applyBorder="1" applyAlignment="1">
      <alignment horizontal="center" vertical="center"/>
    </xf>
    <xf numFmtId="49" fontId="15" fillId="3" borderId="34" xfId="0" applyNumberFormat="1" applyFont="1" applyFill="1" applyBorder="1" applyAlignment="1" applyProtection="1">
      <alignment horizontal="center"/>
      <protection locked="0"/>
    </xf>
    <xf numFmtId="49" fontId="15" fillId="3" borderId="6" xfId="0" applyNumberFormat="1" applyFont="1" applyFill="1" applyBorder="1" applyAlignment="1" applyProtection="1">
      <alignment horizontal="center"/>
      <protection locked="0"/>
    </xf>
    <xf numFmtId="0" fontId="15" fillId="8" borderId="200" xfId="0" applyFont="1" applyFill="1" applyBorder="1" applyAlignment="1">
      <alignment horizontal="left" vertical="center" wrapText="1" indent="1"/>
    </xf>
    <xf numFmtId="0" fontId="14" fillId="3" borderId="25" xfId="0" applyFont="1" applyFill="1" applyBorder="1" applyAlignment="1">
      <alignment horizontal="left" indent="1"/>
    </xf>
    <xf numFmtId="0" fontId="14" fillId="3" borderId="0" xfId="0" applyFont="1" applyFill="1" applyAlignment="1">
      <alignment horizontal="left" indent="1"/>
    </xf>
    <xf numFmtId="0" fontId="164" fillId="35" borderId="0" xfId="0" applyFont="1" applyFill="1" applyAlignment="1">
      <alignment horizontal="center" vertical="center"/>
    </xf>
    <xf numFmtId="0" fontId="164" fillId="35" borderId="0" xfId="0" applyFont="1" applyFill="1" applyAlignment="1">
      <alignment horizontal="left" vertical="center"/>
    </xf>
    <xf numFmtId="0" fontId="13" fillId="11" borderId="7" xfId="0" applyFont="1" applyFill="1" applyBorder="1" applyAlignment="1">
      <alignment horizontal="center" vertical="center" wrapText="1"/>
    </xf>
    <xf numFmtId="0" fontId="13" fillId="11" borderId="120" xfId="0" applyFont="1" applyFill="1" applyBorder="1" applyAlignment="1">
      <alignment horizontal="center" vertical="center" wrapText="1"/>
    </xf>
    <xf numFmtId="0" fontId="13" fillId="11" borderId="158" xfId="0" applyFont="1" applyFill="1" applyBorder="1" applyAlignment="1">
      <alignment horizontal="center" vertical="center" wrapText="1"/>
    </xf>
    <xf numFmtId="0" fontId="3" fillId="0" borderId="65" xfId="0" applyFont="1" applyBorder="1" applyAlignment="1">
      <alignment horizontal="center"/>
    </xf>
    <xf numFmtId="0" fontId="3" fillId="0" borderId="84" xfId="0" applyFont="1" applyBorder="1" applyAlignment="1">
      <alignment horizontal="center"/>
    </xf>
    <xf numFmtId="0" fontId="3" fillId="0" borderId="0" xfId="0" applyFont="1" applyAlignment="1">
      <alignment horizontal="center"/>
    </xf>
    <xf numFmtId="0" fontId="3" fillId="0" borderId="56" xfId="0" applyFont="1" applyBorder="1" applyAlignment="1">
      <alignment horizontal="center"/>
    </xf>
    <xf numFmtId="0" fontId="13" fillId="11" borderId="190" xfId="0" applyFont="1" applyFill="1" applyBorder="1" applyAlignment="1">
      <alignment horizontal="center" vertical="center" wrapText="1"/>
    </xf>
    <xf numFmtId="0" fontId="13" fillId="11" borderId="123" xfId="0" applyFont="1" applyFill="1" applyBorder="1" applyAlignment="1">
      <alignment horizontal="center" vertical="center" wrapText="1"/>
    </xf>
    <xf numFmtId="0" fontId="13" fillId="11" borderId="91" xfId="0" applyFont="1" applyFill="1" applyBorder="1" applyAlignment="1">
      <alignment horizontal="center" vertical="center" wrapText="1"/>
    </xf>
    <xf numFmtId="0" fontId="13" fillId="11" borderId="121" xfId="0" applyFont="1" applyFill="1" applyBorder="1" applyAlignment="1">
      <alignment horizontal="center" vertical="center" wrapText="1"/>
    </xf>
    <xf numFmtId="0" fontId="13" fillId="11" borderId="92" xfId="0" applyFont="1" applyFill="1" applyBorder="1" applyAlignment="1">
      <alignment horizontal="center" vertical="center" wrapText="1"/>
    </xf>
    <xf numFmtId="0" fontId="13" fillId="8" borderId="0" xfId="0" applyFont="1" applyFill="1" applyAlignment="1">
      <alignment horizontal="left"/>
    </xf>
    <xf numFmtId="0" fontId="13" fillId="11" borderId="7" xfId="0" quotePrefix="1" applyFont="1" applyFill="1" applyBorder="1" applyAlignment="1">
      <alignment horizontal="center" vertical="center" wrapText="1"/>
    </xf>
    <xf numFmtId="0" fontId="13" fillId="11" borderId="122" xfId="0" applyFont="1" applyFill="1" applyBorder="1" applyAlignment="1">
      <alignment horizontal="center" vertical="center" wrapText="1"/>
    </xf>
    <xf numFmtId="0" fontId="13" fillId="11" borderId="122" xfId="0" quotePrefix="1" applyFont="1" applyFill="1" applyBorder="1" applyAlignment="1">
      <alignment horizontal="center" vertical="center" wrapText="1"/>
    </xf>
    <xf numFmtId="0" fontId="13" fillId="11" borderId="123" xfId="0" quotePrefix="1" applyFont="1" applyFill="1" applyBorder="1" applyAlignment="1">
      <alignment horizontal="center" vertical="center" wrapText="1"/>
    </xf>
    <xf numFmtId="0" fontId="13" fillId="11" borderId="127" xfId="0" applyFont="1" applyFill="1" applyBorder="1" applyAlignment="1">
      <alignment horizontal="center" vertical="center" wrapText="1"/>
    </xf>
    <xf numFmtId="0" fontId="13" fillId="11" borderId="128" xfId="0" applyFont="1" applyFill="1" applyBorder="1" applyAlignment="1">
      <alignment horizontal="center" vertical="center" wrapText="1"/>
    </xf>
    <xf numFmtId="0" fontId="140" fillId="0" borderId="43" xfId="0" applyFont="1" applyBorder="1" applyAlignment="1">
      <alignment horizontal="center" vertical="center" wrapText="1"/>
    </xf>
    <xf numFmtId="0" fontId="32" fillId="0" borderId="35" xfId="0" applyFont="1" applyBorder="1" applyAlignment="1">
      <alignment horizontal="right" vertical="center"/>
    </xf>
    <xf numFmtId="0" fontId="32" fillId="0" borderId="6" xfId="0" applyFont="1" applyBorder="1" applyAlignment="1">
      <alignment horizontal="right" vertical="center"/>
    </xf>
    <xf numFmtId="49" fontId="33" fillId="0" borderId="34" xfId="0" applyNumberFormat="1" applyFont="1" applyBorder="1" applyAlignment="1" applyProtection="1">
      <alignment horizontal="center" vertical="top"/>
      <protection locked="0"/>
    </xf>
    <xf numFmtId="49" fontId="33" fillId="0" borderId="35" xfId="0" applyNumberFormat="1" applyFont="1" applyBorder="1" applyAlignment="1" applyProtection="1">
      <alignment horizontal="center" vertical="top"/>
      <protection locked="0"/>
    </xf>
    <xf numFmtId="49" fontId="33" fillId="0" borderId="6" xfId="0" applyNumberFormat="1" applyFont="1" applyBorder="1" applyAlignment="1" applyProtection="1">
      <alignment horizontal="center" vertical="top"/>
      <protection locked="0"/>
    </xf>
    <xf numFmtId="0" fontId="32" fillId="0" borderId="6" xfId="0" applyFont="1" applyBorder="1" applyAlignment="1">
      <alignment vertical="top" wrapText="1"/>
    </xf>
    <xf numFmtId="0" fontId="38" fillId="0" borderId="7" xfId="0" applyFont="1" applyBorder="1" applyAlignment="1">
      <alignment vertical="top" wrapText="1"/>
    </xf>
    <xf numFmtId="0" fontId="33" fillId="0" borderId="7" xfId="0" applyFont="1" applyBorder="1" applyAlignment="1" applyProtection="1">
      <alignment horizontal="left" vertical="top"/>
      <protection locked="0"/>
    </xf>
    <xf numFmtId="0" fontId="138" fillId="0" borderId="7" xfId="0" applyFont="1" applyBorder="1" applyAlignment="1">
      <alignment vertical="top" wrapText="1"/>
    </xf>
    <xf numFmtId="0" fontId="39" fillId="0" borderId="7" xfId="0" applyFont="1" applyBorder="1" applyAlignment="1">
      <alignment vertical="top" wrapText="1"/>
    </xf>
    <xf numFmtId="49" fontId="33" fillId="0" borderId="7" xfId="0" applyNumberFormat="1" applyFont="1" applyBorder="1" applyAlignment="1" applyProtection="1">
      <alignment horizontal="left" vertical="top"/>
      <protection locked="0"/>
    </xf>
    <xf numFmtId="0" fontId="33" fillId="0" borderId="7" xfId="0" applyFont="1" applyBorder="1" applyAlignment="1">
      <alignment horizontal="left" vertical="top" wrapText="1"/>
    </xf>
    <xf numFmtId="0" fontId="33" fillId="0" borderId="7" xfId="0" applyFont="1" applyBorder="1" applyAlignment="1">
      <alignment horizontal="left" vertical="top"/>
    </xf>
    <xf numFmtId="0" fontId="32" fillId="10" borderId="43" xfId="0" applyFont="1" applyFill="1" applyBorder="1" applyAlignment="1">
      <alignment horizontal="center" vertical="top" wrapText="1"/>
    </xf>
    <xf numFmtId="0" fontId="32" fillId="10" borderId="63" xfId="0" applyFont="1" applyFill="1" applyBorder="1" applyAlignment="1">
      <alignment horizontal="center" vertical="top" wrapText="1"/>
    </xf>
    <xf numFmtId="0" fontId="32" fillId="10" borderId="62" xfId="0" applyFont="1" applyFill="1" applyBorder="1" applyAlignment="1">
      <alignment horizontal="center" vertical="top" wrapText="1"/>
    </xf>
    <xf numFmtId="0" fontId="33" fillId="0" borderId="6" xfId="0" applyFont="1" applyBorder="1" applyAlignment="1">
      <alignment horizontal="left" vertical="center" wrapText="1"/>
    </xf>
    <xf numFmtId="0" fontId="33" fillId="0" borderId="7" xfId="0" applyFont="1" applyBorder="1" applyAlignment="1">
      <alignment horizontal="left" vertical="center" wrapText="1"/>
    </xf>
    <xf numFmtId="0" fontId="36" fillId="0" borderId="0" xfId="0" applyFont="1" applyAlignment="1">
      <alignment horizontal="left" vertical="top" wrapText="1"/>
    </xf>
    <xf numFmtId="0" fontId="33" fillId="0" borderId="6" xfId="0" applyFont="1" applyBorder="1" applyAlignment="1" applyProtection="1">
      <alignment horizontal="left" vertical="center" wrapText="1"/>
      <protection locked="0"/>
    </xf>
    <xf numFmtId="0" fontId="33" fillId="0" borderId="7" xfId="0" applyFont="1" applyBorder="1" applyAlignment="1" applyProtection="1">
      <alignment horizontal="left" vertical="center" wrapText="1"/>
      <protection locked="0"/>
    </xf>
    <xf numFmtId="0" fontId="33" fillId="0" borderId="34" xfId="0" applyFont="1" applyBorder="1" applyAlignment="1" applyProtection="1">
      <alignment horizontal="left" vertical="center" wrapText="1"/>
      <protection locked="0"/>
    </xf>
    <xf numFmtId="0" fontId="42" fillId="14" borderId="43" xfId="0" applyFont="1" applyFill="1" applyBorder="1" applyAlignment="1">
      <alignment wrapText="1"/>
    </xf>
    <xf numFmtId="0" fontId="39" fillId="14" borderId="43" xfId="0" applyFont="1" applyFill="1" applyBorder="1"/>
    <xf numFmtId="0" fontId="41" fillId="0" borderId="34" xfId="0" applyFont="1" applyBorder="1" applyAlignment="1" applyProtection="1">
      <alignment horizontal="center"/>
      <protection locked="0"/>
    </xf>
    <xf numFmtId="0" fontId="41" fillId="0" borderId="35" xfId="0" applyFont="1" applyBorder="1" applyAlignment="1" applyProtection="1">
      <alignment horizontal="center"/>
      <protection locked="0"/>
    </xf>
    <xf numFmtId="0" fontId="41" fillId="0" borderId="6" xfId="0" applyFont="1" applyBorder="1" applyAlignment="1" applyProtection="1">
      <alignment horizontal="center"/>
      <protection locked="0"/>
    </xf>
    <xf numFmtId="0" fontId="33" fillId="0" borderId="0" xfId="0" applyFont="1" applyAlignment="1">
      <alignment horizontal="left" vertical="center" wrapText="1"/>
    </xf>
    <xf numFmtId="0" fontId="33" fillId="0" borderId="0" xfId="0" applyFont="1" applyAlignment="1">
      <alignment horizontal="left" wrapText="1"/>
    </xf>
    <xf numFmtId="0" fontId="38" fillId="10" borderId="35" xfId="0" applyFont="1" applyFill="1" applyBorder="1" applyAlignment="1">
      <alignment vertical="center" wrapText="1"/>
    </xf>
    <xf numFmtId="0" fontId="38" fillId="10" borderId="6" xfId="0" applyFont="1" applyFill="1" applyBorder="1" applyAlignment="1">
      <alignment vertical="center" wrapText="1"/>
    </xf>
    <xf numFmtId="0" fontId="38" fillId="10" borderId="7" xfId="0" applyFont="1" applyFill="1" applyBorder="1" applyAlignment="1">
      <alignment vertical="center" wrapText="1"/>
    </xf>
    <xf numFmtId="0" fontId="36" fillId="0" borderId="7" xfId="0" applyFont="1" applyBorder="1" applyAlignment="1">
      <alignment vertical="center" wrapText="1"/>
    </xf>
    <xf numFmtId="0" fontId="39" fillId="0" borderId="35" xfId="0" applyFont="1" applyBorder="1" applyAlignment="1" applyProtection="1">
      <alignment wrapText="1"/>
      <protection locked="0"/>
    </xf>
    <xf numFmtId="0" fontId="39" fillId="0" borderId="6" xfId="0" applyFont="1" applyBorder="1" applyAlignment="1" applyProtection="1">
      <alignment wrapText="1"/>
      <protection locked="0"/>
    </xf>
    <xf numFmtId="0" fontId="91" fillId="0" borderId="7" xfId="0" applyFont="1" applyBorder="1" applyAlignment="1" applyProtection="1">
      <alignment vertical="top" wrapText="1"/>
      <protection locked="0"/>
    </xf>
    <xf numFmtId="0" fontId="36" fillId="0" borderId="7" xfId="0" applyFont="1" applyBorder="1" applyAlignment="1" applyProtection="1">
      <alignment vertical="center"/>
      <protection locked="0"/>
    </xf>
    <xf numFmtId="0" fontId="39" fillId="0" borderId="35" xfId="0" applyFont="1" applyBorder="1" applyAlignment="1">
      <alignment wrapText="1"/>
    </xf>
    <xf numFmtId="0" fontId="39" fillId="0" borderId="6" xfId="0" applyFont="1" applyBorder="1" applyAlignment="1">
      <alignment wrapText="1"/>
    </xf>
    <xf numFmtId="0" fontId="0" fillId="0" borderId="0" xfId="0" applyAlignment="1">
      <alignment horizontal="left" vertical="top" wrapText="1"/>
    </xf>
    <xf numFmtId="0" fontId="0" fillId="0" borderId="0" xfId="0" applyAlignment="1">
      <alignment horizontal="left"/>
    </xf>
    <xf numFmtId="0" fontId="0" fillId="0" borderId="0" xfId="0" applyAlignment="1">
      <alignment horizontal="left" wrapText="1"/>
    </xf>
    <xf numFmtId="170" fontId="0" fillId="0" borderId="0" xfId="2" applyNumberFormat="1" applyFont="1" applyAlignment="1" applyProtection="1">
      <alignment horizontal="left"/>
    </xf>
    <xf numFmtId="0" fontId="87" fillId="0" borderId="0" xfId="0" applyFont="1" applyAlignment="1">
      <alignment horizontal="left" wrapText="1"/>
    </xf>
    <xf numFmtId="0" fontId="0" fillId="0" borderId="196" xfId="0" applyBorder="1" applyAlignment="1" applyProtection="1">
      <alignment horizontal="center"/>
      <protection locked="0"/>
    </xf>
    <xf numFmtId="0" fontId="0" fillId="0" borderId="197" xfId="0" applyBorder="1" applyAlignment="1" applyProtection="1">
      <alignment horizontal="center"/>
      <protection locked="0"/>
    </xf>
    <xf numFmtId="0" fontId="55" fillId="18" borderId="196" xfId="0" applyFont="1" applyFill="1" applyBorder="1" applyAlignment="1">
      <alignment horizontal="center"/>
    </xf>
    <xf numFmtId="0" fontId="55" fillId="18" borderId="197" xfId="0" applyFont="1" applyFill="1" applyBorder="1" applyAlignment="1">
      <alignment horizontal="center"/>
    </xf>
    <xf numFmtId="0" fontId="161" fillId="35" borderId="0" xfId="0" applyFont="1" applyFill="1" applyAlignment="1">
      <alignment horizontal="center" vertical="center"/>
    </xf>
    <xf numFmtId="0" fontId="0" fillId="8" borderId="25" xfId="0" applyFill="1" applyBorder="1" applyAlignment="1">
      <alignment horizontal="left" vertical="top" wrapText="1"/>
    </xf>
    <xf numFmtId="0" fontId="0" fillId="8" borderId="0" xfId="0" applyFill="1" applyAlignment="1">
      <alignment horizontal="left" vertical="top" wrapText="1"/>
    </xf>
    <xf numFmtId="0" fontId="0" fillId="8" borderId="36" xfId="0" applyFill="1" applyBorder="1" applyAlignment="1">
      <alignment horizontal="left" vertical="top" wrapText="1"/>
    </xf>
    <xf numFmtId="0" fontId="135" fillId="0" borderId="0" xfId="0" applyFont="1"/>
    <xf numFmtId="0" fontId="0" fillId="0" borderId="0" xfId="0"/>
    <xf numFmtId="49" fontId="0" fillId="0" borderId="0" xfId="0" applyNumberFormat="1"/>
    <xf numFmtId="0" fontId="122" fillId="30" borderId="7" xfId="0" applyFont="1" applyFill="1" applyBorder="1"/>
    <xf numFmtId="0" fontId="122" fillId="31" borderId="7" xfId="0" applyFont="1" applyFill="1" applyBorder="1"/>
    <xf numFmtId="49" fontId="24" fillId="8" borderId="69" xfId="0" applyNumberFormat="1" applyFont="1" applyFill="1" applyBorder="1" applyAlignment="1">
      <alignment horizontal="left" vertical="top" wrapText="1" indent="1"/>
    </xf>
    <xf numFmtId="0" fontId="24" fillId="8" borderId="72" xfId="0" applyFont="1" applyFill="1" applyBorder="1" applyAlignment="1">
      <alignment horizontal="left" vertical="top" wrapText="1" indent="1"/>
    </xf>
    <xf numFmtId="0" fontId="24" fillId="8" borderId="73" xfId="0" applyFont="1" applyFill="1" applyBorder="1" applyAlignment="1">
      <alignment horizontal="left" vertical="top" wrapText="1" indent="1"/>
    </xf>
    <xf numFmtId="0" fontId="24" fillId="8" borderId="34" xfId="0" applyFont="1" applyFill="1" applyBorder="1" applyAlignment="1">
      <alignment horizontal="left" vertical="center" wrapText="1" indent="1"/>
    </xf>
    <xf numFmtId="0" fontId="24" fillId="8" borderId="6" xfId="0" applyFont="1" applyFill="1" applyBorder="1" applyAlignment="1">
      <alignment horizontal="left" vertical="center" wrapText="1" indent="1"/>
    </xf>
    <xf numFmtId="0" fontId="21" fillId="8" borderId="34" xfId="0" applyFont="1" applyFill="1" applyBorder="1" applyAlignment="1">
      <alignment horizontal="center" vertical="center"/>
    </xf>
    <xf numFmtId="0" fontId="21" fillId="8" borderId="6" xfId="0" applyFont="1" applyFill="1" applyBorder="1" applyAlignment="1">
      <alignment horizontal="center" vertical="center"/>
    </xf>
    <xf numFmtId="0" fontId="24" fillId="8" borderId="34" xfId="0" applyFont="1" applyFill="1" applyBorder="1" applyAlignment="1">
      <alignment horizontal="center" vertical="center"/>
    </xf>
    <xf numFmtId="0" fontId="24" fillId="8" borderId="6" xfId="0" applyFont="1" applyFill="1" applyBorder="1" applyAlignment="1">
      <alignment horizontal="center" vertical="center"/>
    </xf>
    <xf numFmtId="0" fontId="88" fillId="38" borderId="139" xfId="0" applyFont="1" applyFill="1" applyBorder="1" applyAlignment="1">
      <alignment horizontal="center" vertical="center" wrapText="1"/>
    </xf>
    <xf numFmtId="0" fontId="88" fillId="38" borderId="142" xfId="0" applyFont="1" applyFill="1" applyBorder="1" applyAlignment="1">
      <alignment horizontal="center" vertical="center" wrapText="1"/>
    </xf>
    <xf numFmtId="0" fontId="88" fillId="38" borderId="143" xfId="0" applyFont="1" applyFill="1" applyBorder="1" applyAlignment="1">
      <alignment horizontal="center" vertical="center" wrapText="1"/>
    </xf>
    <xf numFmtId="0" fontId="175" fillId="28" borderId="139" xfId="0" applyFont="1" applyFill="1" applyBorder="1" applyAlignment="1">
      <alignment horizontal="left" vertical="center"/>
    </xf>
    <xf numFmtId="0" fontId="175" fillId="28" borderId="140" xfId="0" applyFont="1" applyFill="1" applyBorder="1" applyAlignment="1">
      <alignment horizontal="left" vertical="center"/>
    </xf>
    <xf numFmtId="0" fontId="175" fillId="28" borderId="141" xfId="0" applyFont="1" applyFill="1" applyBorder="1" applyAlignment="1">
      <alignment horizontal="left" vertical="center"/>
    </xf>
    <xf numFmtId="0" fontId="29" fillId="0" borderId="0" xfId="0" applyFont="1"/>
    <xf numFmtId="0" fontId="24" fillId="8" borderId="69" xfId="0" applyFont="1" applyFill="1" applyBorder="1" applyAlignment="1">
      <alignment horizontal="left" vertical="center" wrapText="1" indent="1"/>
    </xf>
    <xf numFmtId="0" fontId="24" fillId="8" borderId="70" xfId="0" applyFont="1" applyFill="1" applyBorder="1" applyAlignment="1">
      <alignment horizontal="left" vertical="center" wrapText="1" indent="1"/>
    </xf>
    <xf numFmtId="0" fontId="24" fillId="8" borderId="71" xfId="0" applyFont="1" applyFill="1" applyBorder="1" applyAlignment="1">
      <alignment horizontal="left" vertical="center" wrapText="1" indent="1"/>
    </xf>
    <xf numFmtId="0" fontId="24" fillId="8" borderId="34" xfId="0" applyFont="1" applyFill="1" applyBorder="1" applyAlignment="1">
      <alignment horizontal="left" vertical="center"/>
    </xf>
    <xf numFmtId="0" fontId="24" fillId="8" borderId="35" xfId="0" applyFont="1" applyFill="1" applyBorder="1" applyAlignment="1">
      <alignment horizontal="left" vertical="center"/>
    </xf>
    <xf numFmtId="0" fontId="24" fillId="8" borderId="6" xfId="0" applyFont="1" applyFill="1" applyBorder="1" applyAlignment="1">
      <alignment horizontal="left" vertical="center"/>
    </xf>
    <xf numFmtId="0" fontId="21" fillId="3" borderId="0" xfId="0" applyFont="1" applyFill="1" applyAlignment="1">
      <alignment horizontal="left"/>
    </xf>
    <xf numFmtId="0" fontId="21" fillId="3" borderId="0" xfId="0" applyFont="1" applyFill="1" applyAlignment="1">
      <alignment horizontal="left" vertical="top" wrapText="1"/>
    </xf>
    <xf numFmtId="0" fontId="53" fillId="3" borderId="0" xfId="0" applyFont="1" applyFill="1" applyAlignment="1">
      <alignment horizontal="left" indent="1"/>
    </xf>
    <xf numFmtId="164" fontId="60" fillId="8" borderId="34" xfId="2" applyNumberFormat="1" applyFont="1" applyFill="1" applyBorder="1" applyAlignment="1" applyProtection="1">
      <alignment horizontal="center" vertical="center"/>
    </xf>
    <xf numFmtId="164" fontId="60" fillId="8" borderId="6" xfId="2" applyNumberFormat="1" applyFont="1" applyFill="1" applyBorder="1" applyAlignment="1" applyProtection="1">
      <alignment horizontal="center" vertical="center"/>
    </xf>
    <xf numFmtId="164" fontId="60" fillId="8" borderId="137" xfId="2" applyNumberFormat="1" applyFont="1" applyFill="1" applyBorder="1" applyAlignment="1" applyProtection="1">
      <alignment horizontal="center" vertical="center"/>
    </xf>
    <xf numFmtId="164" fontId="60" fillId="8" borderId="138" xfId="2" applyNumberFormat="1" applyFont="1" applyFill="1" applyBorder="1" applyAlignment="1" applyProtection="1">
      <alignment horizontal="center" vertical="center"/>
    </xf>
    <xf numFmtId="0" fontId="178" fillId="0" borderId="0" xfId="5" applyFont="1" applyFill="1" applyAlignment="1" applyProtection="1">
      <alignment horizontal="center"/>
    </xf>
    <xf numFmtId="2" fontId="21" fillId="3" borderId="0" xfId="0" applyNumberFormat="1" applyFont="1" applyFill="1" applyAlignment="1">
      <alignment horizontal="left" vertical="top" wrapText="1" indent="1"/>
    </xf>
    <xf numFmtId="0" fontId="60" fillId="3" borderId="32" xfId="0" applyFont="1" applyFill="1" applyBorder="1" applyAlignment="1">
      <alignment horizontal="left" vertical="center" wrapText="1" indent="1"/>
    </xf>
    <xf numFmtId="0" fontId="60" fillId="3" borderId="0" xfId="0" applyFont="1" applyFill="1" applyAlignment="1">
      <alignment horizontal="left" vertical="center" wrapText="1" indent="1"/>
    </xf>
    <xf numFmtId="0" fontId="24" fillId="3" borderId="98" xfId="0" applyFont="1" applyFill="1" applyBorder="1" applyAlignment="1">
      <alignment horizontal="left" vertical="center" wrapText="1"/>
    </xf>
    <xf numFmtId="0" fontId="24" fillId="3" borderId="0" xfId="0" applyFont="1" applyFill="1" applyAlignment="1">
      <alignment horizontal="left" vertical="top" wrapText="1"/>
    </xf>
    <xf numFmtId="0" fontId="24" fillId="3" borderId="0" xfId="0" applyFont="1" applyFill="1" applyAlignment="1">
      <alignment horizontal="left" indent="1"/>
    </xf>
    <xf numFmtId="0" fontId="54" fillId="3" borderId="0" xfId="0" applyFont="1" applyFill="1" applyAlignment="1">
      <alignment horizontal="left"/>
    </xf>
    <xf numFmtId="0" fontId="54" fillId="3" borderId="0" xfId="0" applyFont="1" applyFill="1" applyAlignment="1">
      <alignment horizontal="left" wrapText="1"/>
    </xf>
    <xf numFmtId="0" fontId="175" fillId="22" borderId="139" xfId="0" applyFont="1" applyFill="1" applyBorder="1" applyAlignment="1">
      <alignment horizontal="left" vertical="center"/>
    </xf>
    <xf numFmtId="0" fontId="175" fillId="22" borderId="140" xfId="0" applyFont="1" applyFill="1" applyBorder="1" applyAlignment="1">
      <alignment horizontal="left" vertical="center"/>
    </xf>
    <xf numFmtId="0" fontId="175" fillId="22" borderId="141" xfId="0" applyFont="1" applyFill="1" applyBorder="1" applyAlignment="1">
      <alignment horizontal="left" vertical="center"/>
    </xf>
    <xf numFmtId="0" fontId="18" fillId="3" borderId="42" xfId="0" applyFont="1" applyFill="1" applyBorder="1" applyAlignment="1">
      <alignment horizontal="left" vertical="center" wrapText="1"/>
    </xf>
    <xf numFmtId="0" fontId="21" fillId="8" borderId="34" xfId="0" applyFont="1" applyFill="1" applyBorder="1" applyAlignment="1">
      <alignment horizontal="center" vertical="center" wrapText="1"/>
    </xf>
    <xf numFmtId="0" fontId="21" fillId="8" borderId="35" xfId="0" applyFont="1" applyFill="1" applyBorder="1" applyAlignment="1">
      <alignment horizontal="center" vertical="center" wrapText="1"/>
    </xf>
    <xf numFmtId="0" fontId="21" fillId="8" borderId="6" xfId="0" applyFont="1" applyFill="1" applyBorder="1" applyAlignment="1">
      <alignment horizontal="center" vertical="center" wrapText="1"/>
    </xf>
    <xf numFmtId="0" fontId="22" fillId="8" borderId="34" xfId="0" applyFont="1" applyFill="1" applyBorder="1" applyAlignment="1">
      <alignment horizontal="center" wrapText="1"/>
    </xf>
    <xf numFmtId="0" fontId="22" fillId="8" borderId="35" xfId="0" applyFont="1" applyFill="1" applyBorder="1" applyAlignment="1">
      <alignment horizontal="center" wrapText="1"/>
    </xf>
    <xf numFmtId="0" fontId="22" fillId="8" borderId="6" xfId="0" applyFont="1" applyFill="1" applyBorder="1" applyAlignment="1">
      <alignment horizontal="center" wrapText="1"/>
    </xf>
    <xf numFmtId="0" fontId="24" fillId="3" borderId="34" xfId="0" applyFont="1" applyFill="1" applyBorder="1" applyAlignment="1">
      <alignment horizontal="left" vertical="top" wrapText="1" indent="1"/>
    </xf>
    <xf numFmtId="0" fontId="24" fillId="3" borderId="35" xfId="0" applyFont="1" applyFill="1" applyBorder="1" applyAlignment="1">
      <alignment horizontal="left" vertical="top" wrapText="1" indent="1"/>
    </xf>
    <xf numFmtId="0" fontId="24" fillId="3" borderId="6" xfId="0" applyFont="1" applyFill="1" applyBorder="1" applyAlignment="1">
      <alignment horizontal="left" vertical="top" wrapText="1" indent="1"/>
    </xf>
    <xf numFmtId="0" fontId="68" fillId="3" borderId="30" xfId="0" applyFont="1" applyFill="1" applyBorder="1" applyAlignment="1">
      <alignment horizontal="right" vertical="center"/>
    </xf>
    <xf numFmtId="0" fontId="24" fillId="3" borderId="34" xfId="0" applyFont="1" applyFill="1" applyBorder="1" applyAlignment="1">
      <alignment horizontal="left" vertical="center" wrapText="1"/>
    </xf>
    <xf numFmtId="0" fontId="21" fillId="3" borderId="35" xfId="0" applyFont="1" applyFill="1" applyBorder="1" applyAlignment="1">
      <alignment horizontal="left" vertical="center" wrapText="1"/>
    </xf>
    <xf numFmtId="0" fontId="25" fillId="3" borderId="34" xfId="0" applyFont="1" applyFill="1" applyBorder="1" applyAlignment="1">
      <alignment horizontal="left" vertical="center" wrapText="1" indent="1"/>
    </xf>
    <xf numFmtId="0" fontId="25" fillId="3" borderId="35" xfId="0" applyFont="1" applyFill="1" applyBorder="1" applyAlignment="1">
      <alignment horizontal="left" vertical="center" wrapText="1" indent="1"/>
    </xf>
    <xf numFmtId="0" fontId="25" fillId="3" borderId="6" xfId="0" applyFont="1" applyFill="1" applyBorder="1" applyAlignment="1">
      <alignment horizontal="left" vertical="center" wrapText="1" indent="1"/>
    </xf>
    <xf numFmtId="0" fontId="25" fillId="3" borderId="35" xfId="0" applyFont="1" applyFill="1" applyBorder="1" applyAlignment="1">
      <alignment horizontal="left" vertical="center" wrapText="1"/>
    </xf>
    <xf numFmtId="0" fontId="60" fillId="3" borderId="34" xfId="0" quotePrefix="1" applyFont="1" applyFill="1" applyBorder="1" applyAlignment="1">
      <alignment horizontal="left" vertical="top" wrapText="1"/>
    </xf>
    <xf numFmtId="0" fontId="60" fillId="3" borderId="35" xfId="0" applyFont="1" applyFill="1" applyBorder="1" applyAlignment="1">
      <alignment horizontal="left" vertical="top" wrapText="1"/>
    </xf>
    <xf numFmtId="0" fontId="60" fillId="3" borderId="6" xfId="0" applyFont="1" applyFill="1" applyBorder="1" applyAlignment="1">
      <alignment horizontal="left" vertical="top" wrapText="1"/>
    </xf>
    <xf numFmtId="0" fontId="21" fillId="0" borderId="0" xfId="0" applyFont="1" applyAlignment="1">
      <alignment horizontal="center" wrapText="1"/>
    </xf>
    <xf numFmtId="0" fontId="21" fillId="0" borderId="36" xfId="0" applyFont="1" applyBorder="1" applyAlignment="1">
      <alignment horizontal="center" wrapText="1"/>
    </xf>
    <xf numFmtId="0" fontId="24" fillId="3" borderId="35" xfId="0" applyFont="1" applyFill="1" applyBorder="1" applyAlignment="1">
      <alignment horizontal="left" vertical="center" wrapText="1"/>
    </xf>
    <xf numFmtId="0" fontId="21" fillId="3" borderId="7" xfId="0" applyFont="1" applyFill="1" applyBorder="1" applyAlignment="1">
      <alignment horizontal="left" vertical="center"/>
    </xf>
    <xf numFmtId="0" fontId="92" fillId="3" borderId="29" xfId="0" applyFont="1" applyFill="1" applyBorder="1" applyAlignment="1">
      <alignment horizontal="center" vertical="center"/>
    </xf>
    <xf numFmtId="0" fontId="92" fillId="3" borderId="30" xfId="0" applyFont="1" applyFill="1" applyBorder="1" applyAlignment="1">
      <alignment horizontal="center" vertical="center"/>
    </xf>
    <xf numFmtId="0" fontId="29" fillId="0" borderId="58" xfId="0" applyFont="1" applyBorder="1" applyAlignment="1">
      <alignment horizontal="left" vertical="top" wrapText="1"/>
    </xf>
    <xf numFmtId="0" fontId="29" fillId="0" borderId="59" xfId="0" applyFont="1" applyBorder="1" applyAlignment="1">
      <alignment horizontal="left" vertical="top" wrapText="1"/>
    </xf>
    <xf numFmtId="0" fontId="29" fillId="0" borderId="60" xfId="0" applyFont="1" applyBorder="1" applyAlignment="1">
      <alignment horizontal="left" vertical="top" wrapText="1"/>
    </xf>
    <xf numFmtId="0" fontId="176" fillId="3" borderId="147" xfId="0" applyFont="1" applyFill="1" applyBorder="1" applyAlignment="1">
      <alignment horizontal="center" vertical="center"/>
    </xf>
    <xf numFmtId="0" fontId="176" fillId="3" borderId="78" xfId="0" applyFont="1" applyFill="1" applyBorder="1" applyAlignment="1">
      <alignment horizontal="center" vertical="center"/>
    </xf>
    <xf numFmtId="0" fontId="176" fillId="3" borderId="148" xfId="0" applyFont="1" applyFill="1" applyBorder="1" applyAlignment="1">
      <alignment horizontal="center" vertical="center"/>
    </xf>
    <xf numFmtId="0" fontId="90" fillId="0" borderId="0" xfId="0" applyFont="1" applyAlignment="1">
      <alignment horizontal="left" vertical="top"/>
    </xf>
    <xf numFmtId="2" fontId="29" fillId="0" borderId="7" xfId="0" applyNumberFormat="1" applyFont="1" applyBorder="1" applyAlignment="1">
      <alignment horizontal="center"/>
    </xf>
    <xf numFmtId="0" fontId="84" fillId="0" borderId="61" xfId="0" applyFont="1" applyBorder="1" applyAlignment="1">
      <alignment horizontal="left" wrapText="1"/>
    </xf>
    <xf numFmtId="0" fontId="84" fillId="0" borderId="61" xfId="0" applyFont="1" applyBorder="1" applyAlignment="1">
      <alignment horizontal="left"/>
    </xf>
    <xf numFmtId="0" fontId="84" fillId="0" borderId="0" xfId="0" applyFont="1" applyAlignment="1">
      <alignment horizontal="left"/>
    </xf>
    <xf numFmtId="0" fontId="29" fillId="7" borderId="156" xfId="0" applyFont="1" applyFill="1" applyBorder="1" applyAlignment="1">
      <alignment horizontal="center" vertical="center" wrapText="1"/>
    </xf>
    <xf numFmtId="0" fontId="29" fillId="7" borderId="42" xfId="0" applyFont="1" applyFill="1" applyBorder="1" applyAlignment="1">
      <alignment horizontal="center" vertical="center" wrapText="1"/>
    </xf>
  </cellXfs>
  <cellStyles count="7">
    <cellStyle name="Comma" xfId="1" builtinId="3"/>
    <cellStyle name="Currency" xfId="2" builtinId="4"/>
    <cellStyle name="Currency 2" xfId="4" xr:uid="{00000000-0005-0000-0000-000002000000}"/>
    <cellStyle name="Hyperlink" xfId="5" builtinId="8"/>
    <cellStyle name="Normal" xfId="0" builtinId="0"/>
    <cellStyle name="Normal 2" xfId="6" xr:uid="{30087F12-7635-4694-BEF7-FF64E46B28F9}"/>
    <cellStyle name="Percent" xfId="3" builtinId="5"/>
  </cellStyles>
  <dxfs count="47">
    <dxf>
      <numFmt numFmtId="0" formatCode="General"/>
      <alignment horizontal="left" vertical="bottom" textRotation="0" wrapText="0" indent="0" justifyLastLine="0" shrinkToFit="0" readingOrder="0"/>
    </dxf>
    <dxf>
      <numFmt numFmtId="19" formatCode="d/mm/yyyy"/>
    </dxf>
    <dxf>
      <border>
        <left style="thin">
          <color rgb="FFFF0000"/>
        </left>
        <right style="thin">
          <color rgb="FFFF0000"/>
        </right>
        <top style="thin">
          <color rgb="FFFF0000"/>
        </top>
        <bottom style="thin">
          <color rgb="FFFF0000"/>
        </bottom>
        <vertical/>
        <horizontal/>
      </border>
    </dxf>
    <dxf>
      <border>
        <left style="thin">
          <color auto="1"/>
        </left>
        <right style="thin">
          <color auto="1"/>
        </right>
        <top style="thin">
          <color auto="1"/>
        </top>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fill>
        <patternFill patternType="none">
          <bgColor auto="1"/>
        </patternFill>
      </fill>
    </dxf>
    <dxf>
      <font>
        <color rgb="FF0000FF"/>
      </font>
      <border>
        <left/>
        <right/>
        <top/>
        <bottom/>
        <vertical/>
        <horizontal/>
      </border>
    </dxf>
    <dxf>
      <font>
        <color rgb="FFFF0000"/>
      </font>
      <border>
        <left style="thin">
          <color auto="1"/>
        </left>
        <right/>
        <top/>
        <bottom/>
        <vertical/>
        <horizontal/>
      </border>
    </dxf>
    <dxf>
      <font>
        <b val="0"/>
        <i val="0"/>
      </font>
      <border>
        <left style="thin">
          <color rgb="FFFF0000"/>
        </left>
        <right style="thin">
          <color rgb="FFFF0000"/>
        </right>
        <top style="thin">
          <color rgb="FFFF0000"/>
        </top>
        <bottom style="thin">
          <color rgb="FFFF0000"/>
        </bottom>
        <vertical/>
        <horizontal/>
      </border>
    </dxf>
    <dxf>
      <font>
        <color rgb="FFFF0000"/>
      </font>
      <border>
        <left style="thin">
          <color rgb="FFFF0000"/>
        </left>
        <right style="thin">
          <color rgb="FFFF0000"/>
        </right>
        <top style="thin">
          <color rgb="FFFF0000"/>
        </top>
        <bottom style="thin">
          <color rgb="FFFF0000"/>
        </bottom>
        <vertical/>
        <horizontal/>
      </border>
    </dxf>
    <dxf>
      <font>
        <color rgb="FFFF0000"/>
      </font>
    </dxf>
    <dxf>
      <border>
        <left style="thin">
          <color rgb="FFFF0000"/>
        </left>
        <right style="thin">
          <color rgb="FFFF0000"/>
        </right>
        <top style="thin">
          <color rgb="FFFF0000"/>
        </top>
        <bottom style="thin">
          <color rgb="FFFF0000"/>
        </bottom>
        <vertical/>
        <horizontal/>
      </border>
    </dxf>
    <dxf>
      <font>
        <b/>
        <i val="0"/>
        <color rgb="FFFF0000"/>
      </font>
    </dxf>
    <dxf>
      <font>
        <b/>
        <i val="0"/>
        <color rgb="FFFF0000"/>
      </font>
    </dxf>
    <dxf>
      <border>
        <left style="thin">
          <color rgb="FFFF0000"/>
        </left>
        <right style="thin">
          <color rgb="FFFF0000"/>
        </right>
        <top style="thin">
          <color rgb="FFFF0000"/>
        </top>
        <bottom style="thin">
          <color rgb="FFFF0000"/>
        </bottom>
        <vertical/>
        <horizontal/>
      </border>
    </dxf>
    <dxf>
      <font>
        <b/>
        <i val="0"/>
        <color rgb="FFFF0000"/>
      </font>
    </dxf>
    <dxf>
      <font>
        <b/>
        <i val="0"/>
        <color rgb="FFFF0000"/>
      </font>
    </dxf>
    <dxf>
      <border>
        <left style="thin">
          <color rgb="FFFF0000"/>
        </left>
        <right style="thin">
          <color rgb="FFFF0000"/>
        </right>
        <top style="thin">
          <color rgb="FFFF0000"/>
        </top>
        <bottom style="thin">
          <color rgb="FFFF0000"/>
        </bottom>
        <vertical/>
        <horizontal/>
      </border>
    </dxf>
    <dxf>
      <font>
        <b/>
        <i val="0"/>
        <color rgb="FFFF0000"/>
      </font>
    </dxf>
    <dxf>
      <font>
        <b/>
        <i val="0"/>
        <color rgb="FFFF0000"/>
      </font>
    </dxf>
    <dxf>
      <font>
        <color rgb="FFFF0000"/>
      </font>
      <border>
        <left style="thin">
          <color rgb="FFFF0000"/>
        </left>
        <right style="thin">
          <color rgb="FFFF0000"/>
        </right>
        <top style="thin">
          <color rgb="FFFF0000"/>
        </top>
        <bottom style="thin">
          <color rgb="FFFF0000"/>
        </bottom>
      </border>
    </dxf>
    <dxf>
      <font>
        <color rgb="FFFF0000"/>
      </font>
      <border>
        <left style="thin">
          <color rgb="FFFF0000"/>
        </left>
        <right style="thin">
          <color rgb="FFFF0000"/>
        </right>
        <top style="thin">
          <color rgb="FFFF0000"/>
        </top>
        <bottom style="thin">
          <color rgb="FFFF0000"/>
        </bottom>
      </border>
    </dxf>
    <dxf>
      <font>
        <color rgb="FFFF0000"/>
      </font>
      <border>
        <left style="thin">
          <color rgb="FFFF0000"/>
        </left>
        <right style="thin">
          <color rgb="FFFF0000"/>
        </right>
        <top style="thin">
          <color rgb="FFFF0000"/>
        </top>
        <bottom style="thin">
          <color rgb="FFFF0000"/>
        </bottom>
      </border>
    </dxf>
    <dxf>
      <font>
        <color rgb="FFFF0000"/>
      </font>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font>
        <b/>
        <i val="0"/>
        <color rgb="FFFF0000"/>
      </font>
    </dxf>
    <dxf>
      <font>
        <b/>
        <i val="0"/>
        <color rgb="FFFF0000"/>
      </font>
    </dxf>
    <dxf>
      <font>
        <b/>
        <i val="0"/>
        <color rgb="FFFF0000"/>
      </font>
    </dxf>
    <dxf>
      <font>
        <b/>
        <i val="0"/>
        <color rgb="FFFF0000"/>
      </font>
    </dxf>
    <dxf>
      <font>
        <b val="0"/>
        <i val="0"/>
      </font>
      <border>
        <left style="thin">
          <color rgb="FFFF0000"/>
        </left>
        <right style="thin">
          <color rgb="FFFF0000"/>
        </right>
        <top style="thin">
          <color rgb="FFFF0000"/>
        </top>
        <bottom style="thin">
          <color rgb="FFFF0000"/>
        </bottom>
        <vertical/>
        <horizontal/>
      </border>
    </dxf>
    <dxf>
      <font>
        <b val="0"/>
        <i val="0"/>
      </font>
      <border>
        <left style="thin">
          <color rgb="FFFF0000"/>
        </left>
        <right style="thin">
          <color rgb="FFFF0000"/>
        </right>
        <top style="thin">
          <color rgb="FFFF0000"/>
        </top>
        <bottom style="thin">
          <color rgb="FFFF0000"/>
        </bottom>
        <vertical/>
        <horizontal/>
      </border>
    </dxf>
    <dxf>
      <font>
        <b/>
        <i val="0"/>
        <color rgb="FFFF0000"/>
      </font>
    </dxf>
    <dxf>
      <border>
        <left style="thin">
          <color rgb="FFFF0000"/>
        </left>
        <right style="thin">
          <color rgb="FFFF0000"/>
        </right>
        <top style="thin">
          <color rgb="FFFF0000"/>
        </top>
        <bottom style="thin">
          <color rgb="FFFF0000"/>
        </bottom>
        <vertical/>
        <horizontal/>
      </border>
    </dxf>
    <dxf>
      <numFmt numFmtId="177" formatCode=";;;"/>
    </dxf>
    <dxf>
      <font>
        <color rgb="FF9C0006"/>
      </font>
      <fill>
        <patternFill>
          <bgColor rgb="FFFFC7CE"/>
        </patternFill>
      </fill>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0000FF"/>
      <color rgb="FFFF3300"/>
      <color rgb="FFCC0000"/>
      <color rgb="FF008080"/>
      <color rgb="FF0066CC"/>
      <color rgb="FF00B8B4"/>
      <color rgb="FFF7F7F7"/>
      <color rgb="FF094183"/>
      <color rgb="FFF3F3F3"/>
      <color rgb="FFE6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CheckBox" fmlaLink="$W$19" noThreeD="1"/>
</file>

<file path=xl/ctrlProps/ctrlProp2.xml><?xml version="1.0" encoding="utf-8"?>
<formControlPr xmlns="http://schemas.microsoft.com/office/spreadsheetml/2009/9/main" objectType="CheckBox" fmlaLink="$T$15" noThreeD="1"/>
</file>

<file path=xl/ctrlProps/ctrlProp3.xml><?xml version="1.0" encoding="utf-8"?>
<formControlPr xmlns="http://schemas.microsoft.com/office/spreadsheetml/2009/9/main" objectType="CheckBox" fmlaLink="$U$15"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U$17"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Q$14"/>
</file>

<file path=xl/ctrlProps/ctrlProp8.xml><?xml version="1.0" encoding="utf-8"?>
<formControlPr xmlns="http://schemas.microsoft.com/office/spreadsheetml/2009/9/main" objectType="CheckBox" fmlaLink="$Q$35" lockText="1"/>
</file>

<file path=xl/ctrlProps/ctrlProp9.xml><?xml version="1.0" encoding="utf-8"?>
<formControlPr xmlns="http://schemas.microsoft.com/office/spreadsheetml/2009/9/main" objectType="CheckBox" fmlaLink="$Q$34" lockText="1"/>
</file>

<file path=xl/ctrlProps/ctrlProp10.xml><?xml version="1.0" encoding="utf-8"?>
<formControlPr xmlns="http://schemas.microsoft.com/office/spreadsheetml/2009/9/main" objectType="CheckBox" fmlaLink="$Q$33" lockText="1"/>
</file>

<file path=xl/ctrlProps/ctrlProp11.xml><?xml version="1.0" encoding="utf-8"?>
<formControlPr xmlns="http://schemas.microsoft.com/office/spreadsheetml/2009/9/main" objectType="CheckBox" fmlaLink="$Q$32" lockText="1"/>
</file>

<file path=xl/ctrlProps/ctrlProp12.xml><?xml version="1.0" encoding="utf-8"?>
<formControlPr xmlns="http://schemas.microsoft.com/office/spreadsheetml/2009/9/main" objectType="CheckBox" fmlaLink="$Q$19" lockText="1"/>
</file>

<file path=xl/ctrlProps/ctrlProp13.xml><?xml version="1.0" encoding="utf-8"?>
<formControlPr xmlns="http://schemas.microsoft.com/office/spreadsheetml/2009/9/main" objectType="CheckBox" fmlaLink="$Q$18" lockText="1"/>
</file>

<file path=xl/ctrlProps/ctrlProp14.xml><?xml version="1.0" encoding="utf-8"?>
<formControlPr xmlns="http://schemas.microsoft.com/office/spreadsheetml/2009/9/main" objectType="CheckBox" fmlaLink="$Q$17" lockText="1"/>
</file>

<file path=xl/ctrlProps/ctrlProp15.xml><?xml version="1.0" encoding="utf-8"?>
<formControlPr xmlns="http://schemas.microsoft.com/office/spreadsheetml/2009/9/main" objectType="CheckBox" fmlaLink="$Q$16" lockText="1"/>
</file>

<file path=xl/ctrlProps/ctrlProp16.xml><?xml version="1.0" encoding="utf-8"?>
<formControlPr xmlns="http://schemas.microsoft.com/office/spreadsheetml/2009/9/main" objectType="CheckBox" fmlaLink="$Q$15" lockText="1"/>
</file>

<file path=xl/ctrlProps/ctrlProp17.xml><?xml version="1.0" encoding="utf-8"?>
<formControlPr xmlns="http://schemas.microsoft.com/office/spreadsheetml/2009/9/main" objectType="CheckBox" fmlaLink="$Q$35" lockText="1"/>
</file>

<file path=xl/ctrlProps/ctrlProp18.xml><?xml version="1.0" encoding="utf-8"?>
<formControlPr xmlns="http://schemas.microsoft.com/office/spreadsheetml/2009/9/main" objectType="CheckBox" fmlaLink="$Q$35" lockText="1"/>
</file>

<file path=xl/ctrlProps/ctrlProp19.xml><?xml version="1.0" encoding="utf-8"?>
<formControlPr xmlns="http://schemas.microsoft.com/office/spreadsheetml/2009/9/main" objectType="CheckBox" fmlaLink="$Q$38" lockText="1"/>
</file>

<file path=xl/ctrlProps/ctrlProp20.xml><?xml version="1.0" encoding="utf-8"?>
<formControlPr xmlns="http://schemas.microsoft.com/office/spreadsheetml/2009/9/main" objectType="CheckBox" fmlaLink="$Q$39" lockText="1"/>
</file>

<file path=xl/ctrlProps/ctrlProp21.xml><?xml version="1.0" encoding="utf-8"?>
<formControlPr xmlns="http://schemas.microsoft.com/office/spreadsheetml/2009/9/main" objectType="CheckBox" fmlaLink="$Q$40" lockText="1"/>
</file>

<file path=xl/ctrlProps/ctrlProp22.xml><?xml version="1.0" encoding="utf-8"?>
<formControlPr xmlns="http://schemas.microsoft.com/office/spreadsheetml/2009/9/main" objectType="CheckBox" fmlaLink="$Q$41" lockText="1"/>
</file>

<file path=xl/ctrlProps/ctrlProp23.xml><?xml version="1.0" encoding="utf-8"?>
<formControlPr xmlns="http://schemas.microsoft.com/office/spreadsheetml/2009/9/main" objectType="CheckBox" fmlaLink="$Q$42" lockText="1"/>
</file>

<file path=xl/ctrlProps/ctrlProp24.xml><?xml version="1.0" encoding="utf-8"?>
<formControlPr xmlns="http://schemas.microsoft.com/office/spreadsheetml/2009/9/main" objectType="CheckBox" fmlaLink="$Q$43" lockText="1"/>
</file>

<file path=xl/ctrlProps/ctrlProp25.xml><?xml version="1.0" encoding="utf-8"?>
<formControlPr xmlns="http://schemas.microsoft.com/office/spreadsheetml/2009/9/main" objectType="CheckBox" fmlaLink="$Q$20" lockText="1"/>
</file>

<file path=xl/ctrlProps/ctrlProp26.xml><?xml version="1.0" encoding="utf-8"?>
<formControlPr xmlns="http://schemas.microsoft.com/office/spreadsheetml/2009/9/main" objectType="CheckBox" fmlaLink="$Q$21" lockText="1"/>
</file>

<file path=xl/ctrlProps/ctrlProp27.xml><?xml version="1.0" encoding="utf-8"?>
<formControlPr xmlns="http://schemas.microsoft.com/office/spreadsheetml/2009/9/main" objectType="CheckBox" fmlaLink="$Q$22" lockText="1"/>
</file>

<file path=xl/ctrlProps/ctrlProp28.xml><?xml version="1.0" encoding="utf-8"?>
<formControlPr xmlns="http://schemas.microsoft.com/office/spreadsheetml/2009/9/main" objectType="CheckBox" fmlaLink="$Q$23" lockText="1"/>
</file>

<file path=xl/ctrlProps/ctrlProp29.xml><?xml version="1.0" encoding="utf-8"?>
<formControlPr xmlns="http://schemas.microsoft.com/office/spreadsheetml/2009/9/main" objectType="CheckBox" fmlaLink="$Q$24" lockText="1"/>
</file>

<file path=xl/ctrlProps/ctrlProp30.xml><?xml version="1.0" encoding="utf-8"?>
<formControlPr xmlns="http://schemas.microsoft.com/office/spreadsheetml/2009/9/main" objectType="CheckBox" fmlaLink="$Q$25" lockText="1"/>
</file>

<file path=xl/ctrlProps/ctrlProp31.xml><?xml version="1.0" encoding="utf-8"?>
<formControlPr xmlns="http://schemas.microsoft.com/office/spreadsheetml/2009/9/main" objectType="CheckBox" fmlaLink="$Q$26" lockText="1"/>
</file>

<file path=xl/ctrlProps/ctrlProp32.xml><?xml version="1.0" encoding="utf-8"?>
<formControlPr xmlns="http://schemas.microsoft.com/office/spreadsheetml/2009/9/main" objectType="CheckBox" fmlaLink="$Q$27" lockText="1"/>
</file>

<file path=xl/ctrlProps/ctrlProp33.xml><?xml version="1.0" encoding="utf-8"?>
<formControlPr xmlns="http://schemas.microsoft.com/office/spreadsheetml/2009/9/main" objectType="CheckBox" fmlaLink="$Q$28" lockText="1"/>
</file>

<file path=xl/ctrlProps/ctrlProp34.xml><?xml version="1.0" encoding="utf-8"?>
<formControlPr xmlns="http://schemas.microsoft.com/office/spreadsheetml/2009/9/main" objectType="CheckBox" fmlaLink="$Q$29" lockText="1"/>
</file>

<file path=xl/ctrlProps/ctrlProp35.xml><?xml version="1.0" encoding="utf-8"?>
<formControlPr xmlns="http://schemas.microsoft.com/office/spreadsheetml/2009/9/main" objectType="CheckBox" fmlaLink="$Q$30" lockText="1"/>
</file>

<file path=xl/ctrlProps/ctrlProp36.xml><?xml version="1.0" encoding="utf-8"?>
<formControlPr xmlns="http://schemas.microsoft.com/office/spreadsheetml/2009/9/main" objectType="CheckBox" fmlaLink="$Q$31" lockText="1"/>
</file>

<file path=xl/ctrlProps/ctrlProp37.xml><?xml version="1.0" encoding="utf-8"?>
<formControlPr xmlns="http://schemas.microsoft.com/office/spreadsheetml/2009/9/main" objectType="CheckBox" fmlaLink="$Q$32" lockText="1"/>
</file>

<file path=xl/ctrlProps/ctrlProp38.xml><?xml version="1.0" encoding="utf-8"?>
<formControlPr xmlns="http://schemas.microsoft.com/office/spreadsheetml/2009/9/main" objectType="CheckBox" fmlaLink="$Q$33" lockText="1"/>
</file>

<file path=xl/ctrlProps/ctrlProp39.xml><?xml version="1.0" encoding="utf-8"?>
<formControlPr xmlns="http://schemas.microsoft.com/office/spreadsheetml/2009/9/main" objectType="CheckBox" fmlaLink="$Q$34" lockText="1"/>
</file>

<file path=xl/ctrlProps/ctrlProp40.xml><?xml version="1.0" encoding="utf-8"?>
<formControlPr xmlns="http://schemas.microsoft.com/office/spreadsheetml/2009/9/main" objectType="CheckBox" fmlaLink="$Q$35" lockText="1"/>
</file>

<file path=xl/ctrlProps/ctrlProp41.xml><?xml version="1.0" encoding="utf-8"?>
<formControlPr xmlns="http://schemas.microsoft.com/office/spreadsheetml/2009/9/main" objectType="CheckBox" fmlaLink="$Q$36" lockText="1"/>
</file>

<file path=xl/ctrlProps/ctrlProp42.xml><?xml version="1.0" encoding="utf-8"?>
<formControlPr xmlns="http://schemas.microsoft.com/office/spreadsheetml/2009/9/main" objectType="CheckBox" fmlaLink="$Q$37" lockText="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fmlaLink="$L$18" lockText="1" noThreeD="1"/>
</file>

<file path=xl/ctrlProps/ctrlProp45.xml><?xml version="1.0" encoding="utf-8"?>
<formControlPr xmlns="http://schemas.microsoft.com/office/spreadsheetml/2009/9/main" objectType="CheckBox" fmlaLink="$L$19" lockText="1" noThreeD="1"/>
</file>

<file path=xl/ctrlProps/ctrlProp46.xml><?xml version="1.0" encoding="utf-8"?>
<formControlPr xmlns="http://schemas.microsoft.com/office/spreadsheetml/2009/9/main" objectType="Drop" dropStyle="combo" dx="26" fmlaLink="justification" fmlaRange="Justification_Options" noThreeD="1" sel="1" val="0"/>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s://gateway.research.unimelb.edu.au/funding-contracts-and-ethics/contracts-and-agreements/prepare-a-contract/research-costing-and-pricing-support/RCPT-unblock-macros.pdf" TargetMode="External"/><Relationship Id="rId13" Type="http://schemas.openxmlformats.org/officeDocument/2006/relationships/hyperlink" Target="#'Summary of Price'!A1"/><Relationship Id="rId3" Type="http://schemas.openxmlformats.org/officeDocument/2006/relationships/hyperlink" Target="#TR1F!A1"/><Relationship Id="rId7" Type="http://schemas.openxmlformats.org/officeDocument/2006/relationships/hyperlink" Target="https://gateway.research.unimelb.edu.au/funding-contracts-and-ethics/contracts-and-agreements/prepare-a-contract/research-costing-and-pricing-support" TargetMode="External"/><Relationship Id="rId12" Type="http://schemas.openxmlformats.org/officeDocument/2006/relationships/hyperlink" Target="#'PART C Non-Staff Costs'!A1"/><Relationship Id="rId17" Type="http://schemas.microsoft.com/office/2007/relationships/hdphoto" Target="../media/hdphoto1.wdp"/><Relationship Id="rId2" Type="http://schemas.openxmlformats.org/officeDocument/2006/relationships/hyperlink" Target="#'On cost calculator'!A1"/><Relationship Id="rId16"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hyperlink" Target="#'Research Office Use - WD Budget'!A1"/><Relationship Id="rId11" Type="http://schemas.openxmlformats.org/officeDocument/2006/relationships/hyperlink" Target="#'PART B Staff Costs'!A1"/><Relationship Id="rId5" Type="http://schemas.openxmlformats.org/officeDocument/2006/relationships/hyperlink" Target="#'Lookup Tables'!A1"/><Relationship Id="rId15" Type="http://schemas.openxmlformats.org/officeDocument/2006/relationships/hyperlink" Target="https://gateway.research.unimelb.edu.au/funding-contracts-and-ethics/contracts-and-agreements/prepare-a-contract/research-costing-and-pricing-support/Mac-users-accessing-RCPT.pdf" TargetMode="External"/><Relationship Id="rId10" Type="http://schemas.openxmlformats.org/officeDocument/2006/relationships/image" Target="../media/image3.svg"/><Relationship Id="rId4" Type="http://schemas.openxmlformats.org/officeDocument/2006/relationships/hyperlink" Target="#'Indicative offer letter'!A1"/><Relationship Id="rId9" Type="http://schemas.openxmlformats.org/officeDocument/2006/relationships/image" Target="../media/image2.png"/><Relationship Id="rId14" Type="http://schemas.openxmlformats.org/officeDocument/2006/relationships/hyperlink" Target="#'Budget Form'!A1"/></Relationships>
</file>

<file path=xl/drawings/_rels/drawing2.xml.rels><?xml version="1.0" encoding="UTF-8" standalone="yes"?>
<Relationships xmlns="http://schemas.openxmlformats.org/package/2006/relationships"><Relationship Id="rId8" Type="http://schemas.openxmlformats.org/officeDocument/2006/relationships/hyperlink" Target="#TR1F!A1"/><Relationship Id="rId3" Type="http://schemas.openxmlformats.org/officeDocument/2006/relationships/hyperlink" Target="#'PART B Staff Costs'!A1"/><Relationship Id="rId7" Type="http://schemas.openxmlformats.org/officeDocument/2006/relationships/hyperlink" Target="#'On cost calculator'!A1"/><Relationship Id="rId12" Type="http://schemas.openxmlformats.org/officeDocument/2006/relationships/hyperlink" Target="https://gateway.research.unimelb.edu.au/funding-contracts-and-ethics/contracts-and-agreements/prepare-a-contract/research-costing-and-pricing-support" TargetMode="External"/><Relationship Id="rId2" Type="http://schemas.openxmlformats.org/officeDocument/2006/relationships/hyperlink" Target="#'PART A Project Details'!A1"/><Relationship Id="rId1" Type="http://schemas.openxmlformats.org/officeDocument/2006/relationships/image" Target="../media/image1.png"/><Relationship Id="rId6" Type="http://schemas.openxmlformats.org/officeDocument/2006/relationships/hyperlink" Target="#'Budget Form'!A1"/><Relationship Id="rId11" Type="http://schemas.openxmlformats.org/officeDocument/2006/relationships/hyperlink" Target="#'Research Office Use - WD Budget'!A1"/><Relationship Id="rId5" Type="http://schemas.openxmlformats.org/officeDocument/2006/relationships/hyperlink" Target="#'Summary of Price'!A1"/><Relationship Id="rId10" Type="http://schemas.openxmlformats.org/officeDocument/2006/relationships/hyperlink" Target="#'Lookup Tables'!A1"/><Relationship Id="rId4" Type="http://schemas.openxmlformats.org/officeDocument/2006/relationships/hyperlink" Target="#'PART C Non-Staff Costs'!A1"/><Relationship Id="rId9" Type="http://schemas.openxmlformats.org/officeDocument/2006/relationships/hyperlink" Target="#'Indicative offer letter'!A1"/></Relationships>
</file>

<file path=xl/drawings/_rels/drawing3.xml.rels><?xml version="1.0" encoding="UTF-8" standalone="yes"?>
<Relationships xmlns="http://schemas.openxmlformats.org/package/2006/relationships"><Relationship Id="rId8" Type="http://schemas.openxmlformats.org/officeDocument/2006/relationships/hyperlink" Target="#'Research Office Use - WD Budget'!A1"/><Relationship Id="rId13" Type="http://schemas.openxmlformats.org/officeDocument/2006/relationships/hyperlink" Target="https://gateway.research.unimelb.edu.au/funding-contracts-and-ethics/contracts-and-agreements/prepare-a-contract/research-costing-and-pricing-support" TargetMode="External"/><Relationship Id="rId3" Type="http://schemas.openxmlformats.org/officeDocument/2006/relationships/hyperlink" Target="#'On cost calculator'!A1"/><Relationship Id="rId7" Type="http://schemas.openxmlformats.org/officeDocument/2006/relationships/hyperlink" Target="#'Lookup Tables'!A1"/><Relationship Id="rId12" Type="http://schemas.openxmlformats.org/officeDocument/2006/relationships/hyperlink" Target="#'Summary of Price'!A1"/><Relationship Id="rId2" Type="http://schemas.openxmlformats.org/officeDocument/2006/relationships/hyperlink" Target="#'PART C Non-Staff Costs'!T10"/><Relationship Id="rId1" Type="http://schemas.openxmlformats.org/officeDocument/2006/relationships/image" Target="../media/image1.png"/><Relationship Id="rId6" Type="http://schemas.openxmlformats.org/officeDocument/2006/relationships/hyperlink" Target="#'Budget Form'!A1"/><Relationship Id="rId11" Type="http://schemas.openxmlformats.org/officeDocument/2006/relationships/hyperlink" Target="#'PART C Non-Staff Costs'!A1"/><Relationship Id="rId5" Type="http://schemas.openxmlformats.org/officeDocument/2006/relationships/hyperlink" Target="#'Indicative offer letter'!A1"/><Relationship Id="rId10" Type="http://schemas.openxmlformats.org/officeDocument/2006/relationships/hyperlink" Target="#'PART B Staff Costs'!A1"/><Relationship Id="rId4" Type="http://schemas.openxmlformats.org/officeDocument/2006/relationships/hyperlink" Target="#TR1F!A1"/><Relationship Id="rId9" Type="http://schemas.openxmlformats.org/officeDocument/2006/relationships/hyperlink" Target="#'PART A Project Details'!A1"/></Relationships>
</file>

<file path=xl/drawings/_rels/drawing4.xml.rels><?xml version="1.0" encoding="UTF-8" standalone="yes"?>
<Relationships xmlns="http://schemas.openxmlformats.org/package/2006/relationships"><Relationship Id="rId8" Type="http://schemas.openxmlformats.org/officeDocument/2006/relationships/hyperlink" Target="#'Budget Form'!A1"/><Relationship Id="rId13" Type="http://schemas.openxmlformats.org/officeDocument/2006/relationships/hyperlink" Target="#'Research Office Use - WD Budget'!A1"/><Relationship Id="rId3" Type="http://schemas.openxmlformats.org/officeDocument/2006/relationships/image" Target="../media/image1.png"/><Relationship Id="rId7" Type="http://schemas.openxmlformats.org/officeDocument/2006/relationships/hyperlink" Target="#'Summary of Price'!A1"/><Relationship Id="rId12" Type="http://schemas.openxmlformats.org/officeDocument/2006/relationships/hyperlink" Target="#'Lookup Tables'!A1"/><Relationship Id="rId2" Type="http://schemas.openxmlformats.org/officeDocument/2006/relationships/image" Target="../media/image6.JPG"/><Relationship Id="rId1" Type="http://schemas.openxmlformats.org/officeDocument/2006/relationships/image" Target="../media/image5.JPG"/><Relationship Id="rId6" Type="http://schemas.openxmlformats.org/officeDocument/2006/relationships/hyperlink" Target="#'PART C Non-Staff Costs'!A1"/><Relationship Id="rId11" Type="http://schemas.openxmlformats.org/officeDocument/2006/relationships/hyperlink" Target="#'Indicative offer letter'!A1"/><Relationship Id="rId5" Type="http://schemas.openxmlformats.org/officeDocument/2006/relationships/hyperlink" Target="#'PART B Staff Costs'!A1"/><Relationship Id="rId10" Type="http://schemas.openxmlformats.org/officeDocument/2006/relationships/hyperlink" Target="#TR1F!A1"/><Relationship Id="rId4" Type="http://schemas.openxmlformats.org/officeDocument/2006/relationships/hyperlink" Target="#'PART A Project Details'!A1"/><Relationship Id="rId9" Type="http://schemas.openxmlformats.org/officeDocument/2006/relationships/hyperlink" Target="#'On cost calculator'!A1"/><Relationship Id="rId14" Type="http://schemas.openxmlformats.org/officeDocument/2006/relationships/hyperlink" Target="https://gateway.research.unimelb.edu.au/funding-contracts-and-ethics/contracts-and-agreements/prepare-a-contract/research-costing-and-pricing-support"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Summary of Price'!A1"/><Relationship Id="rId13" Type="http://schemas.openxmlformats.org/officeDocument/2006/relationships/hyperlink" Target="#'Indicative offer letter'!A1"/><Relationship Id="rId3" Type="http://schemas.openxmlformats.org/officeDocument/2006/relationships/image" Target="../media/image9.png"/><Relationship Id="rId7" Type="http://schemas.openxmlformats.org/officeDocument/2006/relationships/hyperlink" Target="#'PART C Non-Staff Costs'!A1"/><Relationship Id="rId12" Type="http://schemas.openxmlformats.org/officeDocument/2006/relationships/hyperlink" Target="#TR1F!A1"/><Relationship Id="rId2" Type="http://schemas.openxmlformats.org/officeDocument/2006/relationships/image" Target="../media/image8.svg"/><Relationship Id="rId16" Type="http://schemas.openxmlformats.org/officeDocument/2006/relationships/hyperlink" Target="https://gateway.research.unimelb.edu.au/funding-contracts-and-ethics/contracts-and-agreements/prepare-a-contract/research-costing-and-pricing-support" TargetMode="External"/><Relationship Id="rId1" Type="http://schemas.openxmlformats.org/officeDocument/2006/relationships/image" Target="../media/image7.png"/><Relationship Id="rId6" Type="http://schemas.openxmlformats.org/officeDocument/2006/relationships/hyperlink" Target="#'PART B Staff Costs'!A1"/><Relationship Id="rId11" Type="http://schemas.openxmlformats.org/officeDocument/2006/relationships/hyperlink" Target="#'On cost calculator'!A1"/><Relationship Id="rId5" Type="http://schemas.openxmlformats.org/officeDocument/2006/relationships/image" Target="../media/image1.png"/><Relationship Id="rId15" Type="http://schemas.openxmlformats.org/officeDocument/2006/relationships/hyperlink" Target="#'Research Office Use - WD Budget'!A1"/><Relationship Id="rId10" Type="http://schemas.openxmlformats.org/officeDocument/2006/relationships/hyperlink" Target="#'Budget Form'!A1"/><Relationship Id="rId4" Type="http://schemas.openxmlformats.org/officeDocument/2006/relationships/image" Target="../media/image10.svg"/><Relationship Id="rId9" Type="http://schemas.openxmlformats.org/officeDocument/2006/relationships/hyperlink" Target="#'PART A Project Details'!A1"/><Relationship Id="rId14" Type="http://schemas.openxmlformats.org/officeDocument/2006/relationships/hyperlink" Target="#'Lookup Tables'!A1"/></Relationships>
</file>

<file path=xl/drawings/_rels/drawing6.xml.rels><?xml version="1.0" encoding="UTF-8" standalone="yes"?>
<Relationships xmlns="http://schemas.openxmlformats.org/package/2006/relationships"><Relationship Id="rId8" Type="http://schemas.openxmlformats.org/officeDocument/2006/relationships/hyperlink" Target="#'Budget Form'!A1"/><Relationship Id="rId13" Type="http://schemas.openxmlformats.org/officeDocument/2006/relationships/hyperlink" Target="#'Research Office Use - WD Budget'!A1"/><Relationship Id="rId3" Type="http://schemas.openxmlformats.org/officeDocument/2006/relationships/image" Target="../media/image1.png"/><Relationship Id="rId7" Type="http://schemas.openxmlformats.org/officeDocument/2006/relationships/hyperlink" Target="#'Summary of Price'!A1"/><Relationship Id="rId12" Type="http://schemas.openxmlformats.org/officeDocument/2006/relationships/hyperlink" Target="#'Indicative offer letter'!A1"/><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hyperlink" Target="#'PART C Non-Staff Costs'!A1"/><Relationship Id="rId11" Type="http://schemas.openxmlformats.org/officeDocument/2006/relationships/hyperlink" Target="#TR1F!A1"/><Relationship Id="rId5" Type="http://schemas.openxmlformats.org/officeDocument/2006/relationships/hyperlink" Target="#'PART B Staff Costs'!A1"/><Relationship Id="rId10" Type="http://schemas.openxmlformats.org/officeDocument/2006/relationships/hyperlink" Target="#'On cost calculator'!A1"/><Relationship Id="rId4" Type="http://schemas.openxmlformats.org/officeDocument/2006/relationships/hyperlink" Target="#'PART A Project Details'!A1"/><Relationship Id="rId9" Type="http://schemas.openxmlformats.org/officeDocument/2006/relationships/hyperlink" Target="#'Lookup Tables'!A1"/><Relationship Id="rId14" Type="http://schemas.openxmlformats.org/officeDocument/2006/relationships/hyperlink" Target="https://gateway.research.unimelb.edu.au/funding-contracts-and-ethics/contracts-and-agreements/prepare-a-contract/research-costing-and-pricing-support"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Research Office Use - WD Budget'!A1"/><Relationship Id="rId13" Type="http://schemas.openxmlformats.org/officeDocument/2006/relationships/hyperlink" Target="#'Summary of Price'!A1"/><Relationship Id="rId3" Type="http://schemas.openxmlformats.org/officeDocument/2006/relationships/image" Target="../media/image1.png"/><Relationship Id="rId7" Type="http://schemas.openxmlformats.org/officeDocument/2006/relationships/hyperlink" Target="#'Indicative offer letter'!A1"/><Relationship Id="rId12" Type="http://schemas.openxmlformats.org/officeDocument/2006/relationships/hyperlink" Target="#'PART C Non-Staff Costs'!A1"/><Relationship Id="rId2" Type="http://schemas.openxmlformats.org/officeDocument/2006/relationships/hyperlink" Target="mailto:resacc-arc@unimelb.edu.au" TargetMode="External"/><Relationship Id="rId1" Type="http://schemas.openxmlformats.org/officeDocument/2006/relationships/hyperlink" Target="mailto:resacc-nhmrc@unimelb.edu.au" TargetMode="External"/><Relationship Id="rId6" Type="http://schemas.openxmlformats.org/officeDocument/2006/relationships/hyperlink" Target="#TR1F!A1"/><Relationship Id="rId11" Type="http://schemas.openxmlformats.org/officeDocument/2006/relationships/hyperlink" Target="#'PART B Staff Costs'!A1"/><Relationship Id="rId5" Type="http://schemas.openxmlformats.org/officeDocument/2006/relationships/hyperlink" Target="#'On cost calculator'!A1"/><Relationship Id="rId10" Type="http://schemas.openxmlformats.org/officeDocument/2006/relationships/hyperlink" Target="#'PART A Project Details'!A1"/><Relationship Id="rId4" Type="http://schemas.openxmlformats.org/officeDocument/2006/relationships/hyperlink" Target="#'Lookup Tables'!A1"/><Relationship Id="rId9" Type="http://schemas.openxmlformats.org/officeDocument/2006/relationships/hyperlink" Target="https://gateway.research.unimelb.edu.au/funding-contracts-and-ethics/contracts-and-agreements/prepare-a-contract/research-costing-and-pricing-support" TargetMode="External"/><Relationship Id="rId14" Type="http://schemas.openxmlformats.org/officeDocument/2006/relationships/hyperlink" Target="#'Budget Form'!A1"/></Relationships>
</file>

<file path=xl/drawings/_rels/drawing8.xml.rels><?xml version="1.0" encoding="UTF-8" standalone="yes"?>
<Relationships xmlns="http://schemas.openxmlformats.org/package/2006/relationships"><Relationship Id="rId8" Type="http://schemas.openxmlformats.org/officeDocument/2006/relationships/hyperlink" Target="#'Summary of Price'!A1"/><Relationship Id="rId13" Type="http://schemas.openxmlformats.org/officeDocument/2006/relationships/hyperlink" Target="#'Indicative offer letter'!A1"/><Relationship Id="rId3" Type="http://schemas.openxmlformats.org/officeDocument/2006/relationships/image" Target="../media/image14.png"/><Relationship Id="rId7" Type="http://schemas.openxmlformats.org/officeDocument/2006/relationships/hyperlink" Target="#'PART C Non-Staff Costs'!A1"/><Relationship Id="rId12" Type="http://schemas.openxmlformats.org/officeDocument/2006/relationships/hyperlink" Target="#TR1F!A1"/><Relationship Id="rId2" Type="http://schemas.openxmlformats.org/officeDocument/2006/relationships/image" Target="../media/image13.png"/><Relationship Id="rId1" Type="http://schemas.openxmlformats.org/officeDocument/2006/relationships/image" Target="../media/image1.png"/><Relationship Id="rId6" Type="http://schemas.openxmlformats.org/officeDocument/2006/relationships/hyperlink" Target="#'PART B Staff Costs'!A1"/><Relationship Id="rId11" Type="http://schemas.openxmlformats.org/officeDocument/2006/relationships/hyperlink" Target="#'On cost calculator'!A1"/><Relationship Id="rId5" Type="http://schemas.openxmlformats.org/officeDocument/2006/relationships/hyperlink" Target="#'PART A Project Details'!A1"/><Relationship Id="rId15" Type="http://schemas.openxmlformats.org/officeDocument/2006/relationships/hyperlink" Target="https://gateway.research.unimelb.edu.au/funding-contracts-and-ethics/contracts-and-agreements/prepare-a-contract/research-costing-and-pricing-support" TargetMode="External"/><Relationship Id="rId10" Type="http://schemas.openxmlformats.org/officeDocument/2006/relationships/hyperlink" Target="#'Lookup Tables'!A1"/><Relationship Id="rId4" Type="http://schemas.microsoft.com/office/2007/relationships/hdphoto" Target="../media/hdphoto2.wdp"/><Relationship Id="rId9" Type="http://schemas.openxmlformats.org/officeDocument/2006/relationships/hyperlink" Target="#'Budget Form'!A1"/><Relationship Id="rId14" Type="http://schemas.openxmlformats.org/officeDocument/2006/relationships/hyperlink" Target="#'Research Office Use - WD Budget'!A1"/></Relationships>
</file>

<file path=xl/drawings/_rels/drawing9.xml.rels><?xml version="1.0" encoding="UTF-8" standalone="yes"?>
<Relationships xmlns="http://schemas.openxmlformats.org/package/2006/relationships"><Relationship Id="rId8" Type="http://schemas.openxmlformats.org/officeDocument/2006/relationships/hyperlink" Target="#'Lookup Tables'!A1"/><Relationship Id="rId13" Type="http://schemas.openxmlformats.org/officeDocument/2006/relationships/hyperlink" Target="https://gateway.research.unimelb.edu.au/funding-contracts-and-ethics/contracts-and-agreements/prepare-a-contract/research-costing-and-pricing-support" TargetMode="External"/><Relationship Id="rId3" Type="http://schemas.openxmlformats.org/officeDocument/2006/relationships/hyperlink" Target="#'PART A Project Details'!A1"/><Relationship Id="rId7" Type="http://schemas.openxmlformats.org/officeDocument/2006/relationships/hyperlink" Target="#'Budget Form'!A1"/><Relationship Id="rId12" Type="http://schemas.openxmlformats.org/officeDocument/2006/relationships/hyperlink" Target="#'Research Office Use - WD Budget'!A1"/><Relationship Id="rId2"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hyperlink" Target="#'Summary of Price'!A1"/><Relationship Id="rId11" Type="http://schemas.openxmlformats.org/officeDocument/2006/relationships/hyperlink" Target="#'Indicative offer letter'!A1"/><Relationship Id="rId5" Type="http://schemas.openxmlformats.org/officeDocument/2006/relationships/hyperlink" Target="#'PART C Non-Staff Costs'!A1"/><Relationship Id="rId10" Type="http://schemas.openxmlformats.org/officeDocument/2006/relationships/hyperlink" Target="#TR1F!A1"/><Relationship Id="rId4" Type="http://schemas.openxmlformats.org/officeDocument/2006/relationships/hyperlink" Target="#'PART B Staff Costs'!A1"/><Relationship Id="rId9" Type="http://schemas.openxmlformats.org/officeDocument/2006/relationships/hyperlink" Target="#'On cost calculator'!A1"/></Relationships>
</file>

<file path=xl/drawings/_rels/drawing10.xml.rels><?xml version="1.0" encoding="UTF-8" standalone="yes"?>
<Relationships xmlns="http://schemas.openxmlformats.org/package/2006/relationships"><Relationship Id="rId1" Type="http://schemas.openxmlformats.org/officeDocument/2006/relationships/hyperlink" Target="#'Research Office Use - WD Budget'!A1"/></Relationships>
</file>

<file path=xl/drawings/_rels/drawing11.xml.rels><?xml version="1.0" encoding="UTF-8" standalone="yes"?>
<Relationships xmlns="http://schemas.openxmlformats.org/package/2006/relationships"><Relationship Id="rId3" Type="http://schemas.openxmlformats.org/officeDocument/2006/relationships/hyperlink" Target="#'Lookup Tables'!A1"/><Relationship Id="rId2" Type="http://schemas.openxmlformats.org/officeDocument/2006/relationships/hyperlink" Target="#'Budget Form'!A1"/><Relationship Id="rId1" Type="http://schemas.openxmlformats.org/officeDocument/2006/relationships/image" Target="../media/image16.jpeg"/></Relationships>
</file>

<file path=xl/drawings/_rels/drawing13.xml.rels><?xml version="1.0" encoding="UTF-8" standalone="yes"?>
<Relationships xmlns="http://schemas.openxmlformats.org/package/2006/relationships"><Relationship Id="rId8" Type="http://schemas.openxmlformats.org/officeDocument/2006/relationships/hyperlink" Target="#'On cost calculator'!A1"/><Relationship Id="rId3" Type="http://schemas.openxmlformats.org/officeDocument/2006/relationships/hyperlink" Target="#'PART B Staff Costs'!A1"/><Relationship Id="rId7" Type="http://schemas.openxmlformats.org/officeDocument/2006/relationships/hyperlink" Target="#'Lookup Tables'!A1"/><Relationship Id="rId12" Type="http://schemas.openxmlformats.org/officeDocument/2006/relationships/hyperlink" Target="https://gateway.research.unimelb.edu.au/funding-contracts-and-ethics/contracts-and-agreements/prepare-a-contract/research-costing-and-pricing-support" TargetMode="External"/><Relationship Id="rId2" Type="http://schemas.openxmlformats.org/officeDocument/2006/relationships/hyperlink" Target="#'PART A Project Details'!A1"/><Relationship Id="rId1" Type="http://schemas.openxmlformats.org/officeDocument/2006/relationships/image" Target="../media/image1.png"/><Relationship Id="rId6" Type="http://schemas.openxmlformats.org/officeDocument/2006/relationships/hyperlink" Target="#'Budget Form'!A1"/><Relationship Id="rId11" Type="http://schemas.openxmlformats.org/officeDocument/2006/relationships/hyperlink" Target="#'Research Office Use - WD Budget'!A1"/><Relationship Id="rId5" Type="http://schemas.openxmlformats.org/officeDocument/2006/relationships/hyperlink" Target="#'PART C Non-Staff Costs'!A1"/><Relationship Id="rId10" Type="http://schemas.openxmlformats.org/officeDocument/2006/relationships/hyperlink" Target="#'Indicative offer letter'!A1"/><Relationship Id="rId4" Type="http://schemas.openxmlformats.org/officeDocument/2006/relationships/hyperlink" Target="#'Summary of Price'!A1"/><Relationship Id="rId9" Type="http://schemas.openxmlformats.org/officeDocument/2006/relationships/hyperlink" Target="#TR1F!A1"/></Relationships>
</file>

<file path=xl/drawings/_rels/drawing14.xml.rels><?xml version="1.0" encoding="UTF-8" standalone="yes"?>
<Relationships xmlns="http://schemas.openxmlformats.org/package/2006/relationships"><Relationship Id="rId8" Type="http://schemas.openxmlformats.org/officeDocument/2006/relationships/hyperlink" Target="#'PART A Project Details'!A1"/><Relationship Id="rId3" Type="http://schemas.openxmlformats.org/officeDocument/2006/relationships/hyperlink" Target="#TR1F!A1"/><Relationship Id="rId7" Type="http://schemas.openxmlformats.org/officeDocument/2006/relationships/hyperlink" Target="#'Research Office Use - WD Budget'!A1"/><Relationship Id="rId2" Type="http://schemas.openxmlformats.org/officeDocument/2006/relationships/hyperlink" Target="#'On cost calculator'!A1"/><Relationship Id="rId1" Type="http://schemas.openxmlformats.org/officeDocument/2006/relationships/image" Target="../media/image1.png"/><Relationship Id="rId6" Type="http://schemas.openxmlformats.org/officeDocument/2006/relationships/hyperlink" Target="#'Lookup Tables'!A1"/><Relationship Id="rId11" Type="http://schemas.openxmlformats.org/officeDocument/2006/relationships/hyperlink" Target="#'PART C Non-Staff Costs'!A1"/><Relationship Id="rId5" Type="http://schemas.openxmlformats.org/officeDocument/2006/relationships/hyperlink" Target="#'Budget Form'!A1"/><Relationship Id="rId10" Type="http://schemas.openxmlformats.org/officeDocument/2006/relationships/hyperlink" Target="#'Summary of Price'!A1"/><Relationship Id="rId4" Type="http://schemas.openxmlformats.org/officeDocument/2006/relationships/hyperlink" Target="#'Indicative offer letter'!A1"/><Relationship Id="rId9" Type="http://schemas.openxmlformats.org/officeDocument/2006/relationships/hyperlink" Target="#'PART B Staff Costs'!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556260</xdr:colOff>
          <xdr:row>24</xdr:row>
          <xdr:rowOff>30480</xdr:rowOff>
        </xdr:from>
        <xdr:to>
          <xdr:col>7</xdr:col>
          <xdr:colOff>419100</xdr:colOff>
          <xdr:row>26</xdr:row>
          <xdr:rowOff>121920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Override Exchange rate</a:t>
              </a:r>
            </a:p>
          </xdr:txBody>
        </xdr:sp>
        <xdr:clientData fLocksWithSheet="0"/>
      </xdr:twoCellAnchor>
    </mc:Choice>
    <mc:Fallback/>
  </mc:AlternateContent>
  <xdr:twoCellAnchor editAs="oneCell">
    <xdr:from>
      <xdr:col>0</xdr:col>
      <xdr:colOff>743050</xdr:colOff>
      <xdr:row>0</xdr:row>
      <xdr:rowOff>30982</xdr:rowOff>
    </xdr:from>
    <xdr:to>
      <xdr:col>0</xdr:col>
      <xdr:colOff>1313648</xdr:colOff>
      <xdr:row>0</xdr:row>
      <xdr:rowOff>474908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743050" y="30982"/>
          <a:ext cx="549542" cy="455356"/>
        </a:xfrm>
        <a:prstGeom prst="rect">
          <a:avLst/>
        </a:prstGeom>
      </xdr:spPr>
    </xdr:pic>
    <xdr:clientData/>
  </xdr:twoCellAnchor>
  <xdr:twoCellAnchor>
    <xdr:from>
      <xdr:col>0</xdr:col>
      <xdr:colOff>1402080</xdr:colOff>
      <xdr:row>0</xdr:row>
      <xdr:rowOff>266700</xdr:rowOff>
    </xdr:from>
    <xdr:to>
      <xdr:col>6</xdr:col>
      <xdr:colOff>83821</xdr:colOff>
      <xdr:row>0</xdr:row>
      <xdr:rowOff>510540</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402080" y="266700"/>
          <a:ext cx="6825616"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0</xdr:col>
      <xdr:colOff>1355357</xdr:colOff>
      <xdr:row>1</xdr:row>
      <xdr:rowOff>35008</xdr:rowOff>
    </xdr:from>
    <xdr:to>
      <xdr:col>8</xdr:col>
      <xdr:colOff>279332</xdr:colOff>
      <xdr:row>1</xdr:row>
      <xdr:rowOff>293899</xdr:rowOff>
    </xdr:to>
    <xdr:grpSp>
      <xdr:nvGrpSpPr>
        <xdr:cNvPr id="16" name="Group 15">
          <a:extLst>
            <a:ext uri="{FF2B5EF4-FFF2-40B4-BE49-F238E27FC236}">
              <a16:creationId xmlns:a16="http://schemas.microsoft.com/office/drawing/2014/main" id="{3092731D-8621-ACDC-3607-6D7739547286}"/>
            </a:ext>
          </a:extLst>
        </xdr:cNvPr>
        <xdr:cNvGrpSpPr/>
      </xdr:nvGrpSpPr>
      <xdr:grpSpPr>
        <a:xfrm>
          <a:off x="1355357" y="572419"/>
          <a:ext cx="9391449" cy="258891"/>
          <a:chOff x="1351551" y="579857"/>
          <a:chExt cx="9415311" cy="253436"/>
        </a:xfrm>
      </xdr:grpSpPr>
      <xdr:grpSp>
        <xdr:nvGrpSpPr>
          <xdr:cNvPr id="5" name="Group 4">
            <a:extLst>
              <a:ext uri="{FF2B5EF4-FFF2-40B4-BE49-F238E27FC236}">
                <a16:creationId xmlns:a16="http://schemas.microsoft.com/office/drawing/2014/main" id="{ED670A82-564B-03BA-10A6-9D7223FE7315}"/>
              </a:ext>
            </a:extLst>
          </xdr:cNvPr>
          <xdr:cNvGrpSpPr/>
        </xdr:nvGrpSpPr>
        <xdr:grpSpPr>
          <a:xfrm>
            <a:off x="1351551" y="579857"/>
            <a:ext cx="7768591" cy="251785"/>
            <a:chOff x="1281307" y="588549"/>
            <a:chExt cx="7774342" cy="241089"/>
          </a:xfrm>
        </xdr:grpSpPr>
        <xdr:sp macro="" textlink="">
          <xdr:nvSpPr>
            <xdr:cNvPr id="30" name="Rectangle 29">
              <a:hlinkClick xmlns:r="http://schemas.openxmlformats.org/officeDocument/2006/relationships" r:id="rId2"/>
              <a:extLst>
                <a:ext uri="{FF2B5EF4-FFF2-40B4-BE49-F238E27FC236}">
                  <a16:creationId xmlns:a16="http://schemas.microsoft.com/office/drawing/2014/main" id="{00000000-0008-0000-0100-00001E000000}"/>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31" name="Rectangle 30">
              <a:hlinkClick xmlns:r="http://schemas.openxmlformats.org/officeDocument/2006/relationships" r:id="rId3"/>
              <a:extLst>
                <a:ext uri="{FF2B5EF4-FFF2-40B4-BE49-F238E27FC236}">
                  <a16:creationId xmlns:a16="http://schemas.microsoft.com/office/drawing/2014/main" id="{00000000-0008-0000-0100-00001F000000}"/>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33" name="Rectangle 32">
              <a:hlinkClick xmlns:r="http://schemas.openxmlformats.org/officeDocument/2006/relationships" r:id="rId4"/>
              <a:extLst>
                <a:ext uri="{FF2B5EF4-FFF2-40B4-BE49-F238E27FC236}">
                  <a16:creationId xmlns:a16="http://schemas.microsoft.com/office/drawing/2014/main" id="{00000000-0008-0000-0100-000021000000}"/>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35" name="Rectangle 34">
              <a:hlinkClick xmlns:r="http://schemas.openxmlformats.org/officeDocument/2006/relationships" r:id="rId5"/>
              <a:extLst>
                <a:ext uri="{FF2B5EF4-FFF2-40B4-BE49-F238E27FC236}">
                  <a16:creationId xmlns:a16="http://schemas.microsoft.com/office/drawing/2014/main" id="{00000000-0008-0000-0100-000023000000}"/>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2" name="Rectangle 1">
              <a:hlinkClick xmlns:r="http://schemas.openxmlformats.org/officeDocument/2006/relationships" r:id="rId6"/>
              <a:extLst>
                <a:ext uri="{FF2B5EF4-FFF2-40B4-BE49-F238E27FC236}">
                  <a16:creationId xmlns:a16="http://schemas.microsoft.com/office/drawing/2014/main" id="{00000000-0008-0000-0100-000002000000}"/>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4" name="Rectangle 3">
            <a:hlinkClick xmlns:r="http://schemas.openxmlformats.org/officeDocument/2006/relationships" r:id="rId7"/>
            <a:extLst>
              <a:ext uri="{FF2B5EF4-FFF2-40B4-BE49-F238E27FC236}">
                <a16:creationId xmlns:a16="http://schemas.microsoft.com/office/drawing/2014/main" id="{00000000-0008-0000-0100-000004000000}"/>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twoCellAnchor>
    <xdr:from>
      <xdr:col>7</xdr:col>
      <xdr:colOff>697832</xdr:colOff>
      <xdr:row>0</xdr:row>
      <xdr:rowOff>72189</xdr:rowOff>
    </xdr:from>
    <xdr:to>
      <xdr:col>9</xdr:col>
      <xdr:colOff>344906</xdr:colOff>
      <xdr:row>0</xdr:row>
      <xdr:rowOff>446407</xdr:rowOff>
    </xdr:to>
    <xdr:grpSp>
      <xdr:nvGrpSpPr>
        <xdr:cNvPr id="8" name="Group 7">
          <a:extLst>
            <a:ext uri="{FF2B5EF4-FFF2-40B4-BE49-F238E27FC236}">
              <a16:creationId xmlns:a16="http://schemas.microsoft.com/office/drawing/2014/main" id="{703E7EA6-8BA1-3C0B-C9A4-84E09EE260D1}"/>
            </a:ext>
          </a:extLst>
        </xdr:cNvPr>
        <xdr:cNvGrpSpPr/>
      </xdr:nvGrpSpPr>
      <xdr:grpSpPr>
        <a:xfrm>
          <a:off x="9930064" y="72189"/>
          <a:ext cx="1876926" cy="374218"/>
          <a:chOff x="9609221" y="16042"/>
          <a:chExt cx="1876927" cy="374218"/>
        </a:xfrm>
      </xdr:grpSpPr>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100-000018000000}"/>
              </a:ext>
            </a:extLst>
          </xdr:cNvPr>
          <xdr:cNvSpPr/>
        </xdr:nvSpPr>
        <xdr:spPr>
          <a:xfrm>
            <a:off x="9609221" y="16042"/>
            <a:ext cx="1876927" cy="374218"/>
          </a:xfrm>
          <a:prstGeom prst="rect">
            <a:avLst/>
          </a:prstGeom>
          <a:solidFill>
            <a:schemeClr val="bg2">
              <a:lumMod val="50000"/>
            </a:schemeClr>
          </a:solidFill>
          <a:ln>
            <a:solidFill>
              <a:schemeClr val="bg1"/>
            </a:solidFill>
          </a:ln>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AU" sz="1200" b="1" i="0">
                <a:solidFill>
                  <a:schemeClr val="bg1"/>
                </a:solidFill>
                <a:effectLst/>
                <a:latin typeface="+mn-lt"/>
                <a:ea typeface="+mn-ea"/>
                <a:cs typeface="+mn-cs"/>
              </a:rPr>
              <a:t>Help - </a:t>
            </a:r>
            <a:r>
              <a:rPr lang="en-AU" sz="1200" b="1" i="0" baseline="0">
                <a:solidFill>
                  <a:schemeClr val="bg1"/>
                </a:solidFill>
                <a:effectLst/>
                <a:latin typeface="+mn-lt"/>
                <a:ea typeface="+mn-ea"/>
                <a:cs typeface="+mn-cs"/>
              </a:rPr>
              <a:t>Blocked Macros</a:t>
            </a:r>
            <a:endParaRPr lang="en-AU" sz="1200" b="1">
              <a:solidFill>
                <a:schemeClr val="bg1"/>
              </a:solidFill>
              <a:effectLst/>
            </a:endParaRPr>
          </a:p>
          <a:p>
            <a:pPr algn="r"/>
            <a:endParaRPr lang="en-AU" sz="1200" b="1">
              <a:solidFill>
                <a:schemeClr val="bg1"/>
              </a:solidFill>
            </a:endParaRPr>
          </a:p>
        </xdr:txBody>
      </xdr:sp>
      <xdr:pic>
        <xdr:nvPicPr>
          <xdr:cNvPr id="7" name="Graphic 6" descr="World outline">
            <a:extLst>
              <a:ext uri="{FF2B5EF4-FFF2-40B4-BE49-F238E27FC236}">
                <a16:creationId xmlns:a16="http://schemas.microsoft.com/office/drawing/2014/main" id="{64DE4690-85C8-D941-FD4D-163562EECC0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705474" y="72190"/>
            <a:ext cx="272714" cy="272714"/>
          </a:xfrm>
          <a:prstGeom prst="rect">
            <a:avLst/>
          </a:prstGeom>
        </xdr:spPr>
      </xdr:pic>
    </xdr:grpSp>
    <xdr:clientData/>
  </xdr:twoCellAnchor>
  <xdr:twoCellAnchor>
    <xdr:from>
      <xdr:col>0</xdr:col>
      <xdr:colOff>60142</xdr:colOff>
      <xdr:row>9</xdr:row>
      <xdr:rowOff>92135</xdr:rowOff>
    </xdr:from>
    <xdr:to>
      <xdr:col>0</xdr:col>
      <xdr:colOff>1320142</xdr:colOff>
      <xdr:row>18</xdr:row>
      <xdr:rowOff>173266</xdr:rowOff>
    </xdr:to>
    <xdr:grpSp>
      <xdr:nvGrpSpPr>
        <xdr:cNvPr id="11" name="Group 10">
          <a:extLst>
            <a:ext uri="{FF2B5EF4-FFF2-40B4-BE49-F238E27FC236}">
              <a16:creationId xmlns:a16="http://schemas.microsoft.com/office/drawing/2014/main" id="{1D9422E7-B325-0573-2450-B214DBD31F83}"/>
            </a:ext>
          </a:extLst>
        </xdr:cNvPr>
        <xdr:cNvGrpSpPr/>
      </xdr:nvGrpSpPr>
      <xdr:grpSpPr>
        <a:xfrm>
          <a:off x="60142" y="1519882"/>
          <a:ext cx="1260000" cy="1677321"/>
          <a:chOff x="56346" y="1519687"/>
          <a:chExt cx="1267617" cy="1648297"/>
        </a:xfrm>
      </xdr:grpSpPr>
      <xdr:grpSp>
        <xdr:nvGrpSpPr>
          <xdr:cNvPr id="6" name="Group 5">
            <a:extLst>
              <a:ext uri="{FF2B5EF4-FFF2-40B4-BE49-F238E27FC236}">
                <a16:creationId xmlns:a16="http://schemas.microsoft.com/office/drawing/2014/main" id="{D292F494-7FD2-A63B-4081-60A59DAA21BC}"/>
              </a:ext>
            </a:extLst>
          </xdr:cNvPr>
          <xdr:cNvGrpSpPr/>
        </xdr:nvGrpSpPr>
        <xdr:grpSpPr>
          <a:xfrm>
            <a:off x="56346" y="1519687"/>
            <a:ext cx="1267617" cy="1303341"/>
            <a:chOff x="-5232" y="1484394"/>
            <a:chExt cx="1282892" cy="1309025"/>
          </a:xfrm>
        </xdr:grpSpPr>
        <xdr:sp macro="" textlink="">
          <xdr:nvSpPr>
            <xdr:cNvPr id="12" name="Rectangle 11">
              <a:extLst>
                <a:ext uri="{FF2B5EF4-FFF2-40B4-BE49-F238E27FC236}">
                  <a16:creationId xmlns:a16="http://schemas.microsoft.com/office/drawing/2014/main" id="{00000000-0008-0000-0100-00000C000000}"/>
                </a:ext>
              </a:extLst>
            </xdr:cNvPr>
            <xdr:cNvSpPr/>
          </xdr:nvSpPr>
          <xdr:spPr>
            <a:xfrm>
              <a:off x="-5232" y="1484394"/>
              <a:ext cx="1282892" cy="269644"/>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AU" sz="1200" b="1"/>
                <a:t>Project Details</a:t>
              </a:r>
            </a:p>
          </xdr:txBody>
        </xdr:sp>
        <xdr:sp macro="" textlink="">
          <xdr:nvSpPr>
            <xdr:cNvPr id="13" name="Rectangle 12">
              <a:hlinkClick xmlns:r="http://schemas.openxmlformats.org/officeDocument/2006/relationships" r:id="rId11"/>
              <a:extLst>
                <a:ext uri="{FF2B5EF4-FFF2-40B4-BE49-F238E27FC236}">
                  <a16:creationId xmlns:a16="http://schemas.microsoft.com/office/drawing/2014/main" id="{00000000-0008-0000-0100-00000D000000}"/>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4" name="Rectangle 13">
              <a:hlinkClick xmlns:r="http://schemas.openxmlformats.org/officeDocument/2006/relationships" r:id="rId12"/>
              <a:extLst>
                <a:ext uri="{FF2B5EF4-FFF2-40B4-BE49-F238E27FC236}">
                  <a16:creationId xmlns:a16="http://schemas.microsoft.com/office/drawing/2014/main" id="{00000000-0008-0000-0100-00000E000000}"/>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15" name="Rectangle 14">
              <a:hlinkClick xmlns:r="http://schemas.openxmlformats.org/officeDocument/2006/relationships" r:id="rId13"/>
              <a:extLst>
                <a:ext uri="{FF2B5EF4-FFF2-40B4-BE49-F238E27FC236}">
                  <a16:creationId xmlns:a16="http://schemas.microsoft.com/office/drawing/2014/main" id="{00000000-0008-0000-0100-00000F000000}"/>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9" name="Rectangle 8">
            <a:hlinkClick xmlns:r="http://schemas.openxmlformats.org/officeDocument/2006/relationships" r:id="rId14"/>
            <a:extLst>
              <a:ext uri="{FF2B5EF4-FFF2-40B4-BE49-F238E27FC236}">
                <a16:creationId xmlns:a16="http://schemas.microsoft.com/office/drawing/2014/main" id="{7D4CCBFD-B58D-4BA5-AF82-97A8DD65A2D8}"/>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twoCellAnchor>
    <xdr:from>
      <xdr:col>6</xdr:col>
      <xdr:colOff>104274</xdr:colOff>
      <xdr:row>0</xdr:row>
      <xdr:rowOff>72190</xdr:rowOff>
    </xdr:from>
    <xdr:to>
      <xdr:col>7</xdr:col>
      <xdr:colOff>609600</xdr:colOff>
      <xdr:row>0</xdr:row>
      <xdr:rowOff>446408</xdr:rowOff>
    </xdr:to>
    <xdr:grpSp>
      <xdr:nvGrpSpPr>
        <xdr:cNvPr id="23" name="Group 22">
          <a:extLst>
            <a:ext uri="{FF2B5EF4-FFF2-40B4-BE49-F238E27FC236}">
              <a16:creationId xmlns:a16="http://schemas.microsoft.com/office/drawing/2014/main" id="{16060A62-20F0-4164-DFB1-F0B7C7221427}"/>
            </a:ext>
          </a:extLst>
        </xdr:cNvPr>
        <xdr:cNvGrpSpPr/>
      </xdr:nvGrpSpPr>
      <xdr:grpSpPr>
        <a:xfrm>
          <a:off x="8141369" y="72190"/>
          <a:ext cx="1700463" cy="374218"/>
          <a:chOff x="8149390" y="48127"/>
          <a:chExt cx="1700463" cy="374218"/>
        </a:xfrm>
      </xdr:grpSpPr>
      <xdr:sp macro="" textlink="">
        <xdr:nvSpPr>
          <xdr:cNvPr id="18" name="Rectangle 17">
            <a:hlinkClick xmlns:r="http://schemas.openxmlformats.org/officeDocument/2006/relationships" r:id="rId15"/>
            <a:extLst>
              <a:ext uri="{FF2B5EF4-FFF2-40B4-BE49-F238E27FC236}">
                <a16:creationId xmlns:a16="http://schemas.microsoft.com/office/drawing/2014/main" id="{E013DA6F-2795-E801-2773-9E19D2703F74}"/>
              </a:ext>
            </a:extLst>
          </xdr:cNvPr>
          <xdr:cNvSpPr/>
        </xdr:nvSpPr>
        <xdr:spPr>
          <a:xfrm>
            <a:off x="8149390" y="48127"/>
            <a:ext cx="1700463" cy="374218"/>
          </a:xfrm>
          <a:prstGeom prst="rect">
            <a:avLst/>
          </a:prstGeom>
          <a:solidFill>
            <a:srgbClr val="008080"/>
          </a:solidFill>
          <a:ln>
            <a:solidFill>
              <a:schemeClr val="bg1"/>
            </a:solidFill>
          </a:ln>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AU" sz="1200" b="1" i="0">
                <a:solidFill>
                  <a:schemeClr val="bg1"/>
                </a:solidFill>
                <a:effectLst/>
                <a:latin typeface="+mn-lt"/>
                <a:ea typeface="+mn-ea"/>
                <a:cs typeface="+mn-cs"/>
              </a:rPr>
              <a:t>Guide for mac users</a:t>
            </a:r>
            <a:endParaRPr lang="en-AU" sz="1200" b="1">
              <a:solidFill>
                <a:schemeClr val="bg1"/>
              </a:solidFill>
            </a:endParaRPr>
          </a:p>
        </xdr:txBody>
      </xdr:sp>
      <xdr:pic>
        <xdr:nvPicPr>
          <xdr:cNvPr id="22" name="Picture 21">
            <a:extLst>
              <a:ext uri="{FF2B5EF4-FFF2-40B4-BE49-F238E27FC236}">
                <a16:creationId xmlns:a16="http://schemas.microsoft.com/office/drawing/2014/main" id="{5F53D68A-AF17-FA72-C1D2-D4C434B5B068}"/>
              </a:ext>
            </a:extLst>
          </xdr:cNvPr>
          <xdr:cNvPicPr>
            <a:picLocks noChangeAspect="1"/>
          </xdr:cNvPicPr>
        </xdr:nvPicPr>
        <xdr:blipFill>
          <a:blip xmlns:r="http://schemas.openxmlformats.org/officeDocument/2006/relationships" r:embed="rId16" cstate="print">
            <a:lum bright="70000" contrast="-70000"/>
            <a:extLst>
              <a:ext uri="{BEBA8EAE-BF5A-486C-A8C5-ECC9F3942E4B}">
                <a14:imgProps xmlns:a14="http://schemas.microsoft.com/office/drawing/2010/main">
                  <a14:imgLayer r:embed="rId17">
                    <a14:imgEffect>
                      <a14:backgroundRemoval t="3279" b="96175" l="9455" r="89455">
                        <a14:foregroundMark x1="37818" y1="96721" x2="37818" y2="96721"/>
                        <a14:foregroundMark x1="54545" y1="12022" x2="54545" y2="12022"/>
                        <a14:foregroundMark x1="60727" y1="3279" x2="60727" y2="3279"/>
                      </a14:backgroundRemoval>
                    </a14:imgEffect>
                  </a14:imgLayer>
                </a14:imgProps>
              </a:ext>
              <a:ext uri="{28A0092B-C50C-407E-A947-70E740481C1C}">
                <a14:useLocalDpi xmlns:a14="http://schemas.microsoft.com/office/drawing/2010/main" val="0"/>
              </a:ext>
            </a:extLst>
          </a:blip>
          <a:stretch>
            <a:fillRect/>
          </a:stretch>
        </xdr:blipFill>
        <xdr:spPr>
          <a:xfrm>
            <a:off x="8173452" y="112296"/>
            <a:ext cx="360948" cy="24019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1169671</xdr:colOff>
      <xdr:row>2</xdr:row>
      <xdr:rowOff>59055</xdr:rowOff>
    </xdr:from>
    <xdr:to>
      <xdr:col>17</xdr:col>
      <xdr:colOff>815340</xdr:colOff>
      <xdr:row>5</xdr:row>
      <xdr:rowOff>38100</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5884546" y="849630"/>
          <a:ext cx="10989944" cy="560070"/>
        </a:xfrm>
        <a:prstGeom prst="rect">
          <a:avLst/>
        </a:prstGeom>
        <a:solidFill>
          <a:schemeClr val="bg1">
            <a:lumMod val="75000"/>
            <a:alpha val="1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200">
            <a:no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640080</xdr:colOff>
          <xdr:row>13</xdr:row>
          <xdr:rowOff>175260</xdr:rowOff>
        </xdr:from>
        <xdr:to>
          <xdr:col>7</xdr:col>
          <xdr:colOff>228600</xdr:colOff>
          <xdr:row>15</xdr:row>
          <xdr:rowOff>38100</xdr:rowOff>
        </xdr:to>
        <xdr:sp macro="" textlink="">
          <xdr:nvSpPr>
            <xdr:cNvPr id="2051" name="chk_nocostrecovery" descr="nocost_Recovery"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solidFill>
                <a:srgbClr val="000080" mc:Ignorable="a14" a14:legacySpreadsheetColorIndex="32"/>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Budget with no cost recovery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137160</xdr:colOff>
          <xdr:row>13</xdr:row>
          <xdr:rowOff>175260</xdr:rowOff>
        </xdr:from>
        <xdr:to>
          <xdr:col>5</xdr:col>
          <xdr:colOff>563880</xdr:colOff>
          <xdr:row>15</xdr:row>
          <xdr:rowOff>38100</xdr:rowOff>
        </xdr:to>
        <xdr:sp macro="" textlink="">
          <xdr:nvSpPr>
            <xdr:cNvPr id="2056" name="cb_override_multiplier" descr="nocost_Recovery"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solidFill>
                <a:srgbClr val="000080" mc:Ignorable="a14" a14:legacySpreadsheetColorIndex="32"/>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Override default multiplier</a:t>
              </a:r>
            </a:p>
          </xdr:txBody>
        </xdr:sp>
        <xdr:clientData fLocksWithSheet="0"/>
      </xdr:twoCellAnchor>
    </mc:Choice>
    <mc:Fallback/>
  </mc:AlternateContent>
  <xdr:twoCellAnchor>
    <xdr:from>
      <xdr:col>18</xdr:col>
      <xdr:colOff>304800</xdr:colOff>
      <xdr:row>13</xdr:row>
      <xdr:rowOff>85725</xdr:rowOff>
    </xdr:from>
    <xdr:to>
      <xdr:col>20</xdr:col>
      <xdr:colOff>2124075</xdr:colOff>
      <xdr:row>15</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5792450" y="2457450"/>
          <a:ext cx="4333875" cy="39052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99060</xdr:colOff>
          <xdr:row>15</xdr:row>
          <xdr:rowOff>106680</xdr:rowOff>
        </xdr:from>
        <xdr:to>
          <xdr:col>7</xdr:col>
          <xdr:colOff>899160</xdr:colOff>
          <xdr:row>17</xdr:row>
          <xdr:rowOff>144780</xdr:rowOff>
        </xdr:to>
        <xdr:sp macro="" textlink="">
          <xdr:nvSpPr>
            <xdr:cNvPr id="2069" name="Group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21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800100</xdr:colOff>
          <xdr:row>15</xdr:row>
          <xdr:rowOff>60960</xdr:rowOff>
        </xdr:from>
        <xdr:to>
          <xdr:col>6</xdr:col>
          <xdr:colOff>114300</xdr:colOff>
          <xdr:row>17</xdr:row>
          <xdr:rowOff>38100</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80" mc:Ignorable="a14" a14:legacySpreadsheetColorIndex="18"/>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15</xdr:row>
          <xdr:rowOff>68580</xdr:rowOff>
        </xdr:from>
        <xdr:to>
          <xdr:col>7</xdr:col>
          <xdr:colOff>68580</xdr:colOff>
          <xdr:row>17</xdr:row>
          <xdr:rowOff>22860</xdr:rowOff>
        </xdr:to>
        <xdr:sp macro="" textlink="">
          <xdr:nvSpPr>
            <xdr:cNvPr id="2071" name="Option 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80" mc:Ignorable="a14" a14:legacySpreadsheetColorIndex="18"/>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No</a:t>
              </a:r>
            </a:p>
          </xdr:txBody>
        </xdr:sp>
        <xdr:clientData fLocksWithSheet="0"/>
      </xdr:twoCellAnchor>
    </mc:Choice>
    <mc:Fallback/>
  </mc:AlternateContent>
  <xdr:twoCellAnchor editAs="absolute">
    <xdr:from>
      <xdr:col>5</xdr:col>
      <xdr:colOff>742315</xdr:colOff>
      <xdr:row>15</xdr:row>
      <xdr:rowOff>79375</xdr:rowOff>
    </xdr:from>
    <xdr:to>
      <xdr:col>6</xdr:col>
      <xdr:colOff>821055</xdr:colOff>
      <xdr:row>17</xdr:row>
      <xdr:rowOff>15875</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6661150" y="2369185"/>
          <a:ext cx="1141730" cy="229870"/>
        </a:xfrm>
        <a:prstGeom prst="rect">
          <a:avLst/>
        </a:prstGeom>
        <a:noFill/>
        <a:ln w="3175">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838200</xdr:colOff>
      <xdr:row>0</xdr:row>
      <xdr:rowOff>11430</xdr:rowOff>
    </xdr:from>
    <xdr:to>
      <xdr:col>0</xdr:col>
      <xdr:colOff>1331595</xdr:colOff>
      <xdr:row>0</xdr:row>
      <xdr:rowOff>477581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838200" y="11430"/>
          <a:ext cx="516255" cy="458531"/>
        </a:xfrm>
        <a:prstGeom prst="rect">
          <a:avLst/>
        </a:prstGeom>
      </xdr:spPr>
    </xdr:pic>
    <xdr:clientData/>
  </xdr:twoCellAnchor>
  <xdr:twoCellAnchor>
    <xdr:from>
      <xdr:col>0</xdr:col>
      <xdr:colOff>1291590</xdr:colOff>
      <xdr:row>0</xdr:row>
      <xdr:rowOff>304800</xdr:rowOff>
    </xdr:from>
    <xdr:to>
      <xdr:col>6</xdr:col>
      <xdr:colOff>845821</xdr:colOff>
      <xdr:row>1</xdr:row>
      <xdr:rowOff>34290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291590" y="304800"/>
          <a:ext cx="6536056" cy="215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editAs="absolute">
    <xdr:from>
      <xdr:col>29</xdr:col>
      <xdr:colOff>739140</xdr:colOff>
      <xdr:row>15</xdr:row>
      <xdr:rowOff>55245</xdr:rowOff>
    </xdr:from>
    <xdr:to>
      <xdr:col>30</xdr:col>
      <xdr:colOff>358140</xdr:colOff>
      <xdr:row>16</xdr:row>
      <xdr:rowOff>129540</xdr:rowOff>
    </xdr:to>
    <xdr:sp macro="" textlink="">
      <xdr:nvSpPr>
        <xdr:cNvPr id="6" name="Rectangle 5">
          <a:extLst>
            <a:ext uri="{FF2B5EF4-FFF2-40B4-BE49-F238E27FC236}">
              <a16:creationId xmlns:a16="http://schemas.microsoft.com/office/drawing/2014/main" id="{AF04D0D3-C45D-E2A8-BE9B-ABEB471A4578}"/>
            </a:ext>
          </a:extLst>
        </xdr:cNvPr>
        <xdr:cNvSpPr/>
      </xdr:nvSpPr>
      <xdr:spPr>
        <a:xfrm>
          <a:off x="18867120" y="2346960"/>
          <a:ext cx="739140" cy="16002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ln>
              <a:solidFill>
                <a:schemeClr val="bg1"/>
              </a:solidFill>
            </a:ln>
            <a:solidFill>
              <a:schemeClr val="bg1"/>
            </a:solidFill>
          </a:endParaRPr>
        </a:p>
      </xdr:txBody>
    </xdr:sp>
    <xdr:clientData/>
  </xdr:twoCellAnchor>
  <xdr:twoCellAnchor>
    <xdr:from>
      <xdr:col>0</xdr:col>
      <xdr:colOff>38101</xdr:colOff>
      <xdr:row>10</xdr:row>
      <xdr:rowOff>34290</xdr:rowOff>
    </xdr:from>
    <xdr:to>
      <xdr:col>0</xdr:col>
      <xdr:colOff>1298101</xdr:colOff>
      <xdr:row>20</xdr:row>
      <xdr:rowOff>92834</xdr:rowOff>
    </xdr:to>
    <xdr:grpSp>
      <xdr:nvGrpSpPr>
        <xdr:cNvPr id="10" name="Group 9">
          <a:extLst>
            <a:ext uri="{FF2B5EF4-FFF2-40B4-BE49-F238E27FC236}">
              <a16:creationId xmlns:a16="http://schemas.microsoft.com/office/drawing/2014/main" id="{CFDDCFCF-784D-8188-686A-9FFA39AE7802}"/>
            </a:ext>
          </a:extLst>
        </xdr:cNvPr>
        <xdr:cNvGrpSpPr/>
      </xdr:nvGrpSpPr>
      <xdr:grpSpPr>
        <a:xfrm>
          <a:off x="38101" y="1748790"/>
          <a:ext cx="1260000" cy="1597784"/>
          <a:chOff x="38101" y="1748790"/>
          <a:chExt cx="1260000" cy="1582544"/>
        </a:xfrm>
      </xdr:grpSpPr>
      <xdr:sp macro="" textlink="">
        <xdr:nvSpPr>
          <xdr:cNvPr id="34" name="Rectangle 33">
            <a:hlinkClick xmlns:r="http://schemas.openxmlformats.org/officeDocument/2006/relationships" r:id="rId2"/>
            <a:extLst>
              <a:ext uri="{FF2B5EF4-FFF2-40B4-BE49-F238E27FC236}">
                <a16:creationId xmlns:a16="http://schemas.microsoft.com/office/drawing/2014/main" id="{1E02595E-21CC-40BB-9D9E-36FB734400A1}"/>
              </a:ext>
            </a:extLst>
          </xdr:cNvPr>
          <xdr:cNvSpPr/>
        </xdr:nvSpPr>
        <xdr:spPr>
          <a:xfrm>
            <a:off x="38101" y="1748790"/>
            <a:ext cx="1260000" cy="27190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35" name="Rectangle 34">
            <a:hlinkClick xmlns:r="http://schemas.openxmlformats.org/officeDocument/2006/relationships" r:id="rId3"/>
            <a:extLst>
              <a:ext uri="{FF2B5EF4-FFF2-40B4-BE49-F238E27FC236}">
                <a16:creationId xmlns:a16="http://schemas.microsoft.com/office/drawing/2014/main" id="{67F96BB5-1E94-4FF1-A99B-B6D222E3B226}"/>
              </a:ext>
            </a:extLst>
          </xdr:cNvPr>
          <xdr:cNvSpPr/>
        </xdr:nvSpPr>
        <xdr:spPr>
          <a:xfrm>
            <a:off x="38101" y="2077402"/>
            <a:ext cx="1260000" cy="268095"/>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ctr"/>
            <a:r>
              <a:rPr lang="en-AU" sz="1200" b="1">
                <a:solidFill>
                  <a:schemeClr val="lt1"/>
                </a:solidFill>
                <a:latin typeface="+mn-lt"/>
                <a:ea typeface="+mn-ea"/>
                <a:cs typeface="+mn-cs"/>
              </a:rPr>
              <a:t>Staff Costs</a:t>
            </a:r>
          </a:p>
        </xdr:txBody>
      </xdr:sp>
      <xdr:sp macro="" textlink="">
        <xdr:nvSpPr>
          <xdr:cNvPr id="36" name="Rectangle 35">
            <a:hlinkClick xmlns:r="http://schemas.openxmlformats.org/officeDocument/2006/relationships" r:id="rId4"/>
            <a:extLst>
              <a:ext uri="{FF2B5EF4-FFF2-40B4-BE49-F238E27FC236}">
                <a16:creationId xmlns:a16="http://schemas.microsoft.com/office/drawing/2014/main" id="{E939D553-73D8-4178-A9FD-F0BC3A0EA02F}"/>
              </a:ext>
            </a:extLst>
          </xdr:cNvPr>
          <xdr:cNvSpPr/>
        </xdr:nvSpPr>
        <xdr:spPr>
          <a:xfrm>
            <a:off x="38101" y="2404109"/>
            <a:ext cx="1260000" cy="27190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37" name="Rectangle 36">
            <a:hlinkClick xmlns:r="http://schemas.openxmlformats.org/officeDocument/2006/relationships" r:id="rId5"/>
            <a:extLst>
              <a:ext uri="{FF2B5EF4-FFF2-40B4-BE49-F238E27FC236}">
                <a16:creationId xmlns:a16="http://schemas.microsoft.com/office/drawing/2014/main" id="{CD9292EF-05E0-488D-AFE4-8AA7F23B59A6}"/>
              </a:ext>
            </a:extLst>
          </xdr:cNvPr>
          <xdr:cNvSpPr/>
        </xdr:nvSpPr>
        <xdr:spPr>
          <a:xfrm>
            <a:off x="38101" y="2730816"/>
            <a:ext cx="1260000" cy="27762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sp macro="" textlink="">
        <xdr:nvSpPr>
          <xdr:cNvPr id="9" name="Rectangle 8">
            <a:hlinkClick xmlns:r="http://schemas.openxmlformats.org/officeDocument/2006/relationships" r:id="rId6"/>
            <a:extLst>
              <a:ext uri="{FF2B5EF4-FFF2-40B4-BE49-F238E27FC236}">
                <a16:creationId xmlns:a16="http://schemas.microsoft.com/office/drawing/2014/main" id="{15817D29-7198-4E4C-AC70-F97E5ED19B90}"/>
              </a:ext>
            </a:extLst>
          </xdr:cNvPr>
          <xdr:cNvSpPr/>
        </xdr:nvSpPr>
        <xdr:spPr>
          <a:xfrm>
            <a:off x="38101" y="3065144"/>
            <a:ext cx="1260000" cy="266190"/>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200" b="1" i="0" u="none" strike="noStrike" kern="0" cap="none" spc="0" normalizeH="0" baseline="0" noProof="0">
                <a:ln>
                  <a:noFill/>
                </a:ln>
                <a:solidFill>
                  <a:srgbClr val="C6D9F0">
                    <a:lumMod val="50000"/>
                  </a:srgbClr>
                </a:solidFill>
                <a:effectLst/>
                <a:uLnTx/>
                <a:uFillTx/>
                <a:latin typeface="Calibri"/>
                <a:ea typeface="+mn-ea"/>
                <a:cs typeface="+mn-cs"/>
              </a:rPr>
              <a:t>Budget Form</a:t>
            </a:r>
          </a:p>
        </xdr:txBody>
      </xdr:sp>
    </xdr:grpSp>
    <xdr:clientData/>
  </xdr:twoCellAnchor>
  <xdr:twoCellAnchor>
    <xdr:from>
      <xdr:col>1</xdr:col>
      <xdr:colOff>0</xdr:colOff>
      <xdr:row>1</xdr:row>
      <xdr:rowOff>28575</xdr:rowOff>
    </xdr:from>
    <xdr:to>
      <xdr:col>10</xdr:col>
      <xdr:colOff>187491</xdr:colOff>
      <xdr:row>1</xdr:row>
      <xdr:rowOff>283656</xdr:rowOff>
    </xdr:to>
    <xdr:grpSp>
      <xdr:nvGrpSpPr>
        <xdr:cNvPr id="11" name="Group 10">
          <a:extLst>
            <a:ext uri="{FF2B5EF4-FFF2-40B4-BE49-F238E27FC236}">
              <a16:creationId xmlns:a16="http://schemas.microsoft.com/office/drawing/2014/main" id="{2D5BE098-3E66-4762-854E-E652CBA5A414}"/>
            </a:ext>
          </a:extLst>
        </xdr:cNvPr>
        <xdr:cNvGrpSpPr/>
      </xdr:nvGrpSpPr>
      <xdr:grpSpPr>
        <a:xfrm>
          <a:off x="1371600" y="516255"/>
          <a:ext cx="9415311" cy="255081"/>
          <a:chOff x="1351551" y="579857"/>
          <a:chExt cx="9415311" cy="253436"/>
        </a:xfrm>
      </xdr:grpSpPr>
      <xdr:grpSp>
        <xdr:nvGrpSpPr>
          <xdr:cNvPr id="12" name="Group 11">
            <a:extLst>
              <a:ext uri="{FF2B5EF4-FFF2-40B4-BE49-F238E27FC236}">
                <a16:creationId xmlns:a16="http://schemas.microsoft.com/office/drawing/2014/main" id="{45FF3195-E252-D619-F1D6-0196EC9B4661}"/>
              </a:ext>
            </a:extLst>
          </xdr:cNvPr>
          <xdr:cNvGrpSpPr/>
        </xdr:nvGrpSpPr>
        <xdr:grpSpPr>
          <a:xfrm>
            <a:off x="1351551" y="579857"/>
            <a:ext cx="7768591" cy="251785"/>
            <a:chOff x="1281307" y="588549"/>
            <a:chExt cx="7774342" cy="241089"/>
          </a:xfrm>
        </xdr:grpSpPr>
        <xdr:sp macro="" textlink="">
          <xdr:nvSpPr>
            <xdr:cNvPr id="14" name="Rectangle 13">
              <a:hlinkClick xmlns:r="http://schemas.openxmlformats.org/officeDocument/2006/relationships" r:id="rId7"/>
              <a:extLst>
                <a:ext uri="{FF2B5EF4-FFF2-40B4-BE49-F238E27FC236}">
                  <a16:creationId xmlns:a16="http://schemas.microsoft.com/office/drawing/2014/main" id="{AF743BE7-EAC1-4551-5B1F-971EC13B5F51}"/>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15" name="Rectangle 14">
              <a:hlinkClick xmlns:r="http://schemas.openxmlformats.org/officeDocument/2006/relationships" r:id="rId8"/>
              <a:extLst>
                <a:ext uri="{FF2B5EF4-FFF2-40B4-BE49-F238E27FC236}">
                  <a16:creationId xmlns:a16="http://schemas.microsoft.com/office/drawing/2014/main" id="{44EF582A-2669-D920-B6FD-AAB0CA2CD7AF}"/>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23" name="Rectangle 22">
              <a:hlinkClick xmlns:r="http://schemas.openxmlformats.org/officeDocument/2006/relationships" r:id="rId9"/>
              <a:extLst>
                <a:ext uri="{FF2B5EF4-FFF2-40B4-BE49-F238E27FC236}">
                  <a16:creationId xmlns:a16="http://schemas.microsoft.com/office/drawing/2014/main" id="{2EEA0B3F-0A30-8B4D-688A-2AA6B98BAAAF}"/>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24" name="Rectangle 23">
              <a:hlinkClick xmlns:r="http://schemas.openxmlformats.org/officeDocument/2006/relationships" r:id="rId10"/>
              <a:extLst>
                <a:ext uri="{FF2B5EF4-FFF2-40B4-BE49-F238E27FC236}">
                  <a16:creationId xmlns:a16="http://schemas.microsoft.com/office/drawing/2014/main" id="{B8590DC2-8D0A-AD73-81FD-233172664C4D}"/>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25" name="Rectangle 24">
              <a:hlinkClick xmlns:r="http://schemas.openxmlformats.org/officeDocument/2006/relationships" r:id="rId11"/>
              <a:extLst>
                <a:ext uri="{FF2B5EF4-FFF2-40B4-BE49-F238E27FC236}">
                  <a16:creationId xmlns:a16="http://schemas.microsoft.com/office/drawing/2014/main" id="{7AE5B193-4F29-1A2A-1495-EC677F63A7D4}"/>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13" name="Rectangle 12">
            <a:hlinkClick xmlns:r="http://schemas.openxmlformats.org/officeDocument/2006/relationships" r:id="rId12"/>
            <a:extLst>
              <a:ext uri="{FF2B5EF4-FFF2-40B4-BE49-F238E27FC236}">
                <a16:creationId xmlns:a16="http://schemas.microsoft.com/office/drawing/2014/main" id="{7AAAEBA0-C053-B107-D90B-204364FAF9E3}"/>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106680</xdr:colOff>
          <xdr:row>13</xdr:row>
          <xdr:rowOff>22860</xdr:rowOff>
        </xdr:from>
        <xdr:to>
          <xdr:col>16</xdr:col>
          <xdr:colOff>365760</xdr:colOff>
          <xdr:row>13</xdr:row>
          <xdr:rowOff>160020</xdr:rowOff>
        </xdr:to>
        <xdr:sp macro="" textlink="">
          <xdr:nvSpPr>
            <xdr:cNvPr id="158721" name="Check Box 1" hidden="1">
              <a:extLst>
                <a:ext uri="{63B3BB69-23CF-44E3-9099-C40C66FF867C}">
                  <a14:compatExt spid="_x0000_s158721"/>
                </a:ext>
                <a:ext uri="{FF2B5EF4-FFF2-40B4-BE49-F238E27FC236}">
                  <a16:creationId xmlns:a16="http://schemas.microsoft.com/office/drawing/2014/main" id="{00000000-0008-0000-0200-0000016C0200}"/>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34</xdr:row>
          <xdr:rowOff>22860</xdr:rowOff>
        </xdr:from>
        <xdr:to>
          <xdr:col>16</xdr:col>
          <xdr:colOff>365760</xdr:colOff>
          <xdr:row>34</xdr:row>
          <xdr:rowOff>175260</xdr:rowOff>
        </xdr:to>
        <xdr:sp macro="" textlink="">
          <xdr:nvSpPr>
            <xdr:cNvPr id="158722" name="Check Box 2" hidden="1">
              <a:extLst>
                <a:ext uri="{63B3BB69-23CF-44E3-9099-C40C66FF867C}">
                  <a14:compatExt spid="_x0000_s158722"/>
                </a:ext>
                <a:ext uri="{FF2B5EF4-FFF2-40B4-BE49-F238E27FC236}">
                  <a16:creationId xmlns:a16="http://schemas.microsoft.com/office/drawing/2014/main" id="{00000000-0008-0000-0200-000002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33</xdr:row>
          <xdr:rowOff>22860</xdr:rowOff>
        </xdr:from>
        <xdr:to>
          <xdr:col>16</xdr:col>
          <xdr:colOff>365760</xdr:colOff>
          <xdr:row>33</xdr:row>
          <xdr:rowOff>175260</xdr:rowOff>
        </xdr:to>
        <xdr:sp macro="" textlink="">
          <xdr:nvSpPr>
            <xdr:cNvPr id="158723" name="Check Box 3" hidden="1">
              <a:extLst>
                <a:ext uri="{63B3BB69-23CF-44E3-9099-C40C66FF867C}">
                  <a14:compatExt spid="_x0000_s158723"/>
                </a:ext>
                <a:ext uri="{FF2B5EF4-FFF2-40B4-BE49-F238E27FC236}">
                  <a16:creationId xmlns:a16="http://schemas.microsoft.com/office/drawing/2014/main" id="{00000000-0008-0000-0200-000003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32</xdr:row>
          <xdr:rowOff>30480</xdr:rowOff>
        </xdr:from>
        <xdr:to>
          <xdr:col>16</xdr:col>
          <xdr:colOff>365760</xdr:colOff>
          <xdr:row>32</xdr:row>
          <xdr:rowOff>175260</xdr:rowOff>
        </xdr:to>
        <xdr:sp macro="" textlink="">
          <xdr:nvSpPr>
            <xdr:cNvPr id="158724" name="Check Box 4" hidden="1">
              <a:extLst>
                <a:ext uri="{63B3BB69-23CF-44E3-9099-C40C66FF867C}">
                  <a14:compatExt spid="_x0000_s158724"/>
                </a:ext>
                <a:ext uri="{FF2B5EF4-FFF2-40B4-BE49-F238E27FC236}">
                  <a16:creationId xmlns:a16="http://schemas.microsoft.com/office/drawing/2014/main" id="{00000000-0008-0000-0200-000004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31</xdr:row>
          <xdr:rowOff>30480</xdr:rowOff>
        </xdr:from>
        <xdr:to>
          <xdr:col>16</xdr:col>
          <xdr:colOff>365760</xdr:colOff>
          <xdr:row>31</xdr:row>
          <xdr:rowOff>175260</xdr:rowOff>
        </xdr:to>
        <xdr:sp macro="" textlink="">
          <xdr:nvSpPr>
            <xdr:cNvPr id="158725" name="Check Box 5" hidden="1">
              <a:extLst>
                <a:ext uri="{63B3BB69-23CF-44E3-9099-C40C66FF867C}">
                  <a14:compatExt spid="_x0000_s158725"/>
                </a:ext>
                <a:ext uri="{FF2B5EF4-FFF2-40B4-BE49-F238E27FC236}">
                  <a16:creationId xmlns:a16="http://schemas.microsoft.com/office/drawing/2014/main" id="{00000000-0008-0000-0200-000005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18</xdr:row>
          <xdr:rowOff>30480</xdr:rowOff>
        </xdr:from>
        <xdr:to>
          <xdr:col>16</xdr:col>
          <xdr:colOff>365760</xdr:colOff>
          <xdr:row>18</xdr:row>
          <xdr:rowOff>175260</xdr:rowOff>
        </xdr:to>
        <xdr:sp macro="" textlink="">
          <xdr:nvSpPr>
            <xdr:cNvPr id="158726" name="Check Box 6" hidden="1">
              <a:extLst>
                <a:ext uri="{63B3BB69-23CF-44E3-9099-C40C66FF867C}">
                  <a14:compatExt spid="_x0000_s158726"/>
                </a:ext>
                <a:ext uri="{FF2B5EF4-FFF2-40B4-BE49-F238E27FC236}">
                  <a16:creationId xmlns:a16="http://schemas.microsoft.com/office/drawing/2014/main" id="{00000000-0008-0000-0200-000006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17</xdr:row>
          <xdr:rowOff>22860</xdr:rowOff>
        </xdr:from>
        <xdr:to>
          <xdr:col>16</xdr:col>
          <xdr:colOff>381000</xdr:colOff>
          <xdr:row>17</xdr:row>
          <xdr:rowOff>175260</xdr:rowOff>
        </xdr:to>
        <xdr:sp macro="" textlink="">
          <xdr:nvSpPr>
            <xdr:cNvPr id="158727" name="Check Box 7" hidden="1">
              <a:extLst>
                <a:ext uri="{63B3BB69-23CF-44E3-9099-C40C66FF867C}">
                  <a14:compatExt spid="_x0000_s158727"/>
                </a:ext>
                <a:ext uri="{FF2B5EF4-FFF2-40B4-BE49-F238E27FC236}">
                  <a16:creationId xmlns:a16="http://schemas.microsoft.com/office/drawing/2014/main" id="{00000000-0008-0000-0200-000007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16</xdr:row>
          <xdr:rowOff>22860</xdr:rowOff>
        </xdr:from>
        <xdr:to>
          <xdr:col>16</xdr:col>
          <xdr:colOff>365760</xdr:colOff>
          <xdr:row>16</xdr:row>
          <xdr:rowOff>175260</xdr:rowOff>
        </xdr:to>
        <xdr:sp macro="" textlink="">
          <xdr:nvSpPr>
            <xdr:cNvPr id="158728" name="Check Box 8" hidden="1">
              <a:extLst>
                <a:ext uri="{63B3BB69-23CF-44E3-9099-C40C66FF867C}">
                  <a14:compatExt spid="_x0000_s158728"/>
                </a:ext>
                <a:ext uri="{FF2B5EF4-FFF2-40B4-BE49-F238E27FC236}">
                  <a16:creationId xmlns:a16="http://schemas.microsoft.com/office/drawing/2014/main" id="{00000000-0008-0000-0200-000008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15</xdr:row>
          <xdr:rowOff>22860</xdr:rowOff>
        </xdr:from>
        <xdr:to>
          <xdr:col>16</xdr:col>
          <xdr:colOff>381000</xdr:colOff>
          <xdr:row>15</xdr:row>
          <xdr:rowOff>175260</xdr:rowOff>
        </xdr:to>
        <xdr:sp macro="" textlink="">
          <xdr:nvSpPr>
            <xdr:cNvPr id="158729" name="Check Box 9" hidden="1">
              <a:extLst>
                <a:ext uri="{63B3BB69-23CF-44E3-9099-C40C66FF867C}">
                  <a14:compatExt spid="_x0000_s158729"/>
                </a:ext>
                <a:ext uri="{FF2B5EF4-FFF2-40B4-BE49-F238E27FC236}">
                  <a16:creationId xmlns:a16="http://schemas.microsoft.com/office/drawing/2014/main" id="{00000000-0008-0000-0200-000009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14</xdr:row>
          <xdr:rowOff>38100</xdr:rowOff>
        </xdr:from>
        <xdr:to>
          <xdr:col>16</xdr:col>
          <xdr:colOff>365760</xdr:colOff>
          <xdr:row>14</xdr:row>
          <xdr:rowOff>175260</xdr:rowOff>
        </xdr:to>
        <xdr:sp macro="" textlink="">
          <xdr:nvSpPr>
            <xdr:cNvPr id="158730" name="Check Box 10" hidden="1">
              <a:extLst>
                <a:ext uri="{63B3BB69-23CF-44E3-9099-C40C66FF867C}">
                  <a14:compatExt spid="_x0000_s158730"/>
                </a:ext>
                <a:ext uri="{FF2B5EF4-FFF2-40B4-BE49-F238E27FC236}">
                  <a16:creationId xmlns:a16="http://schemas.microsoft.com/office/drawing/2014/main" id="{00000000-0008-0000-0200-00000A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35</xdr:row>
          <xdr:rowOff>22860</xdr:rowOff>
        </xdr:from>
        <xdr:to>
          <xdr:col>16</xdr:col>
          <xdr:colOff>365760</xdr:colOff>
          <xdr:row>35</xdr:row>
          <xdr:rowOff>175260</xdr:rowOff>
        </xdr:to>
        <xdr:sp macro="" textlink="">
          <xdr:nvSpPr>
            <xdr:cNvPr id="158731" name="Check Box 11" hidden="1">
              <a:extLst>
                <a:ext uri="{63B3BB69-23CF-44E3-9099-C40C66FF867C}">
                  <a14:compatExt spid="_x0000_s158731"/>
                </a:ext>
                <a:ext uri="{FF2B5EF4-FFF2-40B4-BE49-F238E27FC236}">
                  <a16:creationId xmlns:a16="http://schemas.microsoft.com/office/drawing/2014/main" id="{00000000-0008-0000-0200-00000B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36</xdr:row>
          <xdr:rowOff>22860</xdr:rowOff>
        </xdr:from>
        <xdr:to>
          <xdr:col>16</xdr:col>
          <xdr:colOff>365760</xdr:colOff>
          <xdr:row>36</xdr:row>
          <xdr:rowOff>175260</xdr:rowOff>
        </xdr:to>
        <xdr:sp macro="" textlink="">
          <xdr:nvSpPr>
            <xdr:cNvPr id="158732" name="Check Box 12" hidden="1">
              <a:extLst>
                <a:ext uri="{63B3BB69-23CF-44E3-9099-C40C66FF867C}">
                  <a14:compatExt spid="_x0000_s158732"/>
                </a:ext>
                <a:ext uri="{FF2B5EF4-FFF2-40B4-BE49-F238E27FC236}">
                  <a16:creationId xmlns:a16="http://schemas.microsoft.com/office/drawing/2014/main" id="{00000000-0008-0000-0200-00000C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37</xdr:row>
          <xdr:rowOff>22860</xdr:rowOff>
        </xdr:from>
        <xdr:to>
          <xdr:col>16</xdr:col>
          <xdr:colOff>365760</xdr:colOff>
          <xdr:row>37</xdr:row>
          <xdr:rowOff>175260</xdr:rowOff>
        </xdr:to>
        <xdr:sp macro="" textlink="">
          <xdr:nvSpPr>
            <xdr:cNvPr id="158733" name="Check Box 13" hidden="1">
              <a:extLst>
                <a:ext uri="{63B3BB69-23CF-44E3-9099-C40C66FF867C}">
                  <a14:compatExt spid="_x0000_s158733"/>
                </a:ext>
                <a:ext uri="{FF2B5EF4-FFF2-40B4-BE49-F238E27FC236}">
                  <a16:creationId xmlns:a16="http://schemas.microsoft.com/office/drawing/2014/main" id="{00000000-0008-0000-0200-00000D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38</xdr:row>
          <xdr:rowOff>22860</xdr:rowOff>
        </xdr:from>
        <xdr:to>
          <xdr:col>16</xdr:col>
          <xdr:colOff>365760</xdr:colOff>
          <xdr:row>38</xdr:row>
          <xdr:rowOff>175260</xdr:rowOff>
        </xdr:to>
        <xdr:sp macro="" textlink="">
          <xdr:nvSpPr>
            <xdr:cNvPr id="158734" name="Check Box 14" hidden="1">
              <a:extLst>
                <a:ext uri="{63B3BB69-23CF-44E3-9099-C40C66FF867C}">
                  <a14:compatExt spid="_x0000_s158734"/>
                </a:ext>
                <a:ext uri="{FF2B5EF4-FFF2-40B4-BE49-F238E27FC236}">
                  <a16:creationId xmlns:a16="http://schemas.microsoft.com/office/drawing/2014/main" id="{00000000-0008-0000-0200-00000E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39</xdr:row>
          <xdr:rowOff>22860</xdr:rowOff>
        </xdr:from>
        <xdr:to>
          <xdr:col>16</xdr:col>
          <xdr:colOff>365760</xdr:colOff>
          <xdr:row>39</xdr:row>
          <xdr:rowOff>175260</xdr:rowOff>
        </xdr:to>
        <xdr:sp macro="" textlink="">
          <xdr:nvSpPr>
            <xdr:cNvPr id="158735" name="Check Box 15" hidden="1">
              <a:extLst>
                <a:ext uri="{63B3BB69-23CF-44E3-9099-C40C66FF867C}">
                  <a14:compatExt spid="_x0000_s158735"/>
                </a:ext>
                <a:ext uri="{FF2B5EF4-FFF2-40B4-BE49-F238E27FC236}">
                  <a16:creationId xmlns:a16="http://schemas.microsoft.com/office/drawing/2014/main" id="{00000000-0008-0000-0200-00000F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40</xdr:row>
          <xdr:rowOff>22860</xdr:rowOff>
        </xdr:from>
        <xdr:to>
          <xdr:col>16</xdr:col>
          <xdr:colOff>365760</xdr:colOff>
          <xdr:row>40</xdr:row>
          <xdr:rowOff>175260</xdr:rowOff>
        </xdr:to>
        <xdr:sp macro="" textlink="">
          <xdr:nvSpPr>
            <xdr:cNvPr id="158736" name="Check Box 16" hidden="1">
              <a:extLst>
                <a:ext uri="{63B3BB69-23CF-44E3-9099-C40C66FF867C}">
                  <a14:compatExt spid="_x0000_s158736"/>
                </a:ext>
                <a:ext uri="{FF2B5EF4-FFF2-40B4-BE49-F238E27FC236}">
                  <a16:creationId xmlns:a16="http://schemas.microsoft.com/office/drawing/2014/main" id="{00000000-0008-0000-0200-000010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41</xdr:row>
          <xdr:rowOff>22860</xdr:rowOff>
        </xdr:from>
        <xdr:to>
          <xdr:col>16</xdr:col>
          <xdr:colOff>365760</xdr:colOff>
          <xdr:row>41</xdr:row>
          <xdr:rowOff>175260</xdr:rowOff>
        </xdr:to>
        <xdr:sp macro="" textlink="">
          <xdr:nvSpPr>
            <xdr:cNvPr id="158737" name="Check Box 17" hidden="1">
              <a:extLst>
                <a:ext uri="{63B3BB69-23CF-44E3-9099-C40C66FF867C}">
                  <a14:compatExt spid="_x0000_s158737"/>
                </a:ext>
                <a:ext uri="{FF2B5EF4-FFF2-40B4-BE49-F238E27FC236}">
                  <a16:creationId xmlns:a16="http://schemas.microsoft.com/office/drawing/2014/main" id="{00000000-0008-0000-0200-000011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42</xdr:row>
          <xdr:rowOff>22860</xdr:rowOff>
        </xdr:from>
        <xdr:to>
          <xdr:col>16</xdr:col>
          <xdr:colOff>365760</xdr:colOff>
          <xdr:row>42</xdr:row>
          <xdr:rowOff>175260</xdr:rowOff>
        </xdr:to>
        <xdr:sp macro="" textlink="">
          <xdr:nvSpPr>
            <xdr:cNvPr id="158738" name="Check Box 18" hidden="1">
              <a:extLst>
                <a:ext uri="{63B3BB69-23CF-44E3-9099-C40C66FF867C}">
                  <a14:compatExt spid="_x0000_s158738"/>
                </a:ext>
                <a:ext uri="{FF2B5EF4-FFF2-40B4-BE49-F238E27FC236}">
                  <a16:creationId xmlns:a16="http://schemas.microsoft.com/office/drawing/2014/main" id="{00000000-0008-0000-0200-000012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19</xdr:row>
          <xdr:rowOff>30480</xdr:rowOff>
        </xdr:from>
        <xdr:to>
          <xdr:col>16</xdr:col>
          <xdr:colOff>365760</xdr:colOff>
          <xdr:row>19</xdr:row>
          <xdr:rowOff>175260</xdr:rowOff>
        </xdr:to>
        <xdr:sp macro="" textlink="">
          <xdr:nvSpPr>
            <xdr:cNvPr id="158739" name="Check Box 19" hidden="1">
              <a:extLst>
                <a:ext uri="{63B3BB69-23CF-44E3-9099-C40C66FF867C}">
                  <a14:compatExt spid="_x0000_s158739"/>
                </a:ext>
                <a:ext uri="{FF2B5EF4-FFF2-40B4-BE49-F238E27FC236}">
                  <a16:creationId xmlns:a16="http://schemas.microsoft.com/office/drawing/2014/main" id="{00000000-0008-0000-0200-000013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20</xdr:row>
          <xdr:rowOff>30480</xdr:rowOff>
        </xdr:from>
        <xdr:to>
          <xdr:col>16</xdr:col>
          <xdr:colOff>365760</xdr:colOff>
          <xdr:row>20</xdr:row>
          <xdr:rowOff>175260</xdr:rowOff>
        </xdr:to>
        <xdr:sp macro="" textlink="">
          <xdr:nvSpPr>
            <xdr:cNvPr id="158740" name="Check Box 20" hidden="1">
              <a:extLst>
                <a:ext uri="{63B3BB69-23CF-44E3-9099-C40C66FF867C}">
                  <a14:compatExt spid="_x0000_s158740"/>
                </a:ext>
                <a:ext uri="{FF2B5EF4-FFF2-40B4-BE49-F238E27FC236}">
                  <a16:creationId xmlns:a16="http://schemas.microsoft.com/office/drawing/2014/main" id="{00000000-0008-0000-0200-000014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21</xdr:row>
          <xdr:rowOff>30480</xdr:rowOff>
        </xdr:from>
        <xdr:to>
          <xdr:col>16</xdr:col>
          <xdr:colOff>365760</xdr:colOff>
          <xdr:row>21</xdr:row>
          <xdr:rowOff>175260</xdr:rowOff>
        </xdr:to>
        <xdr:sp macro="" textlink="">
          <xdr:nvSpPr>
            <xdr:cNvPr id="158741" name="Check Box 21" hidden="1">
              <a:extLst>
                <a:ext uri="{63B3BB69-23CF-44E3-9099-C40C66FF867C}">
                  <a14:compatExt spid="_x0000_s158741"/>
                </a:ext>
                <a:ext uri="{FF2B5EF4-FFF2-40B4-BE49-F238E27FC236}">
                  <a16:creationId xmlns:a16="http://schemas.microsoft.com/office/drawing/2014/main" id="{00000000-0008-0000-0200-000015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22</xdr:row>
          <xdr:rowOff>30480</xdr:rowOff>
        </xdr:from>
        <xdr:to>
          <xdr:col>16</xdr:col>
          <xdr:colOff>365760</xdr:colOff>
          <xdr:row>22</xdr:row>
          <xdr:rowOff>175260</xdr:rowOff>
        </xdr:to>
        <xdr:sp macro="" textlink="">
          <xdr:nvSpPr>
            <xdr:cNvPr id="158742" name="Check Box 22" hidden="1">
              <a:extLst>
                <a:ext uri="{63B3BB69-23CF-44E3-9099-C40C66FF867C}">
                  <a14:compatExt spid="_x0000_s158742"/>
                </a:ext>
                <a:ext uri="{FF2B5EF4-FFF2-40B4-BE49-F238E27FC236}">
                  <a16:creationId xmlns:a16="http://schemas.microsoft.com/office/drawing/2014/main" id="{00000000-0008-0000-0200-000016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23</xdr:row>
          <xdr:rowOff>30480</xdr:rowOff>
        </xdr:from>
        <xdr:to>
          <xdr:col>16</xdr:col>
          <xdr:colOff>365760</xdr:colOff>
          <xdr:row>23</xdr:row>
          <xdr:rowOff>175260</xdr:rowOff>
        </xdr:to>
        <xdr:sp macro="" textlink="">
          <xdr:nvSpPr>
            <xdr:cNvPr id="158743" name="Check Box 23" hidden="1">
              <a:extLst>
                <a:ext uri="{63B3BB69-23CF-44E3-9099-C40C66FF867C}">
                  <a14:compatExt spid="_x0000_s158743"/>
                </a:ext>
                <a:ext uri="{FF2B5EF4-FFF2-40B4-BE49-F238E27FC236}">
                  <a16:creationId xmlns:a16="http://schemas.microsoft.com/office/drawing/2014/main" id="{00000000-0008-0000-0200-000017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24</xdr:row>
          <xdr:rowOff>30480</xdr:rowOff>
        </xdr:from>
        <xdr:to>
          <xdr:col>16</xdr:col>
          <xdr:colOff>365760</xdr:colOff>
          <xdr:row>24</xdr:row>
          <xdr:rowOff>175260</xdr:rowOff>
        </xdr:to>
        <xdr:sp macro="" textlink="">
          <xdr:nvSpPr>
            <xdr:cNvPr id="158744" name="Check Box 24" hidden="1">
              <a:extLst>
                <a:ext uri="{63B3BB69-23CF-44E3-9099-C40C66FF867C}">
                  <a14:compatExt spid="_x0000_s158744"/>
                </a:ext>
                <a:ext uri="{FF2B5EF4-FFF2-40B4-BE49-F238E27FC236}">
                  <a16:creationId xmlns:a16="http://schemas.microsoft.com/office/drawing/2014/main" id="{00000000-0008-0000-0200-000018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25</xdr:row>
          <xdr:rowOff>30480</xdr:rowOff>
        </xdr:from>
        <xdr:to>
          <xdr:col>16</xdr:col>
          <xdr:colOff>365760</xdr:colOff>
          <xdr:row>25</xdr:row>
          <xdr:rowOff>175260</xdr:rowOff>
        </xdr:to>
        <xdr:sp macro="" textlink="">
          <xdr:nvSpPr>
            <xdr:cNvPr id="158745" name="Check Box 25" hidden="1">
              <a:extLst>
                <a:ext uri="{63B3BB69-23CF-44E3-9099-C40C66FF867C}">
                  <a14:compatExt spid="_x0000_s158745"/>
                </a:ext>
                <a:ext uri="{FF2B5EF4-FFF2-40B4-BE49-F238E27FC236}">
                  <a16:creationId xmlns:a16="http://schemas.microsoft.com/office/drawing/2014/main" id="{00000000-0008-0000-0200-000019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26</xdr:row>
          <xdr:rowOff>30480</xdr:rowOff>
        </xdr:from>
        <xdr:to>
          <xdr:col>16</xdr:col>
          <xdr:colOff>365760</xdr:colOff>
          <xdr:row>26</xdr:row>
          <xdr:rowOff>175260</xdr:rowOff>
        </xdr:to>
        <xdr:sp macro="" textlink="">
          <xdr:nvSpPr>
            <xdr:cNvPr id="158746" name="Check Box 26" hidden="1">
              <a:extLst>
                <a:ext uri="{63B3BB69-23CF-44E3-9099-C40C66FF867C}">
                  <a14:compatExt spid="_x0000_s158746"/>
                </a:ext>
                <a:ext uri="{FF2B5EF4-FFF2-40B4-BE49-F238E27FC236}">
                  <a16:creationId xmlns:a16="http://schemas.microsoft.com/office/drawing/2014/main" id="{00000000-0008-0000-0200-00001A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27</xdr:row>
          <xdr:rowOff>30480</xdr:rowOff>
        </xdr:from>
        <xdr:to>
          <xdr:col>16</xdr:col>
          <xdr:colOff>365760</xdr:colOff>
          <xdr:row>27</xdr:row>
          <xdr:rowOff>175260</xdr:rowOff>
        </xdr:to>
        <xdr:sp macro="" textlink="">
          <xdr:nvSpPr>
            <xdr:cNvPr id="158747" name="Check Box 27" hidden="1">
              <a:extLst>
                <a:ext uri="{63B3BB69-23CF-44E3-9099-C40C66FF867C}">
                  <a14:compatExt spid="_x0000_s158747"/>
                </a:ext>
                <a:ext uri="{FF2B5EF4-FFF2-40B4-BE49-F238E27FC236}">
                  <a16:creationId xmlns:a16="http://schemas.microsoft.com/office/drawing/2014/main" id="{00000000-0008-0000-0200-00001B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28</xdr:row>
          <xdr:rowOff>30480</xdr:rowOff>
        </xdr:from>
        <xdr:to>
          <xdr:col>16</xdr:col>
          <xdr:colOff>365760</xdr:colOff>
          <xdr:row>28</xdr:row>
          <xdr:rowOff>175260</xdr:rowOff>
        </xdr:to>
        <xdr:sp macro="" textlink="">
          <xdr:nvSpPr>
            <xdr:cNvPr id="158748" name="Check Box 28" hidden="1">
              <a:extLst>
                <a:ext uri="{63B3BB69-23CF-44E3-9099-C40C66FF867C}">
                  <a14:compatExt spid="_x0000_s158748"/>
                </a:ext>
                <a:ext uri="{FF2B5EF4-FFF2-40B4-BE49-F238E27FC236}">
                  <a16:creationId xmlns:a16="http://schemas.microsoft.com/office/drawing/2014/main" id="{00000000-0008-0000-0200-00001C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29</xdr:row>
          <xdr:rowOff>30480</xdr:rowOff>
        </xdr:from>
        <xdr:to>
          <xdr:col>16</xdr:col>
          <xdr:colOff>365760</xdr:colOff>
          <xdr:row>29</xdr:row>
          <xdr:rowOff>175260</xdr:rowOff>
        </xdr:to>
        <xdr:sp macro="" textlink="">
          <xdr:nvSpPr>
            <xdr:cNvPr id="158749" name="Check Box 29" hidden="1">
              <a:extLst>
                <a:ext uri="{63B3BB69-23CF-44E3-9099-C40C66FF867C}">
                  <a14:compatExt spid="_x0000_s158749"/>
                </a:ext>
                <a:ext uri="{FF2B5EF4-FFF2-40B4-BE49-F238E27FC236}">
                  <a16:creationId xmlns:a16="http://schemas.microsoft.com/office/drawing/2014/main" id="{00000000-0008-0000-0200-00001D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30</xdr:row>
          <xdr:rowOff>30480</xdr:rowOff>
        </xdr:from>
        <xdr:to>
          <xdr:col>16</xdr:col>
          <xdr:colOff>365760</xdr:colOff>
          <xdr:row>30</xdr:row>
          <xdr:rowOff>175260</xdr:rowOff>
        </xdr:to>
        <xdr:sp macro="" textlink="">
          <xdr:nvSpPr>
            <xdr:cNvPr id="158750" name="Check Box 30" hidden="1">
              <a:extLst>
                <a:ext uri="{63B3BB69-23CF-44E3-9099-C40C66FF867C}">
                  <a14:compatExt spid="_x0000_s158750"/>
                </a:ext>
                <a:ext uri="{FF2B5EF4-FFF2-40B4-BE49-F238E27FC236}">
                  <a16:creationId xmlns:a16="http://schemas.microsoft.com/office/drawing/2014/main" id="{00000000-0008-0000-0200-00001E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31</xdr:row>
          <xdr:rowOff>30480</xdr:rowOff>
        </xdr:from>
        <xdr:to>
          <xdr:col>16</xdr:col>
          <xdr:colOff>365760</xdr:colOff>
          <xdr:row>31</xdr:row>
          <xdr:rowOff>175260</xdr:rowOff>
        </xdr:to>
        <xdr:sp macro="" textlink="">
          <xdr:nvSpPr>
            <xdr:cNvPr id="158751" name="Check Box 31" hidden="1">
              <a:extLst>
                <a:ext uri="{63B3BB69-23CF-44E3-9099-C40C66FF867C}">
                  <a14:compatExt spid="_x0000_s158751"/>
                </a:ext>
                <a:ext uri="{FF2B5EF4-FFF2-40B4-BE49-F238E27FC236}">
                  <a16:creationId xmlns:a16="http://schemas.microsoft.com/office/drawing/2014/main" id="{00000000-0008-0000-0200-00001F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32</xdr:row>
          <xdr:rowOff>30480</xdr:rowOff>
        </xdr:from>
        <xdr:to>
          <xdr:col>16</xdr:col>
          <xdr:colOff>365760</xdr:colOff>
          <xdr:row>32</xdr:row>
          <xdr:rowOff>175260</xdr:rowOff>
        </xdr:to>
        <xdr:sp macro="" textlink="">
          <xdr:nvSpPr>
            <xdr:cNvPr id="158752" name="Check Box 32" hidden="1">
              <a:extLst>
                <a:ext uri="{63B3BB69-23CF-44E3-9099-C40C66FF867C}">
                  <a14:compatExt spid="_x0000_s158752"/>
                </a:ext>
                <a:ext uri="{FF2B5EF4-FFF2-40B4-BE49-F238E27FC236}">
                  <a16:creationId xmlns:a16="http://schemas.microsoft.com/office/drawing/2014/main" id="{00000000-0008-0000-0200-000020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33</xdr:row>
          <xdr:rowOff>30480</xdr:rowOff>
        </xdr:from>
        <xdr:to>
          <xdr:col>16</xdr:col>
          <xdr:colOff>365760</xdr:colOff>
          <xdr:row>33</xdr:row>
          <xdr:rowOff>175260</xdr:rowOff>
        </xdr:to>
        <xdr:sp macro="" textlink="">
          <xdr:nvSpPr>
            <xdr:cNvPr id="158753" name="Check Box 33" hidden="1">
              <a:extLst>
                <a:ext uri="{63B3BB69-23CF-44E3-9099-C40C66FF867C}">
                  <a14:compatExt spid="_x0000_s158753"/>
                </a:ext>
                <a:ext uri="{FF2B5EF4-FFF2-40B4-BE49-F238E27FC236}">
                  <a16:creationId xmlns:a16="http://schemas.microsoft.com/office/drawing/2014/main" id="{00000000-0008-0000-0200-000021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34</xdr:row>
          <xdr:rowOff>30480</xdr:rowOff>
        </xdr:from>
        <xdr:to>
          <xdr:col>16</xdr:col>
          <xdr:colOff>365760</xdr:colOff>
          <xdr:row>34</xdr:row>
          <xdr:rowOff>175260</xdr:rowOff>
        </xdr:to>
        <xdr:sp macro="" textlink="">
          <xdr:nvSpPr>
            <xdr:cNvPr id="158754" name="Check Box 34" hidden="1">
              <a:extLst>
                <a:ext uri="{63B3BB69-23CF-44E3-9099-C40C66FF867C}">
                  <a14:compatExt spid="_x0000_s158754"/>
                </a:ext>
                <a:ext uri="{FF2B5EF4-FFF2-40B4-BE49-F238E27FC236}">
                  <a16:creationId xmlns:a16="http://schemas.microsoft.com/office/drawing/2014/main" id="{00000000-0008-0000-0200-000022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35</xdr:row>
          <xdr:rowOff>30480</xdr:rowOff>
        </xdr:from>
        <xdr:to>
          <xdr:col>16</xdr:col>
          <xdr:colOff>365760</xdr:colOff>
          <xdr:row>35</xdr:row>
          <xdr:rowOff>175260</xdr:rowOff>
        </xdr:to>
        <xdr:sp macro="" textlink="">
          <xdr:nvSpPr>
            <xdr:cNvPr id="158755" name="Check Box 35" hidden="1">
              <a:extLst>
                <a:ext uri="{63B3BB69-23CF-44E3-9099-C40C66FF867C}">
                  <a14:compatExt spid="_x0000_s158755"/>
                </a:ext>
                <a:ext uri="{FF2B5EF4-FFF2-40B4-BE49-F238E27FC236}">
                  <a16:creationId xmlns:a16="http://schemas.microsoft.com/office/drawing/2014/main" id="{00000000-0008-0000-0200-000023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99060</xdr:colOff>
          <xdr:row>36</xdr:row>
          <xdr:rowOff>30480</xdr:rowOff>
        </xdr:from>
        <xdr:to>
          <xdr:col>16</xdr:col>
          <xdr:colOff>365760</xdr:colOff>
          <xdr:row>36</xdr:row>
          <xdr:rowOff>175260</xdr:rowOff>
        </xdr:to>
        <xdr:sp macro="" textlink="">
          <xdr:nvSpPr>
            <xdr:cNvPr id="158756" name="Check Box 36" hidden="1">
              <a:extLst>
                <a:ext uri="{63B3BB69-23CF-44E3-9099-C40C66FF867C}">
                  <a14:compatExt spid="_x0000_s158756"/>
                </a:ext>
                <a:ext uri="{FF2B5EF4-FFF2-40B4-BE49-F238E27FC236}">
                  <a16:creationId xmlns:a16="http://schemas.microsoft.com/office/drawing/2014/main" id="{00000000-0008-0000-0200-0000246C02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815341</xdr:colOff>
      <xdr:row>0</xdr:row>
      <xdr:rowOff>15240</xdr:rowOff>
    </xdr:from>
    <xdr:to>
      <xdr:col>1</xdr:col>
      <xdr:colOff>1906</xdr:colOff>
      <xdr:row>0</xdr:row>
      <xdr:rowOff>436939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15341" y="15240"/>
          <a:ext cx="546735" cy="431224"/>
        </a:xfrm>
        <a:prstGeom prst="rect">
          <a:avLst/>
        </a:prstGeom>
      </xdr:spPr>
    </xdr:pic>
    <xdr:clientData/>
  </xdr:twoCellAnchor>
  <xdr:twoCellAnchor>
    <xdr:from>
      <xdr:col>0</xdr:col>
      <xdr:colOff>1323975</xdr:colOff>
      <xdr:row>0</xdr:row>
      <xdr:rowOff>321944</xdr:rowOff>
    </xdr:from>
    <xdr:to>
      <xdr:col>6</xdr:col>
      <xdr:colOff>830581</xdr:colOff>
      <xdr:row>1</xdr:row>
      <xdr:rowOff>28574</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323975" y="321944"/>
          <a:ext cx="9565006" cy="163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editAs="absolute">
    <xdr:from>
      <xdr:col>4</xdr:col>
      <xdr:colOff>38100</xdr:colOff>
      <xdr:row>2</xdr:row>
      <xdr:rowOff>95250</xdr:rowOff>
    </xdr:from>
    <xdr:to>
      <xdr:col>17</xdr:col>
      <xdr:colOff>60959</xdr:colOff>
      <xdr:row>7</xdr:row>
      <xdr:rowOff>19050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3EC47447-D5BE-4EFD-B9DA-7814AFAA83CC}"/>
            </a:ext>
          </a:extLst>
        </xdr:cNvPr>
        <xdr:cNvSpPr/>
      </xdr:nvSpPr>
      <xdr:spPr>
        <a:xfrm>
          <a:off x="7286625" y="843915"/>
          <a:ext cx="8067674" cy="685800"/>
        </a:xfrm>
        <a:prstGeom prst="rect">
          <a:avLst/>
        </a:prstGeom>
        <a:solidFill>
          <a:schemeClr val="bg1">
            <a:lumMod val="75000"/>
            <a:alpha val="1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200" b="1">
              <a:solidFill>
                <a:schemeClr val="tx1"/>
              </a:solidFill>
            </a:rPr>
            <a:t>Notes</a:t>
          </a:r>
        </a:p>
        <a:p>
          <a:pPr algn="l"/>
          <a:r>
            <a:rPr lang="en-AU" sz="1200">
              <a:solidFill>
                <a:schemeClr val="tx1"/>
              </a:solidFill>
            </a:rPr>
            <a:t>All supplies, services, equipment, and other non-staff costs should be fully costed, including any necessary service or administrative changes associated with these costs. Refer </a:t>
          </a:r>
          <a:r>
            <a:rPr lang="en-AU" sz="1200" u="sng">
              <a:solidFill>
                <a:srgbClr val="0000FF"/>
              </a:solidFill>
            </a:rPr>
            <a:t>Additional notes</a:t>
          </a:r>
          <a:r>
            <a:rPr lang="en-AU" sz="1200">
              <a:solidFill>
                <a:schemeClr val="tx1"/>
              </a:solidFill>
            </a:rPr>
            <a:t> section</a:t>
          </a:r>
          <a:r>
            <a:rPr lang="en-AU" sz="1200" baseline="0">
              <a:solidFill>
                <a:schemeClr val="tx1"/>
              </a:solidFill>
            </a:rPr>
            <a:t> for more details.</a:t>
          </a:r>
          <a:endParaRPr lang="en-AU" sz="1200">
            <a:solidFill>
              <a:schemeClr val="tx1"/>
            </a:solidFill>
          </a:endParaRPr>
        </a:p>
      </xdr:txBody>
    </xdr:sp>
    <xdr:clientData/>
  </xdr:twoCellAnchor>
  <xdr:twoCellAnchor>
    <xdr:from>
      <xdr:col>31</xdr:col>
      <xdr:colOff>0</xdr:colOff>
      <xdr:row>0</xdr:row>
      <xdr:rowOff>0</xdr:rowOff>
    </xdr:from>
    <xdr:to>
      <xdr:col>45</xdr:col>
      <xdr:colOff>75699</xdr:colOff>
      <xdr:row>0</xdr:row>
      <xdr:rowOff>245785</xdr:rowOff>
    </xdr:to>
    <xdr:grpSp>
      <xdr:nvGrpSpPr>
        <xdr:cNvPr id="13" name="Group 12">
          <a:extLst>
            <a:ext uri="{FF2B5EF4-FFF2-40B4-BE49-F238E27FC236}">
              <a16:creationId xmlns:a16="http://schemas.microsoft.com/office/drawing/2014/main" id="{BB4F8792-3DF1-4183-9C0A-745839EBB2E1}"/>
            </a:ext>
          </a:extLst>
        </xdr:cNvPr>
        <xdr:cNvGrpSpPr/>
      </xdr:nvGrpSpPr>
      <xdr:grpSpPr>
        <a:xfrm>
          <a:off x="24963120" y="0"/>
          <a:ext cx="8290059" cy="245785"/>
          <a:chOff x="1361575" y="579923"/>
          <a:chExt cx="8343399" cy="249595"/>
        </a:xfrm>
      </xdr:grpSpPr>
      <xdr:sp macro="" textlink="">
        <xdr:nvSpPr>
          <xdr:cNvPr id="15" name="Rectangle 14">
            <a:hlinkClick xmlns:r="http://schemas.openxmlformats.org/officeDocument/2006/relationships" r:id="rId3"/>
            <a:extLst>
              <a:ext uri="{FF2B5EF4-FFF2-40B4-BE49-F238E27FC236}">
                <a16:creationId xmlns:a16="http://schemas.microsoft.com/office/drawing/2014/main" id="{F4C3CE88-B111-572D-25A5-023493DB5A55}"/>
              </a:ext>
            </a:extLst>
          </xdr:cNvPr>
          <xdr:cNvSpPr/>
        </xdr:nvSpPr>
        <xdr:spPr>
          <a:xfrm>
            <a:off x="3605403" y="579923"/>
            <a:ext cx="1352712" cy="24735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17" name="Rectangle 16">
            <a:hlinkClick xmlns:r="http://schemas.openxmlformats.org/officeDocument/2006/relationships" r:id="rId4"/>
            <a:extLst>
              <a:ext uri="{FF2B5EF4-FFF2-40B4-BE49-F238E27FC236}">
                <a16:creationId xmlns:a16="http://schemas.microsoft.com/office/drawing/2014/main" id="{D2B1C5F6-46F1-0951-A7FE-1293D5A55832}"/>
              </a:ext>
            </a:extLst>
          </xdr:cNvPr>
          <xdr:cNvSpPr/>
        </xdr:nvSpPr>
        <xdr:spPr>
          <a:xfrm>
            <a:off x="5006630" y="579923"/>
            <a:ext cx="2064887" cy="249595"/>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19" name="Rectangle 18">
            <a:hlinkClick xmlns:r="http://schemas.openxmlformats.org/officeDocument/2006/relationships" r:id="rId5"/>
            <a:extLst>
              <a:ext uri="{FF2B5EF4-FFF2-40B4-BE49-F238E27FC236}">
                <a16:creationId xmlns:a16="http://schemas.microsoft.com/office/drawing/2014/main" id="{999E40D7-23D9-7A05-8F49-6CABBACB5B93}"/>
              </a:ext>
            </a:extLst>
          </xdr:cNvPr>
          <xdr:cNvSpPr/>
        </xdr:nvSpPr>
        <xdr:spPr>
          <a:xfrm>
            <a:off x="7129557" y="579923"/>
            <a:ext cx="1543364" cy="24735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21" name="Rectangle 20">
            <a:hlinkClick xmlns:r="http://schemas.openxmlformats.org/officeDocument/2006/relationships" r:id="rId6"/>
            <a:extLst>
              <a:ext uri="{FF2B5EF4-FFF2-40B4-BE49-F238E27FC236}">
                <a16:creationId xmlns:a16="http://schemas.microsoft.com/office/drawing/2014/main" id="{14A6F608-9263-67E7-FBFE-5DAC6A7EA5BF}"/>
              </a:ext>
            </a:extLst>
          </xdr:cNvPr>
          <xdr:cNvSpPr/>
        </xdr:nvSpPr>
        <xdr:spPr>
          <a:xfrm>
            <a:off x="2540555" y="579923"/>
            <a:ext cx="1006808" cy="239585"/>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Budget</a:t>
            </a:r>
            <a:r>
              <a:rPr lang="en-AU" sz="1100" b="1" u="none" baseline="0">
                <a:solidFill>
                  <a:schemeClr val="tx1"/>
                </a:solidFill>
              </a:rPr>
              <a:t> Form</a:t>
            </a:r>
            <a:endParaRPr lang="en-AU" sz="1100" b="1" u="none">
              <a:solidFill>
                <a:schemeClr val="tx1"/>
              </a:solidFill>
            </a:endParaRPr>
          </a:p>
        </xdr:txBody>
      </xdr:sp>
      <xdr:sp macro="" textlink="">
        <xdr:nvSpPr>
          <xdr:cNvPr id="22" name="Rectangle 21">
            <a:hlinkClick xmlns:r="http://schemas.openxmlformats.org/officeDocument/2006/relationships" r:id="rId7"/>
            <a:extLst>
              <a:ext uri="{FF2B5EF4-FFF2-40B4-BE49-F238E27FC236}">
                <a16:creationId xmlns:a16="http://schemas.microsoft.com/office/drawing/2014/main" id="{6B7594FC-60AC-5C64-0681-8AF9DF9DFD63}"/>
              </a:ext>
            </a:extLst>
          </xdr:cNvPr>
          <xdr:cNvSpPr/>
        </xdr:nvSpPr>
        <xdr:spPr>
          <a:xfrm>
            <a:off x="1361575" y="579923"/>
            <a:ext cx="1124750" cy="24557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23" name="Rectangle 22">
            <a:hlinkClick xmlns:r="http://schemas.openxmlformats.org/officeDocument/2006/relationships" r:id="rId8"/>
            <a:extLst>
              <a:ext uri="{FF2B5EF4-FFF2-40B4-BE49-F238E27FC236}">
                <a16:creationId xmlns:a16="http://schemas.microsoft.com/office/drawing/2014/main" id="{7FF5A393-81C1-8F1A-DF0F-4ABD73BC5F7A}"/>
              </a:ext>
            </a:extLst>
          </xdr:cNvPr>
          <xdr:cNvSpPr/>
        </xdr:nvSpPr>
        <xdr:spPr>
          <a:xfrm>
            <a:off x="8730960" y="579923"/>
            <a:ext cx="974014" cy="24843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clientData/>
  </xdr:twoCellAnchor>
  <xdr:twoCellAnchor>
    <xdr:from>
      <xdr:col>0</xdr:col>
      <xdr:colOff>55245</xdr:colOff>
      <xdr:row>11</xdr:row>
      <xdr:rowOff>57150</xdr:rowOff>
    </xdr:from>
    <xdr:to>
      <xdr:col>0</xdr:col>
      <xdr:colOff>1315245</xdr:colOff>
      <xdr:row>18</xdr:row>
      <xdr:rowOff>104265</xdr:rowOff>
    </xdr:to>
    <xdr:grpSp>
      <xdr:nvGrpSpPr>
        <xdr:cNvPr id="7" name="Group 6">
          <a:extLst>
            <a:ext uri="{FF2B5EF4-FFF2-40B4-BE49-F238E27FC236}">
              <a16:creationId xmlns:a16="http://schemas.microsoft.com/office/drawing/2014/main" id="{87B39AC7-152A-122F-F864-F2BCDCA0142C}"/>
            </a:ext>
          </a:extLst>
        </xdr:cNvPr>
        <xdr:cNvGrpSpPr/>
      </xdr:nvGrpSpPr>
      <xdr:grpSpPr>
        <a:xfrm>
          <a:off x="55245" y="1840230"/>
          <a:ext cx="1260000" cy="1571115"/>
          <a:chOff x="55245" y="1838325"/>
          <a:chExt cx="1260000" cy="1571115"/>
        </a:xfrm>
      </xdr:grpSpPr>
      <xdr:sp macro="" textlink="">
        <xdr:nvSpPr>
          <xdr:cNvPr id="14" name="Rectangle 13">
            <a:hlinkClick xmlns:r="http://schemas.openxmlformats.org/officeDocument/2006/relationships" r:id="rId9"/>
            <a:extLst>
              <a:ext uri="{FF2B5EF4-FFF2-40B4-BE49-F238E27FC236}">
                <a16:creationId xmlns:a16="http://schemas.microsoft.com/office/drawing/2014/main" id="{5955F58A-0A54-4ECE-9033-5CE70789D135}"/>
              </a:ext>
            </a:extLst>
          </xdr:cNvPr>
          <xdr:cNvSpPr/>
        </xdr:nvSpPr>
        <xdr:spPr>
          <a:xfrm>
            <a:off x="59055" y="1838325"/>
            <a:ext cx="1252380" cy="27000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6" name="Rectangle 15">
            <a:hlinkClick xmlns:r="http://schemas.openxmlformats.org/officeDocument/2006/relationships" r:id="rId10"/>
            <a:extLst>
              <a:ext uri="{FF2B5EF4-FFF2-40B4-BE49-F238E27FC236}">
                <a16:creationId xmlns:a16="http://schemas.microsoft.com/office/drawing/2014/main" id="{180EF050-CA0E-4AA1-82C9-280D4E1422F4}"/>
              </a:ext>
            </a:extLst>
          </xdr:cNvPr>
          <xdr:cNvSpPr/>
        </xdr:nvSpPr>
        <xdr:spPr>
          <a:xfrm>
            <a:off x="55245" y="2168366"/>
            <a:ext cx="1260000" cy="26428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8" name="Rectangle 17">
            <a:hlinkClick xmlns:r="http://schemas.openxmlformats.org/officeDocument/2006/relationships" r:id="rId11"/>
            <a:extLst>
              <a:ext uri="{FF2B5EF4-FFF2-40B4-BE49-F238E27FC236}">
                <a16:creationId xmlns:a16="http://schemas.microsoft.com/office/drawing/2014/main" id="{DE051E0C-A802-4B31-ADEB-7A895699DE15}"/>
              </a:ext>
            </a:extLst>
          </xdr:cNvPr>
          <xdr:cNvSpPr/>
        </xdr:nvSpPr>
        <xdr:spPr>
          <a:xfrm>
            <a:off x="55245" y="2496502"/>
            <a:ext cx="1260000" cy="26238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ctr"/>
            <a:r>
              <a:rPr lang="en-AU" sz="1200" b="1">
                <a:solidFill>
                  <a:schemeClr val="lt1"/>
                </a:solidFill>
                <a:latin typeface="+mn-lt"/>
                <a:ea typeface="+mn-ea"/>
                <a:cs typeface="+mn-cs"/>
              </a:rPr>
              <a:t>Non-Staff Costs</a:t>
            </a:r>
          </a:p>
        </xdr:txBody>
      </xdr:sp>
      <xdr:sp macro="" textlink="">
        <xdr:nvSpPr>
          <xdr:cNvPr id="20" name="Rectangle 19">
            <a:hlinkClick xmlns:r="http://schemas.openxmlformats.org/officeDocument/2006/relationships" r:id="rId12"/>
            <a:extLst>
              <a:ext uri="{FF2B5EF4-FFF2-40B4-BE49-F238E27FC236}">
                <a16:creationId xmlns:a16="http://schemas.microsoft.com/office/drawing/2014/main" id="{260D04B7-38B0-421F-BC7C-D6FF9F6A3064}"/>
              </a:ext>
            </a:extLst>
          </xdr:cNvPr>
          <xdr:cNvSpPr/>
        </xdr:nvSpPr>
        <xdr:spPr>
          <a:xfrm>
            <a:off x="55245" y="2822733"/>
            <a:ext cx="1260000" cy="26047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sp macro="" textlink="">
        <xdr:nvSpPr>
          <xdr:cNvPr id="6" name="Rectangle 5">
            <a:hlinkClick xmlns:r="http://schemas.openxmlformats.org/officeDocument/2006/relationships" r:id="rId6"/>
            <a:extLst>
              <a:ext uri="{FF2B5EF4-FFF2-40B4-BE49-F238E27FC236}">
                <a16:creationId xmlns:a16="http://schemas.microsoft.com/office/drawing/2014/main" id="{D52F3749-DFAA-44FE-A304-A33C35B289F0}"/>
              </a:ext>
            </a:extLst>
          </xdr:cNvPr>
          <xdr:cNvSpPr/>
        </xdr:nvSpPr>
        <xdr:spPr>
          <a:xfrm>
            <a:off x="59055" y="3143250"/>
            <a:ext cx="1252380" cy="266190"/>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200" b="1" i="0" u="none" strike="noStrike" kern="0" cap="none" spc="0" normalizeH="0" baseline="0" noProof="0">
                <a:ln>
                  <a:noFill/>
                </a:ln>
                <a:solidFill>
                  <a:srgbClr val="C6D9F0">
                    <a:lumMod val="50000"/>
                  </a:srgbClr>
                </a:solidFill>
                <a:effectLst/>
                <a:uLnTx/>
                <a:uFillTx/>
                <a:latin typeface="Calibri"/>
                <a:ea typeface="+mn-ea"/>
                <a:cs typeface="+mn-cs"/>
              </a:rPr>
              <a:t>Budget Form</a:t>
            </a:r>
          </a:p>
        </xdr:txBody>
      </xdr:sp>
    </xdr:grpSp>
    <xdr:clientData/>
  </xdr:twoCellAnchor>
  <xdr:twoCellAnchor>
    <xdr:from>
      <xdr:col>1</xdr:col>
      <xdr:colOff>38100</xdr:colOff>
      <xdr:row>1</xdr:row>
      <xdr:rowOff>28575</xdr:rowOff>
    </xdr:from>
    <xdr:to>
      <xdr:col>6</xdr:col>
      <xdr:colOff>768516</xdr:colOff>
      <xdr:row>1</xdr:row>
      <xdr:rowOff>283656</xdr:rowOff>
    </xdr:to>
    <xdr:grpSp>
      <xdr:nvGrpSpPr>
        <xdr:cNvPr id="8" name="Group 7">
          <a:extLst>
            <a:ext uri="{FF2B5EF4-FFF2-40B4-BE49-F238E27FC236}">
              <a16:creationId xmlns:a16="http://schemas.microsoft.com/office/drawing/2014/main" id="{FA31F337-B790-489C-9A2C-E33304F6E6A1}"/>
            </a:ext>
          </a:extLst>
        </xdr:cNvPr>
        <xdr:cNvGrpSpPr/>
      </xdr:nvGrpSpPr>
      <xdr:grpSpPr>
        <a:xfrm>
          <a:off x="1409700" y="485775"/>
          <a:ext cx="9409596" cy="255081"/>
          <a:chOff x="1351551" y="579857"/>
          <a:chExt cx="9415311" cy="253436"/>
        </a:xfrm>
      </xdr:grpSpPr>
      <xdr:grpSp>
        <xdr:nvGrpSpPr>
          <xdr:cNvPr id="9" name="Group 8">
            <a:extLst>
              <a:ext uri="{FF2B5EF4-FFF2-40B4-BE49-F238E27FC236}">
                <a16:creationId xmlns:a16="http://schemas.microsoft.com/office/drawing/2014/main" id="{2B77F059-0D82-D139-B18C-277D2FBCECEE}"/>
              </a:ext>
            </a:extLst>
          </xdr:cNvPr>
          <xdr:cNvGrpSpPr/>
        </xdr:nvGrpSpPr>
        <xdr:grpSpPr>
          <a:xfrm>
            <a:off x="1351551" y="579857"/>
            <a:ext cx="7768591" cy="251785"/>
            <a:chOff x="1281307" y="588549"/>
            <a:chExt cx="7774342" cy="241089"/>
          </a:xfrm>
        </xdr:grpSpPr>
        <xdr:sp macro="" textlink="">
          <xdr:nvSpPr>
            <xdr:cNvPr id="11" name="Rectangle 10">
              <a:hlinkClick xmlns:r="http://schemas.openxmlformats.org/officeDocument/2006/relationships" r:id="rId3"/>
              <a:extLst>
                <a:ext uri="{FF2B5EF4-FFF2-40B4-BE49-F238E27FC236}">
                  <a16:creationId xmlns:a16="http://schemas.microsoft.com/office/drawing/2014/main" id="{F89D9993-D711-9AA0-6809-04B2DE641C9B}"/>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12" name="Rectangle 11">
              <a:hlinkClick xmlns:r="http://schemas.openxmlformats.org/officeDocument/2006/relationships" r:id="rId4"/>
              <a:extLst>
                <a:ext uri="{FF2B5EF4-FFF2-40B4-BE49-F238E27FC236}">
                  <a16:creationId xmlns:a16="http://schemas.microsoft.com/office/drawing/2014/main" id="{9E67D153-86C9-A75E-3CAE-A85B84F437E3}"/>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32" name="Rectangle 31">
              <a:hlinkClick xmlns:r="http://schemas.openxmlformats.org/officeDocument/2006/relationships" r:id="rId5"/>
              <a:extLst>
                <a:ext uri="{FF2B5EF4-FFF2-40B4-BE49-F238E27FC236}">
                  <a16:creationId xmlns:a16="http://schemas.microsoft.com/office/drawing/2014/main" id="{7AF6E0D8-B7B4-1454-A8E0-4C6607423C2C}"/>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33" name="Rectangle 32">
              <a:hlinkClick xmlns:r="http://schemas.openxmlformats.org/officeDocument/2006/relationships" r:id="rId7"/>
              <a:extLst>
                <a:ext uri="{FF2B5EF4-FFF2-40B4-BE49-F238E27FC236}">
                  <a16:creationId xmlns:a16="http://schemas.microsoft.com/office/drawing/2014/main" id="{3BB8D877-F684-454E-E1E4-94B9FC0CC40D}"/>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35" name="Rectangle 34">
              <a:hlinkClick xmlns:r="http://schemas.openxmlformats.org/officeDocument/2006/relationships" r:id="rId8"/>
              <a:extLst>
                <a:ext uri="{FF2B5EF4-FFF2-40B4-BE49-F238E27FC236}">
                  <a16:creationId xmlns:a16="http://schemas.microsoft.com/office/drawing/2014/main" id="{49E653AD-1212-1F28-58B0-6629FF24E622}"/>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10" name="Rectangle 9">
            <a:hlinkClick xmlns:r="http://schemas.openxmlformats.org/officeDocument/2006/relationships" r:id="rId13"/>
            <a:extLst>
              <a:ext uri="{FF2B5EF4-FFF2-40B4-BE49-F238E27FC236}">
                <a16:creationId xmlns:a16="http://schemas.microsoft.com/office/drawing/2014/main" id="{897B8084-7AC7-9060-8EB3-A3CAD28E760B}"/>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99484</xdr:colOff>
      <xdr:row>18</xdr:row>
      <xdr:rowOff>8573</xdr:rowOff>
    </xdr:from>
    <xdr:to>
      <xdr:col>6</xdr:col>
      <xdr:colOff>593090</xdr:colOff>
      <xdr:row>19</xdr:row>
      <xdr:rowOff>21164</xdr:rowOff>
    </xdr:to>
    <xdr:pic macro="[0]!new_Edit_multiplier">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71984" y="1944053"/>
          <a:ext cx="491701" cy="197376"/>
        </a:xfrm>
        <a:prstGeom prst="rect">
          <a:avLst/>
        </a:prstGeom>
        <a:ln>
          <a:solidFill>
            <a:schemeClr val="accent1"/>
          </a:solidFill>
        </a:ln>
      </xdr:spPr>
    </xdr:pic>
    <xdr:clientData fLocksWithSheet="0"/>
  </xdr:twoCellAnchor>
  <mc:AlternateContent xmlns:mc="http://schemas.openxmlformats.org/markup-compatibility/2006">
    <mc:Choice xmlns:a14="http://schemas.microsoft.com/office/drawing/2010/main" Requires="a14">
      <xdr:twoCellAnchor editAs="oneCell">
        <xdr:from>
          <xdr:col>1</xdr:col>
          <xdr:colOff>1394460</xdr:colOff>
          <xdr:row>17</xdr:row>
          <xdr:rowOff>0</xdr:rowOff>
        </xdr:from>
        <xdr:to>
          <xdr:col>3</xdr:col>
          <xdr:colOff>297180</xdr:colOff>
          <xdr:row>17</xdr:row>
          <xdr:rowOff>251460</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3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Indirect Costs applied to Non-staff costs</a:t>
              </a:r>
            </a:p>
          </xdr:txBody>
        </xdr:sp>
        <xdr:clientData/>
      </xdr:twoCellAnchor>
    </mc:Choice>
    <mc:Fallback/>
  </mc:AlternateContent>
  <xdr:twoCellAnchor editAs="oneCell">
    <xdr:from>
      <xdr:col>1</xdr:col>
      <xdr:colOff>101599</xdr:colOff>
      <xdr:row>17</xdr:row>
      <xdr:rowOff>0</xdr:rowOff>
    </xdr:from>
    <xdr:to>
      <xdr:col>1</xdr:col>
      <xdr:colOff>1812555</xdr:colOff>
      <xdr:row>17</xdr:row>
      <xdr:rowOff>250825</xdr:rowOff>
    </xdr:to>
    <xdr:pic>
      <xdr:nvPicPr>
        <xdr:cNvPr id="3" name="Picture 2" hidden="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86559" y="1539240"/>
          <a:ext cx="1709051" cy="24892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xdr:col>
          <xdr:colOff>76200</xdr:colOff>
          <xdr:row>17</xdr:row>
          <xdr:rowOff>22860</xdr:rowOff>
        </xdr:from>
        <xdr:to>
          <xdr:col>1</xdr:col>
          <xdr:colOff>2171700</xdr:colOff>
          <xdr:row>18</xdr:row>
          <xdr:rowOff>0</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3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FF0000"/>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Default UoM oncosts overridden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1943100</xdr:colOff>
          <xdr:row>17</xdr:row>
          <xdr:rowOff>0</xdr:rowOff>
        </xdr:from>
        <xdr:to>
          <xdr:col>3</xdr:col>
          <xdr:colOff>609600</xdr:colOff>
          <xdr:row>18</xdr:row>
          <xdr:rowOff>0</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3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Indirect costs applied to non-salary items</a:t>
              </a:r>
            </a:p>
          </xdr:txBody>
        </xdr:sp>
        <xdr:clientData/>
      </xdr:twoCellAnchor>
    </mc:Choice>
    <mc:Fallback/>
  </mc:AlternateContent>
  <xdr:twoCellAnchor editAs="oneCell">
    <xdr:from>
      <xdr:col>0</xdr:col>
      <xdr:colOff>794385</xdr:colOff>
      <xdr:row>0</xdr:row>
      <xdr:rowOff>32385</xdr:rowOff>
    </xdr:from>
    <xdr:to>
      <xdr:col>1</xdr:col>
      <xdr:colOff>635</xdr:colOff>
      <xdr:row>0</xdr:row>
      <xdr:rowOff>474406</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794385" y="32385"/>
          <a:ext cx="509270" cy="447736"/>
        </a:xfrm>
        <a:prstGeom prst="rect">
          <a:avLst/>
        </a:prstGeom>
      </xdr:spPr>
    </xdr:pic>
    <xdr:clientData/>
  </xdr:twoCellAnchor>
  <xdr:twoCellAnchor>
    <xdr:from>
      <xdr:col>0</xdr:col>
      <xdr:colOff>1855470</xdr:colOff>
      <xdr:row>0</xdr:row>
      <xdr:rowOff>276225</xdr:rowOff>
    </xdr:from>
    <xdr:to>
      <xdr:col>6</xdr:col>
      <xdr:colOff>581026</xdr:colOff>
      <xdr:row>0</xdr:row>
      <xdr:rowOff>523875</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581150" y="276225"/>
          <a:ext cx="757237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0</xdr:col>
      <xdr:colOff>19049</xdr:colOff>
      <xdr:row>16</xdr:row>
      <xdr:rowOff>40004</xdr:rowOff>
    </xdr:from>
    <xdr:to>
      <xdr:col>0</xdr:col>
      <xdr:colOff>1279049</xdr:colOff>
      <xdr:row>26</xdr:row>
      <xdr:rowOff>130935</xdr:rowOff>
    </xdr:to>
    <xdr:grpSp>
      <xdr:nvGrpSpPr>
        <xdr:cNvPr id="6" name="Group 5">
          <a:extLst>
            <a:ext uri="{FF2B5EF4-FFF2-40B4-BE49-F238E27FC236}">
              <a16:creationId xmlns:a16="http://schemas.microsoft.com/office/drawing/2014/main" id="{A296600B-5E9E-7055-A575-8B8BD2B6348B}"/>
            </a:ext>
          </a:extLst>
        </xdr:cNvPr>
        <xdr:cNvGrpSpPr/>
      </xdr:nvGrpSpPr>
      <xdr:grpSpPr>
        <a:xfrm>
          <a:off x="19049" y="2508884"/>
          <a:ext cx="1260000" cy="1553971"/>
          <a:chOff x="19049" y="2535554"/>
          <a:chExt cx="1260000" cy="1557781"/>
        </a:xfrm>
      </xdr:grpSpPr>
      <xdr:sp macro="" textlink="">
        <xdr:nvSpPr>
          <xdr:cNvPr id="10" name="Rectangle 9">
            <a:hlinkClick xmlns:r="http://schemas.openxmlformats.org/officeDocument/2006/relationships" r:id="rId4"/>
            <a:extLst>
              <a:ext uri="{FF2B5EF4-FFF2-40B4-BE49-F238E27FC236}">
                <a16:creationId xmlns:a16="http://schemas.microsoft.com/office/drawing/2014/main" id="{720D7FD5-8FAF-4A4C-9D37-29C0E5F5DB69}"/>
              </a:ext>
            </a:extLst>
          </xdr:cNvPr>
          <xdr:cNvSpPr/>
        </xdr:nvSpPr>
        <xdr:spPr>
          <a:xfrm>
            <a:off x="19049" y="2535554"/>
            <a:ext cx="1260000" cy="26619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1" name="Rectangle 10">
            <a:hlinkClick xmlns:r="http://schemas.openxmlformats.org/officeDocument/2006/relationships" r:id="rId5"/>
            <a:extLst>
              <a:ext uri="{FF2B5EF4-FFF2-40B4-BE49-F238E27FC236}">
                <a16:creationId xmlns:a16="http://schemas.microsoft.com/office/drawing/2014/main" id="{272F7BB2-B1CF-4961-82FC-9824ACE5884E}"/>
              </a:ext>
            </a:extLst>
          </xdr:cNvPr>
          <xdr:cNvSpPr/>
        </xdr:nvSpPr>
        <xdr:spPr>
          <a:xfrm>
            <a:off x="22859" y="2856547"/>
            <a:ext cx="1252380" cy="26619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2" name="Rectangle 11">
            <a:hlinkClick xmlns:r="http://schemas.openxmlformats.org/officeDocument/2006/relationships" r:id="rId6"/>
            <a:extLst>
              <a:ext uri="{FF2B5EF4-FFF2-40B4-BE49-F238E27FC236}">
                <a16:creationId xmlns:a16="http://schemas.microsoft.com/office/drawing/2014/main" id="{DFFB71E8-B967-4D29-8F29-5B601FA4A0DC}"/>
              </a:ext>
            </a:extLst>
          </xdr:cNvPr>
          <xdr:cNvSpPr/>
        </xdr:nvSpPr>
        <xdr:spPr>
          <a:xfrm>
            <a:off x="22859" y="3175634"/>
            <a:ext cx="1252380" cy="27571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14" name="Rectangle 13">
            <a:hlinkClick xmlns:r="http://schemas.openxmlformats.org/officeDocument/2006/relationships" r:id="rId7"/>
            <a:extLst>
              <a:ext uri="{FF2B5EF4-FFF2-40B4-BE49-F238E27FC236}">
                <a16:creationId xmlns:a16="http://schemas.microsoft.com/office/drawing/2014/main" id="{51D9D872-F4AB-4B41-99BF-675C10539375}"/>
              </a:ext>
            </a:extLst>
          </xdr:cNvPr>
          <xdr:cNvSpPr/>
        </xdr:nvSpPr>
        <xdr:spPr>
          <a:xfrm>
            <a:off x="22859" y="3498532"/>
            <a:ext cx="1252380" cy="2700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ctr"/>
            <a:r>
              <a:rPr lang="en-AU" sz="1200" b="1">
                <a:solidFill>
                  <a:schemeClr val="lt1"/>
                </a:solidFill>
                <a:latin typeface="+mn-lt"/>
                <a:ea typeface="+mn-ea"/>
                <a:cs typeface="+mn-cs"/>
              </a:rPr>
              <a:t>Price Summary</a:t>
            </a:r>
          </a:p>
        </xdr:txBody>
      </xdr:sp>
      <xdr:sp macro="" textlink="">
        <xdr:nvSpPr>
          <xdr:cNvPr id="5" name="Rectangle 4">
            <a:hlinkClick xmlns:r="http://schemas.openxmlformats.org/officeDocument/2006/relationships" r:id="rId8"/>
            <a:extLst>
              <a:ext uri="{FF2B5EF4-FFF2-40B4-BE49-F238E27FC236}">
                <a16:creationId xmlns:a16="http://schemas.microsoft.com/office/drawing/2014/main" id="{7ABCF88F-78CE-47EC-9FD5-CABBBF7FEDCB}"/>
              </a:ext>
            </a:extLst>
          </xdr:cNvPr>
          <xdr:cNvSpPr/>
        </xdr:nvSpPr>
        <xdr:spPr>
          <a:xfrm>
            <a:off x="19049" y="3815715"/>
            <a:ext cx="1260000" cy="277620"/>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200" b="1" i="0" u="none" strike="noStrike" kern="0" cap="none" spc="0" normalizeH="0" baseline="0" noProof="0">
                <a:ln>
                  <a:noFill/>
                </a:ln>
                <a:solidFill>
                  <a:srgbClr val="C6D9F0">
                    <a:lumMod val="50000"/>
                  </a:srgbClr>
                </a:solidFill>
                <a:effectLst/>
                <a:uLnTx/>
                <a:uFillTx/>
                <a:latin typeface="Calibri"/>
                <a:ea typeface="+mn-ea"/>
                <a:cs typeface="+mn-cs"/>
              </a:rPr>
              <a:t>Budget Form</a:t>
            </a:r>
          </a:p>
        </xdr:txBody>
      </xdr:sp>
    </xdr:grpSp>
    <xdr:clientData/>
  </xdr:twoCellAnchor>
  <xdr:twoCellAnchor>
    <xdr:from>
      <xdr:col>1</xdr:col>
      <xdr:colOff>19050</xdr:colOff>
      <xdr:row>1</xdr:row>
      <xdr:rowOff>38100</xdr:rowOff>
    </xdr:from>
    <xdr:to>
      <xdr:col>7</xdr:col>
      <xdr:colOff>1783881</xdr:colOff>
      <xdr:row>1</xdr:row>
      <xdr:rowOff>293181</xdr:rowOff>
    </xdr:to>
    <xdr:grpSp>
      <xdr:nvGrpSpPr>
        <xdr:cNvPr id="7" name="Group 6">
          <a:extLst>
            <a:ext uri="{FF2B5EF4-FFF2-40B4-BE49-F238E27FC236}">
              <a16:creationId xmlns:a16="http://schemas.microsoft.com/office/drawing/2014/main" id="{BD3F2E3D-8404-4177-9E03-DE4194B06152}"/>
            </a:ext>
          </a:extLst>
        </xdr:cNvPr>
        <xdr:cNvGrpSpPr/>
      </xdr:nvGrpSpPr>
      <xdr:grpSpPr>
        <a:xfrm>
          <a:off x="1344930" y="563880"/>
          <a:ext cx="9422931" cy="255081"/>
          <a:chOff x="1351551" y="579857"/>
          <a:chExt cx="9415311" cy="253436"/>
        </a:xfrm>
      </xdr:grpSpPr>
      <xdr:grpSp>
        <xdr:nvGrpSpPr>
          <xdr:cNvPr id="13" name="Group 12">
            <a:extLst>
              <a:ext uri="{FF2B5EF4-FFF2-40B4-BE49-F238E27FC236}">
                <a16:creationId xmlns:a16="http://schemas.microsoft.com/office/drawing/2014/main" id="{EA93265D-C882-931B-CAAC-BB6D6FE83EB4}"/>
              </a:ext>
            </a:extLst>
          </xdr:cNvPr>
          <xdr:cNvGrpSpPr/>
        </xdr:nvGrpSpPr>
        <xdr:grpSpPr>
          <a:xfrm>
            <a:off x="1351551" y="579857"/>
            <a:ext cx="7768591" cy="251785"/>
            <a:chOff x="1281307" y="588549"/>
            <a:chExt cx="7774342" cy="241089"/>
          </a:xfrm>
        </xdr:grpSpPr>
        <xdr:sp macro="" textlink="">
          <xdr:nvSpPr>
            <xdr:cNvPr id="20" name="Rectangle 19">
              <a:hlinkClick xmlns:r="http://schemas.openxmlformats.org/officeDocument/2006/relationships" r:id="rId9"/>
              <a:extLst>
                <a:ext uri="{FF2B5EF4-FFF2-40B4-BE49-F238E27FC236}">
                  <a16:creationId xmlns:a16="http://schemas.microsoft.com/office/drawing/2014/main" id="{006BEDEA-1F74-788C-DA5F-9D6CB657698C}"/>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21" name="Rectangle 20">
              <a:hlinkClick xmlns:r="http://schemas.openxmlformats.org/officeDocument/2006/relationships" r:id="rId10"/>
              <a:extLst>
                <a:ext uri="{FF2B5EF4-FFF2-40B4-BE49-F238E27FC236}">
                  <a16:creationId xmlns:a16="http://schemas.microsoft.com/office/drawing/2014/main" id="{09CA9153-F588-4C35-8001-87B61F549435}"/>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25" name="Rectangle 24">
              <a:hlinkClick xmlns:r="http://schemas.openxmlformats.org/officeDocument/2006/relationships" r:id="rId11"/>
              <a:extLst>
                <a:ext uri="{FF2B5EF4-FFF2-40B4-BE49-F238E27FC236}">
                  <a16:creationId xmlns:a16="http://schemas.microsoft.com/office/drawing/2014/main" id="{4F06B3EB-71D8-F05B-B373-1A43B34F72CE}"/>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26" name="Rectangle 25">
              <a:hlinkClick xmlns:r="http://schemas.openxmlformats.org/officeDocument/2006/relationships" r:id="rId12"/>
              <a:extLst>
                <a:ext uri="{FF2B5EF4-FFF2-40B4-BE49-F238E27FC236}">
                  <a16:creationId xmlns:a16="http://schemas.microsoft.com/office/drawing/2014/main" id="{92A69802-0E58-8DE6-4686-345BC95EBEE3}"/>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28" name="Rectangle 27">
              <a:hlinkClick xmlns:r="http://schemas.openxmlformats.org/officeDocument/2006/relationships" r:id="rId13"/>
              <a:extLst>
                <a:ext uri="{FF2B5EF4-FFF2-40B4-BE49-F238E27FC236}">
                  <a16:creationId xmlns:a16="http://schemas.microsoft.com/office/drawing/2014/main" id="{5791E282-E288-31D4-A07B-54B56E4BBE30}"/>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19" name="Rectangle 18">
            <a:hlinkClick xmlns:r="http://schemas.openxmlformats.org/officeDocument/2006/relationships" r:id="rId14"/>
            <a:extLst>
              <a:ext uri="{FF2B5EF4-FFF2-40B4-BE49-F238E27FC236}">
                <a16:creationId xmlns:a16="http://schemas.microsoft.com/office/drawing/2014/main" id="{6799F05E-9F9E-2688-A0C5-E90698E0FD55}"/>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504826</xdr:colOff>
      <xdr:row>179</xdr:row>
      <xdr:rowOff>38100</xdr:rowOff>
    </xdr:from>
    <xdr:to>
      <xdr:col>5</xdr:col>
      <xdr:colOff>742950</xdr:colOff>
      <xdr:row>179</xdr:row>
      <xdr:rowOff>1247775</xdr:rowOff>
    </xdr:to>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2181226" y="19954875"/>
          <a:ext cx="1800224" cy="1209675"/>
        </a:xfrm>
        <a:prstGeom prst="wedgeRectCallout">
          <a:avLst>
            <a:gd name="adj1" fmla="val 30230"/>
            <a:gd name="adj2" fmla="val 57854"/>
          </a:avLst>
        </a:prstGeom>
        <a:solidFill>
          <a:schemeClr val="accent1">
            <a:lumMod val="20000"/>
            <a:lumOff val="80000"/>
          </a:schemeClr>
        </a:solidFill>
        <a:ln w="12700">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800" b="1" i="1">
              <a:solidFill>
                <a:sysClr val="windowText" lastClr="000000"/>
              </a:solidFill>
            </a:rPr>
            <a:t>PRES</a:t>
          </a:r>
          <a:r>
            <a:rPr lang="en-AU" sz="800" i="1">
              <a:solidFill>
                <a:sysClr val="windowText" lastClr="000000"/>
              </a:solidFill>
            </a:rPr>
            <a:t> - Technical / Milestone Report</a:t>
          </a:r>
        </a:p>
        <a:p>
          <a:pPr algn="l"/>
          <a:r>
            <a:rPr lang="en-AU" sz="800" b="1" i="1">
              <a:solidFill>
                <a:sysClr val="windowText" lastClr="000000"/>
              </a:solidFill>
            </a:rPr>
            <a:t>RINV</a:t>
          </a:r>
          <a:r>
            <a:rPr lang="en-AU" sz="800" i="1">
              <a:solidFill>
                <a:sysClr val="windowText" lastClr="000000"/>
              </a:solidFill>
            </a:rPr>
            <a:t> - Raise Invoice</a:t>
          </a:r>
        </a:p>
        <a:p>
          <a:pPr algn="l"/>
          <a:r>
            <a:rPr lang="en-AU" sz="800" b="1" i="1">
              <a:solidFill>
                <a:sysClr val="windowText" lastClr="000000"/>
              </a:solidFill>
            </a:rPr>
            <a:t>FINR</a:t>
          </a:r>
          <a:r>
            <a:rPr lang="en-AU" sz="800" i="1">
              <a:solidFill>
                <a:sysClr val="windowText" lastClr="000000"/>
              </a:solidFill>
            </a:rPr>
            <a:t> - Financial Report</a:t>
          </a:r>
        </a:p>
        <a:p>
          <a:pPr algn="l"/>
          <a:r>
            <a:rPr lang="en-AU" sz="800" b="1" i="1">
              <a:solidFill>
                <a:sysClr val="windowText" lastClr="000000"/>
              </a:solidFill>
            </a:rPr>
            <a:t>EAUR</a:t>
          </a:r>
          <a:r>
            <a:rPr lang="en-AU" sz="800" i="1">
              <a:solidFill>
                <a:sysClr val="windowText" lastClr="000000"/>
              </a:solidFill>
            </a:rPr>
            <a:t> - External Audit Report</a:t>
          </a:r>
        </a:p>
        <a:p>
          <a:pPr algn="l"/>
          <a:r>
            <a:rPr lang="en-AU" sz="800" b="1" i="1">
              <a:solidFill>
                <a:sysClr val="windowText" lastClr="000000"/>
              </a:solidFill>
            </a:rPr>
            <a:t>IAUR</a:t>
          </a:r>
          <a:r>
            <a:rPr lang="en-AU" sz="800" i="1">
              <a:solidFill>
                <a:sysClr val="windowText" lastClr="000000"/>
              </a:solidFill>
            </a:rPr>
            <a:t> - Internal Audit Report</a:t>
          </a:r>
        </a:p>
        <a:p>
          <a:pPr algn="l"/>
          <a:r>
            <a:rPr lang="en-AU" sz="800" b="1" i="1">
              <a:solidFill>
                <a:sysClr val="windowText" lastClr="000000"/>
              </a:solidFill>
            </a:rPr>
            <a:t>INKD</a:t>
          </a:r>
          <a:r>
            <a:rPr lang="en-AU" sz="800" i="1">
              <a:solidFill>
                <a:sysClr val="windowText" lastClr="000000"/>
              </a:solidFill>
            </a:rPr>
            <a:t> - In Kind Report</a:t>
          </a:r>
        </a:p>
        <a:p>
          <a:pPr algn="l"/>
          <a:r>
            <a:rPr lang="en-AU" sz="800" b="1" i="1">
              <a:solidFill>
                <a:sysClr val="windowText" lastClr="000000"/>
              </a:solidFill>
            </a:rPr>
            <a:t>OVRN</a:t>
          </a:r>
          <a:r>
            <a:rPr lang="en-AU" sz="800" i="1">
              <a:solidFill>
                <a:sysClr val="windowText" lastClr="000000"/>
              </a:solidFill>
            </a:rPr>
            <a:t> - Overheads (non-invoicing)</a:t>
          </a:r>
        </a:p>
        <a:p>
          <a:pPr algn="l"/>
          <a:r>
            <a:rPr lang="en-AU" sz="800" b="1" i="1">
              <a:solidFill>
                <a:sysClr val="windowText" lastClr="000000"/>
              </a:solidFill>
            </a:rPr>
            <a:t>RCTI</a:t>
          </a:r>
          <a:r>
            <a:rPr lang="en-AU" sz="800" i="1">
              <a:solidFill>
                <a:sysClr val="windowText" lastClr="000000"/>
              </a:solidFill>
            </a:rPr>
            <a:t> - RCTI Income Due</a:t>
          </a:r>
        </a:p>
        <a:p>
          <a:pPr algn="l"/>
          <a:r>
            <a:rPr lang="en-AU" sz="800" b="1" i="1">
              <a:solidFill>
                <a:sysClr val="windowText" lastClr="000000"/>
              </a:solidFill>
            </a:rPr>
            <a:t>SHGP</a:t>
          </a:r>
          <a:r>
            <a:rPr lang="en-AU" sz="800" i="1">
              <a:solidFill>
                <a:sysClr val="windowText" lastClr="000000"/>
              </a:solidFill>
            </a:rPr>
            <a:t> - Shared Grant Expense Payment</a:t>
          </a:r>
        </a:p>
        <a:p>
          <a:pPr algn="l"/>
          <a:endParaRPr lang="en-AU" sz="800" i="1">
            <a:solidFill>
              <a:sysClr val="windowText" lastClr="000000"/>
            </a:solidFill>
          </a:endParaRPr>
        </a:p>
      </xdr:txBody>
    </xdr:sp>
    <xdr:clientData/>
  </xdr:twoCellAnchor>
  <xdr:oneCellAnchor>
    <xdr:from>
      <xdr:col>5</xdr:col>
      <xdr:colOff>342900</xdr:colOff>
      <xdr:row>200</xdr:row>
      <xdr:rowOff>0</xdr:rowOff>
    </xdr:from>
    <xdr:ext cx="184731" cy="264560"/>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714750" y="3634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589381</xdr:colOff>
      <xdr:row>3</xdr:row>
      <xdr:rowOff>76797</xdr:rowOff>
    </xdr:from>
    <xdr:to>
      <xdr:col>16</xdr:col>
      <xdr:colOff>553902</xdr:colOff>
      <xdr:row>3</xdr:row>
      <xdr:rowOff>266819</xdr:rowOff>
    </xdr:to>
    <xdr:grpSp>
      <xdr:nvGrpSpPr>
        <xdr:cNvPr id="11" name="Group 10">
          <a:extLst>
            <a:ext uri="{FF2B5EF4-FFF2-40B4-BE49-F238E27FC236}">
              <a16:creationId xmlns:a16="http://schemas.microsoft.com/office/drawing/2014/main" id="{00000000-0008-0000-0500-00000B000000}"/>
            </a:ext>
          </a:extLst>
        </xdr:cNvPr>
        <xdr:cNvGrpSpPr/>
      </xdr:nvGrpSpPr>
      <xdr:grpSpPr>
        <a:xfrm>
          <a:off x="10511423" y="1103492"/>
          <a:ext cx="1745195" cy="190022"/>
          <a:chOff x="10253235" y="1097333"/>
          <a:chExt cx="1692667" cy="190022"/>
        </a:xfrm>
      </xdr:grpSpPr>
      <xdr:sp macro="[0]!open_part_a" textlink="">
        <xdr:nvSpPr>
          <xdr:cNvPr id="6354" name="Rectangle 69">
            <a:extLst>
              <a:ext uri="{FF2B5EF4-FFF2-40B4-BE49-F238E27FC236}">
                <a16:creationId xmlns:a16="http://schemas.microsoft.com/office/drawing/2014/main" id="{00000000-0008-0000-0500-0000D2180000}"/>
              </a:ext>
            </a:extLst>
          </xdr:cNvPr>
          <xdr:cNvSpPr/>
        </xdr:nvSpPr>
        <xdr:spPr>
          <a:xfrm>
            <a:off x="10253235" y="1097333"/>
            <a:ext cx="1692667" cy="190022"/>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rgbClr val="094183"/>
                </a:solidFill>
                <a:latin typeface="Roboto"/>
              </a:rPr>
              <a:t>EDIT</a:t>
            </a:r>
            <a:r>
              <a:rPr lang="en-US" sz="900" b="1" baseline="0">
                <a:solidFill>
                  <a:srgbClr val="094183"/>
                </a:solidFill>
                <a:latin typeface="Roboto"/>
              </a:rPr>
              <a:t> PROJECT DETAILS</a:t>
            </a:r>
            <a:endParaRPr lang="en-US" sz="900" b="1">
              <a:solidFill>
                <a:srgbClr val="094183"/>
              </a:solidFill>
              <a:latin typeface="Roboto"/>
            </a:endParaRPr>
          </a:p>
        </xdr:txBody>
      </xdr:sp>
      <xdr:pic macro="[0]!open_part_a">
        <xdr:nvPicPr>
          <xdr:cNvPr id="6355" name="Graphic 5" descr="Pencil">
            <a:extLst>
              <a:ext uri="{FF2B5EF4-FFF2-40B4-BE49-F238E27FC236}">
                <a16:creationId xmlns:a16="http://schemas.microsoft.com/office/drawing/2014/main" id="{00000000-0008-0000-0500-0000D31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79356" y="1107288"/>
            <a:ext cx="186716" cy="156950"/>
          </a:xfrm>
          <a:prstGeom prst="rect">
            <a:avLst/>
          </a:prstGeom>
        </xdr:spPr>
      </xdr:pic>
    </xdr:grpSp>
    <xdr:clientData fPrintsWithSheet="0"/>
  </xdr:twoCellAnchor>
  <xdr:twoCellAnchor editAs="absolute">
    <xdr:from>
      <xdr:col>9</xdr:col>
      <xdr:colOff>588987</xdr:colOff>
      <xdr:row>75</xdr:row>
      <xdr:rowOff>174650</xdr:rowOff>
    </xdr:from>
    <xdr:to>
      <xdr:col>16</xdr:col>
      <xdr:colOff>512619</xdr:colOff>
      <xdr:row>76</xdr:row>
      <xdr:rowOff>245042</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10511029" y="15141934"/>
          <a:ext cx="1704306" cy="262897"/>
          <a:chOff x="7079784" y="5389236"/>
          <a:chExt cx="1710522" cy="246287"/>
        </a:xfrm>
      </xdr:grpSpPr>
      <xdr:sp macro="[0]!open_part_b" textlink="">
        <xdr:nvSpPr>
          <xdr:cNvPr id="12" name="Rectangle 69">
            <a:extLst>
              <a:ext uri="{FF2B5EF4-FFF2-40B4-BE49-F238E27FC236}">
                <a16:creationId xmlns:a16="http://schemas.microsoft.com/office/drawing/2014/main" id="{00000000-0008-0000-0500-00000C000000}"/>
              </a:ext>
            </a:extLst>
          </xdr:cNvPr>
          <xdr:cNvSpPr/>
        </xdr:nvSpPr>
        <xdr:spPr>
          <a:xfrm>
            <a:off x="7075974" y="5389236"/>
            <a:ext cx="1718142" cy="25009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94183"/>
                </a:solidFill>
                <a:latin typeface="Roboto"/>
              </a:rPr>
              <a:t>   EDIT</a:t>
            </a:r>
            <a:r>
              <a:rPr lang="en-US" sz="900" b="1" baseline="0">
                <a:solidFill>
                  <a:srgbClr val="094183"/>
                </a:solidFill>
                <a:latin typeface="Roboto"/>
              </a:rPr>
              <a:t> STAFF COSTS</a:t>
            </a:r>
            <a:endParaRPr lang="en-US" sz="900" b="1">
              <a:solidFill>
                <a:srgbClr val="094183"/>
              </a:solidFill>
              <a:latin typeface="Roboto"/>
            </a:endParaRPr>
          </a:p>
        </xdr:txBody>
      </xdr:sp>
      <xdr:pic macro="[0]!open_part_a">
        <xdr:nvPicPr>
          <xdr:cNvPr id="13" name="Graphic 5" descr="Pencil">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161953" y="5409986"/>
            <a:ext cx="188093" cy="200829"/>
          </a:xfrm>
          <a:prstGeom prst="rect">
            <a:avLst/>
          </a:prstGeom>
        </xdr:spPr>
      </xdr:pic>
    </xdr:grpSp>
    <xdr:clientData fPrintsWithSheet="0"/>
  </xdr:twoCellAnchor>
  <xdr:twoCellAnchor editAs="absolute">
    <xdr:from>
      <xdr:col>9</xdr:col>
      <xdr:colOff>665061</xdr:colOff>
      <xdr:row>97</xdr:row>
      <xdr:rowOff>15950</xdr:rowOff>
    </xdr:from>
    <xdr:to>
      <xdr:col>16</xdr:col>
      <xdr:colOff>550628</xdr:colOff>
      <xdr:row>97</xdr:row>
      <xdr:rowOff>207539</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10587103" y="19122097"/>
          <a:ext cx="1666241" cy="191589"/>
          <a:chOff x="7189628" y="9248788"/>
          <a:chExt cx="1680077" cy="193494"/>
        </a:xfrm>
      </xdr:grpSpPr>
      <xdr:sp macro="[0]!open_part_c" textlink="">
        <xdr:nvSpPr>
          <xdr:cNvPr id="6360" name="Rectangle 69">
            <a:extLst>
              <a:ext uri="{FF2B5EF4-FFF2-40B4-BE49-F238E27FC236}">
                <a16:creationId xmlns:a16="http://schemas.microsoft.com/office/drawing/2014/main" id="{00000000-0008-0000-0500-0000D8180000}"/>
              </a:ext>
            </a:extLst>
          </xdr:cNvPr>
          <xdr:cNvSpPr/>
        </xdr:nvSpPr>
        <xdr:spPr>
          <a:xfrm>
            <a:off x="7189628" y="9248788"/>
            <a:ext cx="1680077" cy="18707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rgbClr val="094183"/>
                </a:solidFill>
                <a:latin typeface="Roboto"/>
              </a:rPr>
              <a:t>EDIT</a:t>
            </a:r>
            <a:r>
              <a:rPr lang="en-US" sz="900" b="1" baseline="0">
                <a:solidFill>
                  <a:srgbClr val="094183"/>
                </a:solidFill>
                <a:latin typeface="Roboto"/>
              </a:rPr>
              <a:t> NON-STAFF COSTS</a:t>
            </a:r>
            <a:endParaRPr lang="en-US" sz="900" b="1">
              <a:solidFill>
                <a:srgbClr val="094183"/>
              </a:solidFill>
              <a:latin typeface="Roboto"/>
            </a:endParaRPr>
          </a:p>
        </xdr:txBody>
      </xdr:sp>
      <xdr:pic macro="[0]!open_part_c">
        <xdr:nvPicPr>
          <xdr:cNvPr id="6361" name="Graphic 5" descr="Pencil">
            <a:extLst>
              <a:ext uri="{FF2B5EF4-FFF2-40B4-BE49-F238E27FC236}">
                <a16:creationId xmlns:a16="http://schemas.microsoft.com/office/drawing/2014/main" id="{00000000-0008-0000-0500-0000D91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67575" y="9250818"/>
            <a:ext cx="152400" cy="191464"/>
          </a:xfrm>
          <a:prstGeom prst="rect">
            <a:avLst/>
          </a:prstGeom>
        </xdr:spPr>
      </xdr:pic>
    </xdr:grpSp>
    <xdr:clientData fPrintsWithSheet="0"/>
  </xdr:twoCellAnchor>
  <xdr:twoCellAnchor editAs="oneCell">
    <xdr:from>
      <xdr:col>9</xdr:col>
      <xdr:colOff>608491</xdr:colOff>
      <xdr:row>34</xdr:row>
      <xdr:rowOff>26729</xdr:rowOff>
    </xdr:from>
    <xdr:to>
      <xdr:col>16</xdr:col>
      <xdr:colOff>569756</xdr:colOff>
      <xdr:row>35</xdr:row>
      <xdr:rowOff>686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10530533" y="4374140"/>
          <a:ext cx="1741939" cy="294799"/>
          <a:chOff x="7117875" y="12715328"/>
          <a:chExt cx="1751965" cy="287012"/>
        </a:xfrm>
      </xdr:grpSpPr>
      <xdr:sp macro="[0]!open_part_e" textlink="">
        <xdr:nvSpPr>
          <xdr:cNvPr id="6363" name="Rectangle 69">
            <a:extLst>
              <a:ext uri="{FF2B5EF4-FFF2-40B4-BE49-F238E27FC236}">
                <a16:creationId xmlns:a16="http://schemas.microsoft.com/office/drawing/2014/main" id="{00000000-0008-0000-0500-0000DB180000}"/>
              </a:ext>
            </a:extLst>
          </xdr:cNvPr>
          <xdr:cNvSpPr/>
        </xdr:nvSpPr>
        <xdr:spPr>
          <a:xfrm>
            <a:off x="7117875" y="12736854"/>
            <a:ext cx="1751965" cy="22437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94183"/>
                </a:solidFill>
                <a:latin typeface="Roboto"/>
              </a:rPr>
              <a:t>   VIEW</a:t>
            </a:r>
            <a:r>
              <a:rPr lang="en-US" sz="900" b="1" baseline="0">
                <a:solidFill>
                  <a:srgbClr val="094183"/>
                </a:solidFill>
                <a:latin typeface="Roboto"/>
              </a:rPr>
              <a:t> SUMMARY</a:t>
            </a:r>
            <a:endParaRPr lang="en-US" sz="900" b="1">
              <a:solidFill>
                <a:srgbClr val="094183"/>
              </a:solidFill>
              <a:latin typeface="Roboto"/>
            </a:endParaRPr>
          </a:p>
        </xdr:txBody>
      </xdr:sp>
      <xdr:pic macro="[0]!open_part_e">
        <xdr:nvPicPr>
          <xdr:cNvPr id="6364" name="Graphic 70" descr="Coins">
            <a:extLst>
              <a:ext uri="{FF2B5EF4-FFF2-40B4-BE49-F238E27FC236}">
                <a16:creationId xmlns:a16="http://schemas.microsoft.com/office/drawing/2014/main" id="{00000000-0008-0000-0500-0000DC18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207746" y="12715328"/>
            <a:ext cx="213806" cy="287012"/>
          </a:xfrm>
          <a:prstGeom prst="rect">
            <a:avLst/>
          </a:prstGeom>
        </xdr:spPr>
      </xdr:pic>
    </xdr:grpSp>
    <xdr:clientData fPrintsWithSheet="0"/>
  </xdr:twoCellAnchor>
  <xdr:twoCellAnchor editAs="oneCell">
    <xdr:from>
      <xdr:col>0</xdr:col>
      <xdr:colOff>864597</xdr:colOff>
      <xdr:row>0</xdr:row>
      <xdr:rowOff>20683</xdr:rowOff>
    </xdr:from>
    <xdr:to>
      <xdr:col>0</xdr:col>
      <xdr:colOff>1331566</xdr:colOff>
      <xdr:row>0</xdr:row>
      <xdr:rowOff>495089</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5"/>
        <a:stretch>
          <a:fillRect/>
        </a:stretch>
      </xdr:blipFill>
      <xdr:spPr>
        <a:xfrm>
          <a:off x="864597" y="20683"/>
          <a:ext cx="480304" cy="474406"/>
        </a:xfrm>
        <a:prstGeom prst="rect">
          <a:avLst/>
        </a:prstGeom>
      </xdr:spPr>
    </xdr:pic>
    <xdr:clientData/>
  </xdr:twoCellAnchor>
  <xdr:twoCellAnchor>
    <xdr:from>
      <xdr:col>0</xdr:col>
      <xdr:colOff>1550497</xdr:colOff>
      <xdr:row>0</xdr:row>
      <xdr:rowOff>267739</xdr:rowOff>
    </xdr:from>
    <xdr:to>
      <xdr:col>9</xdr:col>
      <xdr:colOff>443693</xdr:colOff>
      <xdr:row>0</xdr:row>
      <xdr:rowOff>515389</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550497" y="267739"/>
          <a:ext cx="76129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oneCellAnchor>
    <xdr:from>
      <xdr:col>18</xdr:col>
      <xdr:colOff>1345969</xdr:colOff>
      <xdr:row>1</xdr:row>
      <xdr:rowOff>97415</xdr:rowOff>
    </xdr:from>
    <xdr:ext cx="184731" cy="264560"/>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4020713" y="66025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AU" sz="1100"/>
        </a:p>
      </xdr:txBody>
    </xdr:sp>
    <xdr:clientData/>
  </xdr:oneCellAnchor>
  <xdr:twoCellAnchor editAs="absolute">
    <xdr:from>
      <xdr:col>9</xdr:col>
      <xdr:colOff>630300</xdr:colOff>
      <xdr:row>0</xdr:row>
      <xdr:rowOff>155510</xdr:rowOff>
    </xdr:from>
    <xdr:to>
      <xdr:col>16</xdr:col>
      <xdr:colOff>591619</xdr:colOff>
      <xdr:row>0</xdr:row>
      <xdr:rowOff>441183</xdr:rowOff>
    </xdr:to>
    <xdr:sp macro="[0]!Check_Before_Print" textlink="">
      <xdr:nvSpPr>
        <xdr:cNvPr id="14" name="Rectangle 13">
          <a:extLst>
            <a:ext uri="{FF2B5EF4-FFF2-40B4-BE49-F238E27FC236}">
              <a16:creationId xmlns:a16="http://schemas.microsoft.com/office/drawing/2014/main" id="{00000000-0008-0000-0500-00000E000000}"/>
            </a:ext>
          </a:extLst>
        </xdr:cNvPr>
        <xdr:cNvSpPr/>
      </xdr:nvSpPr>
      <xdr:spPr>
        <a:xfrm>
          <a:off x="10545536" y="155510"/>
          <a:ext cx="1763022" cy="293293"/>
        </a:xfrm>
        <a:prstGeom prst="rect">
          <a:avLst/>
        </a:prstGeom>
        <a:solidFill>
          <a:srgbClr val="008080"/>
        </a:solidFill>
        <a:ln>
          <a:solidFill>
            <a:srgbClr val="00808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800" b="1" i="0" u="none" strike="noStrike" kern="0" cap="none" spc="0" normalizeH="0" baseline="0" noProof="0">
              <a:ln>
                <a:noFill/>
              </a:ln>
              <a:solidFill>
                <a:schemeClr val="bg1"/>
              </a:solidFill>
              <a:effectLst/>
              <a:uLnTx/>
              <a:uFillTx/>
              <a:latin typeface="Calibri"/>
              <a:ea typeface="+mn-ea"/>
              <a:cs typeface="+mn-cs"/>
            </a:rPr>
            <a:t>Print Budget</a:t>
          </a:r>
        </a:p>
      </xdr:txBody>
    </xdr:sp>
    <xdr:clientData/>
  </xdr:twoCellAnchor>
  <xdr:twoCellAnchor editAs="absolute">
    <xdr:from>
      <xdr:col>7</xdr:col>
      <xdr:colOff>266902</xdr:colOff>
      <xdr:row>0</xdr:row>
      <xdr:rowOff>151700</xdr:rowOff>
    </xdr:from>
    <xdr:to>
      <xdr:col>9</xdr:col>
      <xdr:colOff>553353</xdr:colOff>
      <xdr:row>0</xdr:row>
      <xdr:rowOff>437348</xdr:rowOff>
    </xdr:to>
    <xdr:sp macro="[0]!AUDbudget_click" textlink="">
      <xdr:nvSpPr>
        <xdr:cNvPr id="37" name="Rectangle 36" hidden="1">
          <a:extLst>
            <a:ext uri="{FF2B5EF4-FFF2-40B4-BE49-F238E27FC236}">
              <a16:creationId xmlns:a16="http://schemas.microsoft.com/office/drawing/2014/main" id="{D69C2081-15CD-4F05-A16F-266509CE1C78}"/>
            </a:ext>
          </a:extLst>
        </xdr:cNvPr>
        <xdr:cNvSpPr/>
      </xdr:nvSpPr>
      <xdr:spPr>
        <a:xfrm>
          <a:off x="8378191" y="151700"/>
          <a:ext cx="2111241" cy="293268"/>
        </a:xfrm>
        <a:prstGeom prst="rect">
          <a:avLst/>
        </a:prstGeom>
        <a:solidFill>
          <a:schemeClr val="bg2">
            <a:lumMod val="50000"/>
          </a:schemeClr>
        </a:solidFill>
        <a:ln>
          <a:solidFill>
            <a:schemeClr val="bg2">
              <a:lumMod val="25000"/>
            </a:scheme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chemeClr val="bg1"/>
              </a:solidFill>
              <a:effectLst/>
              <a:uLnTx/>
              <a:uFillTx/>
              <a:latin typeface="Calibri"/>
              <a:ea typeface="+mn-ea"/>
              <a:cs typeface="+mn-cs"/>
            </a:rPr>
            <a:t>View Budget in AUD</a:t>
          </a:r>
        </a:p>
      </xdr:txBody>
    </xdr:sp>
    <xdr:clientData/>
  </xdr:twoCellAnchor>
  <xdr:twoCellAnchor>
    <xdr:from>
      <xdr:col>0</xdr:col>
      <xdr:colOff>38877</xdr:colOff>
      <xdr:row>3</xdr:row>
      <xdr:rowOff>3234</xdr:rowOff>
    </xdr:from>
    <xdr:to>
      <xdr:col>0</xdr:col>
      <xdr:colOff>1302687</xdr:colOff>
      <xdr:row>23</xdr:row>
      <xdr:rowOff>174509</xdr:rowOff>
    </xdr:to>
    <xdr:grpSp>
      <xdr:nvGrpSpPr>
        <xdr:cNvPr id="17" name="Group 16">
          <a:extLst>
            <a:ext uri="{FF2B5EF4-FFF2-40B4-BE49-F238E27FC236}">
              <a16:creationId xmlns:a16="http://schemas.microsoft.com/office/drawing/2014/main" id="{B8CF8839-D37E-C9D8-A628-41EAB48DB504}"/>
            </a:ext>
          </a:extLst>
        </xdr:cNvPr>
        <xdr:cNvGrpSpPr/>
      </xdr:nvGrpSpPr>
      <xdr:grpSpPr>
        <a:xfrm>
          <a:off x="38877" y="1029929"/>
          <a:ext cx="1263810" cy="1631106"/>
          <a:chOff x="38877" y="1025918"/>
          <a:chExt cx="1263810" cy="1605038"/>
        </a:xfrm>
      </xdr:grpSpPr>
      <xdr:sp macro="" textlink="">
        <xdr:nvSpPr>
          <xdr:cNvPr id="32" name="Rectangle 31">
            <a:hlinkClick xmlns:r="http://schemas.openxmlformats.org/officeDocument/2006/relationships" r:id="rId6"/>
            <a:extLst>
              <a:ext uri="{FF2B5EF4-FFF2-40B4-BE49-F238E27FC236}">
                <a16:creationId xmlns:a16="http://schemas.microsoft.com/office/drawing/2014/main" id="{9F70A59D-1DDC-4BF2-A2B0-91859547D82A}"/>
              </a:ext>
            </a:extLst>
          </xdr:cNvPr>
          <xdr:cNvSpPr/>
        </xdr:nvSpPr>
        <xdr:spPr>
          <a:xfrm>
            <a:off x="38877" y="1363488"/>
            <a:ext cx="1260000" cy="27000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33" name="Rectangle 32">
            <a:hlinkClick xmlns:r="http://schemas.openxmlformats.org/officeDocument/2006/relationships" r:id="rId7"/>
            <a:extLst>
              <a:ext uri="{FF2B5EF4-FFF2-40B4-BE49-F238E27FC236}">
                <a16:creationId xmlns:a16="http://schemas.microsoft.com/office/drawing/2014/main" id="{E298FE93-9A79-4B4B-BDAE-07C5BCA50C4D}"/>
              </a:ext>
            </a:extLst>
          </xdr:cNvPr>
          <xdr:cNvSpPr/>
        </xdr:nvSpPr>
        <xdr:spPr>
          <a:xfrm>
            <a:off x="38877" y="1701058"/>
            <a:ext cx="1260000" cy="27381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34" name="Rectangle 33">
            <a:hlinkClick xmlns:r="http://schemas.openxmlformats.org/officeDocument/2006/relationships" r:id="rId8"/>
            <a:extLst>
              <a:ext uri="{FF2B5EF4-FFF2-40B4-BE49-F238E27FC236}">
                <a16:creationId xmlns:a16="http://schemas.microsoft.com/office/drawing/2014/main" id="{D55C3178-3696-4576-A769-FC70DE046572}"/>
              </a:ext>
            </a:extLst>
          </xdr:cNvPr>
          <xdr:cNvSpPr/>
        </xdr:nvSpPr>
        <xdr:spPr>
          <a:xfrm>
            <a:off x="38877" y="2038628"/>
            <a:ext cx="1260000" cy="262380"/>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sp macro="" textlink="">
        <xdr:nvSpPr>
          <xdr:cNvPr id="36" name="Rectangle 35">
            <a:hlinkClick xmlns:r="http://schemas.openxmlformats.org/officeDocument/2006/relationships" r:id="rId9"/>
            <a:extLst>
              <a:ext uri="{FF2B5EF4-FFF2-40B4-BE49-F238E27FC236}">
                <a16:creationId xmlns:a16="http://schemas.microsoft.com/office/drawing/2014/main" id="{FFF0593F-A5ED-475F-9DD4-71061AA29AAB}"/>
              </a:ext>
            </a:extLst>
          </xdr:cNvPr>
          <xdr:cNvSpPr/>
        </xdr:nvSpPr>
        <xdr:spPr>
          <a:xfrm>
            <a:off x="38877" y="1025918"/>
            <a:ext cx="1260000" cy="27571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24" name="Rectangle 23">
            <a:hlinkClick xmlns:r="http://schemas.openxmlformats.org/officeDocument/2006/relationships" r:id="rId10"/>
            <a:extLst>
              <a:ext uri="{FF2B5EF4-FFF2-40B4-BE49-F238E27FC236}">
                <a16:creationId xmlns:a16="http://schemas.microsoft.com/office/drawing/2014/main" id="{1C404183-9DF9-E159-E18E-F04580665CE0}"/>
              </a:ext>
            </a:extLst>
          </xdr:cNvPr>
          <xdr:cNvSpPr/>
        </xdr:nvSpPr>
        <xdr:spPr>
          <a:xfrm>
            <a:off x="38877" y="2370481"/>
            <a:ext cx="1263810" cy="260475"/>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200" b="1" i="0" u="none" strike="noStrike" kern="0" cap="none" spc="0" normalizeH="0" baseline="0">
                <a:ln>
                  <a:noFill/>
                </a:ln>
                <a:solidFill>
                  <a:sysClr val="window" lastClr="FFFFFF"/>
                </a:solidFill>
                <a:effectLst/>
                <a:uLnTx/>
                <a:uFillTx/>
                <a:latin typeface="Calibri"/>
                <a:ea typeface="+mn-ea"/>
                <a:cs typeface="+mn-cs"/>
              </a:rPr>
              <a:t>Budget Form</a:t>
            </a:r>
          </a:p>
        </xdr:txBody>
      </xdr:sp>
    </xdr:grpSp>
    <xdr:clientData/>
  </xdr:twoCellAnchor>
  <xdr:twoCellAnchor>
    <xdr:from>
      <xdr:col>1</xdr:col>
      <xdr:colOff>50132</xdr:colOff>
      <xdr:row>1</xdr:row>
      <xdr:rowOff>40105</xdr:rowOff>
    </xdr:from>
    <xdr:to>
      <xdr:col>15</xdr:col>
      <xdr:colOff>14437</xdr:colOff>
      <xdr:row>1</xdr:row>
      <xdr:rowOff>295186</xdr:rowOff>
    </xdr:to>
    <xdr:grpSp>
      <xdr:nvGrpSpPr>
        <xdr:cNvPr id="18" name="Group 17">
          <a:extLst>
            <a:ext uri="{FF2B5EF4-FFF2-40B4-BE49-F238E27FC236}">
              <a16:creationId xmlns:a16="http://schemas.microsoft.com/office/drawing/2014/main" id="{356483B5-69E5-4D40-ACF9-42A7BA264ACC}"/>
            </a:ext>
          </a:extLst>
        </xdr:cNvPr>
        <xdr:cNvGrpSpPr/>
      </xdr:nvGrpSpPr>
      <xdr:grpSpPr>
        <a:xfrm>
          <a:off x="1421732" y="601579"/>
          <a:ext cx="9405084" cy="255081"/>
          <a:chOff x="1351551" y="579857"/>
          <a:chExt cx="9415311" cy="253436"/>
        </a:xfrm>
      </xdr:grpSpPr>
      <xdr:grpSp>
        <xdr:nvGrpSpPr>
          <xdr:cNvPr id="19" name="Group 18">
            <a:extLst>
              <a:ext uri="{FF2B5EF4-FFF2-40B4-BE49-F238E27FC236}">
                <a16:creationId xmlns:a16="http://schemas.microsoft.com/office/drawing/2014/main" id="{ABB929E6-C625-2D8C-3A63-D9AA59CA76B0}"/>
              </a:ext>
            </a:extLst>
          </xdr:cNvPr>
          <xdr:cNvGrpSpPr/>
        </xdr:nvGrpSpPr>
        <xdr:grpSpPr>
          <a:xfrm>
            <a:off x="1351551" y="579857"/>
            <a:ext cx="7768591" cy="251785"/>
            <a:chOff x="1281307" y="588549"/>
            <a:chExt cx="7774342" cy="241089"/>
          </a:xfrm>
        </xdr:grpSpPr>
        <xdr:sp macro="" textlink="">
          <xdr:nvSpPr>
            <xdr:cNvPr id="28" name="Rectangle 27">
              <a:hlinkClick xmlns:r="http://schemas.openxmlformats.org/officeDocument/2006/relationships" r:id="rId11"/>
              <a:extLst>
                <a:ext uri="{FF2B5EF4-FFF2-40B4-BE49-F238E27FC236}">
                  <a16:creationId xmlns:a16="http://schemas.microsoft.com/office/drawing/2014/main" id="{60F7D19E-FCFE-9B92-4F6C-600B5320913B}"/>
                </a:ext>
              </a:extLst>
            </xdr:cNvPr>
            <xdr:cNvSpPr/>
          </xdr:nvSpPr>
          <xdr:spPr>
            <a:xfrm>
              <a:off x="2646892" y="588550"/>
              <a:ext cx="1499036" cy="238921"/>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Oncosts Calculator</a:t>
              </a:r>
            </a:p>
          </xdr:txBody>
        </xdr:sp>
        <xdr:sp macro="" textlink="">
          <xdr:nvSpPr>
            <xdr:cNvPr id="29" name="Rectangle 28">
              <a:hlinkClick xmlns:r="http://schemas.openxmlformats.org/officeDocument/2006/relationships" r:id="rId12"/>
              <a:extLst>
                <a:ext uri="{FF2B5EF4-FFF2-40B4-BE49-F238E27FC236}">
                  <a16:creationId xmlns:a16="http://schemas.microsoft.com/office/drawing/2014/main" id="{B97A5502-388F-6045-8231-B445E1234BAC}"/>
                </a:ext>
              </a:extLst>
            </xdr:cNvPr>
            <xdr:cNvSpPr/>
          </xdr:nvSpPr>
          <xdr:spPr>
            <a:xfrm>
              <a:off x="4204470" y="588550"/>
              <a:ext cx="2064887" cy="241088"/>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Internal Income Sharing Form</a:t>
              </a:r>
            </a:p>
          </xdr:txBody>
        </xdr:sp>
        <xdr:sp macro="" textlink="">
          <xdr:nvSpPr>
            <xdr:cNvPr id="30" name="Rectangle 29">
              <a:hlinkClick xmlns:r="http://schemas.openxmlformats.org/officeDocument/2006/relationships" r:id="rId13"/>
              <a:extLst>
                <a:ext uri="{FF2B5EF4-FFF2-40B4-BE49-F238E27FC236}">
                  <a16:creationId xmlns:a16="http://schemas.microsoft.com/office/drawing/2014/main" id="{389DA517-E435-CA2C-EDB5-DE109607577D}"/>
                </a:ext>
              </a:extLst>
            </xdr:cNvPr>
            <xdr:cNvSpPr/>
          </xdr:nvSpPr>
          <xdr:spPr>
            <a:xfrm>
              <a:off x="6327396" y="588549"/>
              <a:ext cx="1543364" cy="238922"/>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Standard Offer Letter</a:t>
              </a:r>
            </a:p>
          </xdr:txBody>
        </xdr:sp>
        <xdr:sp macro="" textlink="">
          <xdr:nvSpPr>
            <xdr:cNvPr id="35" name="Rectangle 34">
              <a:hlinkClick xmlns:r="http://schemas.openxmlformats.org/officeDocument/2006/relationships" r:id="rId14"/>
              <a:extLst>
                <a:ext uri="{FF2B5EF4-FFF2-40B4-BE49-F238E27FC236}">
                  <a16:creationId xmlns:a16="http://schemas.microsoft.com/office/drawing/2014/main" id="{25C9FCED-1867-2CE2-8BFC-FCA43EA52E54}"/>
                </a:ext>
              </a:extLst>
            </xdr:cNvPr>
            <xdr:cNvSpPr/>
          </xdr:nvSpPr>
          <xdr:spPr>
            <a:xfrm>
              <a:off x="1281307" y="588550"/>
              <a:ext cx="1295399" cy="237209"/>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Lookup tables</a:t>
              </a:r>
            </a:p>
          </xdr:txBody>
        </xdr:sp>
        <xdr:sp macro="" textlink="">
          <xdr:nvSpPr>
            <xdr:cNvPr id="38" name="Rectangle 37">
              <a:hlinkClick xmlns:r="http://schemas.openxmlformats.org/officeDocument/2006/relationships" r:id="rId15"/>
              <a:extLst>
                <a:ext uri="{FF2B5EF4-FFF2-40B4-BE49-F238E27FC236}">
                  <a16:creationId xmlns:a16="http://schemas.microsoft.com/office/drawing/2014/main" id="{9216CC39-7189-304D-DC4B-A1431A87D4E7}"/>
                </a:ext>
              </a:extLst>
            </xdr:cNvPr>
            <xdr:cNvSpPr/>
          </xdr:nvSpPr>
          <xdr:spPr>
            <a:xfrm>
              <a:off x="7938826" y="588549"/>
              <a:ext cx="1116823" cy="239963"/>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100" b="1" u="none">
                  <a:solidFill>
                    <a:schemeClr val="tx1"/>
                  </a:solidFill>
                </a:rPr>
                <a:t>PSDA Admin</a:t>
              </a:r>
            </a:p>
          </xdr:txBody>
        </xdr:sp>
      </xdr:grpSp>
      <xdr:sp macro="" textlink="">
        <xdr:nvSpPr>
          <xdr:cNvPr id="27" name="Rectangle 26">
            <a:hlinkClick xmlns:r="http://schemas.openxmlformats.org/officeDocument/2006/relationships" r:id="rId16"/>
            <a:extLst>
              <a:ext uri="{FF2B5EF4-FFF2-40B4-BE49-F238E27FC236}">
                <a16:creationId xmlns:a16="http://schemas.microsoft.com/office/drawing/2014/main" id="{BC71A2F0-2137-C004-E36F-ACB420067B23}"/>
              </a:ext>
            </a:extLst>
          </xdr:cNvPr>
          <xdr:cNvSpPr/>
        </xdr:nvSpPr>
        <xdr:spPr>
          <a:xfrm>
            <a:off x="9186013" y="579857"/>
            <a:ext cx="1580849" cy="253436"/>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mc:AlternateContent xmlns:mc="http://schemas.openxmlformats.org/markup-compatibility/2006">
    <mc:Choice xmlns:a14="http://schemas.microsoft.com/office/drawing/2010/main" Requires="a14">
      <xdr:twoCellAnchor editAs="oneCell">
        <xdr:from>
          <xdr:col>5</xdr:col>
          <xdr:colOff>0</xdr:colOff>
          <xdr:row>70</xdr:row>
          <xdr:rowOff>7620</xdr:rowOff>
        </xdr:from>
        <xdr:to>
          <xdr:col>10</xdr:col>
          <xdr:colOff>0</xdr:colOff>
          <xdr:row>70</xdr:row>
          <xdr:rowOff>228600</xdr:rowOff>
        </xdr:to>
        <xdr:sp macro="" textlink="">
          <xdr:nvSpPr>
            <xdr:cNvPr id="165900" name="Drop Down 12" hidden="1">
              <a:extLst>
                <a:ext uri="{63B3BB69-23CF-44E3-9099-C40C66FF867C}">
                  <a14:compatExt spid="_x0000_s165900"/>
                </a:ext>
                <a:ext uri="{FF2B5EF4-FFF2-40B4-BE49-F238E27FC236}">
                  <a16:creationId xmlns:a16="http://schemas.microsoft.com/office/drawing/2014/main" id="{00000000-0008-0000-0400-00000C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5</xdr:col>
          <xdr:colOff>525780</xdr:colOff>
          <xdr:row>4</xdr:row>
          <xdr:rowOff>30480</xdr:rowOff>
        </xdr:to>
        <xdr:sp macro="" textlink="">
          <xdr:nvSpPr>
            <xdr:cNvPr id="25601" name="Group Box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21</a:t>
              </a:r>
            </a:p>
          </xdr:txBody>
        </xdr:sp>
        <xdr:clientData/>
      </xdr:twoCellAnchor>
    </mc:Choice>
    <mc:Fallback/>
  </mc:AlternateContent>
  <xdr:twoCellAnchor>
    <xdr:from>
      <xdr:col>9</xdr:col>
      <xdr:colOff>21592</xdr:colOff>
      <xdr:row>0</xdr:row>
      <xdr:rowOff>966278</xdr:rowOff>
    </xdr:from>
    <xdr:to>
      <xdr:col>9</xdr:col>
      <xdr:colOff>389889</xdr:colOff>
      <xdr:row>0</xdr:row>
      <xdr:rowOff>1395569</xdr:rowOff>
    </xdr:to>
    <xdr:pic macro="[0]!open_part_e">
      <xdr:nvPicPr>
        <xdr:cNvPr id="15" name="Graphic 70" descr="Coins">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00685" y="966278"/>
          <a:ext cx="368297" cy="42929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388</xdr:row>
          <xdr:rowOff>0</xdr:rowOff>
        </xdr:from>
        <xdr:to>
          <xdr:col>5</xdr:col>
          <xdr:colOff>525780</xdr:colOff>
          <xdr:row>389</xdr:row>
          <xdr:rowOff>38100</xdr:rowOff>
        </xdr:to>
        <xdr:sp macro="" textlink="">
          <xdr:nvSpPr>
            <xdr:cNvPr id="25603" name="Group Box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21</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678180</xdr:colOff>
          <xdr:row>1</xdr:row>
          <xdr:rowOff>60960</xdr:rowOff>
        </xdr:from>
        <xdr:to>
          <xdr:col>12</xdr:col>
          <xdr:colOff>327660</xdr:colOff>
          <xdr:row>1</xdr:row>
          <xdr:rowOff>289560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500-000004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1" i="0" u="none" strike="noStrike" baseline="0">
                  <a:solidFill>
                    <a:srgbClr val="000000"/>
                  </a:solidFill>
                  <a:latin typeface="Calibri"/>
                  <a:ea typeface="Calibri"/>
                  <a:cs typeface="Calibri"/>
                </a:rPr>
                <a:t>Override Default UoM oncosts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830580</xdr:colOff>
          <xdr:row>1</xdr:row>
          <xdr:rowOff>38100</xdr:rowOff>
        </xdr:from>
        <xdr:to>
          <xdr:col>12</xdr:col>
          <xdr:colOff>830580</xdr:colOff>
          <xdr:row>1</xdr:row>
          <xdr:rowOff>289560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500-000005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1" i="0" u="none" strike="noStrike" baseline="0">
                  <a:solidFill>
                    <a:srgbClr val="000000"/>
                  </a:solidFill>
                  <a:latin typeface="Calibri"/>
                  <a:ea typeface="Calibri"/>
                  <a:cs typeface="Calibri"/>
                </a:rPr>
                <a:t>Reset Oncosts to UoM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388</xdr:row>
          <xdr:rowOff>0</xdr:rowOff>
        </xdr:from>
        <xdr:to>
          <xdr:col>5</xdr:col>
          <xdr:colOff>525780</xdr:colOff>
          <xdr:row>389</xdr:row>
          <xdr:rowOff>38100</xdr:rowOff>
        </xdr:to>
        <xdr:sp macro="" textlink="">
          <xdr:nvSpPr>
            <xdr:cNvPr id="25607" name="Group Box 7" hidden="1">
              <a:extLst>
                <a:ext uri="{63B3BB69-23CF-44E3-9099-C40C66FF867C}">
                  <a14:compatExt spid="_x0000_s25607"/>
                </a:ext>
                <a:ext uri="{FF2B5EF4-FFF2-40B4-BE49-F238E27FC236}">
                  <a16:creationId xmlns:a16="http://schemas.microsoft.com/office/drawing/2014/main" id="{00000000-0008-0000-0500-000007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388</xdr:row>
          <xdr:rowOff>0</xdr:rowOff>
        </xdr:from>
        <xdr:to>
          <xdr:col>5</xdr:col>
          <xdr:colOff>525780</xdr:colOff>
          <xdr:row>389</xdr:row>
          <xdr:rowOff>38100</xdr:rowOff>
        </xdr:to>
        <xdr:sp macro="" textlink="">
          <xdr:nvSpPr>
            <xdr:cNvPr id="25608" name="Group Box 8" hidden="1">
              <a:extLst>
                <a:ext uri="{63B3BB69-23CF-44E3-9099-C40C66FF867C}">
                  <a14:compatExt spid="_x0000_s25608"/>
                </a:ext>
                <a:ext uri="{FF2B5EF4-FFF2-40B4-BE49-F238E27FC236}">
                  <a16:creationId xmlns:a16="http://schemas.microsoft.com/office/drawing/2014/main" id="{00000000-0008-0000-0500-000008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21</a:t>
              </a:r>
            </a:p>
          </xdr:txBody>
        </xdr:sp>
        <xdr:clientData/>
      </xdr:twoCellAnchor>
    </mc:Choice>
    <mc:Fallback/>
  </mc:AlternateContent>
  <xdr:twoCellAnchor editAs="oneCell">
    <xdr:from>
      <xdr:col>0</xdr:col>
      <xdr:colOff>796599</xdr:colOff>
      <xdr:row>0</xdr:row>
      <xdr:rowOff>22415</xdr:rowOff>
    </xdr:from>
    <xdr:to>
      <xdr:col>0</xdr:col>
      <xdr:colOff>1284419</xdr:colOff>
      <xdr:row>0</xdr:row>
      <xdr:rowOff>485105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3"/>
        <a:stretch>
          <a:fillRect/>
        </a:stretch>
      </xdr:blipFill>
      <xdr:spPr>
        <a:xfrm>
          <a:off x="796599" y="22415"/>
          <a:ext cx="489725" cy="439830"/>
        </a:xfrm>
        <a:prstGeom prst="rect">
          <a:avLst/>
        </a:prstGeom>
      </xdr:spPr>
    </xdr:pic>
    <xdr:clientData/>
  </xdr:twoCellAnchor>
  <xdr:twoCellAnchor>
    <xdr:from>
      <xdr:col>0</xdr:col>
      <xdr:colOff>1554244</xdr:colOff>
      <xdr:row>0</xdr:row>
      <xdr:rowOff>251458</xdr:rowOff>
    </xdr:from>
    <xdr:to>
      <xdr:col>8</xdr:col>
      <xdr:colOff>2693699</xdr:colOff>
      <xdr:row>0</xdr:row>
      <xdr:rowOff>499108</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554244" y="251458"/>
          <a:ext cx="974289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0</xdr:col>
      <xdr:colOff>32472</xdr:colOff>
      <xdr:row>6</xdr:row>
      <xdr:rowOff>54119</xdr:rowOff>
    </xdr:from>
    <xdr:to>
      <xdr:col>0</xdr:col>
      <xdr:colOff>1292472</xdr:colOff>
      <xdr:row>14</xdr:row>
      <xdr:rowOff>160166</xdr:rowOff>
    </xdr:to>
    <xdr:grpSp>
      <xdr:nvGrpSpPr>
        <xdr:cNvPr id="2" name="Group 1">
          <a:extLst>
            <a:ext uri="{FF2B5EF4-FFF2-40B4-BE49-F238E27FC236}">
              <a16:creationId xmlns:a16="http://schemas.microsoft.com/office/drawing/2014/main" id="{FD01F102-0953-403C-AA9A-A8105A3BA4DC}"/>
            </a:ext>
          </a:extLst>
        </xdr:cNvPr>
        <xdr:cNvGrpSpPr/>
      </xdr:nvGrpSpPr>
      <xdr:grpSpPr>
        <a:xfrm>
          <a:off x="32472" y="1898505"/>
          <a:ext cx="1260000" cy="1621388"/>
          <a:chOff x="56346" y="1519687"/>
          <a:chExt cx="1267617" cy="1648297"/>
        </a:xfrm>
      </xdr:grpSpPr>
      <xdr:grpSp>
        <xdr:nvGrpSpPr>
          <xdr:cNvPr id="9" name="Group 8">
            <a:extLst>
              <a:ext uri="{FF2B5EF4-FFF2-40B4-BE49-F238E27FC236}">
                <a16:creationId xmlns:a16="http://schemas.microsoft.com/office/drawing/2014/main" id="{3ACC5456-8FFE-818E-88EB-9741F79DF5B9}"/>
              </a:ext>
            </a:extLst>
          </xdr:cNvPr>
          <xdr:cNvGrpSpPr/>
        </xdr:nvGrpSpPr>
        <xdr:grpSpPr>
          <a:xfrm>
            <a:off x="56346" y="1519687"/>
            <a:ext cx="1267617" cy="1303341"/>
            <a:chOff x="-5232" y="1484394"/>
            <a:chExt cx="1282892" cy="1309025"/>
          </a:xfrm>
        </xdr:grpSpPr>
        <xdr:sp macro="" textlink="">
          <xdr:nvSpPr>
            <xdr:cNvPr id="11" name="Rectangle 10">
              <a:hlinkClick xmlns:r="http://schemas.openxmlformats.org/officeDocument/2006/relationships" r:id="rId4"/>
              <a:extLst>
                <a:ext uri="{FF2B5EF4-FFF2-40B4-BE49-F238E27FC236}">
                  <a16:creationId xmlns:a16="http://schemas.microsoft.com/office/drawing/2014/main" id="{ED811E06-8AC6-62DF-8D65-7F23CBAB4C19}"/>
                </a:ext>
              </a:extLst>
            </xdr:cNvPr>
            <xdr:cNvSpPr/>
          </xdr:nvSpPr>
          <xdr:spPr>
            <a:xfrm>
              <a:off x="-5232" y="148439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2" name="Rectangle 11">
              <a:hlinkClick xmlns:r="http://schemas.openxmlformats.org/officeDocument/2006/relationships" r:id="rId5"/>
              <a:extLst>
                <a:ext uri="{FF2B5EF4-FFF2-40B4-BE49-F238E27FC236}">
                  <a16:creationId xmlns:a16="http://schemas.microsoft.com/office/drawing/2014/main" id="{230FF44F-548E-01B9-7D95-37ACF7568689}"/>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6" name="Rectangle 15">
              <a:hlinkClick xmlns:r="http://schemas.openxmlformats.org/officeDocument/2006/relationships" r:id="rId6"/>
              <a:extLst>
                <a:ext uri="{FF2B5EF4-FFF2-40B4-BE49-F238E27FC236}">
                  <a16:creationId xmlns:a16="http://schemas.microsoft.com/office/drawing/2014/main" id="{05544BC9-6082-05B6-2008-417E3B3C0492}"/>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21" name="Rectangle 20">
              <a:hlinkClick xmlns:r="http://schemas.openxmlformats.org/officeDocument/2006/relationships" r:id="rId7"/>
              <a:extLst>
                <a:ext uri="{FF2B5EF4-FFF2-40B4-BE49-F238E27FC236}">
                  <a16:creationId xmlns:a16="http://schemas.microsoft.com/office/drawing/2014/main" id="{08CE6DE5-B0E7-CC77-F3A2-3E31C4A7B383}"/>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10" name="Rectangle 9">
            <a:hlinkClick xmlns:r="http://schemas.openxmlformats.org/officeDocument/2006/relationships" r:id="rId8"/>
            <a:extLst>
              <a:ext uri="{FF2B5EF4-FFF2-40B4-BE49-F238E27FC236}">
                <a16:creationId xmlns:a16="http://schemas.microsoft.com/office/drawing/2014/main" id="{8601F55C-2E96-649E-3726-923550EDF363}"/>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twoCellAnchor>
    <xdr:from>
      <xdr:col>1</xdr:col>
      <xdr:colOff>54119</xdr:colOff>
      <xdr:row>1</xdr:row>
      <xdr:rowOff>32472</xdr:rowOff>
    </xdr:from>
    <xdr:to>
      <xdr:col>8</xdr:col>
      <xdr:colOff>2395340</xdr:colOff>
      <xdr:row>1</xdr:row>
      <xdr:rowOff>302472</xdr:rowOff>
    </xdr:to>
    <xdr:grpSp>
      <xdr:nvGrpSpPr>
        <xdr:cNvPr id="22" name="Group 21">
          <a:extLst>
            <a:ext uri="{FF2B5EF4-FFF2-40B4-BE49-F238E27FC236}">
              <a16:creationId xmlns:a16="http://schemas.microsoft.com/office/drawing/2014/main" id="{9303013E-6ACB-4FEF-9ED8-08E08EB9C2CC}"/>
            </a:ext>
          </a:extLst>
        </xdr:cNvPr>
        <xdr:cNvGrpSpPr/>
      </xdr:nvGrpSpPr>
      <xdr:grpSpPr>
        <a:xfrm>
          <a:off x="1387619" y="526040"/>
          <a:ext cx="9355085" cy="270000"/>
          <a:chOff x="1994647" y="553121"/>
          <a:chExt cx="9290142" cy="262380"/>
        </a:xfrm>
      </xdr:grpSpPr>
      <xdr:sp macro="" textlink="">
        <xdr:nvSpPr>
          <xdr:cNvPr id="24" name="Rectangle 23">
            <a:hlinkClick xmlns:r="http://schemas.openxmlformats.org/officeDocument/2006/relationships" r:id="rId9"/>
            <a:extLst>
              <a:ext uri="{FF2B5EF4-FFF2-40B4-BE49-F238E27FC236}">
                <a16:creationId xmlns:a16="http://schemas.microsoft.com/office/drawing/2014/main" id="{F99F5F17-FA7B-C406-96B2-ADEA060E0874}"/>
              </a:ext>
            </a:extLst>
          </xdr:cNvPr>
          <xdr:cNvSpPr/>
        </xdr:nvSpPr>
        <xdr:spPr>
          <a:xfrm>
            <a:off x="1994647" y="553121"/>
            <a:ext cx="113750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Lookup tables</a:t>
            </a:r>
          </a:p>
        </xdr:txBody>
      </xdr:sp>
      <xdr:sp macro="" textlink="">
        <xdr:nvSpPr>
          <xdr:cNvPr id="25" name="Rectangle 24">
            <a:hlinkClick xmlns:r="http://schemas.openxmlformats.org/officeDocument/2006/relationships" r:id="rId10"/>
            <a:extLst>
              <a:ext uri="{FF2B5EF4-FFF2-40B4-BE49-F238E27FC236}">
                <a16:creationId xmlns:a16="http://schemas.microsoft.com/office/drawing/2014/main" id="{41F6FAB7-86A0-98D9-DB7D-2BCF1F7A288F}"/>
              </a:ext>
            </a:extLst>
          </xdr:cNvPr>
          <xdr:cNvSpPr/>
        </xdr:nvSpPr>
        <xdr:spPr>
          <a:xfrm>
            <a:off x="3213827" y="553121"/>
            <a:ext cx="1501021"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Oncosts Calculator</a:t>
            </a:r>
          </a:p>
        </xdr:txBody>
      </xdr:sp>
      <xdr:sp macro="" textlink="">
        <xdr:nvSpPr>
          <xdr:cNvPr id="27" name="Rectangle 26">
            <a:hlinkClick xmlns:r="http://schemas.openxmlformats.org/officeDocument/2006/relationships" r:id="rId11"/>
            <a:extLst>
              <a:ext uri="{FF2B5EF4-FFF2-40B4-BE49-F238E27FC236}">
                <a16:creationId xmlns:a16="http://schemas.microsoft.com/office/drawing/2014/main" id="{4500F042-84D7-F44B-36C2-DE9196B2CCE9}"/>
              </a:ext>
            </a:extLst>
          </xdr:cNvPr>
          <xdr:cNvSpPr/>
        </xdr:nvSpPr>
        <xdr:spPr>
          <a:xfrm>
            <a:off x="4784972" y="553121"/>
            <a:ext cx="2058815"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Internal Income Sharing Form</a:t>
            </a:r>
          </a:p>
        </xdr:txBody>
      </xdr:sp>
      <xdr:sp macro="" textlink="">
        <xdr:nvSpPr>
          <xdr:cNvPr id="28" name="Rectangle 27">
            <a:hlinkClick xmlns:r="http://schemas.openxmlformats.org/officeDocument/2006/relationships" r:id="rId12"/>
            <a:extLst>
              <a:ext uri="{FF2B5EF4-FFF2-40B4-BE49-F238E27FC236}">
                <a16:creationId xmlns:a16="http://schemas.microsoft.com/office/drawing/2014/main" id="{D3D5770A-832B-5541-7F00-01F65E0DFD0F}"/>
              </a:ext>
            </a:extLst>
          </xdr:cNvPr>
          <xdr:cNvSpPr/>
        </xdr:nvSpPr>
        <xdr:spPr>
          <a:xfrm>
            <a:off x="6901977" y="553121"/>
            <a:ext cx="154355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Standard Offer Letter</a:t>
            </a:r>
          </a:p>
        </xdr:txBody>
      </xdr:sp>
      <xdr:sp macro="" textlink="">
        <xdr:nvSpPr>
          <xdr:cNvPr id="30" name="Rectangle 29">
            <a:hlinkClick xmlns:r="http://schemas.openxmlformats.org/officeDocument/2006/relationships" r:id="rId13"/>
            <a:extLst>
              <a:ext uri="{FF2B5EF4-FFF2-40B4-BE49-F238E27FC236}">
                <a16:creationId xmlns:a16="http://schemas.microsoft.com/office/drawing/2014/main" id="{3E3E2F92-B8A4-4CCA-7336-BA8E9A066C92}"/>
              </a:ext>
            </a:extLst>
          </xdr:cNvPr>
          <xdr:cNvSpPr/>
        </xdr:nvSpPr>
        <xdr:spPr>
          <a:xfrm>
            <a:off x="8521398" y="553121"/>
            <a:ext cx="111591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PSDA Admin</a:t>
            </a:r>
          </a:p>
        </xdr:txBody>
      </xdr:sp>
      <xdr:sp macro="" textlink="">
        <xdr:nvSpPr>
          <xdr:cNvPr id="31" name="Rectangle 30">
            <a:hlinkClick xmlns:r="http://schemas.openxmlformats.org/officeDocument/2006/relationships" r:id="rId14"/>
            <a:extLst>
              <a:ext uri="{FF2B5EF4-FFF2-40B4-BE49-F238E27FC236}">
                <a16:creationId xmlns:a16="http://schemas.microsoft.com/office/drawing/2014/main" id="{38700B91-2634-D3E5-7B99-5586D681F284}"/>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24765</xdr:colOff>
      <xdr:row>2</xdr:row>
      <xdr:rowOff>133350</xdr:rowOff>
    </xdr:from>
    <xdr:ext cx="3553132" cy="280205"/>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4765" y="1400175"/>
          <a:ext cx="355313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hangingPunct="0"/>
          <a:r>
            <a:rPr lang="en-AU" sz="1200" b="1">
              <a:solidFill>
                <a:schemeClr val="bg1"/>
              </a:solidFill>
              <a:effectLst/>
              <a:latin typeface="+mn-lt"/>
              <a:ea typeface="+mn-ea"/>
              <a:cs typeface="+mn-cs"/>
            </a:rPr>
            <a:t>Research, Innovation &amp; Commercialisation (RIC)</a:t>
          </a:r>
          <a:endParaRPr lang="en-US" sz="1200">
            <a:solidFill>
              <a:schemeClr val="bg1"/>
            </a:solidFill>
            <a:effectLst/>
            <a:latin typeface="+mn-lt"/>
            <a:ea typeface="+mn-ea"/>
            <a:cs typeface="+mn-cs"/>
          </a:endParaRPr>
        </a:p>
      </xdr:txBody>
    </xdr:sp>
    <xdr:clientData/>
  </xdr:oneCellAnchor>
  <xdr:oneCellAnchor>
    <xdr:from>
      <xdr:col>1</xdr:col>
      <xdr:colOff>1431</xdr:colOff>
      <xdr:row>3</xdr:row>
      <xdr:rowOff>244643</xdr:rowOff>
    </xdr:from>
    <xdr:ext cx="8780619" cy="342786"/>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353981" y="1320968"/>
          <a:ext cx="878061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hangingPunct="0"/>
          <a:r>
            <a:rPr lang="en-AU" sz="1600" b="1">
              <a:solidFill>
                <a:schemeClr val="bg1"/>
              </a:solidFill>
              <a:effectLst/>
              <a:latin typeface="+mn-lt"/>
              <a:ea typeface="+mn-ea"/>
              <a:cs typeface="+mn-cs"/>
            </a:rPr>
            <a:t>Shared funding arrangements within University departments</a:t>
          </a:r>
          <a:endParaRPr lang="en-US" sz="1600" b="1">
            <a:solidFill>
              <a:schemeClr val="bg1"/>
            </a:solidFill>
            <a:effectLst/>
            <a:latin typeface="+mn-lt"/>
            <a:ea typeface="+mn-ea"/>
            <a:cs typeface="+mn-cs"/>
          </a:endParaRPr>
        </a:p>
      </xdr:txBody>
    </xdr:sp>
    <xdr:clientData/>
  </xdr:oneCellAnchor>
  <xdr:twoCellAnchor>
    <xdr:from>
      <xdr:col>1</xdr:col>
      <xdr:colOff>0</xdr:colOff>
      <xdr:row>20</xdr:row>
      <xdr:rowOff>381000</xdr:rowOff>
    </xdr:from>
    <xdr:to>
      <xdr:col>3</xdr:col>
      <xdr:colOff>122771</xdr:colOff>
      <xdr:row>21</xdr:row>
      <xdr:rowOff>95406</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0" y="6372225"/>
          <a:ext cx="1465796" cy="11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Insert Original dept. name:</a:t>
          </a:r>
          <a:endParaRPr lang="en-US" sz="650" b="0" i="1"/>
        </a:p>
      </xdr:txBody>
    </xdr:sp>
    <xdr:clientData/>
  </xdr:twoCellAnchor>
  <xdr:twoCellAnchor>
    <xdr:from>
      <xdr:col>1</xdr:col>
      <xdr:colOff>0</xdr:colOff>
      <xdr:row>21</xdr:row>
      <xdr:rowOff>406558</xdr:rowOff>
    </xdr:from>
    <xdr:to>
      <xdr:col>3</xdr:col>
      <xdr:colOff>124041</xdr:colOff>
      <xdr:row>22</xdr:row>
      <xdr:rowOff>142248</xdr:rowOff>
    </xdr:to>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0" y="4667408"/>
          <a:ext cx="1359116" cy="154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Insert Recipient dept. name:</a:t>
          </a:r>
          <a:endParaRPr lang="en-US" sz="650" b="0" i="1"/>
        </a:p>
      </xdr:txBody>
    </xdr:sp>
    <xdr:clientData/>
  </xdr:twoCellAnchor>
  <xdr:twoCellAnchor>
    <xdr:from>
      <xdr:col>1</xdr:col>
      <xdr:colOff>0</xdr:colOff>
      <xdr:row>22</xdr:row>
      <xdr:rowOff>404063</xdr:rowOff>
    </xdr:from>
    <xdr:to>
      <xdr:col>3</xdr:col>
      <xdr:colOff>120866</xdr:colOff>
      <xdr:row>23</xdr:row>
      <xdr:rowOff>152454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0" y="5084013"/>
          <a:ext cx="1362291" cy="164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Insert Recipient dept. name:</a:t>
          </a:r>
          <a:endParaRPr lang="en-US" sz="650" b="0" i="1"/>
        </a:p>
      </xdr:txBody>
    </xdr:sp>
    <xdr:clientData/>
  </xdr:twoCellAnchor>
  <xdr:twoCellAnchor>
    <xdr:from>
      <xdr:col>1</xdr:col>
      <xdr:colOff>0</xdr:colOff>
      <xdr:row>23</xdr:row>
      <xdr:rowOff>404356</xdr:rowOff>
    </xdr:from>
    <xdr:to>
      <xdr:col>3</xdr:col>
      <xdr:colOff>182761</xdr:colOff>
      <xdr:row>24</xdr:row>
      <xdr:rowOff>152746</xdr:rowOff>
    </xdr:to>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0" y="5503406"/>
          <a:ext cx="1417836" cy="164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(Add additional</a:t>
          </a:r>
          <a:r>
            <a:rPr lang="en-US" sz="650" b="0" i="1" baseline="0">
              <a:solidFill>
                <a:schemeClr val="dk1"/>
              </a:solidFill>
              <a:effectLst/>
              <a:latin typeface="+mn-lt"/>
              <a:ea typeface="+mn-ea"/>
              <a:cs typeface="+mn-cs"/>
            </a:rPr>
            <a:t> rows if required)</a:t>
          </a:r>
          <a:endParaRPr lang="en-US" sz="650" b="0" i="1"/>
        </a:p>
      </xdr:txBody>
    </xdr:sp>
    <xdr:clientData/>
  </xdr:twoCellAnchor>
  <xdr:twoCellAnchor>
    <xdr:from>
      <xdr:col>1</xdr:col>
      <xdr:colOff>0</xdr:colOff>
      <xdr:row>25</xdr:row>
      <xdr:rowOff>187325</xdr:rowOff>
    </xdr:from>
    <xdr:to>
      <xdr:col>2</xdr:col>
      <xdr:colOff>339319</xdr:colOff>
      <xdr:row>25</xdr:row>
      <xdr:rowOff>330303</xdr:rowOff>
    </xdr:to>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0" y="6121400"/>
          <a:ext cx="1050519" cy="146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1">
              <a:solidFill>
                <a:schemeClr val="dk1"/>
              </a:solidFill>
              <a:effectLst/>
              <a:latin typeface="+mn-lt"/>
              <a:ea typeface="+mn-ea"/>
              <a:cs typeface="+mn-cs"/>
            </a:rPr>
            <a:t>(excluding</a:t>
          </a:r>
          <a:r>
            <a:rPr lang="en-US" sz="900" b="0" i="1" baseline="0">
              <a:solidFill>
                <a:schemeClr val="dk1"/>
              </a:solidFill>
              <a:effectLst/>
              <a:latin typeface="+mn-lt"/>
              <a:ea typeface="+mn-ea"/>
              <a:cs typeface="+mn-cs"/>
            </a:rPr>
            <a:t> GST)</a:t>
          </a:r>
          <a:endParaRPr lang="en-US" sz="900" b="0" i="1"/>
        </a:p>
      </xdr:txBody>
    </xdr:sp>
    <xdr:clientData/>
  </xdr:twoCellAnchor>
  <xdr:twoCellAnchor>
    <xdr:from>
      <xdr:col>1</xdr:col>
      <xdr:colOff>1</xdr:colOff>
      <xdr:row>37</xdr:row>
      <xdr:rowOff>329521</xdr:rowOff>
    </xdr:from>
    <xdr:to>
      <xdr:col>3</xdr:col>
      <xdr:colOff>117692</xdr:colOff>
      <xdr:row>38</xdr:row>
      <xdr:rowOff>167778</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 y="10219646"/>
          <a:ext cx="1359116" cy="165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Original dept.</a:t>
          </a:r>
          <a:endParaRPr lang="en-US" sz="650" b="0" i="1"/>
        </a:p>
      </xdr:txBody>
    </xdr:sp>
    <xdr:clientData/>
  </xdr:twoCellAnchor>
  <xdr:twoCellAnchor>
    <xdr:from>
      <xdr:col>1</xdr:col>
      <xdr:colOff>1</xdr:colOff>
      <xdr:row>39</xdr:row>
      <xdr:rowOff>8537</xdr:rowOff>
    </xdr:from>
    <xdr:to>
      <xdr:col>3</xdr:col>
      <xdr:colOff>117692</xdr:colOff>
      <xdr:row>39</xdr:row>
      <xdr:rowOff>176232</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 y="10651137"/>
          <a:ext cx="1359116" cy="167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Recipient dept.</a:t>
          </a:r>
          <a:endParaRPr lang="en-US" sz="650" b="0" i="1"/>
        </a:p>
      </xdr:txBody>
    </xdr:sp>
    <xdr:clientData/>
  </xdr:twoCellAnchor>
  <xdr:twoCellAnchor>
    <xdr:from>
      <xdr:col>1</xdr:col>
      <xdr:colOff>1</xdr:colOff>
      <xdr:row>40</xdr:row>
      <xdr:rowOff>1828</xdr:rowOff>
    </xdr:from>
    <xdr:to>
      <xdr:col>3</xdr:col>
      <xdr:colOff>179587</xdr:colOff>
      <xdr:row>40</xdr:row>
      <xdr:rowOff>169523</xdr:rowOff>
    </xdr:to>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1" y="11060353"/>
          <a:ext cx="1421011" cy="167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50" b="0" i="1">
              <a:solidFill>
                <a:schemeClr val="dk1"/>
              </a:solidFill>
              <a:effectLst/>
              <a:latin typeface="+mn-lt"/>
              <a:ea typeface="+mn-ea"/>
              <a:cs typeface="+mn-cs"/>
            </a:rPr>
            <a:t>(Add additional</a:t>
          </a:r>
          <a:r>
            <a:rPr lang="en-US" sz="650" b="0" i="1" baseline="0">
              <a:solidFill>
                <a:schemeClr val="dk1"/>
              </a:solidFill>
              <a:effectLst/>
              <a:latin typeface="+mn-lt"/>
              <a:ea typeface="+mn-ea"/>
              <a:cs typeface="+mn-cs"/>
            </a:rPr>
            <a:t> rows if required)</a:t>
          </a:r>
          <a:endParaRPr lang="en-US" sz="650" b="0" i="1"/>
        </a:p>
      </xdr:txBody>
    </xdr:sp>
    <xdr:clientData/>
  </xdr:twoCellAnchor>
  <xdr:twoCellAnchor>
    <xdr:from>
      <xdr:col>1</xdr:col>
      <xdr:colOff>0</xdr:colOff>
      <xdr:row>24</xdr:row>
      <xdr:rowOff>373900</xdr:rowOff>
    </xdr:from>
    <xdr:to>
      <xdr:col>5</xdr:col>
      <xdr:colOff>268851</xdr:colOff>
      <xdr:row>25</xdr:row>
      <xdr:rowOff>287389</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0" y="5885700"/>
          <a:ext cx="2726301" cy="335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a:solidFill>
                <a:schemeClr val="dk1"/>
              </a:solidFill>
              <a:effectLst/>
              <a:latin typeface="+mn-lt"/>
              <a:ea typeface="+mn-ea"/>
              <a:cs typeface="+mn-cs"/>
            </a:rPr>
            <a:t>Insert total</a:t>
          </a:r>
          <a:r>
            <a:rPr lang="en-US" sz="1000" b="1" i="0" baseline="0">
              <a:solidFill>
                <a:schemeClr val="dk1"/>
              </a:solidFill>
              <a:effectLst/>
              <a:latin typeface="+mn-lt"/>
              <a:ea typeface="+mn-ea"/>
              <a:cs typeface="+mn-cs"/>
            </a:rPr>
            <a:t> </a:t>
          </a:r>
          <a:r>
            <a:rPr lang="en-US" sz="1000" b="1" i="0">
              <a:solidFill>
                <a:schemeClr val="dk1"/>
              </a:solidFill>
              <a:effectLst/>
              <a:latin typeface="+mn-lt"/>
              <a:ea typeface="+mn-ea"/>
              <a:cs typeface="+mn-cs"/>
            </a:rPr>
            <a:t>amount</a:t>
          </a:r>
          <a:r>
            <a:rPr lang="en-US" sz="1000" b="1" i="0" baseline="0">
              <a:solidFill>
                <a:schemeClr val="dk1"/>
              </a:solidFill>
              <a:effectLst/>
              <a:latin typeface="+mn-lt"/>
              <a:ea typeface="+mn-ea"/>
              <a:cs typeface="+mn-cs"/>
            </a:rPr>
            <a:t> </a:t>
          </a:r>
          <a:r>
            <a:rPr lang="en-US" sz="1000" b="1" i="0">
              <a:solidFill>
                <a:schemeClr val="dk1"/>
              </a:solidFill>
              <a:effectLst/>
              <a:latin typeface="+mn-lt"/>
              <a:ea typeface="+mn-ea"/>
              <a:cs typeface="+mn-cs"/>
            </a:rPr>
            <a:t>awarded per year</a:t>
          </a:r>
          <a:endParaRPr lang="en-US" sz="1000" b="1" i="0"/>
        </a:p>
      </xdr:txBody>
    </xdr:sp>
    <xdr:clientData/>
  </xdr:twoCellAnchor>
  <xdr:oneCellAnchor>
    <xdr:from>
      <xdr:col>12</xdr:col>
      <xdr:colOff>76814</xdr:colOff>
      <xdr:row>30</xdr:row>
      <xdr:rowOff>268851</xdr:rowOff>
    </xdr:from>
    <xdr:ext cx="184731" cy="264560"/>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6563339" y="805077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2</xdr:col>
      <xdr:colOff>35742</xdr:colOff>
      <xdr:row>31</xdr:row>
      <xdr:rowOff>53770</xdr:rowOff>
    </xdr:from>
    <xdr:to>
      <xdr:col>6</xdr:col>
      <xdr:colOff>145946</xdr:colOff>
      <xdr:row>32</xdr:row>
      <xdr:rowOff>9524</xdr:rowOff>
    </xdr:to>
    <xdr:sp macro="" textlink="">
      <xdr:nvSpPr>
        <xdr:cNvPr id="27" name="TextBox 26">
          <a:hlinkClick xmlns:r="http://schemas.openxmlformats.org/officeDocument/2006/relationships" r:id="rId1"/>
          <a:extLst>
            <a:ext uri="{FF2B5EF4-FFF2-40B4-BE49-F238E27FC236}">
              <a16:creationId xmlns:a16="http://schemas.microsoft.com/office/drawing/2014/main" id="{00000000-0008-0000-0700-00001B000000}"/>
            </a:ext>
          </a:extLst>
        </xdr:cNvPr>
        <xdr:cNvSpPr txBox="1"/>
      </xdr:nvSpPr>
      <xdr:spPr>
        <a:xfrm>
          <a:off x="750117" y="8156370"/>
          <a:ext cx="2459704" cy="181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u="sng">
              <a:solidFill>
                <a:srgbClr val="0000FF"/>
              </a:solidFill>
              <a:latin typeface="Arial Narrow" panose="020B0606020202030204" pitchFamily="34" charset="0"/>
            </a:rPr>
            <a:t>ResAcc-NHMRC@unimelb.edu.au</a:t>
          </a:r>
        </a:p>
      </xdr:txBody>
    </xdr:sp>
    <xdr:clientData/>
  </xdr:twoCellAnchor>
  <xdr:oneCellAnchor>
    <xdr:from>
      <xdr:col>12</xdr:col>
      <xdr:colOff>76814</xdr:colOff>
      <xdr:row>31</xdr:row>
      <xdr:rowOff>268851</xdr:rowOff>
    </xdr:from>
    <xdr:ext cx="184731" cy="264560"/>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6563339" y="832700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xdr:col>
      <xdr:colOff>550399</xdr:colOff>
      <xdr:row>32</xdr:row>
      <xdr:rowOff>53771</xdr:rowOff>
    </xdr:from>
    <xdr:to>
      <xdr:col>5</xdr:col>
      <xdr:colOff>544050</xdr:colOff>
      <xdr:row>33</xdr:row>
      <xdr:rowOff>12188</xdr:rowOff>
    </xdr:to>
    <xdr:sp macro="" textlink="">
      <xdr:nvSpPr>
        <xdr:cNvPr id="29" name="TextBox 28">
          <a:hlinkClick xmlns:r="http://schemas.openxmlformats.org/officeDocument/2006/relationships" r:id="rId2"/>
          <a:extLst>
            <a:ext uri="{FF2B5EF4-FFF2-40B4-BE49-F238E27FC236}">
              <a16:creationId xmlns:a16="http://schemas.microsoft.com/office/drawing/2014/main" id="{00000000-0008-0000-0700-00001D000000}"/>
            </a:ext>
          </a:extLst>
        </xdr:cNvPr>
        <xdr:cNvSpPr txBox="1"/>
      </xdr:nvSpPr>
      <xdr:spPr>
        <a:xfrm>
          <a:off x="550399" y="8375446"/>
          <a:ext cx="2447926" cy="196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u="sng">
              <a:solidFill>
                <a:srgbClr val="0000FF"/>
              </a:solidFill>
              <a:latin typeface="Arial Narrow" panose="020B0606020202030204" pitchFamily="34" charset="0"/>
            </a:rPr>
            <a:t>ResAcc-ARC@unimelb.edu.au</a:t>
          </a:r>
        </a:p>
      </xdr:txBody>
    </xdr:sp>
    <xdr:clientData/>
  </xdr:twoCellAnchor>
  <xdr:twoCellAnchor>
    <xdr:from>
      <xdr:col>0</xdr:col>
      <xdr:colOff>1434465</xdr:colOff>
      <xdr:row>0</xdr:row>
      <xdr:rowOff>262890</xdr:rowOff>
    </xdr:from>
    <xdr:to>
      <xdr:col>12</xdr:col>
      <xdr:colOff>533400</xdr:colOff>
      <xdr:row>0</xdr:row>
      <xdr:rowOff>520065</xdr:rowOff>
    </xdr:to>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1434465" y="262890"/>
          <a:ext cx="740473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editAs="oneCell">
    <xdr:from>
      <xdr:col>0</xdr:col>
      <xdr:colOff>756285</xdr:colOff>
      <xdr:row>0</xdr:row>
      <xdr:rowOff>45720</xdr:rowOff>
    </xdr:from>
    <xdr:to>
      <xdr:col>0</xdr:col>
      <xdr:colOff>1274445</xdr:colOff>
      <xdr:row>0</xdr:row>
      <xdr:rowOff>516316</xdr:rowOff>
    </xdr:to>
    <xdr:pic>
      <xdr:nvPicPr>
        <xdr:cNvPr id="22" name="Picture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3"/>
        <a:stretch>
          <a:fillRect/>
        </a:stretch>
      </xdr:blipFill>
      <xdr:spPr>
        <a:xfrm>
          <a:off x="756285" y="45720"/>
          <a:ext cx="523875" cy="461071"/>
        </a:xfrm>
        <a:prstGeom prst="rect">
          <a:avLst/>
        </a:prstGeom>
      </xdr:spPr>
    </xdr:pic>
    <xdr:clientData/>
  </xdr:twoCellAnchor>
  <xdr:twoCellAnchor>
    <xdr:from>
      <xdr:col>1</xdr:col>
      <xdr:colOff>19050</xdr:colOff>
      <xdr:row>1</xdr:row>
      <xdr:rowOff>38100</xdr:rowOff>
    </xdr:from>
    <xdr:to>
      <xdr:col>15</xdr:col>
      <xdr:colOff>12792</xdr:colOff>
      <xdr:row>1</xdr:row>
      <xdr:rowOff>308100</xdr:rowOff>
    </xdr:to>
    <xdr:grpSp>
      <xdr:nvGrpSpPr>
        <xdr:cNvPr id="3" name="Group 2">
          <a:extLst>
            <a:ext uri="{FF2B5EF4-FFF2-40B4-BE49-F238E27FC236}">
              <a16:creationId xmlns:a16="http://schemas.microsoft.com/office/drawing/2014/main" id="{C7CFA260-93E6-4B7A-8D04-0F8921918A95}"/>
            </a:ext>
          </a:extLst>
        </xdr:cNvPr>
        <xdr:cNvGrpSpPr/>
      </xdr:nvGrpSpPr>
      <xdr:grpSpPr>
        <a:xfrm>
          <a:off x="1367790" y="601980"/>
          <a:ext cx="8865870" cy="270000"/>
          <a:chOff x="1994647" y="553121"/>
          <a:chExt cx="9290142" cy="262380"/>
        </a:xfrm>
      </xdr:grpSpPr>
      <xdr:sp macro="" textlink="">
        <xdr:nvSpPr>
          <xdr:cNvPr id="5" name="Rectangle 4">
            <a:hlinkClick xmlns:r="http://schemas.openxmlformats.org/officeDocument/2006/relationships" r:id="rId4"/>
            <a:extLst>
              <a:ext uri="{FF2B5EF4-FFF2-40B4-BE49-F238E27FC236}">
                <a16:creationId xmlns:a16="http://schemas.microsoft.com/office/drawing/2014/main" id="{4169E2BA-C693-3A12-E2CE-F5E9830D67BA}"/>
              </a:ext>
            </a:extLst>
          </xdr:cNvPr>
          <xdr:cNvSpPr/>
        </xdr:nvSpPr>
        <xdr:spPr>
          <a:xfrm>
            <a:off x="1994647" y="553121"/>
            <a:ext cx="113750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Lookup tables</a:t>
            </a:r>
          </a:p>
        </xdr:txBody>
      </xdr:sp>
      <xdr:sp macro="" textlink="">
        <xdr:nvSpPr>
          <xdr:cNvPr id="10" name="Rectangle 9">
            <a:hlinkClick xmlns:r="http://schemas.openxmlformats.org/officeDocument/2006/relationships" r:id="rId5"/>
            <a:extLst>
              <a:ext uri="{FF2B5EF4-FFF2-40B4-BE49-F238E27FC236}">
                <a16:creationId xmlns:a16="http://schemas.microsoft.com/office/drawing/2014/main" id="{A81EEA7B-3FB5-7111-27F1-24D71DA5CDA1}"/>
              </a:ext>
            </a:extLst>
          </xdr:cNvPr>
          <xdr:cNvSpPr/>
        </xdr:nvSpPr>
        <xdr:spPr>
          <a:xfrm>
            <a:off x="3213827" y="553121"/>
            <a:ext cx="150102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Oncosts Calculator</a:t>
            </a:r>
          </a:p>
        </xdr:txBody>
      </xdr:sp>
      <xdr:sp macro="" textlink="">
        <xdr:nvSpPr>
          <xdr:cNvPr id="12" name="Rectangle 11">
            <a:hlinkClick xmlns:r="http://schemas.openxmlformats.org/officeDocument/2006/relationships" r:id="rId6"/>
            <a:extLst>
              <a:ext uri="{FF2B5EF4-FFF2-40B4-BE49-F238E27FC236}">
                <a16:creationId xmlns:a16="http://schemas.microsoft.com/office/drawing/2014/main" id="{35179DF4-6DED-0F96-3CEC-83B071723D87}"/>
              </a:ext>
            </a:extLst>
          </xdr:cNvPr>
          <xdr:cNvSpPr/>
        </xdr:nvSpPr>
        <xdr:spPr>
          <a:xfrm>
            <a:off x="4784972" y="553121"/>
            <a:ext cx="2058815"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Internal Income Sharing Form</a:t>
            </a:r>
          </a:p>
        </xdr:txBody>
      </xdr:sp>
      <xdr:sp macro="" textlink="">
        <xdr:nvSpPr>
          <xdr:cNvPr id="13" name="Rectangle 12">
            <a:hlinkClick xmlns:r="http://schemas.openxmlformats.org/officeDocument/2006/relationships" r:id="rId7"/>
            <a:extLst>
              <a:ext uri="{FF2B5EF4-FFF2-40B4-BE49-F238E27FC236}">
                <a16:creationId xmlns:a16="http://schemas.microsoft.com/office/drawing/2014/main" id="{2295F8F8-DEDD-FA64-29C3-969948CF3661}"/>
              </a:ext>
            </a:extLst>
          </xdr:cNvPr>
          <xdr:cNvSpPr/>
        </xdr:nvSpPr>
        <xdr:spPr>
          <a:xfrm>
            <a:off x="6901977" y="553121"/>
            <a:ext cx="154355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Standard Offer Letter</a:t>
            </a:r>
          </a:p>
        </xdr:txBody>
      </xdr:sp>
      <xdr:sp macro="" textlink="">
        <xdr:nvSpPr>
          <xdr:cNvPr id="30" name="Rectangle 29">
            <a:hlinkClick xmlns:r="http://schemas.openxmlformats.org/officeDocument/2006/relationships" r:id="rId8"/>
            <a:extLst>
              <a:ext uri="{FF2B5EF4-FFF2-40B4-BE49-F238E27FC236}">
                <a16:creationId xmlns:a16="http://schemas.microsoft.com/office/drawing/2014/main" id="{5B439B04-D0E4-E3F5-6964-5CA07F107F05}"/>
              </a:ext>
            </a:extLst>
          </xdr:cNvPr>
          <xdr:cNvSpPr/>
        </xdr:nvSpPr>
        <xdr:spPr>
          <a:xfrm>
            <a:off x="8521398" y="553121"/>
            <a:ext cx="111591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PSDA Admin</a:t>
            </a:r>
          </a:p>
        </xdr:txBody>
      </xdr:sp>
      <xdr:sp macro="" textlink="">
        <xdr:nvSpPr>
          <xdr:cNvPr id="31" name="Rectangle 30">
            <a:hlinkClick xmlns:r="http://schemas.openxmlformats.org/officeDocument/2006/relationships" r:id="rId9"/>
            <a:extLst>
              <a:ext uri="{FF2B5EF4-FFF2-40B4-BE49-F238E27FC236}">
                <a16:creationId xmlns:a16="http://schemas.microsoft.com/office/drawing/2014/main" id="{6326DA17-FB7A-8FBF-5746-1BAA1355BC21}"/>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twoCellAnchor>
    <xdr:from>
      <xdr:col>0</xdr:col>
      <xdr:colOff>38100</xdr:colOff>
      <xdr:row>6</xdr:row>
      <xdr:rowOff>47625</xdr:rowOff>
    </xdr:from>
    <xdr:to>
      <xdr:col>0</xdr:col>
      <xdr:colOff>1301910</xdr:colOff>
      <xdr:row>13</xdr:row>
      <xdr:rowOff>66675</xdr:rowOff>
    </xdr:to>
    <xdr:grpSp>
      <xdr:nvGrpSpPr>
        <xdr:cNvPr id="32" name="Group 31">
          <a:extLst>
            <a:ext uri="{FF2B5EF4-FFF2-40B4-BE49-F238E27FC236}">
              <a16:creationId xmlns:a16="http://schemas.microsoft.com/office/drawing/2014/main" id="{31AEB098-5B8E-4FD8-8C40-C8E4FA9E53E2}"/>
            </a:ext>
          </a:extLst>
        </xdr:cNvPr>
        <xdr:cNvGrpSpPr/>
      </xdr:nvGrpSpPr>
      <xdr:grpSpPr>
        <a:xfrm>
          <a:off x="38100" y="1701165"/>
          <a:ext cx="1263810" cy="1634490"/>
          <a:chOff x="56346" y="1519687"/>
          <a:chExt cx="1267617" cy="1648297"/>
        </a:xfrm>
      </xdr:grpSpPr>
      <xdr:grpSp>
        <xdr:nvGrpSpPr>
          <xdr:cNvPr id="33" name="Group 32">
            <a:extLst>
              <a:ext uri="{FF2B5EF4-FFF2-40B4-BE49-F238E27FC236}">
                <a16:creationId xmlns:a16="http://schemas.microsoft.com/office/drawing/2014/main" id="{D243573B-9DE8-98AA-0D37-E4E07FC864FA}"/>
              </a:ext>
            </a:extLst>
          </xdr:cNvPr>
          <xdr:cNvGrpSpPr/>
        </xdr:nvGrpSpPr>
        <xdr:grpSpPr>
          <a:xfrm>
            <a:off x="56346" y="1519687"/>
            <a:ext cx="1267617" cy="1303341"/>
            <a:chOff x="-5232" y="1484394"/>
            <a:chExt cx="1282892" cy="1309025"/>
          </a:xfrm>
        </xdr:grpSpPr>
        <xdr:sp macro="" textlink="">
          <xdr:nvSpPr>
            <xdr:cNvPr id="41" name="Rectangle 40">
              <a:hlinkClick xmlns:r="http://schemas.openxmlformats.org/officeDocument/2006/relationships" r:id="rId10"/>
              <a:extLst>
                <a:ext uri="{FF2B5EF4-FFF2-40B4-BE49-F238E27FC236}">
                  <a16:creationId xmlns:a16="http://schemas.microsoft.com/office/drawing/2014/main" id="{28C965EF-C4F6-792F-678E-79A426FA9A41}"/>
                </a:ext>
              </a:extLst>
            </xdr:cNvPr>
            <xdr:cNvSpPr/>
          </xdr:nvSpPr>
          <xdr:spPr>
            <a:xfrm>
              <a:off x="-5232" y="148439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42" name="Rectangle 41">
              <a:hlinkClick xmlns:r="http://schemas.openxmlformats.org/officeDocument/2006/relationships" r:id="rId11"/>
              <a:extLst>
                <a:ext uri="{FF2B5EF4-FFF2-40B4-BE49-F238E27FC236}">
                  <a16:creationId xmlns:a16="http://schemas.microsoft.com/office/drawing/2014/main" id="{1C62A191-D48F-4900-3396-A00C8B788077}"/>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43" name="Rectangle 42">
              <a:hlinkClick xmlns:r="http://schemas.openxmlformats.org/officeDocument/2006/relationships" r:id="rId12"/>
              <a:extLst>
                <a:ext uri="{FF2B5EF4-FFF2-40B4-BE49-F238E27FC236}">
                  <a16:creationId xmlns:a16="http://schemas.microsoft.com/office/drawing/2014/main" id="{C9681611-EC17-7F46-B7C0-BAD2D57A7D3A}"/>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44" name="Rectangle 43">
              <a:hlinkClick xmlns:r="http://schemas.openxmlformats.org/officeDocument/2006/relationships" r:id="rId13"/>
              <a:extLst>
                <a:ext uri="{FF2B5EF4-FFF2-40B4-BE49-F238E27FC236}">
                  <a16:creationId xmlns:a16="http://schemas.microsoft.com/office/drawing/2014/main" id="{AFFB82CB-22DA-CAAF-3823-C0D154204592}"/>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40" name="Rectangle 39">
            <a:hlinkClick xmlns:r="http://schemas.openxmlformats.org/officeDocument/2006/relationships" r:id="rId14"/>
            <a:extLst>
              <a:ext uri="{FF2B5EF4-FFF2-40B4-BE49-F238E27FC236}">
                <a16:creationId xmlns:a16="http://schemas.microsoft.com/office/drawing/2014/main" id="{36805D61-DF7B-BE63-6090-7AA567F6FFE2}"/>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1331595</xdr:colOff>
      <xdr:row>0</xdr:row>
      <xdr:rowOff>238125</xdr:rowOff>
    </xdr:from>
    <xdr:to>
      <xdr:col>5</xdr:col>
      <xdr:colOff>72390</xdr:colOff>
      <xdr:row>0</xdr:row>
      <xdr:rowOff>493395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331595" y="238125"/>
          <a:ext cx="7282815" cy="255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editAs="oneCell">
    <xdr:from>
      <xdr:col>0</xdr:col>
      <xdr:colOff>798195</xdr:colOff>
      <xdr:row>0</xdr:row>
      <xdr:rowOff>19050</xdr:rowOff>
    </xdr:from>
    <xdr:to>
      <xdr:col>1</xdr:col>
      <xdr:colOff>1905</xdr:colOff>
      <xdr:row>0</xdr:row>
      <xdr:rowOff>476311</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a:stretch>
          <a:fillRect/>
        </a:stretch>
      </xdr:blipFill>
      <xdr:spPr>
        <a:xfrm>
          <a:off x="798195" y="19050"/>
          <a:ext cx="523875" cy="453451"/>
        </a:xfrm>
        <a:prstGeom prst="rect">
          <a:avLst/>
        </a:prstGeom>
      </xdr:spPr>
    </xdr:pic>
    <xdr:clientData/>
  </xdr:twoCellAnchor>
  <xdr:twoCellAnchor editAs="absolute">
    <xdr:from>
      <xdr:col>3</xdr:col>
      <xdr:colOff>857250</xdr:colOff>
      <xdr:row>2</xdr:row>
      <xdr:rowOff>83820</xdr:rowOff>
    </xdr:from>
    <xdr:to>
      <xdr:col>3</xdr:col>
      <xdr:colOff>1450916</xdr:colOff>
      <xdr:row>5</xdr:row>
      <xdr:rowOff>140275</xdr:rowOff>
    </xdr:to>
    <xdr:pic>
      <xdr:nvPicPr>
        <xdr:cNvPr id="5" name="Picture 4">
          <a:extLst>
            <a:ext uri="{FF2B5EF4-FFF2-40B4-BE49-F238E27FC236}">
              <a16:creationId xmlns:a16="http://schemas.microsoft.com/office/drawing/2014/main" id="{1A55721F-18AB-4FC6-9200-2D355E62FE40}"/>
            </a:ext>
            <a:ext uri="{147F2762-F138-4A5C-976F-8EAC2B608ADB}">
              <a16:predDERef xmlns:a16="http://schemas.microsoft.com/office/drawing/2014/main" pre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87415" y="996315"/>
          <a:ext cx="597476" cy="603190"/>
        </a:xfrm>
        <a:prstGeom prst="rect">
          <a:avLst/>
        </a:prstGeom>
      </xdr:spPr>
    </xdr:pic>
    <xdr:clientData/>
  </xdr:twoCellAnchor>
  <xdr:twoCellAnchor>
    <xdr:from>
      <xdr:col>4</xdr:col>
      <xdr:colOff>386716</xdr:colOff>
      <xdr:row>0</xdr:row>
      <xdr:rowOff>139066</xdr:rowOff>
    </xdr:from>
    <xdr:to>
      <xdr:col>6</xdr:col>
      <xdr:colOff>462916</xdr:colOff>
      <xdr:row>0</xdr:row>
      <xdr:rowOff>409499</xdr:rowOff>
    </xdr:to>
    <xdr:grpSp>
      <xdr:nvGrpSpPr>
        <xdr:cNvPr id="8" name="Group 7">
          <a:extLst>
            <a:ext uri="{FF2B5EF4-FFF2-40B4-BE49-F238E27FC236}">
              <a16:creationId xmlns:a16="http://schemas.microsoft.com/office/drawing/2014/main" id="{091589A2-6EF5-55D9-BB89-F95520B540D0}"/>
            </a:ext>
          </a:extLst>
        </xdr:cNvPr>
        <xdr:cNvGrpSpPr/>
      </xdr:nvGrpSpPr>
      <xdr:grpSpPr>
        <a:xfrm>
          <a:off x="7755256" y="139066"/>
          <a:ext cx="1828800" cy="270433"/>
          <a:chOff x="6410326" y="133351"/>
          <a:chExt cx="1826895" cy="270433"/>
        </a:xfrm>
      </xdr:grpSpPr>
      <xdr:sp macro="[0]!StandardOfferLetterToWord" textlink="">
        <xdr:nvSpPr>
          <xdr:cNvPr id="25" name="Rectangle 24">
            <a:extLst>
              <a:ext uri="{FF2B5EF4-FFF2-40B4-BE49-F238E27FC236}">
                <a16:creationId xmlns:a16="http://schemas.microsoft.com/office/drawing/2014/main" id="{EFBEFBAF-DD62-4840-A7FA-BEEC315B1B10}"/>
              </a:ext>
            </a:extLst>
          </xdr:cNvPr>
          <xdr:cNvSpPr/>
        </xdr:nvSpPr>
        <xdr:spPr>
          <a:xfrm>
            <a:off x="6410326" y="133351"/>
            <a:ext cx="1826895" cy="270433"/>
          </a:xfrm>
          <a:prstGeom prst="rect">
            <a:avLst/>
          </a:prstGeom>
          <a:solidFill>
            <a:srgbClr val="008080"/>
          </a:solidFill>
          <a:ln>
            <a:solidFill>
              <a:srgbClr val="00808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 lastClr="FFFFFF"/>
                </a:solidFill>
                <a:effectLst/>
                <a:uLnTx/>
                <a:uFillTx/>
                <a:latin typeface="Calibri"/>
                <a:ea typeface="+mn-ea"/>
                <a:cs typeface="+mn-cs"/>
              </a:rPr>
              <a:t>Export letter to MS Word</a:t>
            </a:r>
          </a:p>
        </xdr:txBody>
      </xdr:sp>
      <xdr:pic>
        <xdr:nvPicPr>
          <xdr:cNvPr id="4" name="Picture 3" descr="Word Icons PNG, Vector, PSD, and Clipart With Transparent Background for  Free Download | Pngtree">
            <a:extLst>
              <a:ext uri="{FF2B5EF4-FFF2-40B4-BE49-F238E27FC236}">
                <a16:creationId xmlns:a16="http://schemas.microsoft.com/office/drawing/2014/main" id="{A901F2CA-0C02-746A-EEEA-6B1A6D345161}"/>
              </a:ext>
            </a:extLst>
          </xdr:cNvPr>
          <xdr:cNvPicPr>
            <a:picLocks noChangeAspect="1" noChangeArrowheads="1"/>
          </xdr:cNvPicPr>
        </xdr:nvPicPr>
        <xdr:blipFill>
          <a:blip xmlns:r="http://schemas.openxmlformats.org/officeDocument/2006/relationships" r:embed="rId3" cstate="print">
            <a:alphaModFix/>
            <a:extLst>
              <a:ext uri="{BEBA8EAE-BF5A-486C-A8C5-ECC9F3942E4B}">
                <a14:imgProps xmlns:a14="http://schemas.microsoft.com/office/drawing/2010/main">
                  <a14:imgLayer r:embed="rId4">
                    <a14:imgEffect>
                      <a14:backgroundRemoval t="10000" b="90000" l="10000" r="90000">
                        <a14:backgroundMark x1="20968" y1="93443" x2="20968" y2="93443"/>
                      </a14:backgroundRemoval>
                    </a14:imgEffect>
                  </a14:imgLayer>
                </a14:imgProps>
              </a:ext>
              <a:ext uri="{28A0092B-C50C-407E-A947-70E740481C1C}">
                <a14:useLocalDpi xmlns:a14="http://schemas.microsoft.com/office/drawing/2010/main" val="0"/>
              </a:ext>
            </a:extLst>
          </a:blip>
          <a:srcRect/>
          <a:stretch>
            <a:fillRect/>
          </a:stretch>
        </xdr:blipFill>
        <xdr:spPr bwMode="auto">
          <a:xfrm>
            <a:off x="6419850" y="141836"/>
            <a:ext cx="255270" cy="26011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38100</xdr:colOff>
      <xdr:row>2</xdr:row>
      <xdr:rowOff>66675</xdr:rowOff>
    </xdr:from>
    <xdr:to>
      <xdr:col>0</xdr:col>
      <xdr:colOff>1301910</xdr:colOff>
      <xdr:row>8</xdr:row>
      <xdr:rowOff>131764</xdr:rowOff>
    </xdr:to>
    <xdr:grpSp>
      <xdr:nvGrpSpPr>
        <xdr:cNvPr id="2" name="Group 1">
          <a:extLst>
            <a:ext uri="{FF2B5EF4-FFF2-40B4-BE49-F238E27FC236}">
              <a16:creationId xmlns:a16="http://schemas.microsoft.com/office/drawing/2014/main" id="{27A650BD-E65B-4009-B78F-901FF4D7BF45}"/>
            </a:ext>
          </a:extLst>
        </xdr:cNvPr>
        <xdr:cNvGrpSpPr/>
      </xdr:nvGrpSpPr>
      <xdr:grpSpPr>
        <a:xfrm>
          <a:off x="38100" y="981075"/>
          <a:ext cx="1263810" cy="1665289"/>
          <a:chOff x="56346" y="1519687"/>
          <a:chExt cx="1267617" cy="1648297"/>
        </a:xfrm>
      </xdr:grpSpPr>
      <xdr:grpSp>
        <xdr:nvGrpSpPr>
          <xdr:cNvPr id="3" name="Group 2">
            <a:extLst>
              <a:ext uri="{FF2B5EF4-FFF2-40B4-BE49-F238E27FC236}">
                <a16:creationId xmlns:a16="http://schemas.microsoft.com/office/drawing/2014/main" id="{811B9779-CE04-31E1-0FC1-92BA9F2A382B}"/>
              </a:ext>
            </a:extLst>
          </xdr:cNvPr>
          <xdr:cNvGrpSpPr/>
        </xdr:nvGrpSpPr>
        <xdr:grpSpPr>
          <a:xfrm>
            <a:off x="56346" y="1519687"/>
            <a:ext cx="1267617" cy="1303341"/>
            <a:chOff x="-5232" y="1484394"/>
            <a:chExt cx="1282892" cy="1309025"/>
          </a:xfrm>
        </xdr:grpSpPr>
        <xdr:sp macro="" textlink="">
          <xdr:nvSpPr>
            <xdr:cNvPr id="14" name="Rectangle 13">
              <a:hlinkClick xmlns:r="http://schemas.openxmlformats.org/officeDocument/2006/relationships" r:id="rId5"/>
              <a:extLst>
                <a:ext uri="{FF2B5EF4-FFF2-40B4-BE49-F238E27FC236}">
                  <a16:creationId xmlns:a16="http://schemas.microsoft.com/office/drawing/2014/main" id="{06AA1A25-036F-844F-5812-71AD804476A9}"/>
                </a:ext>
              </a:extLst>
            </xdr:cNvPr>
            <xdr:cNvSpPr/>
          </xdr:nvSpPr>
          <xdr:spPr>
            <a:xfrm>
              <a:off x="-5232" y="148439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5" name="Rectangle 14">
              <a:hlinkClick xmlns:r="http://schemas.openxmlformats.org/officeDocument/2006/relationships" r:id="rId6"/>
              <a:extLst>
                <a:ext uri="{FF2B5EF4-FFF2-40B4-BE49-F238E27FC236}">
                  <a16:creationId xmlns:a16="http://schemas.microsoft.com/office/drawing/2014/main" id="{94BE3903-58F9-A563-A0F4-AB68D0A90A53}"/>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16" name="Rectangle 15">
              <a:hlinkClick xmlns:r="http://schemas.openxmlformats.org/officeDocument/2006/relationships" r:id="rId7"/>
              <a:extLst>
                <a:ext uri="{FF2B5EF4-FFF2-40B4-BE49-F238E27FC236}">
                  <a16:creationId xmlns:a16="http://schemas.microsoft.com/office/drawing/2014/main" id="{A925F6FE-DB20-104A-C95F-8C85D7F2A13E}"/>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17" name="Rectangle 16">
              <a:hlinkClick xmlns:r="http://schemas.openxmlformats.org/officeDocument/2006/relationships" r:id="rId8"/>
              <a:extLst>
                <a:ext uri="{FF2B5EF4-FFF2-40B4-BE49-F238E27FC236}">
                  <a16:creationId xmlns:a16="http://schemas.microsoft.com/office/drawing/2014/main" id="{574242EC-75E2-C896-8EDC-A77634CDEBEF}"/>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9" name="Rectangle 8">
            <a:hlinkClick xmlns:r="http://schemas.openxmlformats.org/officeDocument/2006/relationships" r:id="rId9"/>
            <a:extLst>
              <a:ext uri="{FF2B5EF4-FFF2-40B4-BE49-F238E27FC236}">
                <a16:creationId xmlns:a16="http://schemas.microsoft.com/office/drawing/2014/main" id="{E1092459-6981-4A9B-C956-BB407D504CBE}"/>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twoCellAnchor>
    <xdr:from>
      <xdr:col>1</xdr:col>
      <xdr:colOff>9525</xdr:colOff>
      <xdr:row>1</xdr:row>
      <xdr:rowOff>19050</xdr:rowOff>
    </xdr:from>
    <xdr:to>
      <xdr:col>7</xdr:col>
      <xdr:colOff>535305</xdr:colOff>
      <xdr:row>1</xdr:row>
      <xdr:rowOff>292860</xdr:rowOff>
    </xdr:to>
    <xdr:grpSp>
      <xdr:nvGrpSpPr>
        <xdr:cNvPr id="18" name="Group 17">
          <a:extLst>
            <a:ext uri="{FF2B5EF4-FFF2-40B4-BE49-F238E27FC236}">
              <a16:creationId xmlns:a16="http://schemas.microsoft.com/office/drawing/2014/main" id="{F77E9A5B-65F3-493B-880B-473B37386FDF}"/>
            </a:ext>
          </a:extLst>
        </xdr:cNvPr>
        <xdr:cNvGrpSpPr/>
      </xdr:nvGrpSpPr>
      <xdr:grpSpPr>
        <a:xfrm>
          <a:off x="1358265" y="590550"/>
          <a:ext cx="8884920" cy="273810"/>
          <a:chOff x="1994647" y="553121"/>
          <a:chExt cx="9290142" cy="262380"/>
        </a:xfrm>
      </xdr:grpSpPr>
      <xdr:sp macro="" textlink="">
        <xdr:nvSpPr>
          <xdr:cNvPr id="28" name="Rectangle 27">
            <a:hlinkClick xmlns:r="http://schemas.openxmlformats.org/officeDocument/2006/relationships" r:id="rId10"/>
            <a:extLst>
              <a:ext uri="{FF2B5EF4-FFF2-40B4-BE49-F238E27FC236}">
                <a16:creationId xmlns:a16="http://schemas.microsoft.com/office/drawing/2014/main" id="{BC021EFF-297D-41B0-C641-424B56FAAF66}"/>
              </a:ext>
            </a:extLst>
          </xdr:cNvPr>
          <xdr:cNvSpPr/>
        </xdr:nvSpPr>
        <xdr:spPr>
          <a:xfrm>
            <a:off x="1994647" y="553121"/>
            <a:ext cx="113750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Lookup tables</a:t>
            </a:r>
          </a:p>
        </xdr:txBody>
      </xdr:sp>
      <xdr:sp macro="" textlink="">
        <xdr:nvSpPr>
          <xdr:cNvPr id="29" name="Rectangle 28">
            <a:hlinkClick xmlns:r="http://schemas.openxmlformats.org/officeDocument/2006/relationships" r:id="rId11"/>
            <a:extLst>
              <a:ext uri="{FF2B5EF4-FFF2-40B4-BE49-F238E27FC236}">
                <a16:creationId xmlns:a16="http://schemas.microsoft.com/office/drawing/2014/main" id="{4826682A-FDB3-7F5E-2392-A9D72517A47A}"/>
              </a:ext>
            </a:extLst>
          </xdr:cNvPr>
          <xdr:cNvSpPr/>
        </xdr:nvSpPr>
        <xdr:spPr>
          <a:xfrm>
            <a:off x="3213827" y="553121"/>
            <a:ext cx="150102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Oncosts Calculator</a:t>
            </a:r>
          </a:p>
        </xdr:txBody>
      </xdr:sp>
      <xdr:sp macro="" textlink="">
        <xdr:nvSpPr>
          <xdr:cNvPr id="30" name="Rectangle 29">
            <a:hlinkClick xmlns:r="http://schemas.openxmlformats.org/officeDocument/2006/relationships" r:id="rId12"/>
            <a:extLst>
              <a:ext uri="{FF2B5EF4-FFF2-40B4-BE49-F238E27FC236}">
                <a16:creationId xmlns:a16="http://schemas.microsoft.com/office/drawing/2014/main" id="{91ADD9A1-9E3A-6585-03CD-3297115A9883}"/>
              </a:ext>
            </a:extLst>
          </xdr:cNvPr>
          <xdr:cNvSpPr/>
        </xdr:nvSpPr>
        <xdr:spPr>
          <a:xfrm>
            <a:off x="4784972" y="553121"/>
            <a:ext cx="2058815"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Internal Income Sharing Form</a:t>
            </a:r>
          </a:p>
        </xdr:txBody>
      </xdr:sp>
      <xdr:sp macro="" textlink="">
        <xdr:nvSpPr>
          <xdr:cNvPr id="31" name="Rectangle 30">
            <a:hlinkClick xmlns:r="http://schemas.openxmlformats.org/officeDocument/2006/relationships" r:id="rId13"/>
            <a:extLst>
              <a:ext uri="{FF2B5EF4-FFF2-40B4-BE49-F238E27FC236}">
                <a16:creationId xmlns:a16="http://schemas.microsoft.com/office/drawing/2014/main" id="{10BC3DDA-6B18-1AC2-448B-D1DABEB0CBE6}"/>
              </a:ext>
            </a:extLst>
          </xdr:cNvPr>
          <xdr:cNvSpPr/>
        </xdr:nvSpPr>
        <xdr:spPr>
          <a:xfrm>
            <a:off x="6901977" y="553121"/>
            <a:ext cx="1543559"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Standard Offer Letter</a:t>
            </a:r>
          </a:p>
        </xdr:txBody>
      </xdr:sp>
      <xdr:sp macro="" textlink="">
        <xdr:nvSpPr>
          <xdr:cNvPr id="32" name="Rectangle 31">
            <a:hlinkClick xmlns:r="http://schemas.openxmlformats.org/officeDocument/2006/relationships" r:id="rId14"/>
            <a:extLst>
              <a:ext uri="{FF2B5EF4-FFF2-40B4-BE49-F238E27FC236}">
                <a16:creationId xmlns:a16="http://schemas.microsoft.com/office/drawing/2014/main" id="{2AE0496D-7598-2B64-0AA8-FBD62DB35AAB}"/>
              </a:ext>
            </a:extLst>
          </xdr:cNvPr>
          <xdr:cNvSpPr/>
        </xdr:nvSpPr>
        <xdr:spPr>
          <a:xfrm>
            <a:off x="8521398" y="553121"/>
            <a:ext cx="111591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PSDA Admin</a:t>
            </a:r>
          </a:p>
        </xdr:txBody>
      </xdr:sp>
      <xdr:sp macro="" textlink="">
        <xdr:nvSpPr>
          <xdr:cNvPr id="33" name="Rectangle 32">
            <a:hlinkClick xmlns:r="http://schemas.openxmlformats.org/officeDocument/2006/relationships" r:id="rId15"/>
            <a:extLst>
              <a:ext uri="{FF2B5EF4-FFF2-40B4-BE49-F238E27FC236}">
                <a16:creationId xmlns:a16="http://schemas.microsoft.com/office/drawing/2014/main" id="{D4A0CDFD-160B-17FB-955F-91E2E0BD1F8E}"/>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518160</xdr:colOff>
          <xdr:row>17</xdr:row>
          <xdr:rowOff>137160</xdr:rowOff>
        </xdr:from>
        <xdr:to>
          <xdr:col>3</xdr:col>
          <xdr:colOff>2286000</xdr:colOff>
          <xdr:row>19</xdr:row>
          <xdr:rowOff>83820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800-00000174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AU" sz="1600" b="1" i="0" u="none" strike="noStrike" baseline="0">
                  <a:solidFill>
                    <a:srgbClr val="000000"/>
                  </a:solidFill>
                  <a:latin typeface="Calibri"/>
                  <a:ea typeface="Calibri"/>
                  <a:cs typeface="Calibri"/>
                </a:rPr>
                <a:t>Generate Budget</a:t>
              </a:r>
            </a:p>
          </xdr:txBody>
        </xdr:sp>
        <xdr:clientData fPrintsWithSheet="0"/>
      </xdr:twoCellAnchor>
    </mc:Choice>
    <mc:Fallback/>
  </mc:AlternateContent>
  <xdr:twoCellAnchor editAs="oneCell">
    <xdr:from>
      <xdr:col>0</xdr:col>
      <xdr:colOff>901065</xdr:colOff>
      <xdr:row>0</xdr:row>
      <xdr:rowOff>19050</xdr:rowOff>
    </xdr:from>
    <xdr:to>
      <xdr:col>1</xdr:col>
      <xdr:colOff>1905</xdr:colOff>
      <xdr:row>0</xdr:row>
      <xdr:rowOff>476311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901065" y="19050"/>
          <a:ext cx="449580" cy="453451"/>
        </a:xfrm>
        <a:prstGeom prst="rect">
          <a:avLst/>
        </a:prstGeom>
      </xdr:spPr>
    </xdr:pic>
    <xdr:clientData/>
  </xdr:twoCellAnchor>
  <xdr:twoCellAnchor>
    <xdr:from>
      <xdr:col>0</xdr:col>
      <xdr:colOff>1935480</xdr:colOff>
      <xdr:row>0</xdr:row>
      <xdr:rowOff>278130</xdr:rowOff>
    </xdr:from>
    <xdr:to>
      <xdr:col>8</xdr:col>
      <xdr:colOff>369571</xdr:colOff>
      <xdr:row>0</xdr:row>
      <xdr:rowOff>525780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1933575" y="281940"/>
          <a:ext cx="9721216" cy="241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mc:AlternateContent xmlns:mc="http://schemas.openxmlformats.org/markup-compatibility/2006">
    <mc:Choice xmlns:a14="http://schemas.microsoft.com/office/drawing/2010/main" Requires="a14">
      <xdr:twoCellAnchor>
        <xdr:from>
          <xdr:col>3</xdr:col>
          <xdr:colOff>670560</xdr:colOff>
          <xdr:row>17</xdr:row>
          <xdr:rowOff>30480</xdr:rowOff>
        </xdr:from>
        <xdr:to>
          <xdr:col>3</xdr:col>
          <xdr:colOff>2468880</xdr:colOff>
          <xdr:row>19</xdr:row>
          <xdr:rowOff>7620</xdr:rowOff>
        </xdr:to>
        <xdr:sp macro="" textlink="">
          <xdr:nvSpPr>
            <xdr:cNvPr id="160770" name="Button 2" hidden="1">
              <a:extLst>
                <a:ext uri="{63B3BB69-23CF-44E3-9099-C40C66FF867C}">
                  <a14:compatExt spid="_x0000_s160770"/>
                </a:ext>
                <a:ext uri="{FF2B5EF4-FFF2-40B4-BE49-F238E27FC236}">
                  <a16:creationId xmlns:a16="http://schemas.microsoft.com/office/drawing/2014/main" id="{00000000-0008-0000-0800-00000274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AU" sz="1600" b="1" i="0" u="none" strike="noStrike" baseline="0">
                  <a:solidFill>
                    <a:srgbClr val="000000"/>
                  </a:solidFill>
                  <a:latin typeface="Calibri"/>
                  <a:ea typeface="Calibri"/>
                  <a:cs typeface="Calibri"/>
                </a:rPr>
                <a:t>Open Budget</a:t>
              </a:r>
            </a:p>
          </xdr:txBody>
        </xdr:sp>
        <xdr:clientData fPrintsWithSheet="0"/>
      </xdr:twoCellAnchor>
    </mc:Choice>
    <mc:Fallback/>
  </mc:AlternateContent>
  <xdr:twoCellAnchor editAs="oneCell">
    <xdr:from>
      <xdr:col>5</xdr:col>
      <xdr:colOff>55146</xdr:colOff>
      <xdr:row>14</xdr:row>
      <xdr:rowOff>28575</xdr:rowOff>
    </xdr:from>
    <xdr:to>
      <xdr:col>14</xdr:col>
      <xdr:colOff>212247</xdr:colOff>
      <xdr:row>18</xdr:row>
      <xdr:rowOff>59155</xdr:rowOff>
    </xdr:to>
    <xdr:pic>
      <xdr:nvPicPr>
        <xdr:cNvPr id="10" name="Picture 9">
          <a:extLst>
            <a:ext uri="{FF2B5EF4-FFF2-40B4-BE49-F238E27FC236}">
              <a16:creationId xmlns:a16="http://schemas.microsoft.com/office/drawing/2014/main" id="{F6DEEDEF-BF81-9E2A-A92A-32B4D1856C64}"/>
            </a:ext>
          </a:extLst>
        </xdr:cNvPr>
        <xdr:cNvPicPr>
          <a:picLocks noChangeAspect="1"/>
        </xdr:cNvPicPr>
      </xdr:nvPicPr>
      <xdr:blipFill>
        <a:blip xmlns:r="http://schemas.openxmlformats.org/officeDocument/2006/relationships" r:embed="rId2"/>
        <a:stretch>
          <a:fillRect/>
        </a:stretch>
      </xdr:blipFill>
      <xdr:spPr>
        <a:xfrm>
          <a:off x="8694321" y="3409950"/>
          <a:ext cx="6136896" cy="777340"/>
        </a:xfrm>
        <a:prstGeom prst="rect">
          <a:avLst/>
        </a:prstGeom>
      </xdr:spPr>
    </xdr:pic>
    <xdr:clientData/>
  </xdr:twoCellAnchor>
  <xdr:twoCellAnchor>
    <xdr:from>
      <xdr:col>0</xdr:col>
      <xdr:colOff>47625</xdr:colOff>
      <xdr:row>4</xdr:row>
      <xdr:rowOff>28575</xdr:rowOff>
    </xdr:from>
    <xdr:to>
      <xdr:col>0</xdr:col>
      <xdr:colOff>1315245</xdr:colOff>
      <xdr:row>12</xdr:row>
      <xdr:rowOff>163830</xdr:rowOff>
    </xdr:to>
    <xdr:grpSp>
      <xdr:nvGrpSpPr>
        <xdr:cNvPr id="5" name="Group 4">
          <a:extLst>
            <a:ext uri="{FF2B5EF4-FFF2-40B4-BE49-F238E27FC236}">
              <a16:creationId xmlns:a16="http://schemas.microsoft.com/office/drawing/2014/main" id="{7066ABE0-0A40-4728-9DDA-31E0F9A1DFE8}"/>
            </a:ext>
          </a:extLst>
        </xdr:cNvPr>
        <xdr:cNvGrpSpPr/>
      </xdr:nvGrpSpPr>
      <xdr:grpSpPr>
        <a:xfrm>
          <a:off x="47625" y="1278255"/>
          <a:ext cx="1267620" cy="1651635"/>
          <a:chOff x="56346" y="1519687"/>
          <a:chExt cx="1267617" cy="1648297"/>
        </a:xfrm>
      </xdr:grpSpPr>
      <xdr:grpSp>
        <xdr:nvGrpSpPr>
          <xdr:cNvPr id="16" name="Group 15">
            <a:extLst>
              <a:ext uri="{FF2B5EF4-FFF2-40B4-BE49-F238E27FC236}">
                <a16:creationId xmlns:a16="http://schemas.microsoft.com/office/drawing/2014/main" id="{181F3DF5-A32F-3BD4-46A1-7D54D338E9E8}"/>
              </a:ext>
            </a:extLst>
          </xdr:cNvPr>
          <xdr:cNvGrpSpPr/>
        </xdr:nvGrpSpPr>
        <xdr:grpSpPr>
          <a:xfrm>
            <a:off x="56346" y="1519687"/>
            <a:ext cx="1267617" cy="1303341"/>
            <a:chOff x="-5232" y="1484394"/>
            <a:chExt cx="1282892" cy="1309025"/>
          </a:xfrm>
        </xdr:grpSpPr>
        <xdr:sp macro="" textlink="">
          <xdr:nvSpPr>
            <xdr:cNvPr id="18" name="Rectangle 17">
              <a:hlinkClick xmlns:r="http://schemas.openxmlformats.org/officeDocument/2006/relationships" r:id="rId3"/>
              <a:extLst>
                <a:ext uri="{FF2B5EF4-FFF2-40B4-BE49-F238E27FC236}">
                  <a16:creationId xmlns:a16="http://schemas.microsoft.com/office/drawing/2014/main" id="{9F0C230C-9C65-20DA-A301-4C184BFF273B}"/>
                </a:ext>
              </a:extLst>
            </xdr:cNvPr>
            <xdr:cNvSpPr/>
          </xdr:nvSpPr>
          <xdr:spPr>
            <a:xfrm>
              <a:off x="-5232" y="148439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Project Details</a:t>
              </a:r>
            </a:p>
          </xdr:txBody>
        </xdr:sp>
        <xdr:sp macro="" textlink="">
          <xdr:nvSpPr>
            <xdr:cNvPr id="19" name="Rectangle 18">
              <a:hlinkClick xmlns:r="http://schemas.openxmlformats.org/officeDocument/2006/relationships" r:id="rId4"/>
              <a:extLst>
                <a:ext uri="{FF2B5EF4-FFF2-40B4-BE49-F238E27FC236}">
                  <a16:creationId xmlns:a16="http://schemas.microsoft.com/office/drawing/2014/main" id="{78CD5A9F-9028-549D-C312-82F49DD1C186}"/>
                </a:ext>
              </a:extLst>
            </xdr:cNvPr>
            <xdr:cNvSpPr/>
          </xdr:nvSpPr>
          <xdr:spPr>
            <a:xfrm>
              <a:off x="-5232" y="183085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Staff Costs</a:t>
              </a:r>
            </a:p>
          </xdr:txBody>
        </xdr:sp>
        <xdr:sp macro="" textlink="">
          <xdr:nvSpPr>
            <xdr:cNvPr id="20" name="Rectangle 19">
              <a:hlinkClick xmlns:r="http://schemas.openxmlformats.org/officeDocument/2006/relationships" r:id="rId5"/>
              <a:extLst>
                <a:ext uri="{FF2B5EF4-FFF2-40B4-BE49-F238E27FC236}">
                  <a16:creationId xmlns:a16="http://schemas.microsoft.com/office/drawing/2014/main" id="{39AE2917-4B7E-39FA-2308-8B6FC79B07EA}"/>
                </a:ext>
              </a:extLst>
            </xdr:cNvPr>
            <xdr:cNvSpPr/>
          </xdr:nvSpPr>
          <xdr:spPr>
            <a:xfrm>
              <a:off x="-5232" y="2177314"/>
              <a:ext cx="1282892" cy="269644"/>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marL="0" indent="0" algn="ctr"/>
              <a:r>
                <a:rPr lang="en-AU" sz="1200" b="1">
                  <a:solidFill>
                    <a:schemeClr val="accent2">
                      <a:lumMod val="50000"/>
                    </a:schemeClr>
                  </a:solidFill>
                  <a:latin typeface="+mn-lt"/>
                  <a:ea typeface="+mn-ea"/>
                  <a:cs typeface="+mn-cs"/>
                </a:rPr>
                <a:t>Non-Staff Costs</a:t>
              </a:r>
            </a:p>
          </xdr:txBody>
        </xdr:sp>
        <xdr:sp macro="" textlink="">
          <xdr:nvSpPr>
            <xdr:cNvPr id="24" name="Rectangle 23">
              <a:hlinkClick xmlns:r="http://schemas.openxmlformats.org/officeDocument/2006/relationships" r:id="rId6"/>
              <a:extLst>
                <a:ext uri="{FF2B5EF4-FFF2-40B4-BE49-F238E27FC236}">
                  <a16:creationId xmlns:a16="http://schemas.microsoft.com/office/drawing/2014/main" id="{FE72DCA6-A60B-65D7-A063-6EDF50263189}"/>
                </a:ext>
              </a:extLst>
            </xdr:cNvPr>
            <xdr:cNvSpPr/>
          </xdr:nvSpPr>
          <xdr:spPr>
            <a:xfrm>
              <a:off x="-5232" y="2523774"/>
              <a:ext cx="1282892" cy="269645"/>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Price Summary</a:t>
              </a:r>
            </a:p>
          </xdr:txBody>
        </xdr:sp>
      </xdr:grpSp>
      <xdr:sp macro="" textlink="">
        <xdr:nvSpPr>
          <xdr:cNvPr id="17" name="Rectangle 16">
            <a:hlinkClick xmlns:r="http://schemas.openxmlformats.org/officeDocument/2006/relationships" r:id="rId7"/>
            <a:extLst>
              <a:ext uri="{FF2B5EF4-FFF2-40B4-BE49-F238E27FC236}">
                <a16:creationId xmlns:a16="http://schemas.microsoft.com/office/drawing/2014/main" id="{0D6E7852-2A3A-0E8E-59FF-B61D5B78C281}"/>
              </a:ext>
            </a:extLst>
          </xdr:cNvPr>
          <xdr:cNvSpPr/>
        </xdr:nvSpPr>
        <xdr:spPr>
          <a:xfrm>
            <a:off x="56346" y="2899511"/>
            <a:ext cx="1267617" cy="268473"/>
          </a:xfrm>
          <a:prstGeom prst="rect">
            <a:avLst/>
          </a:prstGeom>
          <a:solidFill>
            <a:schemeClr val="bg1">
              <a:lumMod val="85000"/>
            </a:schemeClr>
          </a:solidFill>
          <a:ln>
            <a:solidFill>
              <a:schemeClr val="bg1">
                <a:lumMod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AU" sz="1200" b="1">
                <a:solidFill>
                  <a:schemeClr val="accent2">
                    <a:lumMod val="50000"/>
                  </a:schemeClr>
                </a:solidFill>
              </a:rPr>
              <a:t>Budget Form</a:t>
            </a:r>
          </a:p>
        </xdr:txBody>
      </xdr:sp>
    </xdr:grpSp>
    <xdr:clientData/>
  </xdr:twoCellAnchor>
  <xdr:twoCellAnchor>
    <xdr:from>
      <xdr:col>1</xdr:col>
      <xdr:colOff>47625</xdr:colOff>
      <xdr:row>1</xdr:row>
      <xdr:rowOff>9525</xdr:rowOff>
    </xdr:from>
    <xdr:to>
      <xdr:col>7</xdr:col>
      <xdr:colOff>240030</xdr:colOff>
      <xdr:row>1</xdr:row>
      <xdr:rowOff>285240</xdr:rowOff>
    </xdr:to>
    <xdr:grpSp>
      <xdr:nvGrpSpPr>
        <xdr:cNvPr id="25" name="Group 24">
          <a:extLst>
            <a:ext uri="{FF2B5EF4-FFF2-40B4-BE49-F238E27FC236}">
              <a16:creationId xmlns:a16="http://schemas.microsoft.com/office/drawing/2014/main" id="{66F84BE7-C9BA-4846-A01E-40A998C08DF5}"/>
            </a:ext>
          </a:extLst>
        </xdr:cNvPr>
        <xdr:cNvGrpSpPr/>
      </xdr:nvGrpSpPr>
      <xdr:grpSpPr>
        <a:xfrm>
          <a:off x="1411605" y="512445"/>
          <a:ext cx="8886825" cy="275715"/>
          <a:chOff x="1994647" y="553121"/>
          <a:chExt cx="9290142" cy="262380"/>
        </a:xfrm>
      </xdr:grpSpPr>
      <xdr:sp macro="" textlink="">
        <xdr:nvSpPr>
          <xdr:cNvPr id="26" name="Rectangle 25">
            <a:hlinkClick xmlns:r="http://schemas.openxmlformats.org/officeDocument/2006/relationships" r:id="rId8"/>
            <a:extLst>
              <a:ext uri="{FF2B5EF4-FFF2-40B4-BE49-F238E27FC236}">
                <a16:creationId xmlns:a16="http://schemas.microsoft.com/office/drawing/2014/main" id="{1A42BD22-9592-E318-0AFB-54832F563502}"/>
              </a:ext>
            </a:extLst>
          </xdr:cNvPr>
          <xdr:cNvSpPr/>
        </xdr:nvSpPr>
        <xdr:spPr>
          <a:xfrm>
            <a:off x="1994647" y="553121"/>
            <a:ext cx="113750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Lookup tables</a:t>
            </a:r>
          </a:p>
        </xdr:txBody>
      </xdr:sp>
      <xdr:sp macro="" textlink="">
        <xdr:nvSpPr>
          <xdr:cNvPr id="27" name="Rectangle 26">
            <a:hlinkClick xmlns:r="http://schemas.openxmlformats.org/officeDocument/2006/relationships" r:id="rId9"/>
            <a:extLst>
              <a:ext uri="{FF2B5EF4-FFF2-40B4-BE49-F238E27FC236}">
                <a16:creationId xmlns:a16="http://schemas.microsoft.com/office/drawing/2014/main" id="{113B015E-5D99-58A5-1E83-21B6F32BB478}"/>
              </a:ext>
            </a:extLst>
          </xdr:cNvPr>
          <xdr:cNvSpPr/>
        </xdr:nvSpPr>
        <xdr:spPr>
          <a:xfrm>
            <a:off x="3213827" y="553121"/>
            <a:ext cx="150102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Oncosts Calculator</a:t>
            </a:r>
          </a:p>
        </xdr:txBody>
      </xdr:sp>
      <xdr:sp macro="" textlink="">
        <xdr:nvSpPr>
          <xdr:cNvPr id="28" name="Rectangle 27">
            <a:hlinkClick xmlns:r="http://schemas.openxmlformats.org/officeDocument/2006/relationships" r:id="rId10"/>
            <a:extLst>
              <a:ext uri="{FF2B5EF4-FFF2-40B4-BE49-F238E27FC236}">
                <a16:creationId xmlns:a16="http://schemas.microsoft.com/office/drawing/2014/main" id="{E04861B8-E8D7-5ECE-6E1D-0FA7836B1788}"/>
              </a:ext>
            </a:extLst>
          </xdr:cNvPr>
          <xdr:cNvSpPr/>
        </xdr:nvSpPr>
        <xdr:spPr>
          <a:xfrm>
            <a:off x="4784972" y="553121"/>
            <a:ext cx="2058815"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Internal Income Sharing Form</a:t>
            </a:r>
          </a:p>
        </xdr:txBody>
      </xdr:sp>
      <xdr:sp macro="" textlink="">
        <xdr:nvSpPr>
          <xdr:cNvPr id="29" name="Rectangle 28">
            <a:hlinkClick xmlns:r="http://schemas.openxmlformats.org/officeDocument/2006/relationships" r:id="rId11"/>
            <a:extLst>
              <a:ext uri="{FF2B5EF4-FFF2-40B4-BE49-F238E27FC236}">
                <a16:creationId xmlns:a16="http://schemas.microsoft.com/office/drawing/2014/main" id="{CBE49105-5CCA-B258-3BBD-5C89557BEB9C}"/>
              </a:ext>
            </a:extLst>
          </xdr:cNvPr>
          <xdr:cNvSpPr/>
        </xdr:nvSpPr>
        <xdr:spPr>
          <a:xfrm>
            <a:off x="6901977" y="553121"/>
            <a:ext cx="154355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Standard Offer Letter</a:t>
            </a:r>
          </a:p>
        </xdr:txBody>
      </xdr:sp>
      <xdr:sp macro="" textlink="">
        <xdr:nvSpPr>
          <xdr:cNvPr id="30" name="Rectangle 29">
            <a:hlinkClick xmlns:r="http://schemas.openxmlformats.org/officeDocument/2006/relationships" r:id="rId12"/>
            <a:extLst>
              <a:ext uri="{FF2B5EF4-FFF2-40B4-BE49-F238E27FC236}">
                <a16:creationId xmlns:a16="http://schemas.microsoft.com/office/drawing/2014/main" id="{4560CF9F-0456-E034-2039-21C1F4B75AF2}"/>
              </a:ext>
            </a:extLst>
          </xdr:cNvPr>
          <xdr:cNvSpPr/>
        </xdr:nvSpPr>
        <xdr:spPr>
          <a:xfrm>
            <a:off x="8521398" y="553121"/>
            <a:ext cx="1115911"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PSDA Admin</a:t>
            </a:r>
          </a:p>
        </xdr:txBody>
      </xdr:sp>
      <xdr:sp macro="" textlink="">
        <xdr:nvSpPr>
          <xdr:cNvPr id="31" name="Rectangle 30">
            <a:hlinkClick xmlns:r="http://schemas.openxmlformats.org/officeDocument/2006/relationships" r:id="rId13"/>
            <a:extLst>
              <a:ext uri="{FF2B5EF4-FFF2-40B4-BE49-F238E27FC236}">
                <a16:creationId xmlns:a16="http://schemas.microsoft.com/office/drawing/2014/main" id="{FD331866-7259-7F63-7EEF-101C117986B0}"/>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40005</xdr:colOff>
      <xdr:row>0</xdr:row>
      <xdr:rowOff>40005</xdr:rowOff>
    </xdr:from>
    <xdr:to>
      <xdr:col>12</xdr:col>
      <xdr:colOff>240029</xdr:colOff>
      <xdr:row>0</xdr:row>
      <xdr:rowOff>285750</xdr:rowOff>
    </xdr:to>
    <xdr:sp macro="[0]!Final_EIB_copy" textlink="">
      <xdr:nvSpPr>
        <xdr:cNvPr id="5" name="Rectangle 1">
          <a:extLst>
            <a:ext uri="{FF2B5EF4-FFF2-40B4-BE49-F238E27FC236}">
              <a16:creationId xmlns:a16="http://schemas.microsoft.com/office/drawing/2014/main" id="{00000000-0008-0000-0C00-000005000000}"/>
            </a:ext>
          </a:extLst>
        </xdr:cNvPr>
        <xdr:cNvSpPr/>
      </xdr:nvSpPr>
      <xdr:spPr>
        <a:xfrm>
          <a:off x="8383905" y="40005"/>
          <a:ext cx="1257299" cy="245745"/>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l"/>
          <a:r>
            <a:rPr lang="en-AU" sz="1400" b="1">
              <a:solidFill>
                <a:srgbClr val="002060"/>
              </a:solidFill>
            </a:rPr>
            <a:t>Download EIB</a:t>
          </a:r>
        </a:p>
      </xdr:txBody>
    </xdr:sp>
    <xdr:clientData/>
  </xdr:twoCellAnchor>
  <xdr:twoCellAnchor>
    <xdr:from>
      <xdr:col>7</xdr:col>
      <xdr:colOff>1352550</xdr:colOff>
      <xdr:row>0</xdr:row>
      <xdr:rowOff>57150</xdr:rowOff>
    </xdr:from>
    <xdr:to>
      <xdr:col>9</xdr:col>
      <xdr:colOff>171450</xdr:colOff>
      <xdr:row>0</xdr:row>
      <xdr:rowOff>304800</xdr:rowOff>
    </xdr:to>
    <xdr:sp macro="[0]!Populate_EIB" textlink="">
      <xdr:nvSpPr>
        <xdr:cNvPr id="4" name="Rectangle 3" hidden="1">
          <a:extLst>
            <a:ext uri="{FF2B5EF4-FFF2-40B4-BE49-F238E27FC236}">
              <a16:creationId xmlns:a16="http://schemas.microsoft.com/office/drawing/2014/main" id="{00000000-0008-0000-0C00-000004000000}"/>
            </a:ext>
          </a:extLst>
        </xdr:cNvPr>
        <xdr:cNvSpPr/>
      </xdr:nvSpPr>
      <xdr:spPr>
        <a:xfrm>
          <a:off x="5781675" y="57150"/>
          <a:ext cx="1200150" cy="247650"/>
        </a:xfrm>
        <a:prstGeom prst="rect">
          <a:avLst/>
        </a:prstGeom>
        <a:solidFill>
          <a:schemeClr val="bg1">
            <a:lumMod val="85000"/>
          </a:schemeClr>
        </a:solidFill>
        <a:ln>
          <a:solidFill>
            <a:schemeClr val="tx1">
              <a:lumMod val="50000"/>
              <a:lumOff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l"/>
          <a:r>
            <a:rPr lang="en-AU" sz="1200" b="0" u="none">
              <a:solidFill>
                <a:srgbClr val="002060"/>
              </a:solidFill>
            </a:rPr>
            <a:t>Refresh Budget</a:t>
          </a:r>
        </a:p>
      </xdr:txBody>
    </xdr:sp>
    <xdr:clientData/>
  </xdr:twoCellAnchor>
  <xdr:twoCellAnchor>
    <xdr:from>
      <xdr:col>7</xdr:col>
      <xdr:colOff>26670</xdr:colOff>
      <xdr:row>0</xdr:row>
      <xdr:rowOff>49530</xdr:rowOff>
    </xdr:from>
    <xdr:to>
      <xdr:col>7</xdr:col>
      <xdr:colOff>1230630</xdr:colOff>
      <xdr:row>0</xdr:row>
      <xdr:rowOff>293370</xdr:rowOff>
    </xdr:to>
    <xdr:grpSp>
      <xdr:nvGrpSpPr>
        <xdr:cNvPr id="7" name="Group 6">
          <a:extLst>
            <a:ext uri="{FF2B5EF4-FFF2-40B4-BE49-F238E27FC236}">
              <a16:creationId xmlns:a16="http://schemas.microsoft.com/office/drawing/2014/main" id="{00000000-0008-0000-0C00-000007000000}"/>
            </a:ext>
          </a:extLst>
        </xdr:cNvPr>
        <xdr:cNvGrpSpPr/>
      </xdr:nvGrpSpPr>
      <xdr:grpSpPr>
        <a:xfrm>
          <a:off x="4453890" y="49530"/>
          <a:ext cx="1203960" cy="243840"/>
          <a:chOff x="4455795" y="49530"/>
          <a:chExt cx="1203960" cy="243840"/>
        </a:xfrm>
      </xdr:grpSpPr>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C00-000003000000}"/>
              </a:ext>
            </a:extLst>
          </xdr:cNvPr>
          <xdr:cNvSpPr/>
        </xdr:nvSpPr>
        <xdr:spPr>
          <a:xfrm>
            <a:off x="4455795" y="49530"/>
            <a:ext cx="1203960" cy="243840"/>
          </a:xfrm>
          <a:prstGeom prst="rect">
            <a:avLst/>
          </a:prstGeom>
          <a:solidFill>
            <a:schemeClr val="bg1">
              <a:lumMod val="85000"/>
            </a:schemeClr>
          </a:solidFill>
          <a:ln>
            <a:solidFill>
              <a:schemeClr val="tx1">
                <a:lumMod val="50000"/>
                <a:lumOff val="50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algn="r"/>
            <a:r>
              <a:rPr lang="en-AU" sz="1200" b="0" u="none">
                <a:solidFill>
                  <a:srgbClr val="002060"/>
                </a:solidFill>
              </a:rPr>
              <a:t>PSDA Admin</a:t>
            </a:r>
          </a:p>
        </xdr:txBody>
      </xdr:sp>
      <xdr:sp macro="" textlink="">
        <xdr:nvSpPr>
          <xdr:cNvPr id="6" name="Arrow: Left 5">
            <a:extLst>
              <a:ext uri="{FF2B5EF4-FFF2-40B4-BE49-F238E27FC236}">
                <a16:creationId xmlns:a16="http://schemas.microsoft.com/office/drawing/2014/main" id="{00000000-0008-0000-0C00-000006000000}"/>
              </a:ext>
            </a:extLst>
          </xdr:cNvPr>
          <xdr:cNvSpPr/>
        </xdr:nvSpPr>
        <xdr:spPr>
          <a:xfrm>
            <a:off x="4474845" y="87630"/>
            <a:ext cx="241935" cy="1619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504826</xdr:colOff>
      <xdr:row>124</xdr:row>
      <xdr:rowOff>38100</xdr:rowOff>
    </xdr:from>
    <xdr:to>
      <xdr:col>5</xdr:col>
      <xdr:colOff>742950</xdr:colOff>
      <xdr:row>124</xdr:row>
      <xdr:rowOff>1247775</xdr:rowOff>
    </xdr:to>
    <xdr:sp macro="" textlink="">
      <xdr:nvSpPr>
        <xdr:cNvPr id="2" name="Rectangular Callout 1">
          <a:extLst>
            <a:ext uri="{FF2B5EF4-FFF2-40B4-BE49-F238E27FC236}">
              <a16:creationId xmlns:a16="http://schemas.microsoft.com/office/drawing/2014/main" id="{00000000-0008-0000-0E00-000002000000}"/>
            </a:ext>
          </a:extLst>
        </xdr:cNvPr>
        <xdr:cNvSpPr/>
      </xdr:nvSpPr>
      <xdr:spPr>
        <a:xfrm>
          <a:off x="2428876" y="22383750"/>
          <a:ext cx="1847849" cy="1209675"/>
        </a:xfrm>
        <a:prstGeom prst="wedgeRectCallout">
          <a:avLst>
            <a:gd name="adj1" fmla="val 30230"/>
            <a:gd name="adj2" fmla="val 57854"/>
          </a:avLst>
        </a:prstGeom>
        <a:solidFill>
          <a:schemeClr val="accent1">
            <a:lumMod val="20000"/>
            <a:lumOff val="80000"/>
          </a:schemeClr>
        </a:solidFill>
        <a:ln w="12700">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800" b="1" i="1">
              <a:solidFill>
                <a:sysClr val="windowText" lastClr="000000"/>
              </a:solidFill>
            </a:rPr>
            <a:t>PRES</a:t>
          </a:r>
          <a:r>
            <a:rPr lang="en-AU" sz="800" i="1">
              <a:solidFill>
                <a:sysClr val="windowText" lastClr="000000"/>
              </a:solidFill>
            </a:rPr>
            <a:t> - Technical / Milestone Report</a:t>
          </a:r>
        </a:p>
        <a:p>
          <a:pPr algn="l"/>
          <a:r>
            <a:rPr lang="en-AU" sz="800" b="1" i="1">
              <a:solidFill>
                <a:sysClr val="windowText" lastClr="000000"/>
              </a:solidFill>
            </a:rPr>
            <a:t>RINV</a:t>
          </a:r>
          <a:r>
            <a:rPr lang="en-AU" sz="800" i="1">
              <a:solidFill>
                <a:sysClr val="windowText" lastClr="000000"/>
              </a:solidFill>
            </a:rPr>
            <a:t> - Raise Invoice</a:t>
          </a:r>
        </a:p>
        <a:p>
          <a:pPr algn="l"/>
          <a:r>
            <a:rPr lang="en-AU" sz="800" b="1" i="1">
              <a:solidFill>
                <a:sysClr val="windowText" lastClr="000000"/>
              </a:solidFill>
            </a:rPr>
            <a:t>FINR</a:t>
          </a:r>
          <a:r>
            <a:rPr lang="en-AU" sz="800" i="1">
              <a:solidFill>
                <a:sysClr val="windowText" lastClr="000000"/>
              </a:solidFill>
            </a:rPr>
            <a:t> - Financial Report</a:t>
          </a:r>
        </a:p>
        <a:p>
          <a:pPr algn="l"/>
          <a:r>
            <a:rPr lang="en-AU" sz="800" b="1" i="1">
              <a:solidFill>
                <a:sysClr val="windowText" lastClr="000000"/>
              </a:solidFill>
            </a:rPr>
            <a:t>EAUR</a:t>
          </a:r>
          <a:r>
            <a:rPr lang="en-AU" sz="800" i="1">
              <a:solidFill>
                <a:sysClr val="windowText" lastClr="000000"/>
              </a:solidFill>
            </a:rPr>
            <a:t> - External Audit Report</a:t>
          </a:r>
        </a:p>
        <a:p>
          <a:pPr algn="l"/>
          <a:r>
            <a:rPr lang="en-AU" sz="800" b="1" i="1">
              <a:solidFill>
                <a:sysClr val="windowText" lastClr="000000"/>
              </a:solidFill>
            </a:rPr>
            <a:t>IAUR</a:t>
          </a:r>
          <a:r>
            <a:rPr lang="en-AU" sz="800" i="1">
              <a:solidFill>
                <a:sysClr val="windowText" lastClr="000000"/>
              </a:solidFill>
            </a:rPr>
            <a:t> - Internal Audit Report</a:t>
          </a:r>
        </a:p>
        <a:p>
          <a:pPr algn="l"/>
          <a:r>
            <a:rPr lang="en-AU" sz="800" b="1" i="1">
              <a:solidFill>
                <a:sysClr val="windowText" lastClr="000000"/>
              </a:solidFill>
            </a:rPr>
            <a:t>INKD</a:t>
          </a:r>
          <a:r>
            <a:rPr lang="en-AU" sz="800" i="1">
              <a:solidFill>
                <a:sysClr val="windowText" lastClr="000000"/>
              </a:solidFill>
            </a:rPr>
            <a:t> - In Kind Report</a:t>
          </a:r>
        </a:p>
        <a:p>
          <a:pPr algn="l"/>
          <a:r>
            <a:rPr lang="en-AU" sz="800" b="1" i="1">
              <a:solidFill>
                <a:sysClr val="windowText" lastClr="000000"/>
              </a:solidFill>
            </a:rPr>
            <a:t>OVRN</a:t>
          </a:r>
          <a:r>
            <a:rPr lang="en-AU" sz="800" i="1">
              <a:solidFill>
                <a:sysClr val="windowText" lastClr="000000"/>
              </a:solidFill>
            </a:rPr>
            <a:t> - Overheads (non-invoicing)</a:t>
          </a:r>
        </a:p>
        <a:p>
          <a:pPr algn="l"/>
          <a:r>
            <a:rPr lang="en-AU" sz="800" b="1" i="1">
              <a:solidFill>
                <a:sysClr val="windowText" lastClr="000000"/>
              </a:solidFill>
            </a:rPr>
            <a:t>RCTI</a:t>
          </a:r>
          <a:r>
            <a:rPr lang="en-AU" sz="800" i="1">
              <a:solidFill>
                <a:sysClr val="windowText" lastClr="000000"/>
              </a:solidFill>
            </a:rPr>
            <a:t> - RCTI Income Due</a:t>
          </a:r>
        </a:p>
        <a:p>
          <a:pPr algn="l"/>
          <a:r>
            <a:rPr lang="en-AU" sz="800" b="1" i="1">
              <a:solidFill>
                <a:sysClr val="windowText" lastClr="000000"/>
              </a:solidFill>
            </a:rPr>
            <a:t>SHGP</a:t>
          </a:r>
          <a:r>
            <a:rPr lang="en-AU" sz="800" i="1">
              <a:solidFill>
                <a:sysClr val="windowText" lastClr="000000"/>
              </a:solidFill>
            </a:rPr>
            <a:t> - Shared Grant Expense Payment</a:t>
          </a:r>
        </a:p>
        <a:p>
          <a:pPr algn="l"/>
          <a:endParaRPr lang="en-AU" sz="800" i="1">
            <a:solidFill>
              <a:sysClr val="windowText" lastClr="000000"/>
            </a:solidFill>
          </a:endParaRPr>
        </a:p>
      </xdr:txBody>
    </xdr:sp>
    <xdr:clientData/>
  </xdr:twoCellAnchor>
  <xdr:twoCellAnchor>
    <xdr:from>
      <xdr:col>3</xdr:col>
      <xdr:colOff>343633</xdr:colOff>
      <xdr:row>203</xdr:row>
      <xdr:rowOff>272562</xdr:rowOff>
    </xdr:from>
    <xdr:to>
      <xdr:col>5</xdr:col>
      <xdr:colOff>581757</xdr:colOff>
      <xdr:row>204</xdr:row>
      <xdr:rowOff>1174506</xdr:rowOff>
    </xdr:to>
    <xdr:sp macro="" textlink="">
      <xdr:nvSpPr>
        <xdr:cNvPr id="3" name="Rectangular Callout 2">
          <a:extLst>
            <a:ext uri="{FF2B5EF4-FFF2-40B4-BE49-F238E27FC236}">
              <a16:creationId xmlns:a16="http://schemas.microsoft.com/office/drawing/2014/main" id="{00000000-0008-0000-0E00-000003000000}"/>
            </a:ext>
          </a:extLst>
        </xdr:cNvPr>
        <xdr:cNvSpPr/>
      </xdr:nvSpPr>
      <xdr:spPr>
        <a:xfrm>
          <a:off x="2267683" y="40153737"/>
          <a:ext cx="1847849" cy="1178169"/>
        </a:xfrm>
        <a:prstGeom prst="wedgeRectCallout">
          <a:avLst>
            <a:gd name="adj1" fmla="val 30230"/>
            <a:gd name="adj2" fmla="val 57854"/>
          </a:avLst>
        </a:prstGeom>
        <a:solidFill>
          <a:schemeClr val="tx2">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800" b="1" i="1">
              <a:solidFill>
                <a:sysClr val="windowText" lastClr="000000"/>
              </a:solidFill>
            </a:rPr>
            <a:t>PRES</a:t>
          </a:r>
          <a:r>
            <a:rPr lang="en-AU" sz="800" i="1">
              <a:solidFill>
                <a:sysClr val="windowText" lastClr="000000"/>
              </a:solidFill>
            </a:rPr>
            <a:t> - Technical / Milestone Report</a:t>
          </a:r>
        </a:p>
        <a:p>
          <a:pPr algn="l"/>
          <a:r>
            <a:rPr lang="en-AU" sz="800" b="1" i="1">
              <a:solidFill>
                <a:sysClr val="windowText" lastClr="000000"/>
              </a:solidFill>
            </a:rPr>
            <a:t>RINV</a:t>
          </a:r>
          <a:r>
            <a:rPr lang="en-AU" sz="800" i="1">
              <a:solidFill>
                <a:sysClr val="windowText" lastClr="000000"/>
              </a:solidFill>
            </a:rPr>
            <a:t> - Raise Invoice</a:t>
          </a:r>
        </a:p>
        <a:p>
          <a:pPr algn="l"/>
          <a:r>
            <a:rPr lang="en-AU" sz="800" b="1" i="1">
              <a:solidFill>
                <a:sysClr val="windowText" lastClr="000000"/>
              </a:solidFill>
            </a:rPr>
            <a:t>FINR</a:t>
          </a:r>
          <a:r>
            <a:rPr lang="en-AU" sz="800" i="1">
              <a:solidFill>
                <a:sysClr val="windowText" lastClr="000000"/>
              </a:solidFill>
            </a:rPr>
            <a:t> - Financial Report</a:t>
          </a:r>
        </a:p>
        <a:p>
          <a:pPr algn="l"/>
          <a:r>
            <a:rPr lang="en-AU" sz="800" b="1" i="1">
              <a:solidFill>
                <a:sysClr val="windowText" lastClr="000000"/>
              </a:solidFill>
            </a:rPr>
            <a:t>EAUR</a:t>
          </a:r>
          <a:r>
            <a:rPr lang="en-AU" sz="800" i="1">
              <a:solidFill>
                <a:sysClr val="windowText" lastClr="000000"/>
              </a:solidFill>
            </a:rPr>
            <a:t> - External Audit Report</a:t>
          </a:r>
        </a:p>
        <a:p>
          <a:pPr algn="l"/>
          <a:r>
            <a:rPr lang="en-AU" sz="800" b="1" i="1">
              <a:solidFill>
                <a:sysClr val="windowText" lastClr="000000"/>
              </a:solidFill>
            </a:rPr>
            <a:t>IAUR</a:t>
          </a:r>
          <a:r>
            <a:rPr lang="en-AU" sz="800" i="1">
              <a:solidFill>
                <a:sysClr val="windowText" lastClr="000000"/>
              </a:solidFill>
            </a:rPr>
            <a:t> - Internal Audit Report</a:t>
          </a:r>
        </a:p>
        <a:p>
          <a:pPr algn="l"/>
          <a:r>
            <a:rPr lang="en-AU" sz="800" b="1" i="1">
              <a:solidFill>
                <a:sysClr val="windowText" lastClr="000000"/>
              </a:solidFill>
            </a:rPr>
            <a:t>INKD</a:t>
          </a:r>
          <a:r>
            <a:rPr lang="en-AU" sz="800" i="1">
              <a:solidFill>
                <a:sysClr val="windowText" lastClr="000000"/>
              </a:solidFill>
            </a:rPr>
            <a:t> - In Kind Report</a:t>
          </a:r>
        </a:p>
        <a:p>
          <a:pPr algn="l"/>
          <a:r>
            <a:rPr lang="en-AU" sz="800" b="1" i="1">
              <a:solidFill>
                <a:sysClr val="windowText" lastClr="000000"/>
              </a:solidFill>
            </a:rPr>
            <a:t>OVRN</a:t>
          </a:r>
          <a:r>
            <a:rPr lang="en-AU" sz="800" i="1">
              <a:solidFill>
                <a:sysClr val="windowText" lastClr="000000"/>
              </a:solidFill>
            </a:rPr>
            <a:t> - Overheads (non-invoicing)</a:t>
          </a:r>
        </a:p>
        <a:p>
          <a:pPr algn="l"/>
          <a:r>
            <a:rPr lang="en-AU" sz="800" b="1" i="1">
              <a:solidFill>
                <a:sysClr val="windowText" lastClr="000000"/>
              </a:solidFill>
            </a:rPr>
            <a:t>RCTI</a:t>
          </a:r>
          <a:r>
            <a:rPr lang="en-AU" sz="800" i="1">
              <a:solidFill>
                <a:sysClr val="windowText" lastClr="000000"/>
              </a:solidFill>
            </a:rPr>
            <a:t> - RCTI Income Due</a:t>
          </a:r>
        </a:p>
        <a:p>
          <a:pPr algn="l"/>
          <a:r>
            <a:rPr lang="en-AU" sz="800" b="1" i="1">
              <a:solidFill>
                <a:sysClr val="windowText" lastClr="000000"/>
              </a:solidFill>
            </a:rPr>
            <a:t>SHGP</a:t>
          </a:r>
          <a:r>
            <a:rPr lang="en-AU" sz="800" i="1">
              <a:solidFill>
                <a:sysClr val="windowText" lastClr="000000"/>
              </a:solidFill>
            </a:rPr>
            <a:t> - Shared Grant Expense Payment</a:t>
          </a:r>
        </a:p>
        <a:p>
          <a:pPr algn="l"/>
          <a:endParaRPr lang="en-AU" sz="800" i="1">
            <a:solidFill>
              <a:sysClr val="windowText" lastClr="000000"/>
            </a:solidFill>
          </a:endParaRPr>
        </a:p>
      </xdr:txBody>
    </xdr:sp>
    <xdr:clientData/>
  </xdr:twoCellAnchor>
  <xdr:oneCellAnchor>
    <xdr:from>
      <xdr:col>5</xdr:col>
      <xdr:colOff>342900</xdr:colOff>
      <xdr:row>204</xdr:row>
      <xdr:rowOff>323850</xdr:rowOff>
    </xdr:from>
    <xdr:ext cx="184731" cy="264560"/>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3876675" y="40481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1</xdr:col>
      <xdr:colOff>549352</xdr:colOff>
      <xdr:row>0</xdr:row>
      <xdr:rowOff>211134</xdr:rowOff>
    </xdr:from>
    <xdr:to>
      <xdr:col>5</xdr:col>
      <xdr:colOff>609599</xdr:colOff>
      <xdr:row>0</xdr:row>
      <xdr:rowOff>586740</xdr:rowOff>
    </xdr:to>
    <xdr:sp macro="" textlink="tool_name_and_version">
      <xdr:nvSpPr>
        <xdr:cNvPr id="19" name="TextBox 83">
          <a:extLst>
            <a:ext uri="{FF2B5EF4-FFF2-40B4-BE49-F238E27FC236}">
              <a16:creationId xmlns:a16="http://schemas.microsoft.com/office/drawing/2014/main" id="{00000000-0008-0000-0E00-000013000000}"/>
            </a:ext>
          </a:extLst>
        </xdr:cNvPr>
        <xdr:cNvSpPr txBox="1"/>
      </xdr:nvSpPr>
      <xdr:spPr>
        <a:xfrm>
          <a:off x="787477" y="211134"/>
          <a:ext cx="4041697" cy="36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fld id="{0D8FC043-9B2F-46CA-A63D-8B426EE6454D}" type="TxLink">
            <a:rPr lang="en-US" sz="1500" b="1" i="0" u="none" strike="noStrike">
              <a:solidFill>
                <a:schemeClr val="tx1"/>
              </a:solidFill>
              <a:latin typeface="Roboto"/>
            </a:rPr>
            <a:pPr marL="0" marR="0" lvl="0" indent="0" defTabSz="914400" eaLnBrk="1" fontAlgn="auto" latinLnBrk="0" hangingPunct="1">
              <a:lnSpc>
                <a:spcPct val="100000"/>
              </a:lnSpc>
              <a:spcBef>
                <a:spcPts val="0"/>
              </a:spcBef>
              <a:spcAft>
                <a:spcPts val="0"/>
              </a:spcAft>
              <a:buClrTx/>
              <a:buSzTx/>
              <a:buFontTx/>
              <a:buNone/>
              <a:tabLst/>
              <a:defRPr/>
            </a:pPr>
            <a:t>Research Costing and Pricing tool v4.3.1</a:t>
          </a:fld>
          <a:endParaRPr lang="en-US" sz="1500" b="0">
            <a:solidFill>
              <a:schemeClr val="tx1"/>
            </a:solidFill>
            <a:latin typeface="Roboto"/>
          </a:endParaRPr>
        </a:p>
      </xdr:txBody>
    </xdr:sp>
    <xdr:clientData/>
  </xdr:twoCellAnchor>
  <xdr:twoCellAnchor editAs="absolute">
    <xdr:from>
      <xdr:col>0</xdr:col>
      <xdr:colOff>17145</xdr:colOff>
      <xdr:row>0</xdr:row>
      <xdr:rowOff>38100</xdr:rowOff>
    </xdr:from>
    <xdr:to>
      <xdr:col>1</xdr:col>
      <xdr:colOff>472440</xdr:colOff>
      <xdr:row>0</xdr:row>
      <xdr:rowOff>739856</xdr:rowOff>
    </xdr:to>
    <xdr:pic>
      <xdr:nvPicPr>
        <xdr:cNvPr id="20" name="Picture 1">
          <a:extLst>
            <a:ext uri="{FF2B5EF4-FFF2-40B4-BE49-F238E27FC236}">
              <a16:creationId xmlns:a16="http://schemas.microsoft.com/office/drawing/2014/main" id="{00000000-0008-0000-0E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38100"/>
          <a:ext cx="681990" cy="701756"/>
        </a:xfrm>
        <a:prstGeom prst="rect">
          <a:avLst/>
        </a:prstGeom>
        <a:solidFill>
          <a:srgbClr val="A1D172"/>
        </a:solidFill>
      </xdr:spPr>
    </xdr:pic>
    <xdr:clientData/>
  </xdr:twoCellAnchor>
  <xdr:twoCellAnchor editAs="absolute">
    <xdr:from>
      <xdr:col>6</xdr:col>
      <xdr:colOff>21875</xdr:colOff>
      <xdr:row>0</xdr:row>
      <xdr:rowOff>0</xdr:rowOff>
    </xdr:from>
    <xdr:to>
      <xdr:col>10</xdr:col>
      <xdr:colOff>22426</xdr:colOff>
      <xdr:row>0</xdr:row>
      <xdr:rowOff>153093</xdr:rowOff>
    </xdr:to>
    <xdr:sp macro="" textlink="">
      <xdr:nvSpPr>
        <xdr:cNvPr id="24" name="TextBox 84">
          <a:extLst>
            <a:ext uri="{FF2B5EF4-FFF2-40B4-BE49-F238E27FC236}">
              <a16:creationId xmlns:a16="http://schemas.microsoft.com/office/drawing/2014/main" id="{00000000-0008-0000-0E00-000018000000}"/>
            </a:ext>
          </a:extLst>
        </xdr:cNvPr>
        <xdr:cNvSpPr txBox="1"/>
      </xdr:nvSpPr>
      <xdr:spPr>
        <a:xfrm>
          <a:off x="5155850" y="0"/>
          <a:ext cx="3181901" cy="1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0" i="0">
              <a:solidFill>
                <a:schemeClr val="bg1"/>
              </a:solidFill>
              <a:latin typeface="Roboto"/>
            </a:rPr>
            <a:t>The</a:t>
          </a:r>
          <a:r>
            <a:rPr lang="en-US" sz="700" b="0" i="0" baseline="0">
              <a:solidFill>
                <a:schemeClr val="bg1"/>
              </a:solidFill>
              <a:latin typeface="Roboto"/>
            </a:rPr>
            <a:t> University of Melbourne - Research Innovation and Commercialisation</a:t>
          </a:r>
          <a:endParaRPr lang="en-US" sz="700" b="0" i="0">
            <a:solidFill>
              <a:schemeClr val="bg1"/>
            </a:solidFill>
            <a:latin typeface="Roboto"/>
          </a:endParaRPr>
        </a:p>
      </xdr:txBody>
    </xdr:sp>
    <xdr:clientData/>
  </xdr:twoCellAnchor>
  <xdr:twoCellAnchor editAs="absolute">
    <xdr:from>
      <xdr:col>1</xdr:col>
      <xdr:colOff>530302</xdr:colOff>
      <xdr:row>0</xdr:row>
      <xdr:rowOff>496884</xdr:rowOff>
    </xdr:from>
    <xdr:to>
      <xdr:col>5</xdr:col>
      <xdr:colOff>594359</xdr:colOff>
      <xdr:row>1</xdr:row>
      <xdr:rowOff>78105</xdr:rowOff>
    </xdr:to>
    <xdr:sp macro="" textlink="">
      <xdr:nvSpPr>
        <xdr:cNvPr id="50" name="TextBox 83">
          <a:extLst>
            <a:ext uri="{FF2B5EF4-FFF2-40B4-BE49-F238E27FC236}">
              <a16:creationId xmlns:a16="http://schemas.microsoft.com/office/drawing/2014/main" id="{00000000-0008-0000-0E00-000032000000}"/>
            </a:ext>
          </a:extLst>
        </xdr:cNvPr>
        <xdr:cNvSpPr txBox="1"/>
      </xdr:nvSpPr>
      <xdr:spPr>
        <a:xfrm>
          <a:off x="777952" y="496884"/>
          <a:ext cx="4041697" cy="36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a:latin typeface="Roboto"/>
            </a:rPr>
            <a:t>Budget Form - AUD values</a:t>
          </a:r>
        </a:p>
      </xdr:txBody>
    </xdr:sp>
    <xdr:clientData/>
  </xdr:twoCellAnchor>
  <xdr:twoCellAnchor editAs="absolute">
    <xdr:from>
      <xdr:col>5</xdr:col>
      <xdr:colOff>554355</xdr:colOff>
      <xdr:row>0</xdr:row>
      <xdr:rowOff>363855</xdr:rowOff>
    </xdr:from>
    <xdr:to>
      <xdr:col>7</xdr:col>
      <xdr:colOff>670559</xdr:colOff>
      <xdr:row>0</xdr:row>
      <xdr:rowOff>669873</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00000000-0008-0000-0E00-000007000000}"/>
            </a:ext>
          </a:extLst>
        </xdr:cNvPr>
        <xdr:cNvSpPr/>
      </xdr:nvSpPr>
      <xdr:spPr>
        <a:xfrm>
          <a:off x="4874895" y="367665"/>
          <a:ext cx="1906904" cy="306018"/>
        </a:xfrm>
        <a:prstGeom prst="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600" b="1" i="0" u="none" strike="noStrike" kern="0" cap="none" spc="0" normalizeH="0" baseline="0" noProof="0">
              <a:ln>
                <a:noFill/>
              </a:ln>
              <a:solidFill>
                <a:sysClr val="window" lastClr="FFFFFF"/>
              </a:solidFill>
              <a:effectLst/>
              <a:uLnTx/>
              <a:uFillTx/>
              <a:latin typeface="Aptos Display" panose="020B0004020202020204" pitchFamily="34" charset="0"/>
              <a:ea typeface="+mn-ea"/>
              <a:cs typeface="+mn-cs"/>
            </a:rPr>
            <a:t>Revert to Foreign</a:t>
          </a:r>
        </a:p>
      </xdr:txBody>
    </xdr:sp>
    <xdr:clientData/>
  </xdr:twoCellAnchor>
  <xdr:twoCellAnchor editAs="absolute">
    <xdr:from>
      <xdr:col>8</xdr:col>
      <xdr:colOff>53340</xdr:colOff>
      <xdr:row>0</xdr:row>
      <xdr:rowOff>377190</xdr:rowOff>
    </xdr:from>
    <xdr:to>
      <xdr:col>10</xdr:col>
      <xdr:colOff>59055</xdr:colOff>
      <xdr:row>0</xdr:row>
      <xdr:rowOff>681990</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00000000-0008-0000-0E00-000008000000}"/>
            </a:ext>
          </a:extLst>
        </xdr:cNvPr>
        <xdr:cNvSpPr/>
      </xdr:nvSpPr>
      <xdr:spPr>
        <a:xfrm>
          <a:off x="6951345" y="377190"/>
          <a:ext cx="1590675" cy="304800"/>
        </a:xfrm>
        <a:prstGeom prst="rect">
          <a:avLst/>
        </a:prstGeom>
        <a:solidFill>
          <a:sysClr val="window" lastClr="FFFFFF">
            <a:lumMod val="75000"/>
          </a:sys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600" b="1" i="0" u="none" strike="noStrike" kern="0" cap="none" spc="0" normalizeH="0" baseline="0" noProof="0">
              <a:ln>
                <a:noFill/>
              </a:ln>
              <a:solidFill>
                <a:srgbClr val="002060"/>
              </a:solidFill>
              <a:effectLst/>
              <a:uLnTx/>
              <a:uFillTx/>
              <a:latin typeface="Aptos Display" panose="020B0004020202020204" pitchFamily="34" charset="0"/>
              <a:ea typeface="+mn-ea"/>
              <a:cs typeface="+mn-cs"/>
            </a:rPr>
            <a:t>Lookup tables</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601980</xdr:colOff>
          <xdr:row>2</xdr:row>
          <xdr:rowOff>22860</xdr:rowOff>
        </xdr:from>
        <xdr:to>
          <xdr:col>5</xdr:col>
          <xdr:colOff>1249680</xdr:colOff>
          <xdr:row>4</xdr:row>
          <xdr:rowOff>175260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E00-000003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Refresh Rates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457200</xdr:colOff>
          <xdr:row>0</xdr:row>
          <xdr:rowOff>205740</xdr:rowOff>
        </xdr:from>
        <xdr:to>
          <xdr:col>11</xdr:col>
          <xdr:colOff>487680</xdr:colOff>
          <xdr:row>0</xdr:row>
          <xdr:rowOff>632460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1" i="0" u="none" strike="noStrike" baseline="0">
                  <a:solidFill>
                    <a:srgbClr val="000080"/>
                  </a:solidFill>
                  <a:latin typeface="Calibri"/>
                  <a:ea typeface="Calibri"/>
                  <a:cs typeface="Calibri"/>
                </a:rPr>
                <a:t>Reset Lookup table values to Default UoM Values</a:t>
              </a:r>
            </a:p>
          </xdr:txBody>
        </xdr:sp>
        <xdr:clientData/>
      </xdr:twoCellAnchor>
    </mc:Choice>
    <mc:Fallback/>
  </mc:AlternateContent>
  <xdr:twoCellAnchor editAs="oneCell">
    <xdr:from>
      <xdr:col>0</xdr:col>
      <xdr:colOff>1382469</xdr:colOff>
      <xdr:row>0</xdr:row>
      <xdr:rowOff>22748</xdr:rowOff>
    </xdr:from>
    <xdr:to>
      <xdr:col>0</xdr:col>
      <xdr:colOff>1885389</xdr:colOff>
      <xdr:row>0</xdr:row>
      <xdr:rowOff>478104</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1382469" y="22748"/>
          <a:ext cx="502920" cy="443926"/>
        </a:xfrm>
        <a:prstGeom prst="rect">
          <a:avLst/>
        </a:prstGeom>
      </xdr:spPr>
    </xdr:pic>
    <xdr:clientData/>
  </xdr:twoCellAnchor>
  <xdr:twoCellAnchor>
    <xdr:from>
      <xdr:col>1</xdr:col>
      <xdr:colOff>1121</xdr:colOff>
      <xdr:row>0</xdr:row>
      <xdr:rowOff>286871</xdr:rowOff>
    </xdr:from>
    <xdr:to>
      <xdr:col>3</xdr:col>
      <xdr:colOff>627530</xdr:colOff>
      <xdr:row>0</xdr:row>
      <xdr:rowOff>533737</xdr:rowOff>
    </xdr:to>
    <xdr:sp macro="" textlink="">
      <xdr:nvSpPr>
        <xdr:cNvPr id="15" name="TextBox 14">
          <a:extLst>
            <a:ext uri="{FF2B5EF4-FFF2-40B4-BE49-F238E27FC236}">
              <a16:creationId xmlns:a16="http://schemas.microsoft.com/office/drawing/2014/main" id="{00000000-0008-0000-1000-00000F000000}"/>
            </a:ext>
          </a:extLst>
        </xdr:cNvPr>
        <xdr:cNvSpPr txBox="1"/>
      </xdr:nvSpPr>
      <xdr:spPr>
        <a:xfrm>
          <a:off x="1946462" y="286871"/>
          <a:ext cx="4131609" cy="246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0</xdr:col>
      <xdr:colOff>184658</xdr:colOff>
      <xdr:row>1</xdr:row>
      <xdr:rowOff>58607</xdr:rowOff>
    </xdr:from>
    <xdr:to>
      <xdr:col>0</xdr:col>
      <xdr:colOff>1632278</xdr:colOff>
      <xdr:row>8</xdr:row>
      <xdr:rowOff>140164</xdr:rowOff>
    </xdr:to>
    <xdr:grpSp>
      <xdr:nvGrpSpPr>
        <xdr:cNvPr id="2" name="Group 1">
          <a:extLst>
            <a:ext uri="{FF2B5EF4-FFF2-40B4-BE49-F238E27FC236}">
              <a16:creationId xmlns:a16="http://schemas.microsoft.com/office/drawing/2014/main" id="{04C8D6E7-4307-BA0C-25D9-F35742BD110D}"/>
            </a:ext>
          </a:extLst>
        </xdr:cNvPr>
        <xdr:cNvGrpSpPr/>
      </xdr:nvGrpSpPr>
      <xdr:grpSpPr>
        <a:xfrm>
          <a:off x="184658" y="1206089"/>
          <a:ext cx="1447620" cy="1587628"/>
          <a:chOff x="169643" y="1250241"/>
          <a:chExt cx="1447620" cy="1609143"/>
        </a:xfrm>
      </xdr:grpSpPr>
      <xdr:sp macro="" textlink="">
        <xdr:nvSpPr>
          <xdr:cNvPr id="16" name="Rectangle 15">
            <a:hlinkClick xmlns:r="http://schemas.openxmlformats.org/officeDocument/2006/relationships" r:id="rId2"/>
            <a:extLst>
              <a:ext uri="{FF2B5EF4-FFF2-40B4-BE49-F238E27FC236}">
                <a16:creationId xmlns:a16="http://schemas.microsoft.com/office/drawing/2014/main" id="{00000000-0008-0000-1000-000010000000}"/>
              </a:ext>
            </a:extLst>
          </xdr:cNvPr>
          <xdr:cNvSpPr/>
        </xdr:nvSpPr>
        <xdr:spPr>
          <a:xfrm>
            <a:off x="169643" y="1250241"/>
            <a:ext cx="1443810" cy="250095"/>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AU" sz="1400" b="1">
                <a:solidFill>
                  <a:schemeClr val="accent1"/>
                </a:solidFill>
                <a:latin typeface="+mn-lt"/>
                <a:ea typeface="+mn-ea"/>
                <a:cs typeface="+mn-cs"/>
              </a:rPr>
              <a:t>Project Details</a:t>
            </a:r>
          </a:p>
        </xdr:txBody>
      </xdr:sp>
      <xdr:sp macro="" textlink="">
        <xdr:nvSpPr>
          <xdr:cNvPr id="23" name="Rectangle 22">
            <a:hlinkClick xmlns:r="http://schemas.openxmlformats.org/officeDocument/2006/relationships" r:id="rId3"/>
            <a:extLst>
              <a:ext uri="{FF2B5EF4-FFF2-40B4-BE49-F238E27FC236}">
                <a16:creationId xmlns:a16="http://schemas.microsoft.com/office/drawing/2014/main" id="{00000000-0008-0000-1000-000017000000}"/>
              </a:ext>
            </a:extLst>
          </xdr:cNvPr>
          <xdr:cNvSpPr/>
        </xdr:nvSpPr>
        <xdr:spPr>
          <a:xfrm>
            <a:off x="173453" y="1589051"/>
            <a:ext cx="1443810" cy="253905"/>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AU" sz="1400" b="1">
                <a:solidFill>
                  <a:schemeClr val="accent1"/>
                </a:solidFill>
                <a:latin typeface="+mn-lt"/>
                <a:ea typeface="+mn-ea"/>
                <a:cs typeface="+mn-cs"/>
              </a:rPr>
              <a:t>Staff Costs</a:t>
            </a:r>
          </a:p>
        </xdr:txBody>
      </xdr:sp>
      <xdr:sp macro="" textlink="">
        <xdr:nvSpPr>
          <xdr:cNvPr id="24" name="Rectangle 23">
            <a:hlinkClick xmlns:r="http://schemas.openxmlformats.org/officeDocument/2006/relationships" r:id="rId4"/>
            <a:extLst>
              <a:ext uri="{FF2B5EF4-FFF2-40B4-BE49-F238E27FC236}">
                <a16:creationId xmlns:a16="http://schemas.microsoft.com/office/drawing/2014/main" id="{00000000-0008-0000-1000-000018000000}"/>
              </a:ext>
            </a:extLst>
          </xdr:cNvPr>
          <xdr:cNvSpPr/>
        </xdr:nvSpPr>
        <xdr:spPr>
          <a:xfrm>
            <a:off x="173453" y="2268574"/>
            <a:ext cx="1443810" cy="259620"/>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AU" sz="1400" b="1">
                <a:solidFill>
                  <a:schemeClr val="accent1"/>
                </a:solidFill>
                <a:latin typeface="+mn-lt"/>
                <a:ea typeface="+mn-ea"/>
                <a:cs typeface="+mn-cs"/>
              </a:rPr>
              <a:t>Price Summary</a:t>
            </a:r>
          </a:p>
        </xdr:txBody>
      </xdr:sp>
      <xdr:sp macro="" textlink="">
        <xdr:nvSpPr>
          <xdr:cNvPr id="25" name="Rectangle 24">
            <a:hlinkClick xmlns:r="http://schemas.openxmlformats.org/officeDocument/2006/relationships" r:id="rId5"/>
            <a:extLst>
              <a:ext uri="{FF2B5EF4-FFF2-40B4-BE49-F238E27FC236}">
                <a16:creationId xmlns:a16="http://schemas.microsoft.com/office/drawing/2014/main" id="{00000000-0008-0000-1000-000019000000}"/>
              </a:ext>
            </a:extLst>
          </xdr:cNvPr>
          <xdr:cNvSpPr/>
        </xdr:nvSpPr>
        <xdr:spPr>
          <a:xfrm>
            <a:off x="173453" y="1935480"/>
            <a:ext cx="1443810" cy="248190"/>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AU" sz="1400" b="1">
                <a:solidFill>
                  <a:schemeClr val="accent1"/>
                </a:solidFill>
                <a:latin typeface="+mn-lt"/>
                <a:ea typeface="+mn-ea"/>
                <a:cs typeface="+mn-cs"/>
              </a:rPr>
              <a:t>Non-Staff Costs</a:t>
            </a:r>
          </a:p>
        </xdr:txBody>
      </xdr:sp>
      <xdr:sp macro="" textlink="">
        <xdr:nvSpPr>
          <xdr:cNvPr id="9" name="Rectangle 8">
            <a:hlinkClick xmlns:r="http://schemas.openxmlformats.org/officeDocument/2006/relationships" r:id="rId6"/>
            <a:extLst>
              <a:ext uri="{FF2B5EF4-FFF2-40B4-BE49-F238E27FC236}">
                <a16:creationId xmlns:a16="http://schemas.microsoft.com/office/drawing/2014/main" id="{3E14F47B-FFF2-CFCC-E869-5265E673D085}"/>
              </a:ext>
            </a:extLst>
          </xdr:cNvPr>
          <xdr:cNvSpPr/>
        </xdr:nvSpPr>
        <xdr:spPr>
          <a:xfrm>
            <a:off x="169643" y="2618814"/>
            <a:ext cx="1443810" cy="240570"/>
          </a:xfrm>
          <a:prstGeom prst="rect">
            <a:avLst/>
          </a:prstGeom>
          <a:solidFill>
            <a:schemeClr val="bg1">
              <a:lumMod val="85000"/>
            </a:schemeClr>
          </a:solidFill>
          <a:ln>
            <a:solidFill>
              <a:schemeClr val="bg1">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AU" sz="1400" b="1">
                <a:solidFill>
                  <a:schemeClr val="accent1"/>
                </a:solidFill>
                <a:latin typeface="+mn-lt"/>
                <a:ea typeface="+mn-ea"/>
                <a:cs typeface="+mn-cs"/>
              </a:rPr>
              <a:t>Budget Form</a:t>
            </a:r>
          </a:p>
        </xdr:txBody>
      </xdr:sp>
    </xdr:grpSp>
    <xdr:clientData/>
  </xdr:twoCellAnchor>
  <xdr:twoCellAnchor>
    <xdr:from>
      <xdr:col>1</xdr:col>
      <xdr:colOff>56029</xdr:colOff>
      <xdr:row>0</xdr:row>
      <xdr:rowOff>553121</xdr:rowOff>
    </xdr:from>
    <xdr:to>
      <xdr:col>8</xdr:col>
      <xdr:colOff>78907</xdr:colOff>
      <xdr:row>0</xdr:row>
      <xdr:rowOff>815501</xdr:rowOff>
    </xdr:to>
    <xdr:grpSp>
      <xdr:nvGrpSpPr>
        <xdr:cNvPr id="26" name="Group 25">
          <a:extLst>
            <a:ext uri="{FF2B5EF4-FFF2-40B4-BE49-F238E27FC236}">
              <a16:creationId xmlns:a16="http://schemas.microsoft.com/office/drawing/2014/main" id="{7BB81419-7DC0-86C6-4334-CCA36C470849}"/>
            </a:ext>
          </a:extLst>
        </xdr:cNvPr>
        <xdr:cNvGrpSpPr/>
      </xdr:nvGrpSpPr>
      <xdr:grpSpPr>
        <a:xfrm>
          <a:off x="2001370" y="553121"/>
          <a:ext cx="9292384" cy="262380"/>
          <a:chOff x="1994647" y="553121"/>
          <a:chExt cx="9290142" cy="262380"/>
        </a:xfrm>
      </xdr:grpSpPr>
      <xdr:sp macro="" textlink="">
        <xdr:nvSpPr>
          <xdr:cNvPr id="10" name="Rectangle 9">
            <a:hlinkClick xmlns:r="http://schemas.openxmlformats.org/officeDocument/2006/relationships" r:id="rId7"/>
            <a:extLst>
              <a:ext uri="{FF2B5EF4-FFF2-40B4-BE49-F238E27FC236}">
                <a16:creationId xmlns:a16="http://schemas.microsoft.com/office/drawing/2014/main" id="{4689A474-55FC-B5AB-46AC-072BB2F2522A}"/>
              </a:ext>
            </a:extLst>
          </xdr:cNvPr>
          <xdr:cNvSpPr/>
        </xdr:nvSpPr>
        <xdr:spPr>
          <a:xfrm>
            <a:off x="1994647" y="553121"/>
            <a:ext cx="1137509" cy="262380"/>
          </a:xfrm>
          <a:prstGeom prst="rect">
            <a:avLst/>
          </a:prstGeom>
          <a:solidFill>
            <a:srgbClr val="548DD4">
              <a:lumMod val="75000"/>
            </a:srgbClr>
          </a:solidFill>
          <a:ln>
            <a:solidFill>
              <a:sysClr val="windowText" lastClr="000000">
                <a:lumMod val="50000"/>
                <a:lumOff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a:ln>
                  <a:noFill/>
                </a:ln>
                <a:solidFill>
                  <a:sysClr val="window" lastClr="FFFFFF"/>
                </a:solidFill>
                <a:effectLst/>
                <a:uLnTx/>
                <a:uFillTx/>
                <a:latin typeface="Calibri"/>
                <a:ea typeface="+mn-ea"/>
                <a:cs typeface="+mn-cs"/>
              </a:rPr>
              <a:t>Lookup tables</a:t>
            </a:r>
          </a:p>
        </xdr:txBody>
      </xdr:sp>
      <xdr:sp macro="" textlink="">
        <xdr:nvSpPr>
          <xdr:cNvPr id="14" name="Rectangle 13">
            <a:hlinkClick xmlns:r="http://schemas.openxmlformats.org/officeDocument/2006/relationships" r:id="rId8"/>
            <a:extLst>
              <a:ext uri="{FF2B5EF4-FFF2-40B4-BE49-F238E27FC236}">
                <a16:creationId xmlns:a16="http://schemas.microsoft.com/office/drawing/2014/main" id="{63F4E654-A662-45E8-08B4-C6B7F8AFD8DA}"/>
              </a:ext>
            </a:extLst>
          </xdr:cNvPr>
          <xdr:cNvSpPr/>
        </xdr:nvSpPr>
        <xdr:spPr>
          <a:xfrm>
            <a:off x="3213827" y="553121"/>
            <a:ext cx="150102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Oncosts Calculator</a:t>
            </a:r>
          </a:p>
        </xdr:txBody>
      </xdr:sp>
      <xdr:sp macro="" textlink="">
        <xdr:nvSpPr>
          <xdr:cNvPr id="17" name="Rectangle 16">
            <a:hlinkClick xmlns:r="http://schemas.openxmlformats.org/officeDocument/2006/relationships" r:id="rId9"/>
            <a:extLst>
              <a:ext uri="{FF2B5EF4-FFF2-40B4-BE49-F238E27FC236}">
                <a16:creationId xmlns:a16="http://schemas.microsoft.com/office/drawing/2014/main" id="{DFD41BD3-8D7D-555E-E9E0-C13303567CC3}"/>
              </a:ext>
            </a:extLst>
          </xdr:cNvPr>
          <xdr:cNvSpPr/>
        </xdr:nvSpPr>
        <xdr:spPr>
          <a:xfrm>
            <a:off x="4784972" y="553121"/>
            <a:ext cx="2058815"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Internal Income Sharing Form</a:t>
            </a:r>
          </a:p>
        </xdr:txBody>
      </xdr:sp>
      <xdr:sp macro="" textlink="">
        <xdr:nvSpPr>
          <xdr:cNvPr id="18" name="Rectangle 17">
            <a:hlinkClick xmlns:r="http://schemas.openxmlformats.org/officeDocument/2006/relationships" r:id="rId10"/>
            <a:extLst>
              <a:ext uri="{FF2B5EF4-FFF2-40B4-BE49-F238E27FC236}">
                <a16:creationId xmlns:a16="http://schemas.microsoft.com/office/drawing/2014/main" id="{6D67ACA3-FEB9-F0BC-CAC0-3407084ECA44}"/>
              </a:ext>
            </a:extLst>
          </xdr:cNvPr>
          <xdr:cNvSpPr/>
        </xdr:nvSpPr>
        <xdr:spPr>
          <a:xfrm>
            <a:off x="6901977" y="553121"/>
            <a:ext cx="1543559"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Standard Offer Letter</a:t>
            </a:r>
          </a:p>
        </xdr:txBody>
      </xdr:sp>
      <xdr:sp macro="" textlink="">
        <xdr:nvSpPr>
          <xdr:cNvPr id="20" name="Rectangle 19">
            <a:hlinkClick xmlns:r="http://schemas.openxmlformats.org/officeDocument/2006/relationships" r:id="rId11"/>
            <a:extLst>
              <a:ext uri="{FF2B5EF4-FFF2-40B4-BE49-F238E27FC236}">
                <a16:creationId xmlns:a16="http://schemas.microsoft.com/office/drawing/2014/main" id="{29C8F871-5A89-9433-93B8-03208D7B45A2}"/>
              </a:ext>
            </a:extLst>
          </xdr:cNvPr>
          <xdr:cNvSpPr/>
        </xdr:nvSpPr>
        <xdr:spPr>
          <a:xfrm>
            <a:off x="8521398" y="553121"/>
            <a:ext cx="1115911"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AU" sz="1100" b="1" u="none">
                <a:solidFill>
                  <a:schemeClr val="tx1"/>
                </a:solidFill>
                <a:latin typeface="+mn-lt"/>
                <a:ea typeface="+mn-ea"/>
                <a:cs typeface="+mn-cs"/>
              </a:rPr>
              <a:t>PSDA Admin</a:t>
            </a:r>
          </a:p>
        </xdr:txBody>
      </xdr:sp>
      <xdr:sp macro="" textlink="">
        <xdr:nvSpPr>
          <xdr:cNvPr id="13" name="Rectangle 12">
            <a:hlinkClick xmlns:r="http://schemas.openxmlformats.org/officeDocument/2006/relationships" r:id="rId12"/>
            <a:extLst>
              <a:ext uri="{FF2B5EF4-FFF2-40B4-BE49-F238E27FC236}">
                <a16:creationId xmlns:a16="http://schemas.microsoft.com/office/drawing/2014/main" id="{43DE802E-FC23-0E3D-DA48-B7F626C47E9B}"/>
              </a:ext>
            </a:extLst>
          </xdr:cNvPr>
          <xdr:cNvSpPr/>
        </xdr:nvSpPr>
        <xdr:spPr>
          <a:xfrm>
            <a:off x="9714725" y="553121"/>
            <a:ext cx="1570064" cy="262380"/>
          </a:xfrm>
          <a:prstGeom prst="rect">
            <a:avLst/>
          </a:prstGeom>
          <a:solidFill>
            <a:schemeClr val="bg1">
              <a:lumMod val="85000"/>
            </a:schemeClr>
          </a:solidFill>
          <a:ln>
            <a:solidFill>
              <a:schemeClr val="bg1">
                <a:lumMod val="85000"/>
              </a:schemeClr>
            </a:solidFill>
          </a:ln>
        </xdr:spPr>
        <xdr:style>
          <a:lnRef idx="0">
            <a:schemeClr val="dk1"/>
          </a:lnRef>
          <a:fillRef idx="3">
            <a:schemeClr val="dk1"/>
          </a:fillRef>
          <a:effectRef idx="3">
            <a:schemeClr val="dk1"/>
          </a:effectRef>
          <a:fontRef idx="minor">
            <a:schemeClr val="lt1"/>
          </a:fontRef>
        </xdr:style>
        <xdr:txBody>
          <a:bodyPr vertOverflow="clip" horzOverflow="clip" tIns="54000" rtlCol="0" anchor="ctr"/>
          <a:lstStyle/>
          <a:p>
            <a:pPr marL="0" indent="0" algn="l"/>
            <a:r>
              <a:rPr lang="en-AU" sz="1100" b="1" u="none">
                <a:solidFill>
                  <a:schemeClr val="tx1"/>
                </a:solidFill>
                <a:latin typeface="+mn-lt"/>
                <a:ea typeface="+mn-ea"/>
                <a:cs typeface="+mn-cs"/>
              </a:rPr>
              <a:t>Research Gateway Help</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1314846</xdr:colOff>
      <xdr:row>0</xdr:row>
      <xdr:rowOff>0</xdr:rowOff>
    </xdr:from>
    <xdr:to>
      <xdr:col>0</xdr:col>
      <xdr:colOff>1999914</xdr:colOff>
      <xdr:row>0</xdr:row>
      <xdr:rowOff>626632</xdr:rowOff>
    </xdr:to>
    <xdr:pic>
      <xdr:nvPicPr>
        <xdr:cNvPr id="43" name="Picture 42">
          <a:extLst>
            <a:ext uri="{FF2B5EF4-FFF2-40B4-BE49-F238E27FC236}">
              <a16:creationId xmlns:a16="http://schemas.microsoft.com/office/drawing/2014/main" id="{00000000-0008-0000-1100-00002B000000}"/>
            </a:ext>
          </a:extLst>
        </xdr:cNvPr>
        <xdr:cNvPicPr>
          <a:picLocks noChangeAspect="1"/>
        </xdr:cNvPicPr>
      </xdr:nvPicPr>
      <xdr:blipFill>
        <a:blip xmlns:r="http://schemas.openxmlformats.org/officeDocument/2006/relationships" r:embed="rId1"/>
        <a:stretch>
          <a:fillRect/>
        </a:stretch>
      </xdr:blipFill>
      <xdr:spPr>
        <a:xfrm>
          <a:off x="1314846" y="0"/>
          <a:ext cx="740313" cy="634252"/>
        </a:xfrm>
        <a:prstGeom prst="rect">
          <a:avLst/>
        </a:prstGeom>
      </xdr:spPr>
    </xdr:pic>
    <xdr:clientData/>
  </xdr:twoCellAnchor>
  <xdr:twoCellAnchor>
    <xdr:from>
      <xdr:col>1</xdr:col>
      <xdr:colOff>386491</xdr:colOff>
      <xdr:row>0</xdr:row>
      <xdr:rowOff>327324</xdr:rowOff>
    </xdr:from>
    <xdr:to>
      <xdr:col>8</xdr:col>
      <xdr:colOff>127524</xdr:colOff>
      <xdr:row>0</xdr:row>
      <xdr:rowOff>574974</xdr:rowOff>
    </xdr:to>
    <xdr:sp macro="" textlink="">
      <xdr:nvSpPr>
        <xdr:cNvPr id="47" name="TextBox 46">
          <a:extLst>
            <a:ext uri="{FF2B5EF4-FFF2-40B4-BE49-F238E27FC236}">
              <a16:creationId xmlns:a16="http://schemas.microsoft.com/office/drawing/2014/main" id="{00000000-0008-0000-1100-00002F000000}"/>
            </a:ext>
          </a:extLst>
        </xdr:cNvPr>
        <xdr:cNvSpPr txBox="1"/>
      </xdr:nvSpPr>
      <xdr:spPr>
        <a:xfrm>
          <a:off x="1988932" y="327324"/>
          <a:ext cx="955738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900" b="0" i="0">
              <a:solidFill>
                <a:srgbClr val="002060"/>
              </a:solidFill>
              <a:latin typeface="Roboto"/>
            </a:rPr>
            <a:t>The University of Melbourne - Research Innovation and Commercialisation</a:t>
          </a:r>
        </a:p>
      </xdr:txBody>
    </xdr:sp>
    <xdr:clientData/>
  </xdr:twoCellAnchor>
  <xdr:twoCellAnchor>
    <xdr:from>
      <xdr:col>1</xdr:col>
      <xdr:colOff>2284555</xdr:colOff>
      <xdr:row>0</xdr:row>
      <xdr:rowOff>672353</xdr:rowOff>
    </xdr:from>
    <xdr:to>
      <xdr:col>3</xdr:col>
      <xdr:colOff>434062</xdr:colOff>
      <xdr:row>0</xdr:row>
      <xdr:rowOff>912181</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BD75ED97-9C85-4D4A-A665-EFCEED666AB7}"/>
            </a:ext>
          </a:extLst>
        </xdr:cNvPr>
        <xdr:cNvSpPr/>
      </xdr:nvSpPr>
      <xdr:spPr>
        <a:xfrm>
          <a:off x="4346437" y="672353"/>
          <a:ext cx="1354390" cy="239828"/>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Oncosts Calculator</a:t>
          </a:r>
        </a:p>
      </xdr:txBody>
    </xdr:sp>
    <xdr:clientData/>
  </xdr:twoCellAnchor>
  <xdr:twoCellAnchor>
    <xdr:from>
      <xdr:col>3</xdr:col>
      <xdr:colOff>484194</xdr:colOff>
      <xdr:row>0</xdr:row>
      <xdr:rowOff>673957</xdr:rowOff>
    </xdr:from>
    <xdr:to>
      <xdr:col>4</xdr:col>
      <xdr:colOff>289717</xdr:colOff>
      <xdr:row>0</xdr:row>
      <xdr:rowOff>914089</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FCAF11F9-E8FF-4415-9F35-7D8BBA368CD5}"/>
            </a:ext>
          </a:extLst>
        </xdr:cNvPr>
        <xdr:cNvSpPr/>
      </xdr:nvSpPr>
      <xdr:spPr>
        <a:xfrm>
          <a:off x="5750959" y="673957"/>
          <a:ext cx="870082" cy="240132"/>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TR1F Form</a:t>
          </a:r>
        </a:p>
      </xdr:txBody>
    </xdr:sp>
    <xdr:clientData/>
  </xdr:twoCellAnchor>
  <xdr:twoCellAnchor>
    <xdr:from>
      <xdr:col>4</xdr:col>
      <xdr:colOff>328686</xdr:colOff>
      <xdr:row>0</xdr:row>
      <xdr:rowOff>672353</xdr:rowOff>
    </xdr:from>
    <xdr:to>
      <xdr:col>5</xdr:col>
      <xdr:colOff>899078</xdr:colOff>
      <xdr:row>0</xdr:row>
      <xdr:rowOff>912182</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984D3317-79E3-4650-8345-848DC211D5CF}"/>
            </a:ext>
          </a:extLst>
        </xdr:cNvPr>
        <xdr:cNvSpPr/>
      </xdr:nvSpPr>
      <xdr:spPr>
        <a:xfrm>
          <a:off x="6660010" y="672353"/>
          <a:ext cx="1534097" cy="239829"/>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Standard Offer Letter</a:t>
          </a:r>
        </a:p>
      </xdr:txBody>
    </xdr:sp>
    <xdr:clientData/>
  </xdr:twoCellAnchor>
  <xdr:twoCellAnchor>
    <xdr:from>
      <xdr:col>1</xdr:col>
      <xdr:colOff>1236004</xdr:colOff>
      <xdr:row>0</xdr:row>
      <xdr:rowOff>681878</xdr:rowOff>
    </xdr:from>
    <xdr:to>
      <xdr:col>1</xdr:col>
      <xdr:colOff>2228908</xdr:colOff>
      <xdr:row>0</xdr:row>
      <xdr:rowOff>912182</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D2FFA036-52D2-4580-BA02-A9FEB16883A4}"/>
            </a:ext>
          </a:extLst>
        </xdr:cNvPr>
        <xdr:cNvSpPr/>
      </xdr:nvSpPr>
      <xdr:spPr>
        <a:xfrm>
          <a:off x="3297886" y="681878"/>
          <a:ext cx="992904" cy="230304"/>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Budget Form</a:t>
          </a:r>
        </a:p>
      </xdr:txBody>
    </xdr:sp>
    <xdr:clientData/>
  </xdr:twoCellAnchor>
  <xdr:twoCellAnchor>
    <xdr:from>
      <xdr:col>1</xdr:col>
      <xdr:colOff>67236</xdr:colOff>
      <xdr:row>0</xdr:row>
      <xdr:rowOff>673957</xdr:rowOff>
    </xdr:from>
    <xdr:to>
      <xdr:col>1</xdr:col>
      <xdr:colOff>1174542</xdr:colOff>
      <xdr:row>0</xdr:row>
      <xdr:rowOff>917696</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6AB302A8-8263-4E26-9C5A-47B475303FC6}"/>
            </a:ext>
          </a:extLst>
        </xdr:cNvPr>
        <xdr:cNvSpPr/>
      </xdr:nvSpPr>
      <xdr:spPr>
        <a:xfrm>
          <a:off x="2129118" y="673957"/>
          <a:ext cx="1107306" cy="243739"/>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Lookup tables</a:t>
          </a:r>
        </a:p>
      </xdr:txBody>
    </xdr:sp>
    <xdr:clientData/>
  </xdr:twoCellAnchor>
  <xdr:twoCellAnchor>
    <xdr:from>
      <xdr:col>5</xdr:col>
      <xdr:colOff>975178</xdr:colOff>
      <xdr:row>0</xdr:row>
      <xdr:rowOff>673756</xdr:rowOff>
    </xdr:from>
    <xdr:to>
      <xdr:col>7</xdr:col>
      <xdr:colOff>576099</xdr:colOff>
      <xdr:row>0</xdr:row>
      <xdr:rowOff>922208</xdr:rowOff>
    </xdr:to>
    <xdr:sp macro="" textlink="">
      <xdr:nvSpPr>
        <xdr:cNvPr id="13" name="Rectangle 12">
          <a:hlinkClick xmlns:r="http://schemas.openxmlformats.org/officeDocument/2006/relationships" r:id="rId7"/>
          <a:extLst>
            <a:ext uri="{FF2B5EF4-FFF2-40B4-BE49-F238E27FC236}">
              <a16:creationId xmlns:a16="http://schemas.microsoft.com/office/drawing/2014/main" id="{29EA3466-5E9A-49B1-B1A7-C7D3AF344883}"/>
            </a:ext>
          </a:extLst>
        </xdr:cNvPr>
        <xdr:cNvSpPr/>
      </xdr:nvSpPr>
      <xdr:spPr>
        <a:xfrm>
          <a:off x="8270207" y="673756"/>
          <a:ext cx="956833" cy="248452"/>
        </a:xfrm>
        <a:prstGeom prst="rect">
          <a:avLst/>
        </a:prstGeom>
        <a:solidFill>
          <a:sysClr val="window" lastClr="FFFFFF">
            <a:lumMod val="85000"/>
          </a:sysClr>
        </a:solidFill>
        <a:ln>
          <a:solidFill>
            <a:sysClr val="window" lastClr="FFFFFF">
              <a:lumMod val="85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tIns="54000"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Calibri"/>
              <a:ea typeface="+mn-ea"/>
              <a:cs typeface="+mn-cs"/>
            </a:rPr>
            <a:t>PSDA Admin</a:t>
          </a:r>
        </a:p>
      </xdr:txBody>
    </xdr:sp>
    <xdr:clientData/>
  </xdr:twoCellAnchor>
  <xdr:twoCellAnchor editAs="absolute">
    <xdr:from>
      <xdr:col>0</xdr:col>
      <xdr:colOff>55806</xdr:colOff>
      <xdr:row>1</xdr:row>
      <xdr:rowOff>112059</xdr:rowOff>
    </xdr:from>
    <xdr:to>
      <xdr:col>0</xdr:col>
      <xdr:colOff>1620484</xdr:colOff>
      <xdr:row>2</xdr:row>
      <xdr:rowOff>231065</xdr:rowOff>
    </xdr:to>
    <xdr:sp macro="" textlink="">
      <xdr:nvSpPr>
        <xdr:cNvPr id="18" name="Rectangle 17">
          <a:hlinkClick xmlns:r="http://schemas.openxmlformats.org/officeDocument/2006/relationships" r:id="rId8"/>
          <a:extLst>
            <a:ext uri="{FF2B5EF4-FFF2-40B4-BE49-F238E27FC236}">
              <a16:creationId xmlns:a16="http://schemas.microsoft.com/office/drawing/2014/main" id="{294B6ECD-ECE7-4130-931E-804FAF80D370}"/>
            </a:ext>
          </a:extLst>
        </xdr:cNvPr>
        <xdr:cNvSpPr/>
      </xdr:nvSpPr>
      <xdr:spPr>
        <a:xfrm>
          <a:off x="67236" y="1266265"/>
          <a:ext cx="1541818" cy="311747"/>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rgbClr val="4F81BD"/>
              </a:solidFill>
              <a:effectLst/>
              <a:uLnTx/>
              <a:uFillTx/>
              <a:latin typeface="Calibri"/>
              <a:ea typeface="+mn-ea"/>
              <a:cs typeface="+mn-cs"/>
            </a:rPr>
            <a:t>Project Details</a:t>
          </a:r>
        </a:p>
      </xdr:txBody>
    </xdr:sp>
    <xdr:clientData/>
  </xdr:twoCellAnchor>
  <xdr:twoCellAnchor editAs="absolute">
    <xdr:from>
      <xdr:col>0</xdr:col>
      <xdr:colOff>60735</xdr:colOff>
      <xdr:row>2</xdr:row>
      <xdr:rowOff>316786</xdr:rowOff>
    </xdr:from>
    <xdr:to>
      <xdr:col>0</xdr:col>
      <xdr:colOff>1577789</xdr:colOff>
      <xdr:row>4</xdr:row>
      <xdr:rowOff>34626</xdr:rowOff>
    </xdr:to>
    <xdr:sp macro="" textlink="">
      <xdr:nvSpPr>
        <xdr:cNvPr id="19" name="Rectangle 18">
          <a:hlinkClick xmlns:r="http://schemas.openxmlformats.org/officeDocument/2006/relationships" r:id="rId9"/>
          <a:extLst>
            <a:ext uri="{FF2B5EF4-FFF2-40B4-BE49-F238E27FC236}">
              <a16:creationId xmlns:a16="http://schemas.microsoft.com/office/drawing/2014/main" id="{16ECACA7-2F29-4F65-A404-B34A091BAB96}"/>
            </a:ext>
          </a:extLst>
        </xdr:cNvPr>
        <xdr:cNvSpPr/>
      </xdr:nvSpPr>
      <xdr:spPr>
        <a:xfrm>
          <a:off x="70260" y="1644683"/>
          <a:ext cx="1515149" cy="266704"/>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rgbClr val="4F81BD"/>
              </a:solidFill>
              <a:effectLst/>
              <a:uLnTx/>
              <a:uFillTx/>
              <a:latin typeface="Calibri"/>
              <a:ea typeface="+mn-ea"/>
              <a:cs typeface="+mn-cs"/>
            </a:rPr>
            <a:t>Staff Costs</a:t>
          </a:r>
        </a:p>
      </xdr:txBody>
    </xdr:sp>
    <xdr:clientData/>
  </xdr:twoCellAnchor>
  <xdr:twoCellAnchor editAs="absolute">
    <xdr:from>
      <xdr:col>0</xdr:col>
      <xdr:colOff>75303</xdr:colOff>
      <xdr:row>6</xdr:row>
      <xdr:rowOff>59054</xdr:rowOff>
    </xdr:from>
    <xdr:to>
      <xdr:col>0</xdr:col>
      <xdr:colOff>1620483</xdr:colOff>
      <xdr:row>7</xdr:row>
      <xdr:rowOff>131333</xdr:rowOff>
    </xdr:to>
    <xdr:sp macro="" textlink="">
      <xdr:nvSpPr>
        <xdr:cNvPr id="20" name="Rectangle 19">
          <a:hlinkClick xmlns:r="http://schemas.openxmlformats.org/officeDocument/2006/relationships" r:id="rId10"/>
          <a:extLst>
            <a:ext uri="{FF2B5EF4-FFF2-40B4-BE49-F238E27FC236}">
              <a16:creationId xmlns:a16="http://schemas.microsoft.com/office/drawing/2014/main" id="{15811F9E-CA4E-479F-A477-E539C1024B43}"/>
            </a:ext>
          </a:extLst>
        </xdr:cNvPr>
        <xdr:cNvSpPr/>
      </xdr:nvSpPr>
      <xdr:spPr>
        <a:xfrm>
          <a:off x="75303" y="2311213"/>
          <a:ext cx="1533750" cy="286646"/>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rgbClr val="4F81BD"/>
              </a:solidFill>
              <a:effectLst/>
              <a:uLnTx/>
              <a:uFillTx/>
              <a:latin typeface="Calibri"/>
              <a:ea typeface="+mn-ea"/>
              <a:cs typeface="+mn-cs"/>
            </a:rPr>
            <a:t>Price Summary</a:t>
          </a:r>
        </a:p>
      </xdr:txBody>
    </xdr:sp>
    <xdr:clientData/>
  </xdr:twoCellAnchor>
  <xdr:twoCellAnchor editAs="absolute">
    <xdr:from>
      <xdr:col>0</xdr:col>
      <xdr:colOff>77547</xdr:colOff>
      <xdr:row>4</xdr:row>
      <xdr:rowOff>98498</xdr:rowOff>
    </xdr:from>
    <xdr:to>
      <xdr:col>0</xdr:col>
      <xdr:colOff>1584238</xdr:colOff>
      <xdr:row>5</xdr:row>
      <xdr:rowOff>192379</xdr:rowOff>
    </xdr:to>
    <xdr:sp macro="" textlink="">
      <xdr:nvSpPr>
        <xdr:cNvPr id="21" name="Rectangle 20">
          <a:hlinkClick xmlns:r="http://schemas.openxmlformats.org/officeDocument/2006/relationships" r:id="rId11"/>
          <a:extLst>
            <a:ext uri="{FF2B5EF4-FFF2-40B4-BE49-F238E27FC236}">
              <a16:creationId xmlns:a16="http://schemas.microsoft.com/office/drawing/2014/main" id="{A90767F4-CB24-4C07-97CD-6A445B3C71B2}"/>
            </a:ext>
          </a:extLst>
        </xdr:cNvPr>
        <xdr:cNvSpPr/>
      </xdr:nvSpPr>
      <xdr:spPr>
        <a:xfrm>
          <a:off x="77547" y="1975260"/>
          <a:ext cx="1506691" cy="277769"/>
        </a:xfrm>
        <a:prstGeom prst="rect">
          <a:avLst/>
        </a:prstGeom>
        <a:solidFill>
          <a:sysClr val="window" lastClr="FFFFFF">
            <a:lumMod val="85000"/>
          </a:sysClr>
        </a:solidFill>
        <a:ln>
          <a:solidFill>
            <a:sysClr val="window" lastClr="FFFFFF">
              <a:lumMod val="50000"/>
            </a:sysClr>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U" sz="1400" b="1" i="0" u="none" strike="noStrike" kern="0" cap="none" spc="0" normalizeH="0" baseline="0" noProof="0">
              <a:ln>
                <a:noFill/>
              </a:ln>
              <a:solidFill>
                <a:srgbClr val="4F81BD"/>
              </a:solidFill>
              <a:effectLst/>
              <a:uLnTx/>
              <a:uFillTx/>
              <a:latin typeface="Calibri"/>
              <a:ea typeface="+mn-ea"/>
              <a:cs typeface="+mn-cs"/>
            </a:rPr>
            <a:t>Non-Staff Costs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imelbcloud.sharepoint.com/personal/frank_a_unimelb_edu_au/Documents/Desktop/ADI%20Budget%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neWorkBookProperties"/>
      <sheetName val="BneLog"/>
      <sheetName val="PopCache"/>
      <sheetName val="Sheet1"/>
    </sheetNames>
    <sheetDataSet>
      <sheetData sheetId="0" refreshError="1"/>
      <sheetData sheetId="1" refreshError="1"/>
      <sheetData sheetId="2"/>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1" connectionId="2" xr16:uid="{9131E815-95D5-458D-9FBD-05407FE02DA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9" xr16:uid="{D8A2D5FF-06A7-44BF-882E-D95214BA4C18}"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4" connectionId="5" xr16:uid="{B336EC0F-5610-47BF-9B3D-76FC863E2DB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8" connectionId="7" xr16:uid="{D98D66B6-0BDD-4519-B55A-503FF6312DB8}"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6" connectionId="10" xr16:uid="{EFED281A-0DA4-41D2-979A-5B3B019DF447}"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0" connectionId="14" xr16:uid="{53642519-A6C4-441F-87D4-D804BD239E9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3" connectionId="4" xr16:uid="{7484E71D-D247-4F6A-874D-7342300AE623}"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9" connectionId="13" xr16:uid="{36677EB0-8FFE-41F9-9AA2-0C9AEDA1D8CA}"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2" connectionId="3" xr16:uid="{77C07B85-F790-45DD-A7D3-B0116F9CC7A2}"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7" connectionId="1" xr16:uid="{F473033E-9276-4362-8012-06A7E70A74C9}"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7" xr16:uid="{6CCB8D5B-FFCD-42B3-80FB-D1EAC024C8FF}"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5" connectionId="6" xr16:uid="{1FA6C356-5A1F-4352-B5B5-1CDDF5F32C56}"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6" connectionId="15" xr16:uid="{1E491BF5-9718-43DF-AD11-AD566C8EFA88}"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8" connectionId="12" xr16:uid="{16B43B24-40EB-4BD6-B681-82EB6295295C}"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4" connectionId="8" xr16:uid="{E040AA3B-343B-49D3-9D2A-5A3BEE0B3E4C}"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11" xr16:uid="{C2906490-BA8F-48E7-83B1-327459EB652F}"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540A8EE8-CE51-4879-9B31-CC28A5AE5B07}" autoFormatId="16" applyNumberFormats="0" applyBorderFormats="0" applyFontFormats="0" applyPatternFormats="0" applyAlignmentFormats="0" applyWidthHeightFormats="0">
  <queryTableRefresh nextId="3">
    <queryTableFields count="2">
      <queryTableField id="1" name="Available From" tableColumnId="1"/>
      <queryTableField id="2" name="Version Number"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6BBDCD-FE5B-4BBE-9403-A49547A7A3CD}" name="Version_History" displayName="Version_History" ref="A1:B23" tableType="queryTable" totalsRowShown="0">
  <autoFilter ref="A1:B23" xr:uid="{676BBDCD-FE5B-4BBE-9403-A49547A7A3CD}"/>
  <tableColumns count="2">
    <tableColumn id="1" xr3:uid="{1C870C49-F9D4-4DB4-9018-27C38D738227}" uniqueName="1" name="Available From" queryTableFieldId="1" dataDxfId="1"/>
    <tableColumn id="2" xr3:uid="{B9AE9EF0-E574-4336-B0D0-8D1A3BC87F36}" uniqueName="2" name="Version Number"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Custom 1">
      <a:dk1>
        <a:sysClr val="windowText" lastClr="000000"/>
      </a:dk1>
      <a:lt1>
        <a:sysClr val="window" lastClr="FFFFFF"/>
      </a:lt1>
      <a:dk2>
        <a:srgbClr val="1F497D"/>
      </a:dk2>
      <a:lt2>
        <a:srgbClr val="EEECE1"/>
      </a:lt2>
      <a:accent1>
        <a:srgbClr val="4F81BD"/>
      </a:accent1>
      <a:accent2>
        <a:srgbClr val="C6D9F0"/>
      </a:accent2>
      <a:accent3>
        <a:srgbClr val="B7DDE8"/>
      </a:accent3>
      <a:accent4>
        <a:srgbClr val="8DB3E2"/>
      </a:accent4>
      <a:accent5>
        <a:srgbClr val="92CDDC"/>
      </a:accent5>
      <a:accent6>
        <a:srgbClr val="548DD4"/>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9" Type="http://schemas.openxmlformats.org/officeDocument/2006/relationships/ctrlProp" Target="../ctrlProps/ctrlProp42.xml"/><Relationship Id="rId21" Type="http://schemas.openxmlformats.org/officeDocument/2006/relationships/ctrlProp" Target="../ctrlProps/ctrlProp24.xml"/><Relationship Id="rId34" Type="http://schemas.openxmlformats.org/officeDocument/2006/relationships/ctrlProp" Target="../ctrlProps/ctrlProp37.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2" Type="http://schemas.openxmlformats.org/officeDocument/2006/relationships/drawing" Target="../drawings/drawing3.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trlProp" Target="../ctrlProps/ctrlProp32.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10" Type="http://schemas.openxmlformats.org/officeDocument/2006/relationships/ctrlProp" Target="../ctrlProps/ctrlProp13.xml"/><Relationship Id="rId19" Type="http://schemas.openxmlformats.org/officeDocument/2006/relationships/ctrlProp" Target="../ctrlProps/ctrlProp22.xml"/><Relationship Id="rId31" Type="http://schemas.openxmlformats.org/officeDocument/2006/relationships/ctrlProp" Target="../ctrlProps/ctrlProp34.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8" Type="http://schemas.openxmlformats.org/officeDocument/2006/relationships/ctrlProp" Target="../ctrlProps/ctrlProp11.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6.vml"/><Relationship Id="rId7" Type="http://schemas.openxmlformats.org/officeDocument/2006/relationships/ctrlProp" Target="../ctrlProps/ctrlProp50.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 Id="rId9" Type="http://schemas.openxmlformats.org/officeDocument/2006/relationships/ctrlProp" Target="../ctrlProps/ctrlProp5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4.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26" Type="http://schemas.openxmlformats.org/officeDocument/2006/relationships/hyperlink" Target="https://www.x-rates.com/graph/?from=DKK&amp;to=AUD" TargetMode="External"/><Relationship Id="rId117" Type="http://schemas.openxmlformats.org/officeDocument/2006/relationships/queryTable" Target="../queryTables/queryTable9.xml"/><Relationship Id="rId21" Type="http://schemas.openxmlformats.org/officeDocument/2006/relationships/hyperlink" Target="https://www.x-rates.com/graph/?from=AUD&amp;to=COP" TargetMode="External"/><Relationship Id="rId42" Type="http://schemas.openxmlformats.org/officeDocument/2006/relationships/hyperlink" Target="https://www.x-rates.com/graph/?from=ILS&amp;to=AUD" TargetMode="External"/><Relationship Id="rId47" Type="http://schemas.openxmlformats.org/officeDocument/2006/relationships/hyperlink" Target="https://www.x-rates.com/graph/?from=AUD&amp;to=KRW" TargetMode="External"/><Relationship Id="rId63" Type="http://schemas.openxmlformats.org/officeDocument/2006/relationships/hyperlink" Target="https://www.x-rates.com/graph/?from=AUD&amp;to=NOK" TargetMode="External"/><Relationship Id="rId68" Type="http://schemas.openxmlformats.org/officeDocument/2006/relationships/hyperlink" Target="https://www.x-rates.com/graph/?from=PKR&amp;to=AUD" TargetMode="External"/><Relationship Id="rId84" Type="http://schemas.openxmlformats.org/officeDocument/2006/relationships/hyperlink" Target="https://www.x-rates.com/graph/?from=ZAR&amp;to=AUD" TargetMode="External"/><Relationship Id="rId89" Type="http://schemas.openxmlformats.org/officeDocument/2006/relationships/hyperlink" Target="https://www.x-rates.com/graph/?from=AUD&amp;to=CHF" TargetMode="External"/><Relationship Id="rId112" Type="http://schemas.openxmlformats.org/officeDocument/2006/relationships/queryTable" Target="../queryTables/queryTable4.xml"/><Relationship Id="rId16" Type="http://schemas.openxmlformats.org/officeDocument/2006/relationships/hyperlink" Target="https://www.x-rates.com/graph/?from=CAD&amp;to=AUD" TargetMode="External"/><Relationship Id="rId107" Type="http://schemas.openxmlformats.org/officeDocument/2006/relationships/vmlDrawing" Target="../drawings/vmlDrawing11.vml"/><Relationship Id="rId11" Type="http://schemas.openxmlformats.org/officeDocument/2006/relationships/hyperlink" Target="https://www.x-rates.com/graph/?from=AUD&amp;to=BND" TargetMode="External"/><Relationship Id="rId32" Type="http://schemas.openxmlformats.org/officeDocument/2006/relationships/hyperlink" Target="https://www.x-rates.com/graph/?from=HUF&amp;to=AUD" TargetMode="External"/><Relationship Id="rId37" Type="http://schemas.openxmlformats.org/officeDocument/2006/relationships/hyperlink" Target="https://www.x-rates.com/graph/?from=AUD&amp;to=IDR" TargetMode="External"/><Relationship Id="rId53" Type="http://schemas.openxmlformats.org/officeDocument/2006/relationships/hyperlink" Target="https://www.x-rates.com/graph/?from=AUD&amp;to=MYR" TargetMode="External"/><Relationship Id="rId58" Type="http://schemas.openxmlformats.org/officeDocument/2006/relationships/hyperlink" Target="https://www.x-rates.com/graph/?from=MXN&amp;to=AUD" TargetMode="External"/><Relationship Id="rId74" Type="http://schemas.openxmlformats.org/officeDocument/2006/relationships/hyperlink" Target="https://www.x-rates.com/graph/?from=QAR&amp;to=AUD" TargetMode="External"/><Relationship Id="rId79" Type="http://schemas.openxmlformats.org/officeDocument/2006/relationships/hyperlink" Target="https://www.x-rates.com/graph/?from=AUD&amp;to=SAR" TargetMode="External"/><Relationship Id="rId102" Type="http://schemas.openxmlformats.org/officeDocument/2006/relationships/hyperlink" Target="https://www.x-rates.com/graph/?from=GBP&amp;to=AUD" TargetMode="External"/><Relationship Id="rId123" Type="http://schemas.openxmlformats.org/officeDocument/2006/relationships/queryTable" Target="../queryTables/queryTable15.xml"/><Relationship Id="rId5" Type="http://schemas.openxmlformats.org/officeDocument/2006/relationships/hyperlink" Target="https://www.x-rates.com/graph/?from=AUD&amp;to=BHD" TargetMode="External"/><Relationship Id="rId90" Type="http://schemas.openxmlformats.org/officeDocument/2006/relationships/hyperlink" Target="https://www.x-rates.com/graph/?from=CHF&amp;to=AUD" TargetMode="External"/><Relationship Id="rId95" Type="http://schemas.openxmlformats.org/officeDocument/2006/relationships/hyperlink" Target="https://www.x-rates.com/graph/?from=AUD&amp;to=TTD" TargetMode="External"/><Relationship Id="rId22" Type="http://schemas.openxmlformats.org/officeDocument/2006/relationships/hyperlink" Target="https://www.x-rates.com/graph/?from=COP&amp;to=AUD" TargetMode="External"/><Relationship Id="rId27" Type="http://schemas.openxmlformats.org/officeDocument/2006/relationships/hyperlink" Target="https://www.x-rates.com/graph/?from=AUD&amp;to=EUR" TargetMode="External"/><Relationship Id="rId43" Type="http://schemas.openxmlformats.org/officeDocument/2006/relationships/hyperlink" Target="https://www.x-rates.com/graph/?from=AUD&amp;to=JPY" TargetMode="External"/><Relationship Id="rId48" Type="http://schemas.openxmlformats.org/officeDocument/2006/relationships/hyperlink" Target="https://www.x-rates.com/graph/?from=KRW&amp;to=AUD" TargetMode="External"/><Relationship Id="rId64" Type="http://schemas.openxmlformats.org/officeDocument/2006/relationships/hyperlink" Target="https://www.x-rates.com/graph/?from=NOK&amp;to=AUD" TargetMode="External"/><Relationship Id="rId69" Type="http://schemas.openxmlformats.org/officeDocument/2006/relationships/hyperlink" Target="https://www.x-rates.com/graph/?from=AUD&amp;to=PHP" TargetMode="External"/><Relationship Id="rId113" Type="http://schemas.openxmlformats.org/officeDocument/2006/relationships/queryTable" Target="../queryTables/queryTable5.xml"/><Relationship Id="rId118" Type="http://schemas.openxmlformats.org/officeDocument/2006/relationships/queryTable" Target="../queryTables/queryTable10.xml"/><Relationship Id="rId80" Type="http://schemas.openxmlformats.org/officeDocument/2006/relationships/hyperlink" Target="https://www.x-rates.com/graph/?from=SAR&amp;to=AUD" TargetMode="External"/><Relationship Id="rId85" Type="http://schemas.openxmlformats.org/officeDocument/2006/relationships/hyperlink" Target="https://www.x-rates.com/graph/?from=AUD&amp;to=LKR" TargetMode="External"/><Relationship Id="rId12" Type="http://schemas.openxmlformats.org/officeDocument/2006/relationships/hyperlink" Target="https://www.x-rates.com/graph/?from=BND&amp;to=AUD" TargetMode="External"/><Relationship Id="rId17" Type="http://schemas.openxmlformats.org/officeDocument/2006/relationships/hyperlink" Target="https://www.x-rates.com/graph/?from=AUD&amp;to=CLP" TargetMode="External"/><Relationship Id="rId33" Type="http://schemas.openxmlformats.org/officeDocument/2006/relationships/hyperlink" Target="https://www.x-rates.com/graph/?from=AUD&amp;to=ISK" TargetMode="External"/><Relationship Id="rId38" Type="http://schemas.openxmlformats.org/officeDocument/2006/relationships/hyperlink" Target="https://www.x-rates.com/graph/?from=IDR&amp;to=AUD" TargetMode="External"/><Relationship Id="rId59" Type="http://schemas.openxmlformats.org/officeDocument/2006/relationships/hyperlink" Target="https://www.x-rates.com/graph/?from=AUD&amp;to=NPR" TargetMode="External"/><Relationship Id="rId103" Type="http://schemas.openxmlformats.org/officeDocument/2006/relationships/hyperlink" Target="https://www.x-rates.com/graph/?from=AUD&amp;to=USD" TargetMode="External"/><Relationship Id="rId108" Type="http://schemas.openxmlformats.org/officeDocument/2006/relationships/ctrlProp" Target="../ctrlProps/ctrlProp55.xml"/><Relationship Id="rId124" Type="http://schemas.openxmlformats.org/officeDocument/2006/relationships/queryTable" Target="../queryTables/queryTable16.xml"/><Relationship Id="rId54" Type="http://schemas.openxmlformats.org/officeDocument/2006/relationships/hyperlink" Target="https://www.x-rates.com/graph/?from=MYR&amp;to=AUD" TargetMode="External"/><Relationship Id="rId70" Type="http://schemas.openxmlformats.org/officeDocument/2006/relationships/hyperlink" Target="https://www.x-rates.com/graph/?from=PHP&amp;to=AUD" TargetMode="External"/><Relationship Id="rId75" Type="http://schemas.openxmlformats.org/officeDocument/2006/relationships/hyperlink" Target="https://www.x-rates.com/graph/?from=AUD&amp;to=RON" TargetMode="External"/><Relationship Id="rId91" Type="http://schemas.openxmlformats.org/officeDocument/2006/relationships/hyperlink" Target="https://www.x-rates.com/graph/?from=AUD&amp;to=TWD" TargetMode="External"/><Relationship Id="rId96" Type="http://schemas.openxmlformats.org/officeDocument/2006/relationships/hyperlink" Target="https://www.x-rates.com/graph/?from=TTD&amp;to=AUD" TargetMode="External"/><Relationship Id="rId1" Type="http://schemas.openxmlformats.org/officeDocument/2006/relationships/hyperlink" Target="https://www.x-rates.com/table/?from=AUD&amp;amount=1" TargetMode="External"/><Relationship Id="rId6" Type="http://schemas.openxmlformats.org/officeDocument/2006/relationships/hyperlink" Target="https://www.x-rates.com/graph/?from=BHD&amp;to=AUD" TargetMode="External"/><Relationship Id="rId23" Type="http://schemas.openxmlformats.org/officeDocument/2006/relationships/hyperlink" Target="https://www.x-rates.com/graph/?from=AUD&amp;to=CZK" TargetMode="External"/><Relationship Id="rId28" Type="http://schemas.openxmlformats.org/officeDocument/2006/relationships/hyperlink" Target="https://www.x-rates.com/graph/?from=EUR&amp;to=AUD" TargetMode="External"/><Relationship Id="rId49" Type="http://schemas.openxmlformats.org/officeDocument/2006/relationships/hyperlink" Target="https://www.x-rates.com/graph/?from=AUD&amp;to=KWD" TargetMode="External"/><Relationship Id="rId114" Type="http://schemas.openxmlformats.org/officeDocument/2006/relationships/queryTable" Target="../queryTables/queryTable6.xml"/><Relationship Id="rId119" Type="http://schemas.openxmlformats.org/officeDocument/2006/relationships/queryTable" Target="../queryTables/queryTable11.xml"/><Relationship Id="rId44" Type="http://schemas.openxmlformats.org/officeDocument/2006/relationships/hyperlink" Target="https://www.x-rates.com/graph/?from=JPY&amp;to=AUD" TargetMode="External"/><Relationship Id="rId60" Type="http://schemas.openxmlformats.org/officeDocument/2006/relationships/hyperlink" Target="https://www.x-rates.com/graph/?from=NPR&amp;to=AUD" TargetMode="External"/><Relationship Id="rId65" Type="http://schemas.openxmlformats.org/officeDocument/2006/relationships/hyperlink" Target="https://www.x-rates.com/graph/?from=AUD&amp;to=OMR" TargetMode="External"/><Relationship Id="rId81" Type="http://schemas.openxmlformats.org/officeDocument/2006/relationships/hyperlink" Target="https://www.x-rates.com/graph/?from=AUD&amp;to=SGD" TargetMode="External"/><Relationship Id="rId86" Type="http://schemas.openxmlformats.org/officeDocument/2006/relationships/hyperlink" Target="https://www.x-rates.com/graph/?from=LKR&amp;to=AUD" TargetMode="External"/><Relationship Id="rId4" Type="http://schemas.openxmlformats.org/officeDocument/2006/relationships/hyperlink" Target="https://www.x-rates.com/graph/?from=ARS&amp;to=AUD" TargetMode="External"/><Relationship Id="rId9" Type="http://schemas.openxmlformats.org/officeDocument/2006/relationships/hyperlink" Target="https://www.x-rates.com/graph/?from=AUD&amp;to=BRL" TargetMode="External"/><Relationship Id="rId13" Type="http://schemas.openxmlformats.org/officeDocument/2006/relationships/hyperlink" Target="https://www.x-rates.com/graph/?from=AUD&amp;to=BGN" TargetMode="External"/><Relationship Id="rId18" Type="http://schemas.openxmlformats.org/officeDocument/2006/relationships/hyperlink" Target="https://www.x-rates.com/graph/?from=CLP&amp;to=AUD" TargetMode="External"/><Relationship Id="rId39" Type="http://schemas.openxmlformats.org/officeDocument/2006/relationships/hyperlink" Target="https://www.x-rates.com/graph/?from=AUD&amp;to=IRR" TargetMode="External"/><Relationship Id="rId109" Type="http://schemas.openxmlformats.org/officeDocument/2006/relationships/queryTable" Target="../queryTables/queryTable1.xml"/><Relationship Id="rId34" Type="http://schemas.openxmlformats.org/officeDocument/2006/relationships/hyperlink" Target="https://www.x-rates.com/graph/?from=ISK&amp;to=AUD" TargetMode="External"/><Relationship Id="rId50" Type="http://schemas.openxmlformats.org/officeDocument/2006/relationships/hyperlink" Target="https://www.x-rates.com/graph/?from=KWD&amp;to=AUD" TargetMode="External"/><Relationship Id="rId55" Type="http://schemas.openxmlformats.org/officeDocument/2006/relationships/hyperlink" Target="https://www.x-rates.com/graph/?from=AUD&amp;to=MUR" TargetMode="External"/><Relationship Id="rId76" Type="http://schemas.openxmlformats.org/officeDocument/2006/relationships/hyperlink" Target="https://www.x-rates.com/graph/?from=RON&amp;to=AUD" TargetMode="External"/><Relationship Id="rId97" Type="http://schemas.openxmlformats.org/officeDocument/2006/relationships/hyperlink" Target="https://www.x-rates.com/graph/?from=AUD&amp;to=TRY" TargetMode="External"/><Relationship Id="rId104" Type="http://schemas.openxmlformats.org/officeDocument/2006/relationships/hyperlink" Target="https://www.x-rates.com/graph/?from=USD&amp;to=AUD" TargetMode="External"/><Relationship Id="rId120" Type="http://schemas.openxmlformats.org/officeDocument/2006/relationships/queryTable" Target="../queryTables/queryTable12.xml"/><Relationship Id="rId7" Type="http://schemas.openxmlformats.org/officeDocument/2006/relationships/hyperlink" Target="https://www.x-rates.com/graph/?from=AUD&amp;to=BWP" TargetMode="External"/><Relationship Id="rId71" Type="http://schemas.openxmlformats.org/officeDocument/2006/relationships/hyperlink" Target="https://www.x-rates.com/graph/?from=AUD&amp;to=PLN" TargetMode="External"/><Relationship Id="rId92" Type="http://schemas.openxmlformats.org/officeDocument/2006/relationships/hyperlink" Target="https://www.x-rates.com/graph/?from=TWD&amp;to=AUD" TargetMode="External"/><Relationship Id="rId2" Type="http://schemas.openxmlformats.org/officeDocument/2006/relationships/hyperlink" Target="https://www.x-rates.com/graph/?from=USD&amp;to=AUD" TargetMode="External"/><Relationship Id="rId29" Type="http://schemas.openxmlformats.org/officeDocument/2006/relationships/hyperlink" Target="https://www.x-rates.com/graph/?from=AUD&amp;to=HKD" TargetMode="External"/><Relationship Id="rId24" Type="http://schemas.openxmlformats.org/officeDocument/2006/relationships/hyperlink" Target="https://www.x-rates.com/graph/?from=CZK&amp;to=AUD" TargetMode="External"/><Relationship Id="rId40" Type="http://schemas.openxmlformats.org/officeDocument/2006/relationships/hyperlink" Target="https://www.x-rates.com/graph/?from=IRR&amp;to=AUD" TargetMode="External"/><Relationship Id="rId45" Type="http://schemas.openxmlformats.org/officeDocument/2006/relationships/hyperlink" Target="https://www.x-rates.com/graph/?from=AUD&amp;to=KZT" TargetMode="External"/><Relationship Id="rId66" Type="http://schemas.openxmlformats.org/officeDocument/2006/relationships/hyperlink" Target="https://www.x-rates.com/graph/?from=OMR&amp;to=AUD" TargetMode="External"/><Relationship Id="rId87" Type="http://schemas.openxmlformats.org/officeDocument/2006/relationships/hyperlink" Target="https://www.x-rates.com/graph/?from=AUD&amp;to=SEK" TargetMode="External"/><Relationship Id="rId110" Type="http://schemas.openxmlformats.org/officeDocument/2006/relationships/queryTable" Target="../queryTables/queryTable2.xml"/><Relationship Id="rId115" Type="http://schemas.openxmlformats.org/officeDocument/2006/relationships/queryTable" Target="../queryTables/queryTable7.xml"/><Relationship Id="rId61" Type="http://schemas.openxmlformats.org/officeDocument/2006/relationships/hyperlink" Target="https://www.x-rates.com/graph/?from=AUD&amp;to=NZD" TargetMode="External"/><Relationship Id="rId82" Type="http://schemas.openxmlformats.org/officeDocument/2006/relationships/hyperlink" Target="https://www.x-rates.com/graph/?from=SGD&amp;to=AUD" TargetMode="External"/><Relationship Id="rId19" Type="http://schemas.openxmlformats.org/officeDocument/2006/relationships/hyperlink" Target="https://www.x-rates.com/graph/?from=AUD&amp;to=CNY" TargetMode="External"/><Relationship Id="rId14" Type="http://schemas.openxmlformats.org/officeDocument/2006/relationships/hyperlink" Target="https://www.x-rates.com/graph/?from=BGN&amp;to=AUD" TargetMode="External"/><Relationship Id="rId30" Type="http://schemas.openxmlformats.org/officeDocument/2006/relationships/hyperlink" Target="https://www.x-rates.com/graph/?from=HKD&amp;to=AUD" TargetMode="External"/><Relationship Id="rId35" Type="http://schemas.openxmlformats.org/officeDocument/2006/relationships/hyperlink" Target="https://www.x-rates.com/graph/?from=AUD&amp;to=INR" TargetMode="External"/><Relationship Id="rId56" Type="http://schemas.openxmlformats.org/officeDocument/2006/relationships/hyperlink" Target="https://www.x-rates.com/graph/?from=MUR&amp;to=AUD" TargetMode="External"/><Relationship Id="rId77" Type="http://schemas.openxmlformats.org/officeDocument/2006/relationships/hyperlink" Target="https://www.x-rates.com/graph/?from=AUD&amp;to=RUB" TargetMode="External"/><Relationship Id="rId100" Type="http://schemas.openxmlformats.org/officeDocument/2006/relationships/hyperlink" Target="https://www.x-rates.com/graph/?from=AED&amp;to=AUD" TargetMode="External"/><Relationship Id="rId105" Type="http://schemas.openxmlformats.org/officeDocument/2006/relationships/printerSettings" Target="../printerSettings/printerSettings17.bin"/><Relationship Id="rId8" Type="http://schemas.openxmlformats.org/officeDocument/2006/relationships/hyperlink" Target="https://www.x-rates.com/graph/?from=BWP&amp;to=AUD" TargetMode="External"/><Relationship Id="rId51" Type="http://schemas.openxmlformats.org/officeDocument/2006/relationships/hyperlink" Target="https://www.x-rates.com/graph/?from=AUD&amp;to=LYD" TargetMode="External"/><Relationship Id="rId72" Type="http://schemas.openxmlformats.org/officeDocument/2006/relationships/hyperlink" Target="https://www.x-rates.com/graph/?from=PLN&amp;to=AUD" TargetMode="External"/><Relationship Id="rId93" Type="http://schemas.openxmlformats.org/officeDocument/2006/relationships/hyperlink" Target="https://www.x-rates.com/graph/?from=AUD&amp;to=THB" TargetMode="External"/><Relationship Id="rId98" Type="http://schemas.openxmlformats.org/officeDocument/2006/relationships/hyperlink" Target="https://www.x-rates.com/graph/?from=TRY&amp;to=AUD" TargetMode="External"/><Relationship Id="rId121" Type="http://schemas.openxmlformats.org/officeDocument/2006/relationships/queryTable" Target="../queryTables/queryTable13.xml"/><Relationship Id="rId3" Type="http://schemas.openxmlformats.org/officeDocument/2006/relationships/hyperlink" Target="https://www.x-rates.com/graph/?from=AUD&amp;to=ARS" TargetMode="External"/><Relationship Id="rId25" Type="http://schemas.openxmlformats.org/officeDocument/2006/relationships/hyperlink" Target="https://www.x-rates.com/graph/?from=AUD&amp;to=DKK" TargetMode="External"/><Relationship Id="rId46" Type="http://schemas.openxmlformats.org/officeDocument/2006/relationships/hyperlink" Target="https://www.x-rates.com/graph/?from=KZT&amp;to=AUD" TargetMode="External"/><Relationship Id="rId67" Type="http://schemas.openxmlformats.org/officeDocument/2006/relationships/hyperlink" Target="https://www.x-rates.com/graph/?from=AUD&amp;to=PKR" TargetMode="External"/><Relationship Id="rId116" Type="http://schemas.openxmlformats.org/officeDocument/2006/relationships/queryTable" Target="../queryTables/queryTable8.xml"/><Relationship Id="rId20" Type="http://schemas.openxmlformats.org/officeDocument/2006/relationships/hyperlink" Target="https://www.x-rates.com/graph/?from=CNY&amp;to=AUD" TargetMode="External"/><Relationship Id="rId41" Type="http://schemas.openxmlformats.org/officeDocument/2006/relationships/hyperlink" Target="https://www.x-rates.com/graph/?from=AUD&amp;to=ILS" TargetMode="External"/><Relationship Id="rId62" Type="http://schemas.openxmlformats.org/officeDocument/2006/relationships/hyperlink" Target="https://www.x-rates.com/graph/?from=NZD&amp;to=AUD" TargetMode="External"/><Relationship Id="rId83" Type="http://schemas.openxmlformats.org/officeDocument/2006/relationships/hyperlink" Target="https://www.x-rates.com/graph/?from=AUD&amp;to=ZAR" TargetMode="External"/><Relationship Id="rId88" Type="http://schemas.openxmlformats.org/officeDocument/2006/relationships/hyperlink" Target="https://www.x-rates.com/graph/?from=SEK&amp;to=AUD" TargetMode="External"/><Relationship Id="rId111" Type="http://schemas.openxmlformats.org/officeDocument/2006/relationships/queryTable" Target="../queryTables/queryTable3.xml"/><Relationship Id="rId15" Type="http://schemas.openxmlformats.org/officeDocument/2006/relationships/hyperlink" Target="https://www.x-rates.com/graph/?from=AUD&amp;to=CAD" TargetMode="External"/><Relationship Id="rId36" Type="http://schemas.openxmlformats.org/officeDocument/2006/relationships/hyperlink" Target="https://www.x-rates.com/graph/?from=INR&amp;to=AUD" TargetMode="External"/><Relationship Id="rId57" Type="http://schemas.openxmlformats.org/officeDocument/2006/relationships/hyperlink" Target="https://www.x-rates.com/graph/?from=AUD&amp;to=MXN" TargetMode="External"/><Relationship Id="rId106" Type="http://schemas.openxmlformats.org/officeDocument/2006/relationships/drawing" Target="../drawings/drawing12.xml"/><Relationship Id="rId10" Type="http://schemas.openxmlformats.org/officeDocument/2006/relationships/hyperlink" Target="https://www.x-rates.com/graph/?from=BRL&amp;to=AUD" TargetMode="External"/><Relationship Id="rId31" Type="http://schemas.openxmlformats.org/officeDocument/2006/relationships/hyperlink" Target="https://www.x-rates.com/graph/?from=AUD&amp;to=HUF" TargetMode="External"/><Relationship Id="rId52" Type="http://schemas.openxmlformats.org/officeDocument/2006/relationships/hyperlink" Target="https://www.x-rates.com/graph/?from=LYD&amp;to=AUD" TargetMode="External"/><Relationship Id="rId73" Type="http://schemas.openxmlformats.org/officeDocument/2006/relationships/hyperlink" Target="https://www.x-rates.com/graph/?from=AUD&amp;to=QAR" TargetMode="External"/><Relationship Id="rId78" Type="http://schemas.openxmlformats.org/officeDocument/2006/relationships/hyperlink" Target="https://www.x-rates.com/graph/?from=RUB&amp;to=AUD" TargetMode="External"/><Relationship Id="rId94" Type="http://schemas.openxmlformats.org/officeDocument/2006/relationships/hyperlink" Target="https://www.x-rates.com/graph/?from=THB&amp;to=AUD" TargetMode="External"/><Relationship Id="rId99" Type="http://schemas.openxmlformats.org/officeDocument/2006/relationships/hyperlink" Target="https://www.x-rates.com/graph/?from=AUD&amp;to=AED" TargetMode="External"/><Relationship Id="rId101" Type="http://schemas.openxmlformats.org/officeDocument/2006/relationships/hyperlink" Target="https://www.x-rates.com/graph/?from=AUD&amp;to=GBP" TargetMode="External"/><Relationship Id="rId122" Type="http://schemas.openxmlformats.org/officeDocument/2006/relationships/queryTable" Target="../queryTables/queryTable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comments" Target="../comments4.xml"/><Relationship Id="rId4" Type="http://schemas.openxmlformats.org/officeDocument/2006/relationships/ctrlProp" Target="../ctrlProps/ctrlProp56.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comments" Target="../comments5.xml"/><Relationship Id="rId4"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3"/>
    <pageSetUpPr autoPageBreaks="0" fitToPage="1"/>
  </sheetPr>
  <dimension ref="A1:AA157"/>
  <sheetViews>
    <sheetView showGridLines="0" tabSelected="1" zoomScale="95" zoomScaleNormal="95" workbookViewId="0">
      <pane ySplit="9" topLeftCell="A10" activePane="bottomLeft" state="frozen"/>
      <selection pane="bottomLeft" activeCell="C11" sqref="C11:I11"/>
    </sheetView>
  </sheetViews>
  <sheetFormatPr defaultColWidth="9.44140625" defaultRowHeight="13.8" x14ac:dyDescent="0.3"/>
  <cols>
    <col min="1" max="1" width="20.33203125" style="17" customWidth="1"/>
    <col min="2" max="2" width="28.44140625" style="17" customWidth="1"/>
    <col min="3" max="3" width="12.5546875" style="17" customWidth="1"/>
    <col min="4" max="4" width="21.44140625" style="17" customWidth="1"/>
    <col min="5" max="5" width="17.5546875" style="17" customWidth="1"/>
    <col min="6" max="6" width="17" style="17" customWidth="1"/>
    <col min="7" max="7" width="17.44140625" style="17" customWidth="1"/>
    <col min="8" max="8" width="18" style="17" customWidth="1"/>
    <col min="9" max="9" width="14.5546875" style="17" customWidth="1"/>
    <col min="10" max="10" width="6.33203125" style="17" customWidth="1"/>
    <col min="11" max="11" width="9.5546875" style="17" hidden="1" customWidth="1"/>
    <col min="12" max="22" width="9.44140625" style="17" hidden="1" customWidth="1"/>
    <col min="23" max="23" width="5.5546875" style="17" hidden="1" customWidth="1"/>
    <col min="24" max="24" width="9.44140625" style="17" hidden="1" customWidth="1"/>
    <col min="25" max="25" width="9" style="17" hidden="1" customWidth="1"/>
    <col min="26" max="26" width="17.5546875" style="17" hidden="1" customWidth="1"/>
    <col min="27" max="27" width="6.44140625" style="17" customWidth="1"/>
    <col min="28" max="16384" width="9.44140625" style="17"/>
  </cols>
  <sheetData>
    <row r="1" spans="1:27" ht="42.6" customHeight="1" x14ac:dyDescent="0.3">
      <c r="A1" s="659"/>
      <c r="B1" s="660" t="str">
        <f>tool_name_and_version</f>
        <v>Research Costing and Pricing tool v4.3.1</v>
      </c>
      <c r="C1" s="659"/>
      <c r="D1" s="659"/>
      <c r="E1" s="659"/>
      <c r="F1" s="972"/>
      <c r="G1" s="659"/>
      <c r="H1" s="659"/>
      <c r="I1" s="659"/>
      <c r="J1" s="659"/>
      <c r="K1" s="485" t="s">
        <v>1424</v>
      </c>
      <c r="AA1" s="113"/>
    </row>
    <row r="2" spans="1:27" ht="25.95" customHeight="1" x14ac:dyDescent="0.3">
      <c r="A2" s="732"/>
      <c r="B2" s="732"/>
      <c r="C2" s="732"/>
      <c r="D2" s="732"/>
      <c r="E2" s="732"/>
      <c r="F2" s="732"/>
      <c r="G2" s="732"/>
      <c r="H2" s="732"/>
      <c r="I2" s="732"/>
      <c r="J2" s="732"/>
      <c r="K2" s="684"/>
      <c r="L2" s="684"/>
      <c r="M2" s="684"/>
      <c r="N2" s="684"/>
      <c r="O2" s="684"/>
      <c r="P2" s="684"/>
      <c r="Q2" s="684"/>
      <c r="R2" s="684"/>
      <c r="S2" s="684"/>
      <c r="T2" s="684"/>
      <c r="U2" s="684"/>
      <c r="V2" s="684"/>
      <c r="W2" s="684"/>
      <c r="X2" s="684"/>
      <c r="Y2" s="684"/>
      <c r="Z2" s="684"/>
      <c r="AA2" s="113"/>
    </row>
    <row r="3" spans="1:27" ht="20.100000000000001" hidden="1" customHeight="1" x14ac:dyDescent="0.3">
      <c r="A3" s="979" t="str">
        <f>IF(tbBudgetCurrency="AUD - Australian Dollar","Project Cost (Rolling Total) - AUD",CONCATENATE("Project Cost (Rolling Total) - ",LEFT(tbBudgetCurrency,3)))</f>
        <v>Project Cost (Rolling Total) - AUD</v>
      </c>
      <c r="B3" s="658"/>
      <c r="C3" s="658"/>
      <c r="D3" s="658"/>
      <c r="E3" s="658"/>
      <c r="F3" s="658"/>
      <c r="G3" s="658"/>
      <c r="H3" s="658"/>
      <c r="I3" s="658"/>
      <c r="J3" s="658"/>
      <c r="K3" s="485"/>
      <c r="AA3" s="113"/>
    </row>
    <row r="4" spans="1:27" ht="20.100000000000001" hidden="1" customHeight="1" x14ac:dyDescent="0.3">
      <c r="A4" s="658"/>
      <c r="B4" s="658"/>
      <c r="C4" s="658"/>
      <c r="D4" s="658"/>
      <c r="E4" s="658"/>
      <c r="F4" s="661" t="s">
        <v>0</v>
      </c>
      <c r="G4" s="662" t="s">
        <v>1</v>
      </c>
      <c r="H4" s="658"/>
      <c r="I4" s="658"/>
      <c r="J4" s="658"/>
      <c r="K4" s="485"/>
      <c r="AA4" s="113"/>
    </row>
    <row r="5" spans="1:27" ht="20.100000000000001" hidden="1" customHeight="1" x14ac:dyDescent="0.3">
      <c r="A5" s="658"/>
      <c r="B5" s="658"/>
      <c r="C5" s="658"/>
      <c r="D5" s="658"/>
      <c r="E5" s="658"/>
      <c r="F5" s="661" t="s">
        <v>2</v>
      </c>
      <c r="G5" s="662" t="s">
        <v>3</v>
      </c>
      <c r="H5" s="658"/>
      <c r="I5" s="658"/>
      <c r="J5" s="658"/>
      <c r="K5" s="485"/>
      <c r="AA5" s="113"/>
    </row>
    <row r="6" spans="1:27" ht="13.95" hidden="1" customHeight="1" x14ac:dyDescent="0.3">
      <c r="A6" s="658"/>
      <c r="B6" s="658"/>
      <c r="C6" s="658"/>
      <c r="D6" s="658"/>
      <c r="E6" s="658"/>
      <c r="F6" s="658"/>
      <c r="G6" s="658"/>
      <c r="H6" s="658"/>
      <c r="I6" s="658"/>
      <c r="J6" s="658"/>
      <c r="K6" s="485"/>
      <c r="AA6" s="113"/>
    </row>
    <row r="7" spans="1:27" ht="15.6" hidden="1" customHeight="1" x14ac:dyDescent="0.3">
      <c r="A7" s="650"/>
      <c r="B7" s="650"/>
      <c r="C7" s="650"/>
      <c r="D7" s="650"/>
      <c r="E7" s="650"/>
      <c r="F7" s="650"/>
      <c r="G7" s="650"/>
      <c r="H7" s="650"/>
      <c r="I7" s="650"/>
      <c r="J7" s="650"/>
      <c r="K7" s="485"/>
      <c r="AA7" s="663"/>
    </row>
    <row r="8" spans="1:27" ht="16.2" customHeight="1" x14ac:dyDescent="0.3">
      <c r="A8" s="1125" t="s">
        <v>4</v>
      </c>
      <c r="B8" s="489"/>
      <c r="C8" s="664"/>
      <c r="D8" s="664"/>
      <c r="E8" s="664"/>
      <c r="F8" s="664"/>
      <c r="G8" s="664"/>
      <c r="H8" s="664"/>
      <c r="I8" s="664"/>
      <c r="J8" s="664"/>
    </row>
    <row r="9" spans="1:27" ht="27.75" customHeight="1" thickBot="1" x14ac:dyDescent="0.35">
      <c r="A9" s="1201" t="s">
        <v>5</v>
      </c>
      <c r="B9" s="1201"/>
      <c r="C9" s="1201"/>
      <c r="D9" s="1201"/>
      <c r="E9" s="1201"/>
      <c r="F9" s="1201"/>
      <c r="G9" s="1201"/>
      <c r="H9" s="1201"/>
      <c r="I9" s="1201"/>
      <c r="J9" s="1201"/>
    </row>
    <row r="10" spans="1:27" ht="12.6" customHeight="1" x14ac:dyDescent="0.3">
      <c r="A10" s="1144"/>
      <c r="B10" s="499"/>
      <c r="C10" s="1145"/>
      <c r="D10" s="1145"/>
      <c r="E10" s="1146"/>
      <c r="F10" s="500"/>
      <c r="G10" s="1145"/>
      <c r="H10" s="1145"/>
      <c r="I10" s="1145"/>
      <c r="J10" s="1147"/>
      <c r="L10" s="210"/>
    </row>
    <row r="11" spans="1:27" ht="18" customHeight="1" x14ac:dyDescent="0.3">
      <c r="A11" s="1148"/>
      <c r="B11" s="651" t="s">
        <v>6</v>
      </c>
      <c r="C11" s="1202"/>
      <c r="D11" s="1203"/>
      <c r="E11" s="1203"/>
      <c r="F11" s="1203"/>
      <c r="G11" s="1203"/>
      <c r="H11" s="1203"/>
      <c r="I11" s="1204"/>
      <c r="J11" s="501"/>
      <c r="L11" s="211"/>
    </row>
    <row r="12" spans="1:27" ht="12.6" customHeight="1" x14ac:dyDescent="0.3">
      <c r="A12" s="1148"/>
      <c r="B12" s="652"/>
      <c r="C12" s="487"/>
      <c r="D12" s="1149"/>
      <c r="E12" s="487"/>
      <c r="F12" s="488"/>
      <c r="G12" s="1150"/>
      <c r="H12" s="1149"/>
      <c r="I12" s="1149"/>
      <c r="J12" s="1151"/>
      <c r="L12" s="210"/>
    </row>
    <row r="13" spans="1:27" ht="18" customHeight="1" x14ac:dyDescent="0.3">
      <c r="A13" s="1148"/>
      <c r="B13" s="490" t="s">
        <v>7</v>
      </c>
      <c r="C13" s="1205"/>
      <c r="D13" s="1206"/>
      <c r="E13" s="1206"/>
      <c r="F13" s="1206"/>
      <c r="G13" s="1206"/>
      <c r="H13" s="1206"/>
      <c r="I13" s="1207"/>
      <c r="J13" s="1151"/>
      <c r="L13" s="210"/>
    </row>
    <row r="14" spans="1:27" ht="12.6" customHeight="1" x14ac:dyDescent="0.3">
      <c r="A14" s="1148"/>
      <c r="B14" s="652"/>
      <c r="C14" s="487"/>
      <c r="D14" s="1152"/>
      <c r="E14" s="1152"/>
      <c r="F14" s="486"/>
      <c r="G14" s="1149"/>
      <c r="H14" s="1149"/>
      <c r="I14" s="489"/>
      <c r="J14" s="501"/>
      <c r="L14" s="210"/>
    </row>
    <row r="15" spans="1:27" ht="18" customHeight="1" x14ac:dyDescent="0.3">
      <c r="A15" s="1148"/>
      <c r="B15" s="490" t="s">
        <v>8</v>
      </c>
      <c r="C15" s="1211" t="s">
        <v>9</v>
      </c>
      <c r="D15" s="1212"/>
      <c r="E15" s="1213"/>
      <c r="J15" s="501"/>
      <c r="L15" s="210"/>
    </row>
    <row r="16" spans="1:27" ht="5.4" customHeight="1" x14ac:dyDescent="0.3">
      <c r="A16" s="1148"/>
      <c r="B16" s="490"/>
      <c r="C16" s="1153"/>
      <c r="D16" s="1153"/>
      <c r="E16" s="1153"/>
      <c r="F16" s="654"/>
      <c r="G16" s="1153"/>
      <c r="H16" s="1153"/>
      <c r="I16" s="1153"/>
      <c r="J16" s="501"/>
      <c r="L16" s="210"/>
    </row>
    <row r="17" spans="1:23" ht="17.399999999999999" customHeight="1" x14ac:dyDescent="0.3">
      <c r="A17" s="1148"/>
      <c r="B17" s="978" t="s">
        <v>10</v>
      </c>
      <c r="C17" s="1214"/>
      <c r="D17" s="1212"/>
      <c r="E17" s="1213"/>
      <c r="F17" s="654"/>
      <c r="G17" s="1153"/>
      <c r="H17" s="1153"/>
      <c r="I17" s="1153"/>
      <c r="J17" s="501"/>
      <c r="L17" s="210"/>
    </row>
    <row r="18" spans="1:23" ht="9.6" customHeight="1" x14ac:dyDescent="0.3">
      <c r="A18" s="1148"/>
      <c r="B18" s="651"/>
      <c r="C18" s="1150"/>
      <c r="D18" s="1150"/>
      <c r="E18" s="1150"/>
      <c r="F18" s="1150"/>
      <c r="G18" s="1150"/>
      <c r="H18" s="1150"/>
      <c r="I18" s="1150"/>
      <c r="J18" s="501"/>
      <c r="L18" s="210"/>
    </row>
    <row r="19" spans="1:23" ht="18" customHeight="1" x14ac:dyDescent="0.3">
      <c r="A19" s="1148"/>
      <c r="B19" s="490" t="s">
        <v>11</v>
      </c>
      <c r="C19" s="1211"/>
      <c r="D19" s="1212"/>
      <c r="E19" s="1213"/>
      <c r="F19" s="498" t="s">
        <v>12</v>
      </c>
      <c r="G19" s="1208" t="str">
        <f>_xlfn.IFNA(VLOOKUP(tbDepartment,'Lookup Tables'!AC3:AH214,5,FALSE),"")</f>
        <v/>
      </c>
      <c r="H19" s="1209"/>
      <c r="I19" s="1210"/>
      <c r="J19" s="1151"/>
      <c r="L19" s="210"/>
      <c r="W19" s="293" t="b">
        <v>0</v>
      </c>
    </row>
    <row r="20" spans="1:23" ht="12.6" customHeight="1" x14ac:dyDescent="0.3">
      <c r="A20" s="1148"/>
      <c r="B20" s="490"/>
      <c r="C20" s="490"/>
      <c r="D20" s="490"/>
      <c r="E20" s="490"/>
      <c r="F20" s="490"/>
      <c r="G20" s="1154"/>
      <c r="H20" s="1155"/>
      <c r="I20" s="1155"/>
      <c r="J20" s="1151"/>
      <c r="L20" s="210"/>
      <c r="W20" s="293"/>
    </row>
    <row r="21" spans="1:23" ht="18" customHeight="1" x14ac:dyDescent="0.3">
      <c r="A21" s="1148"/>
      <c r="B21" s="490" t="s">
        <v>13</v>
      </c>
      <c r="C21" s="1219"/>
      <c r="D21" s="1220"/>
      <c r="E21" s="490"/>
      <c r="F21" s="490"/>
      <c r="G21" s="1154"/>
      <c r="H21" s="1155"/>
      <c r="I21" s="1155"/>
      <c r="J21" s="1151"/>
      <c r="L21" s="210"/>
      <c r="W21" s="293"/>
    </row>
    <row r="22" spans="1:23" ht="12.6" customHeight="1" x14ac:dyDescent="0.3">
      <c r="A22" s="1148"/>
      <c r="B22" s="652"/>
      <c r="C22" s="1149"/>
      <c r="D22" s="1149"/>
      <c r="E22" s="1152"/>
      <c r="F22" s="486"/>
      <c r="G22" s="1149"/>
      <c r="H22" s="1149"/>
      <c r="I22" s="1149"/>
      <c r="J22" s="1151"/>
      <c r="L22" s="210"/>
    </row>
    <row r="23" spans="1:23" ht="18" customHeight="1" x14ac:dyDescent="0.3">
      <c r="A23" s="1148"/>
      <c r="B23" s="1221" t="s">
        <v>14</v>
      </c>
      <c r="C23" s="484" t="s">
        <v>15</v>
      </c>
      <c r="D23" s="484" t="s">
        <v>16</v>
      </c>
      <c r="E23" s="484" t="s">
        <v>17</v>
      </c>
      <c r="F23" s="484" t="s">
        <v>18</v>
      </c>
      <c r="G23" s="1222" t="s">
        <v>19</v>
      </c>
      <c r="H23" s="1223"/>
      <c r="I23" s="1223"/>
      <c r="J23" s="1224"/>
      <c r="L23" s="1200"/>
      <c r="M23" s="1200" t="s">
        <v>16</v>
      </c>
      <c r="N23" s="1200" t="s">
        <v>18</v>
      </c>
      <c r="O23" s="1200"/>
      <c r="W23">
        <f>VLOOKUP(tbBudgetCurrency,'Lookup Tables'!U35:Y56,4,FALSE)</f>
        <v>1</v>
      </c>
    </row>
    <row r="24" spans="1:23" ht="18" customHeight="1" x14ac:dyDescent="0.3">
      <c r="A24" s="1148"/>
      <c r="B24" s="1221"/>
      <c r="C24" s="1156">
        <v>2026</v>
      </c>
      <c r="D24" s="1156" t="s">
        <v>20</v>
      </c>
      <c r="E24" s="1156">
        <v>2030</v>
      </c>
      <c r="F24" s="1156" t="s">
        <v>21</v>
      </c>
      <c r="G24" s="1222"/>
      <c r="H24" s="1223"/>
      <c r="I24" s="1223"/>
      <c r="J24" s="1224"/>
      <c r="L24" s="1200"/>
      <c r="M24" s="1200">
        <f>VLOOKUP(Start_Month,'Lookup Tables'!U65:W76,2,FALSE)</f>
        <v>1</v>
      </c>
      <c r="N24" s="1200">
        <f>VLOOKUP(End_Month,'Lookup Tables'!U65:W76,2,FALSE)</f>
        <v>12</v>
      </c>
      <c r="O24" s="1200"/>
      <c r="W24" s="229">
        <v>1</v>
      </c>
    </row>
    <row r="25" spans="1:23" ht="12.6" customHeight="1" x14ac:dyDescent="0.3">
      <c r="A25" s="1148"/>
      <c r="B25" s="653"/>
      <c r="C25" s="1152"/>
      <c r="D25" s="1152"/>
      <c r="E25" s="1152"/>
      <c r="F25" s="486"/>
      <c r="G25" s="1152"/>
      <c r="H25" s="1152"/>
      <c r="I25" s="1152"/>
      <c r="J25" s="1157"/>
      <c r="L25" s="210"/>
    </row>
    <row r="26" spans="1:23" ht="18" customHeight="1" x14ac:dyDescent="0.3">
      <c r="A26" s="1148"/>
      <c r="B26" s="490" t="s">
        <v>22</v>
      </c>
      <c r="C26" s="1217" t="s">
        <v>23</v>
      </c>
      <c r="D26" s="1218"/>
      <c r="E26" s="491"/>
      <c r="G26" s="492"/>
      <c r="I26" s="493" t="str">
        <f>IF(OR(tbBudgetCurrency="",tbBudgetCurrency="AUD - Australian Dollar"), "",CONCATENATE("Conversion Date: ", TEXT(d_currency_refresh,"dd-mmm-yyyy")))</f>
        <v/>
      </c>
      <c r="J26" s="1157"/>
      <c r="L26" s="210"/>
    </row>
    <row r="27" spans="1:23" ht="12.6" customHeight="1" x14ac:dyDescent="0.3">
      <c r="A27" s="1148"/>
      <c r="B27" s="653"/>
      <c r="C27" s="1152"/>
      <c r="D27" s="1152"/>
      <c r="E27" s="1152"/>
      <c r="F27" s="486"/>
      <c r="G27" s="1152"/>
      <c r="H27" s="1152"/>
      <c r="I27" s="1152"/>
      <c r="J27" s="1157"/>
      <c r="L27" s="210"/>
    </row>
    <row r="28" spans="1:23" ht="18" customHeight="1" x14ac:dyDescent="0.3">
      <c r="A28" s="1148"/>
      <c r="B28" s="490" t="s">
        <v>24</v>
      </c>
      <c r="C28" s="483" t="s">
        <v>25</v>
      </c>
      <c r="D28" s="483" t="s">
        <v>26</v>
      </c>
      <c r="E28" s="483" t="s">
        <v>27</v>
      </c>
      <c r="F28" s="483" t="s">
        <v>28</v>
      </c>
      <c r="J28" s="1157"/>
      <c r="L28" s="210"/>
    </row>
    <row r="29" spans="1:23" ht="18" customHeight="1" x14ac:dyDescent="0.3">
      <c r="A29" s="1148"/>
      <c r="B29" s="653"/>
      <c r="C29" s="1158" t="s">
        <v>29</v>
      </c>
      <c r="D29" s="1159" t="str">
        <f>_xlfn.IFNA(VLOOKUP(tbDepartment,tb_Org_Units,2,FALSE),"")</f>
        <v/>
      </c>
      <c r="E29" s="1160" t="s">
        <v>30</v>
      </c>
      <c r="F29" s="1160" t="s">
        <v>31</v>
      </c>
      <c r="G29" s="1225" t="str">
        <f>IF(tbDepartment="","",CONCATENATE(tbCompany,"-",tbCostCentre,"-",VLOOKUP(tbActivity,'Lookup Tables'!O3:P7,2,FALSE),"-",VLOOKUP(tbLocation,'Lookup Tables'!O10:P47,2,FALSE)))</f>
        <v/>
      </c>
      <c r="H29" s="1226"/>
      <c r="I29" s="1226"/>
      <c r="J29" s="1161"/>
      <c r="L29" s="210"/>
    </row>
    <row r="30" spans="1:23" ht="12.6" customHeight="1" x14ac:dyDescent="0.3">
      <c r="A30" s="1148"/>
      <c r="B30" s="653"/>
      <c r="C30" s="1152"/>
      <c r="D30" s="1152"/>
      <c r="E30" s="1152"/>
      <c r="F30" s="486"/>
      <c r="G30" s="1152"/>
      <c r="H30" s="1152"/>
      <c r="I30" s="1152"/>
      <c r="J30" s="1157"/>
      <c r="L30" s="210"/>
    </row>
    <row r="31" spans="1:23" ht="18" customHeight="1" x14ac:dyDescent="0.3">
      <c r="A31" s="1148"/>
      <c r="B31" s="1228" t="s">
        <v>32</v>
      </c>
      <c r="C31" s="1227"/>
      <c r="D31" s="1227"/>
      <c r="E31" s="1227"/>
      <c r="F31" s="1227"/>
      <c r="G31" s="1227"/>
      <c r="H31" s="1227"/>
      <c r="I31" s="1227"/>
      <c r="J31" s="502"/>
    </row>
    <row r="32" spans="1:23" ht="18" customHeight="1" x14ac:dyDescent="0.3">
      <c r="A32" s="1148"/>
      <c r="B32" s="1228"/>
      <c r="C32" s="1227"/>
      <c r="D32" s="1227"/>
      <c r="E32" s="1227"/>
      <c r="F32" s="1227"/>
      <c r="G32" s="1227"/>
      <c r="H32" s="1227"/>
      <c r="I32" s="1227"/>
      <c r="J32" s="502"/>
    </row>
    <row r="33" spans="1:10" ht="18" customHeight="1" x14ac:dyDescent="0.3">
      <c r="A33" s="1148"/>
      <c r="B33" s="494"/>
      <c r="C33" s="1227"/>
      <c r="D33" s="1227"/>
      <c r="E33" s="1227"/>
      <c r="F33" s="1227"/>
      <c r="G33" s="1227"/>
      <c r="H33" s="1227"/>
      <c r="I33" s="1227"/>
      <c r="J33" s="502"/>
    </row>
    <row r="34" spans="1:10" ht="12.6" customHeight="1" x14ac:dyDescent="0.3">
      <c r="A34" s="1148"/>
      <c r="B34" s="494"/>
      <c r="C34" s="494"/>
      <c r="D34" s="494"/>
      <c r="E34" s="494"/>
      <c r="F34" s="494"/>
      <c r="G34" s="494"/>
      <c r="H34" s="494"/>
      <c r="I34" s="494"/>
      <c r="J34" s="502"/>
    </row>
    <row r="35" spans="1:10" ht="18" customHeight="1" x14ac:dyDescent="0.3">
      <c r="A35" s="1148"/>
      <c r="B35" s="973" t="s">
        <v>33</v>
      </c>
      <c r="C35" s="973"/>
      <c r="D35" s="973"/>
      <c r="E35" s="973"/>
      <c r="F35" s="973"/>
      <c r="G35" s="973"/>
      <c r="H35" s="973"/>
      <c r="I35" s="973"/>
      <c r="J35" s="974"/>
    </row>
    <row r="36" spans="1:10" ht="48.6" customHeight="1" x14ac:dyDescent="0.3">
      <c r="A36" s="1148"/>
      <c r="B36" s="1215" t="s">
        <v>34</v>
      </c>
      <c r="C36" s="1215"/>
      <c r="D36" s="1215"/>
      <c r="E36" s="1215"/>
      <c r="F36" s="1215"/>
      <c r="G36" s="1215"/>
      <c r="H36" s="1215"/>
      <c r="I36" s="1215"/>
      <c r="J36" s="1216"/>
    </row>
    <row r="37" spans="1:10" ht="18" customHeight="1" thickBot="1" x14ac:dyDescent="0.35">
      <c r="A37" s="1162"/>
      <c r="B37" s="975" t="s">
        <v>35</v>
      </c>
      <c r="C37" s="976"/>
      <c r="D37" s="976"/>
      <c r="E37" s="976"/>
      <c r="F37" s="976"/>
      <c r="G37" s="976"/>
      <c r="H37" s="976"/>
      <c r="I37" s="976"/>
      <c r="J37" s="977"/>
    </row>
    <row r="38" spans="1:10" ht="18" customHeight="1" x14ac:dyDescent="0.3"/>
    <row r="39" spans="1:10" ht="18" customHeight="1" x14ac:dyDescent="0.3"/>
    <row r="40" spans="1:10" ht="18" customHeight="1" x14ac:dyDescent="0.3"/>
    <row r="41" spans="1:10" ht="18" customHeight="1" x14ac:dyDescent="0.3"/>
    <row r="42" spans="1:10" ht="18" customHeight="1" x14ac:dyDescent="0.3"/>
    <row r="43" spans="1:10" ht="18" customHeight="1" x14ac:dyDescent="0.3"/>
    <row r="44" spans="1:10" ht="18" customHeight="1" x14ac:dyDescent="0.3"/>
    <row r="45" spans="1:10" ht="18" customHeight="1" x14ac:dyDescent="0.3"/>
    <row r="46" spans="1:10" ht="18" customHeight="1" x14ac:dyDescent="0.3"/>
    <row r="47" spans="1:10" ht="18" customHeight="1" x14ac:dyDescent="0.3"/>
    <row r="48" spans="1:10" ht="18" customHeight="1" x14ac:dyDescent="0.3"/>
    <row r="49" ht="18" customHeight="1" x14ac:dyDescent="0.3"/>
    <row r="50" ht="18" customHeight="1" x14ac:dyDescent="0.3"/>
    <row r="51" ht="18" customHeight="1" x14ac:dyDescent="0.3"/>
    <row r="52" ht="18" customHeight="1" x14ac:dyDescent="0.3"/>
    <row r="53" ht="18" customHeight="1" x14ac:dyDescent="0.3"/>
    <row r="54" ht="18" customHeight="1" x14ac:dyDescent="0.3"/>
    <row r="55" ht="18" customHeight="1" x14ac:dyDescent="0.3"/>
    <row r="56" ht="18" customHeight="1" x14ac:dyDescent="0.3"/>
    <row r="57" ht="18" customHeight="1" x14ac:dyDescent="0.3"/>
    <row r="58" ht="18" customHeight="1" x14ac:dyDescent="0.3"/>
    <row r="59" ht="18" customHeight="1" x14ac:dyDescent="0.3"/>
    <row r="60" ht="18" customHeight="1" x14ac:dyDescent="0.3"/>
    <row r="61" ht="18" customHeight="1" x14ac:dyDescent="0.3"/>
    <row r="62" ht="18" customHeight="1" x14ac:dyDescent="0.3"/>
    <row r="63" ht="18" customHeight="1" x14ac:dyDescent="0.3"/>
    <row r="64" ht="18" customHeight="1" x14ac:dyDescent="0.3"/>
    <row r="65" ht="18" customHeight="1" x14ac:dyDescent="0.3"/>
    <row r="66" ht="18" customHeight="1" x14ac:dyDescent="0.3"/>
    <row r="67" ht="18" customHeight="1" x14ac:dyDescent="0.3"/>
    <row r="68" ht="18" customHeight="1" x14ac:dyDescent="0.3"/>
    <row r="69" ht="18" customHeight="1" x14ac:dyDescent="0.3"/>
    <row r="70" ht="18" customHeight="1" x14ac:dyDescent="0.3"/>
    <row r="71" ht="18" customHeight="1" x14ac:dyDescent="0.3"/>
    <row r="72" ht="18" customHeight="1" x14ac:dyDescent="0.3"/>
    <row r="73" ht="18" customHeight="1" x14ac:dyDescent="0.3"/>
    <row r="74" ht="18" customHeight="1" x14ac:dyDescent="0.3"/>
    <row r="75" ht="18" customHeight="1" x14ac:dyDescent="0.3"/>
    <row r="76" ht="18" customHeight="1" x14ac:dyDescent="0.3"/>
    <row r="77" ht="18" customHeight="1" x14ac:dyDescent="0.3"/>
    <row r="78" ht="18" customHeight="1" x14ac:dyDescent="0.3"/>
    <row r="79" ht="18" customHeight="1" x14ac:dyDescent="0.3"/>
    <row r="80" ht="18" customHeight="1" x14ac:dyDescent="0.3"/>
    <row r="81" ht="18" customHeight="1" x14ac:dyDescent="0.3"/>
    <row r="82" ht="18" customHeight="1" x14ac:dyDescent="0.3"/>
    <row r="83" ht="18" customHeight="1" x14ac:dyDescent="0.3"/>
    <row r="84" ht="18" customHeight="1" x14ac:dyDescent="0.3"/>
    <row r="85" ht="18" customHeight="1" x14ac:dyDescent="0.3"/>
    <row r="86" ht="18" customHeight="1" x14ac:dyDescent="0.3"/>
    <row r="87" ht="18" customHeight="1" x14ac:dyDescent="0.3"/>
    <row r="88" ht="18" customHeight="1" x14ac:dyDescent="0.3"/>
    <row r="89" ht="18" customHeight="1" x14ac:dyDescent="0.3"/>
    <row r="90" ht="18" customHeight="1" x14ac:dyDescent="0.3"/>
    <row r="91" ht="18" customHeight="1" x14ac:dyDescent="0.3"/>
    <row r="92" ht="18" customHeight="1" x14ac:dyDescent="0.3"/>
    <row r="93" ht="18" customHeight="1" x14ac:dyDescent="0.3"/>
    <row r="94" ht="18" customHeight="1" x14ac:dyDescent="0.3"/>
    <row r="95" ht="18" customHeight="1" x14ac:dyDescent="0.3"/>
    <row r="96" ht="18" customHeight="1" x14ac:dyDescent="0.3"/>
    <row r="97" ht="18" customHeight="1" x14ac:dyDescent="0.3"/>
    <row r="98" ht="18" customHeight="1" x14ac:dyDescent="0.3"/>
    <row r="99" ht="18" customHeight="1" x14ac:dyDescent="0.3"/>
    <row r="100" ht="18" customHeight="1" x14ac:dyDescent="0.3"/>
    <row r="101" ht="18" customHeight="1" x14ac:dyDescent="0.3"/>
    <row r="102" ht="18" customHeight="1" x14ac:dyDescent="0.3"/>
    <row r="103" ht="18" customHeight="1" x14ac:dyDescent="0.3"/>
    <row r="104" ht="18" customHeight="1" x14ac:dyDescent="0.3"/>
    <row r="105" ht="18" customHeight="1" x14ac:dyDescent="0.3"/>
    <row r="106" ht="18" customHeight="1" x14ac:dyDescent="0.3"/>
    <row r="107" ht="18" customHeight="1" x14ac:dyDescent="0.3"/>
    <row r="108" ht="18" customHeight="1" x14ac:dyDescent="0.3"/>
    <row r="109" ht="18" customHeight="1" x14ac:dyDescent="0.3"/>
    <row r="110" ht="18" customHeight="1" x14ac:dyDescent="0.3"/>
    <row r="111" ht="18" customHeight="1" x14ac:dyDescent="0.3"/>
    <row r="112" ht="18" customHeight="1" x14ac:dyDescent="0.3"/>
    <row r="113" ht="18" customHeight="1" x14ac:dyDescent="0.3"/>
    <row r="114" ht="18" customHeight="1" x14ac:dyDescent="0.3"/>
    <row r="137" spans="2:2" hidden="1" x14ac:dyDescent="0.3">
      <c r="B137" s="94"/>
    </row>
    <row r="138" spans="2:2" x14ac:dyDescent="0.3">
      <c r="B138" s="93"/>
    </row>
    <row r="142" spans="2:2" x14ac:dyDescent="0.3">
      <c r="B142" s="93"/>
    </row>
    <row r="148" spans="2:9" x14ac:dyDescent="0.3">
      <c r="B148" s="94" t="s">
        <v>36</v>
      </c>
      <c r="C148" s="94"/>
      <c r="D148" s="94"/>
      <c r="E148" s="94"/>
      <c r="F148" s="94"/>
      <c r="G148" s="94"/>
      <c r="H148" s="94"/>
      <c r="I148" s="94"/>
    </row>
    <row r="149" spans="2:9" x14ac:dyDescent="0.3">
      <c r="B149" s="94"/>
      <c r="C149" s="94"/>
      <c r="D149" s="94"/>
    </row>
    <row r="157" spans="2:9" x14ac:dyDescent="0.3">
      <c r="B157" s="94"/>
      <c r="C157" s="94"/>
      <c r="D157" s="94"/>
      <c r="E157" s="94"/>
    </row>
  </sheetData>
  <sheetProtection sheet="1" objects="1" scenarios="1" selectLockedCells="1"/>
  <customSheetViews>
    <customSheetView guid="{14CC7D48-F74C-409C-986F-C21E8F9D3A08}" scale="85" showGridLines="0" fitToPage="1">
      <selection activeCell="L9" sqref="L9"/>
      <pageMargins left="0" right="0" top="0" bottom="0" header="0" footer="0"/>
      <printOptions horizontalCentered="1"/>
      <pageSetup paperSize="9" scale="80" orientation="portrait" r:id="rId1"/>
    </customSheetView>
  </customSheetViews>
  <mergeCells count="15">
    <mergeCell ref="B36:J36"/>
    <mergeCell ref="C26:D26"/>
    <mergeCell ref="C21:D21"/>
    <mergeCell ref="B23:B24"/>
    <mergeCell ref="C19:E19"/>
    <mergeCell ref="G23:J24"/>
    <mergeCell ref="G29:I29"/>
    <mergeCell ref="C31:I33"/>
    <mergeCell ref="B31:B32"/>
    <mergeCell ref="A9:J9"/>
    <mergeCell ref="C11:I11"/>
    <mergeCell ref="C13:I13"/>
    <mergeCell ref="G19:I19"/>
    <mergeCell ref="C15:E15"/>
    <mergeCell ref="C17:E17"/>
  </mergeCells>
  <conditionalFormatting sqref="C23">
    <cfRule type="expression" dxfId="46" priority="3">
      <formula>$C$24=0</formula>
    </cfRule>
  </conditionalFormatting>
  <conditionalFormatting sqref="E23">
    <cfRule type="expression" dxfId="45" priority="2">
      <formula>$E$24=0</formula>
    </cfRule>
  </conditionalFormatting>
  <conditionalFormatting sqref="B23:B24">
    <cfRule type="expression" dxfId="44" priority="1">
      <formula>OR(Start_Year=0,pEndYear=0)</formula>
    </cfRule>
  </conditionalFormatting>
  <dataValidations count="7">
    <dataValidation type="list" allowBlank="1" showInputMessage="1" showErrorMessage="1" sqref="E29" xr:uid="{00000000-0002-0000-0000-000000000000}">
      <formula1>dActivity</formula1>
    </dataValidation>
    <dataValidation type="list" allowBlank="1" showInputMessage="1" showErrorMessage="1" sqref="F29" xr:uid="{00000000-0002-0000-0000-000001000000}">
      <formula1>dLocation</formula1>
    </dataValidation>
    <dataValidation type="list" showInputMessage="1" showErrorMessage="1" promptTitle="PLEASE NOTE:" prompt="Changing the currency will update the exchange rates to the latest rates." sqref="C26:D26" xr:uid="{00000000-0002-0000-0000-000002000000}">
      <formula1>dCurrency</formula1>
    </dataValidation>
    <dataValidation type="list" allowBlank="1" showInputMessage="1" showErrorMessage="1" sqref="D24 F24" xr:uid="{00000000-0002-0000-0000-000003000000}">
      <formula1>dMonth</formula1>
    </dataValidation>
    <dataValidation type="list" allowBlank="1" showInputMessage="1" showErrorMessage="1" sqref="C24 E24" xr:uid="{00000000-0002-0000-0000-000004000000}">
      <formula1>dYear</formula1>
    </dataValidation>
    <dataValidation type="list" allowBlank="1" showInputMessage="1" showErrorMessage="1" sqref="C15:E15" xr:uid="{33A69986-BDAF-4B8B-B14C-90A72BC254FF}">
      <formula1>"ARC,NHMRC,Other"</formula1>
    </dataValidation>
    <dataValidation type="custom" allowBlank="1" showInputMessage="1" showErrorMessage="1" prompt="Please enter the name of the External Party" sqref="C17" xr:uid="{8E92B16D-C684-4C43-82AB-86C67E72ABCD}">
      <formula1>IF(C15="Other",TRUE,FALSE)</formula1>
    </dataValidation>
  </dataValidations>
  <printOptions horizontalCentered="1"/>
  <pageMargins left="0.7" right="0.7" top="0.75" bottom="0.75" header="0.3" footer="0.3"/>
  <pageSetup paperSize="9" scale="56" fitToHeight="0" orientation="portrait" r:id="rId2"/>
  <headerFooter>
    <oddHeader>&amp;C&amp;"Calibri,Bold"&amp;16&amp;K094183Project Research Budget</oddHeader>
    <oddFooter>&amp;L&amp;F&amp;R The University of Melbourne - Research Innovation and Commercialisation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1" r:id="rId5" name="Check Box 7">
              <controlPr locked="0" defaultSize="0" autoFill="0" autoLine="0" autoPict="0" macro="[0]!override_foreign_rates">
                <anchor moveWithCells="1">
                  <from>
                    <xdr:col>5</xdr:col>
                    <xdr:colOff>556260</xdr:colOff>
                    <xdr:row>24</xdr:row>
                    <xdr:rowOff>30480</xdr:rowOff>
                  </from>
                  <to>
                    <xdr:col>7</xdr:col>
                    <xdr:colOff>419100</xdr:colOff>
                    <xdr:row>26</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promptTitle="Note" prompt="Please type the department if it does not appear in the list" xr:uid="{87A33414-8B71-4CAA-AE32-061F7D7492C0}">
          <x14:formula1>
            <xm:f>'Lookup Tables'!$AC$4:$AC$207</xm:f>
          </x14:formula1>
          <xm:sqref>C19:E19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pageSetUpPr autoPageBreaks="0" fitToPage="1"/>
  </sheetPr>
  <dimension ref="A1:BE172"/>
  <sheetViews>
    <sheetView showGridLines="0" zoomScaleNormal="100" workbookViewId="0">
      <pane ySplit="10" topLeftCell="A11" activePane="bottomLeft" state="frozen"/>
      <selection pane="bottomLeft" activeCell="E14" sqref="E14"/>
    </sheetView>
  </sheetViews>
  <sheetFormatPr defaultRowHeight="14.4" outlineLevelRow="1" outlineLevelCol="1" x14ac:dyDescent="0.3"/>
  <cols>
    <col min="1" max="1" width="20" customWidth="1"/>
    <col min="2" max="2" width="27.33203125" customWidth="1"/>
    <col min="3" max="3" width="23.5546875" hidden="1" customWidth="1"/>
    <col min="4" max="4" width="21.44140625" customWidth="1"/>
    <col min="5" max="5" width="17.44140625" customWidth="1"/>
    <col min="6" max="6" width="15.5546875" customWidth="1"/>
    <col min="7" max="7" width="14.33203125" customWidth="1"/>
    <col min="8" max="8" width="16.44140625" customWidth="1"/>
    <col min="9" max="9" width="8.44140625" customWidth="1"/>
    <col min="10" max="10" width="13.5546875" customWidth="1"/>
    <col min="11" max="11" width="10.5546875" customWidth="1"/>
    <col min="12" max="12" width="13.5546875" customWidth="1"/>
    <col min="13" max="13" width="9.44140625" customWidth="1"/>
    <col min="14" max="14" width="15.44140625" customWidth="1"/>
    <col min="15" max="15" width="8.44140625" customWidth="1"/>
    <col min="16" max="16" width="13.5546875" customWidth="1"/>
    <col min="17" max="17" width="8.44140625" customWidth="1"/>
    <col min="18" max="18" width="14.5546875" customWidth="1"/>
    <col min="19" max="19" width="8.44140625" hidden="1" customWidth="1" outlineLevel="1"/>
    <col min="20" max="20" width="16.44140625" hidden="1" customWidth="1" outlineLevel="1"/>
    <col min="21" max="21" width="10.44140625" hidden="1" customWidth="1" outlineLevel="1"/>
    <col min="22" max="22" width="16" hidden="1" customWidth="1" outlineLevel="1"/>
    <col min="23" max="23" width="9.5546875" hidden="1" customWidth="1" outlineLevel="1"/>
    <col min="24" max="24" width="16.44140625" hidden="1" customWidth="1" outlineLevel="1"/>
    <col min="25" max="25" width="8.44140625" hidden="1" customWidth="1" outlineLevel="1"/>
    <col min="26" max="26" width="16.5546875" hidden="1" customWidth="1" outlineLevel="1"/>
    <col min="27" max="27" width="8.44140625" hidden="1" customWidth="1" outlineLevel="1"/>
    <col min="28" max="28" width="14.44140625" hidden="1" customWidth="1" outlineLevel="1"/>
    <col min="29" max="29" width="15.5546875" customWidth="1" collapsed="1"/>
    <col min="30" max="30" width="16.5546875" customWidth="1"/>
    <col min="31" max="31" width="11.44140625" customWidth="1"/>
    <col min="33" max="34" width="14.44140625" bestFit="1" customWidth="1"/>
  </cols>
  <sheetData>
    <row r="1" spans="1:57" s="1" customFormat="1" ht="38.4" customHeight="1" x14ac:dyDescent="0.3">
      <c r="A1" s="665"/>
      <c r="B1" s="694" t="str">
        <f>tool_name_and_version</f>
        <v>Research Costing and Pricing tool v4.3.1</v>
      </c>
      <c r="C1" s="666"/>
      <c r="D1" s="666"/>
      <c r="E1" s="666"/>
      <c r="F1" s="666"/>
      <c r="G1" s="666"/>
      <c r="H1" s="666"/>
      <c r="I1" s="666"/>
      <c r="J1" s="659"/>
      <c r="K1" s="659"/>
      <c r="L1" s="666"/>
      <c r="M1" s="1240"/>
      <c r="N1" s="1240"/>
      <c r="O1" s="1240"/>
      <c r="P1" s="1240"/>
      <c r="Q1" s="666"/>
      <c r="R1" s="666"/>
      <c r="S1" s="666"/>
      <c r="T1" s="666"/>
      <c r="U1" s="666"/>
      <c r="V1" s="666"/>
      <c r="W1" s="666"/>
      <c r="X1" s="666"/>
      <c r="Y1" s="666"/>
      <c r="Z1" s="666"/>
      <c r="AA1" s="666"/>
      <c r="AB1" s="666"/>
      <c r="AC1" s="667"/>
      <c r="AD1" s="667"/>
      <c r="AE1" s="666"/>
    </row>
    <row r="2" spans="1:57" ht="24" customHeight="1" x14ac:dyDescent="0.3">
      <c r="A2" s="733"/>
      <c r="B2" s="734"/>
      <c r="C2" s="734"/>
      <c r="D2" s="734"/>
      <c r="E2" s="734"/>
      <c r="F2" s="735"/>
      <c r="G2" s="734"/>
      <c r="H2" s="734"/>
      <c r="I2" s="734"/>
      <c r="J2" s="736"/>
      <c r="K2" s="736"/>
      <c r="L2" s="736"/>
      <c r="M2" s="736"/>
      <c r="N2" s="736"/>
      <c r="O2" s="736"/>
      <c r="P2" s="736"/>
      <c r="Q2" s="736"/>
      <c r="R2" s="736"/>
      <c r="S2" s="736"/>
      <c r="T2" s="736"/>
      <c r="U2" s="736"/>
      <c r="V2" s="736"/>
      <c r="W2" s="736"/>
      <c r="X2" s="736"/>
      <c r="Y2" s="736"/>
      <c r="Z2" s="736"/>
      <c r="AA2" s="736"/>
      <c r="AB2" s="736"/>
      <c r="AC2" s="736"/>
      <c r="AD2" s="736"/>
      <c r="AE2" s="736"/>
    </row>
    <row r="3" spans="1:57" ht="18.600000000000001" customHeight="1" x14ac:dyDescent="0.3">
      <c r="A3" s="676" t="str">
        <f>IF(tbBudgetCurrency="AUD - Australian Dollar","Project Cost (Rolling Total) - AUD",CONCATENATE("Project Cost (Rolling Total) - ",LEFT(tbBudgetCurrency,3)))</f>
        <v>Project Cost (Rolling Total) - AUD</v>
      </c>
      <c r="B3" s="676"/>
      <c r="C3" s="676"/>
      <c r="D3" s="676"/>
      <c r="E3" s="670"/>
      <c r="F3" s="911" t="s">
        <v>37</v>
      </c>
      <c r="G3" s="911"/>
      <c r="H3" s="670"/>
      <c r="I3" s="670"/>
      <c r="S3" s="489"/>
      <c r="T3" s="489"/>
      <c r="U3" s="489"/>
      <c r="V3" s="489"/>
      <c r="W3" s="489"/>
      <c r="X3" s="489"/>
      <c r="Y3" s="489"/>
      <c r="Z3" s="489"/>
      <c r="AA3" s="489"/>
      <c r="AB3" s="489"/>
      <c r="AC3" s="489"/>
      <c r="AD3" s="489"/>
      <c r="AE3" s="489"/>
    </row>
    <row r="4" spans="1:57" ht="13.2" customHeight="1" x14ac:dyDescent="0.3">
      <c r="A4" s="672"/>
      <c r="B4" s="1093" t="str">
        <f>CONCATENATE("Using salary recovery multiplier (",pCRSalaries,")")</f>
        <v>Using salary recovery multiplier (2.5)</v>
      </c>
      <c r="C4" s="672"/>
      <c r="D4" s="673">
        <f>vl_project_cost</f>
        <v>0</v>
      </c>
      <c r="E4" s="670"/>
      <c r="F4" s="911" t="s">
        <v>38</v>
      </c>
      <c r="G4" s="911"/>
      <c r="H4" s="670"/>
      <c r="I4" s="670"/>
      <c r="S4" s="489"/>
      <c r="T4" s="489"/>
      <c r="U4" s="489"/>
      <c r="V4" s="489"/>
      <c r="W4" s="489"/>
      <c r="X4" s="489"/>
      <c r="Y4" s="489"/>
      <c r="Z4" s="489"/>
      <c r="AA4" s="489"/>
      <c r="AB4" s="489"/>
      <c r="AC4" s="489"/>
      <c r="AD4" s="489"/>
      <c r="AE4" s="489"/>
    </row>
    <row r="5" spans="1:57" ht="13.95" customHeight="1" x14ac:dyDescent="0.3">
      <c r="B5" s="1093" t="str">
        <f>CONCATENATE("Using full salary recovery (",dfullrecovery,")")</f>
        <v>Using full salary recovery (2.5)</v>
      </c>
      <c r="C5" s="672"/>
      <c r="D5" s="673">
        <f>vl_full_project_cost</f>
        <v>0</v>
      </c>
      <c r="E5" s="670"/>
      <c r="F5" s="911" t="s">
        <v>1417</v>
      </c>
      <c r="G5" s="911"/>
      <c r="H5" s="670"/>
      <c r="I5" s="670"/>
      <c r="S5" s="489"/>
      <c r="T5" s="489"/>
      <c r="U5" s="489"/>
      <c r="V5" s="489"/>
      <c r="W5" s="489"/>
      <c r="X5" s="489"/>
      <c r="Y5" s="489"/>
      <c r="Z5" s="489"/>
      <c r="AA5" s="489"/>
      <c r="AB5" s="489"/>
      <c r="AC5" s="489"/>
      <c r="AD5" s="489"/>
      <c r="AE5" s="489"/>
    </row>
    <row r="6" spans="1:57" ht="6.6" customHeight="1" x14ac:dyDescent="0.3">
      <c r="A6" s="489"/>
      <c r="B6" s="670"/>
      <c r="C6" s="670"/>
      <c r="D6" s="670"/>
      <c r="E6" s="670"/>
      <c r="F6" s="671"/>
      <c r="G6" s="670"/>
      <c r="H6" s="670"/>
      <c r="I6" s="670"/>
      <c r="J6" s="670"/>
      <c r="K6" s="670"/>
      <c r="L6" s="670"/>
      <c r="M6" s="670"/>
      <c r="N6" s="670"/>
      <c r="O6" s="670"/>
      <c r="P6" s="489"/>
      <c r="Q6" s="489"/>
      <c r="R6" s="489"/>
      <c r="S6" s="489"/>
      <c r="T6" s="489"/>
      <c r="U6" s="489"/>
      <c r="V6" s="489"/>
      <c r="W6" s="489"/>
      <c r="X6" s="489"/>
      <c r="Y6" s="489"/>
      <c r="Z6" s="489"/>
      <c r="AA6" s="489"/>
      <c r="AB6" s="489"/>
      <c r="AC6" s="489"/>
      <c r="AD6" s="489"/>
      <c r="AE6" s="489"/>
    </row>
    <row r="7" spans="1:57" s="1" customFormat="1" ht="20.25" customHeight="1" thickBot="1" x14ac:dyDescent="0.35">
      <c r="A7" s="1239" t="s">
        <v>39</v>
      </c>
      <c r="B7" s="1239"/>
      <c r="C7" s="1239"/>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679"/>
    </row>
    <row r="8" spans="1:57" s="1" customFormat="1" ht="0.75" customHeight="1" x14ac:dyDescent="0.3">
      <c r="A8" s="3"/>
      <c r="B8" s="4"/>
      <c r="C8" s="4"/>
      <c r="D8" s="4"/>
      <c r="E8" s="4"/>
      <c r="F8" s="4"/>
      <c r="G8" s="4"/>
      <c r="H8" s="4"/>
      <c r="I8" s="4"/>
      <c r="J8" s="4"/>
      <c r="K8" s="4"/>
      <c r="L8" s="4"/>
      <c r="M8" s="4"/>
      <c r="N8" s="4"/>
      <c r="O8" s="4"/>
      <c r="P8" s="4"/>
      <c r="Q8" s="4"/>
      <c r="R8" s="4"/>
      <c r="S8" s="4"/>
      <c r="T8" s="4"/>
      <c r="U8" s="4"/>
      <c r="V8" s="4"/>
      <c r="W8" s="4"/>
      <c r="X8" s="4"/>
      <c r="Y8" s="4"/>
      <c r="Z8" s="4"/>
      <c r="AA8" s="4"/>
      <c r="AB8" s="4"/>
      <c r="AC8" s="4"/>
      <c r="AD8" s="4"/>
      <c r="AE8" s="5"/>
    </row>
    <row r="9" spans="1:57" s="1" customFormat="1" ht="20.25" hidden="1" customHeight="1" x14ac:dyDescent="0.3">
      <c r="A9" s="3"/>
      <c r="B9" s="4"/>
      <c r="C9" s="4"/>
      <c r="D9" s="4"/>
      <c r="E9" s="4"/>
      <c r="F9" s="4"/>
      <c r="G9" s="4"/>
      <c r="H9" s="4"/>
      <c r="I9" s="1255" t="str">
        <f>"Year 1" &amp; IF(pStartYear&lt;&gt;""," ("&amp;pStartYear&amp;") ","")</f>
        <v xml:space="preserve">Year 1 (2026) </v>
      </c>
      <c r="J9" s="1254"/>
      <c r="K9" s="1252" t="str">
        <f>"Year 2" &amp; IF(pStartYear&lt;&gt;""," ("&amp;pStartYear+1&amp;") ","")</f>
        <v xml:space="preserve">Year 2 (2027) </v>
      </c>
      <c r="L9" s="1254"/>
      <c r="M9" s="1252" t="str">
        <f>"Year 3" &amp; IF(pStartYear&lt;&gt;""," ("&amp;pStartYear+2&amp;") ","")</f>
        <v xml:space="preserve">Year 3 (2028) </v>
      </c>
      <c r="N9" s="1254"/>
      <c r="O9" s="1252" t="str">
        <f>"Year 4" &amp; IF(pStartYear&lt;&gt;""," ("&amp;pStartYear+3&amp;") ","")</f>
        <v xml:space="preserve">Year 4 (2029) </v>
      </c>
      <c r="P9" s="1254"/>
      <c r="Q9" s="1252" t="str">
        <f>"Year 5" &amp; IF(pStartYear&lt;&gt;""," ("&amp;pStartYear+4&amp;") ","")</f>
        <v xml:space="preserve">Year 5 (2030) </v>
      </c>
      <c r="R9" s="1254"/>
      <c r="S9" s="1252" t="str">
        <f>"Year 6" &amp; IF(pStartYear&lt;&gt;""," ("&amp;pStartYear+5&amp;") ","")</f>
        <v xml:space="preserve">Year 6 (2031) </v>
      </c>
      <c r="T9" s="1254"/>
      <c r="U9" s="1252" t="str">
        <f>"Year 7" &amp; IF(pStartYear&lt;&gt;""," ("&amp;pStartYear+6&amp;") ","")</f>
        <v xml:space="preserve">Year 7 (2032) </v>
      </c>
      <c r="V9" s="1254"/>
      <c r="W9" s="1252" t="str">
        <f>"Year 8" &amp; IF(pStartYear&lt;&gt;""," ("&amp;pStartYear+7&amp;") ","")</f>
        <v xml:space="preserve">Year 8 (2033) </v>
      </c>
      <c r="X9" s="1254"/>
      <c r="Y9" s="1252" t="str">
        <f>"Year 9" &amp; IF(pStartYear&lt;&gt;""," ("&amp;pStartYear+8&amp;") ","")</f>
        <v xml:space="preserve">Year 9 (2034) </v>
      </c>
      <c r="Z9" s="1254"/>
      <c r="AA9" s="1252" t="str">
        <f>"Year 10" &amp; IF(pStartYear&lt;&gt;""," ("&amp;pStartYear+9&amp;") ","")</f>
        <v xml:space="preserve">Year 10 (2035) </v>
      </c>
      <c r="AB9" s="1253"/>
      <c r="AC9" s="4"/>
      <c r="AD9" s="4"/>
      <c r="AE9" s="5"/>
    </row>
    <row r="10" spans="1:57" s="1" customFormat="1" ht="20.25" hidden="1" customHeight="1" x14ac:dyDescent="0.3">
      <c r="A10" s="3"/>
      <c r="B10" s="2" t="s">
        <v>40</v>
      </c>
      <c r="C10" s="2"/>
      <c r="D10" s="4"/>
      <c r="E10" s="4"/>
      <c r="F10" s="4"/>
      <c r="G10" s="4"/>
      <c r="H10" s="4"/>
      <c r="I10" s="9"/>
      <c r="J10" s="8">
        <f>IFERROR(VLOOKUP(pStartYear,tEBA,3,FALSE),1.03^0)</f>
        <v>1.03</v>
      </c>
      <c r="K10" s="4"/>
      <c r="L10" s="8">
        <f>IFERROR(VLOOKUP(pStartYear+1,tEBA,3,FALSE),1.03^1)</f>
        <v>1.0609</v>
      </c>
      <c r="M10" s="4"/>
      <c r="N10" s="8">
        <f>IFERROR(VLOOKUP(pStartYear+2,tEBA,3,FALSE),1.03^2)</f>
        <v>1.092727</v>
      </c>
      <c r="O10" s="4"/>
      <c r="P10" s="8">
        <f>IFERROR(VLOOKUP(pStartYear+3,tEBA,3,FALSE),1.03^3)</f>
        <v>1.1255088100000001</v>
      </c>
      <c r="Q10" s="4"/>
      <c r="R10" s="8">
        <f>IFERROR(VLOOKUP(pStartYear+4,tEBA,3,FALSE),1.03^4)</f>
        <v>1.1592740743000001</v>
      </c>
      <c r="S10" s="4"/>
      <c r="T10" s="8">
        <f>IFERROR(VLOOKUP(pStartYear+5,tEBA,3,FALSE),1.03^5)</f>
        <v>1.1940522965290001</v>
      </c>
      <c r="U10" s="4"/>
      <c r="V10" s="8">
        <f>IFERROR(VLOOKUP(pStartYear+6,tEBA,3,FALSE),1.03^6)</f>
        <v>1.2298738654248702</v>
      </c>
      <c r="W10" s="4"/>
      <c r="X10" s="8">
        <f>IFERROR(VLOOKUP(pStartYear+7,tEBA,3,FALSE),1.03^7)</f>
        <v>1.2667700813876164</v>
      </c>
      <c r="Y10" s="4"/>
      <c r="Z10" s="8">
        <f>IFERROR(VLOOKUP(pStartYear+8,tEBA,3,FALSE),1.03^8)</f>
        <v>1.3047731838292449</v>
      </c>
      <c r="AA10" s="4"/>
      <c r="AB10" s="8">
        <f>IFERROR(VLOOKUP(pStartYear+9,tEBA,3,FALSE),1.03^9)</f>
        <v>1.3439163793441222</v>
      </c>
      <c r="AC10" s="4"/>
      <c r="AD10" s="4"/>
      <c r="AE10" s="5"/>
    </row>
    <row r="11" spans="1:57" s="1" customFormat="1" ht="5.25" customHeight="1" x14ac:dyDescent="0.3">
      <c r="A11" s="1163"/>
      <c r="B11" s="20"/>
      <c r="C11" s="20"/>
      <c r="D11" s="20"/>
      <c r="E11" s="20"/>
      <c r="F11" s="20" t="s">
        <v>41</v>
      </c>
      <c r="G11" s="20"/>
      <c r="H11" s="20"/>
      <c r="I11" s="20"/>
      <c r="J11" s="20"/>
      <c r="K11" s="20"/>
      <c r="L11" s="20"/>
      <c r="M11" s="20"/>
      <c r="N11" s="20"/>
      <c r="O11" s="20"/>
      <c r="P11" s="20"/>
      <c r="Q11" s="20"/>
      <c r="R11" s="20"/>
      <c r="S11" s="20"/>
      <c r="T11" s="20"/>
      <c r="U11" s="20"/>
      <c r="V11" s="20"/>
      <c r="W11" s="20"/>
      <c r="X11" s="20"/>
      <c r="Y11" s="20"/>
      <c r="Z11" s="20"/>
      <c r="AA11" s="20"/>
      <c r="AB11" s="20"/>
      <c r="AC11" s="20"/>
      <c r="AD11" s="20"/>
      <c r="AE11" s="29"/>
    </row>
    <row r="12" spans="1:57" s="1" customFormat="1" ht="19.5" hidden="1" customHeight="1" x14ac:dyDescent="0.3">
      <c r="A12" s="1163"/>
      <c r="B12" s="675" t="s">
        <v>42</v>
      </c>
      <c r="C12" s="675"/>
      <c r="D12" s="675"/>
      <c r="E12" s="675"/>
      <c r="F12" s="675"/>
      <c r="G12" s="675"/>
      <c r="H12" s="675"/>
      <c r="I12" s="675"/>
      <c r="J12" s="675"/>
      <c r="K12" s="675"/>
      <c r="L12" s="675"/>
      <c r="M12" s="675"/>
      <c r="N12" s="675"/>
      <c r="O12" s="675"/>
      <c r="P12" s="675"/>
      <c r="Q12" s="675"/>
      <c r="R12" s="675"/>
      <c r="S12" s="675"/>
      <c r="T12" s="675"/>
      <c r="U12" s="675"/>
      <c r="V12" s="675"/>
      <c r="W12" s="675"/>
      <c r="X12" s="675"/>
      <c r="Y12" s="675"/>
      <c r="Z12" s="675"/>
      <c r="AA12" s="675"/>
      <c r="AB12" s="675"/>
      <c r="AC12" s="675"/>
      <c r="AD12" s="281"/>
      <c r="AE12" s="32"/>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row>
    <row r="13" spans="1:57" s="14" customFormat="1" ht="18.600000000000001" customHeight="1" x14ac:dyDescent="0.3">
      <c r="A13" s="1163"/>
      <c r="B13" s="1230" t="s">
        <v>42</v>
      </c>
      <c r="C13" s="1231"/>
      <c r="D13" s="1231"/>
      <c r="E13" s="1231"/>
      <c r="F13" s="1231"/>
      <c r="G13" s="1231"/>
      <c r="H13" s="1231"/>
      <c r="I13" s="1231"/>
      <c r="J13" s="1231"/>
      <c r="K13" s="1231"/>
      <c r="L13" s="1231"/>
      <c r="M13" s="1231"/>
      <c r="N13" s="1231"/>
      <c r="O13" s="1231"/>
      <c r="P13" s="1231"/>
      <c r="Q13" s="1231"/>
      <c r="R13" s="1231"/>
      <c r="S13" s="91"/>
      <c r="T13" s="91"/>
      <c r="U13" s="91"/>
      <c r="V13" s="91"/>
      <c r="W13" s="91"/>
      <c r="X13" s="91"/>
      <c r="Y13" s="91"/>
      <c r="Z13" s="91"/>
      <c r="AA13" s="91"/>
      <c r="AB13" s="91"/>
      <c r="AC13" s="677"/>
      <c r="AD13" s="677"/>
      <c r="AE13" s="678"/>
    </row>
    <row r="14" spans="1:57" s="14" customFormat="1" ht="8.4" customHeight="1" x14ac:dyDescent="0.3">
      <c r="A14" s="1163"/>
      <c r="B14" s="91"/>
      <c r="C14" s="91"/>
      <c r="D14" s="91">
        <f>IFERROR(IF($E$14=TRUE,1,(IF(pStartYear&gt;2025,2.5,(VLOOKUP(pStartYear,tcostmultiplier,2,FALSE))))),0)</f>
        <v>2.5</v>
      </c>
      <c r="E14" s="171"/>
      <c r="F14" s="91"/>
      <c r="G14" s="171"/>
      <c r="H14" s="277"/>
      <c r="I14" s="277"/>
      <c r="J14" s="277"/>
      <c r="K14" s="277"/>
      <c r="L14" s="682"/>
      <c r="M14" s="682"/>
      <c r="N14" s="682"/>
      <c r="O14" s="682"/>
      <c r="P14" s="682"/>
      <c r="Q14" s="682"/>
      <c r="R14" s="682"/>
      <c r="T14" s="14" t="b">
        <v>0</v>
      </c>
      <c r="AE14" s="92"/>
    </row>
    <row r="15" spans="1:57" s="1" customFormat="1" ht="14.1" customHeight="1" x14ac:dyDescent="0.3">
      <c r="A15" s="1163"/>
      <c r="B15" s="708" t="s">
        <v>43</v>
      </c>
      <c r="C15" s="21"/>
      <c r="D15" s="221">
        <f>IFERROR(IF(chk_no_cost_rec=TRUE,1,dfullrecovery),0)</f>
        <v>2.5</v>
      </c>
      <c r="E15" s="158" t="b">
        <v>0</v>
      </c>
      <c r="F15" s="91"/>
      <c r="G15" s="158" t="b">
        <v>0</v>
      </c>
      <c r="H15" s="1229" t="str">
        <f>IF(pCRSalaries&lt;Minimum_Cost_Recovery_Multiplier,CONCATENATE("Note: The entered cost multiplier is less than minimum required of ",Minimum_Cost_Recovery_Multiplier," . You may require authorization from your Dean or Dean’s delegate to price this project with this reduced multiplier."),CONCATENATE("The default recovery multiplier is ", dfullrecovery, " (full cost recovery multiplier)."))</f>
        <v>The default recovery multiplier is 2.5 (full cost recovery multiplier).</v>
      </c>
      <c r="I15" s="1229"/>
      <c r="J15" s="1229"/>
      <c r="K15" s="1229"/>
      <c r="L15" s="1229"/>
      <c r="M15" s="1229"/>
      <c r="N15" s="1229"/>
      <c r="O15" s="1229"/>
      <c r="P15" s="1229"/>
      <c r="Q15" s="1229"/>
      <c r="R15" s="1229"/>
      <c r="S15" s="14"/>
      <c r="T15" s="172" t="b">
        <v>0</v>
      </c>
      <c r="U15" s="172" t="b">
        <v>0</v>
      </c>
      <c r="V15" s="14"/>
      <c r="W15" s="14"/>
      <c r="X15" s="14"/>
      <c r="Y15" s="14"/>
      <c r="Z15" s="14"/>
      <c r="AA15" s="14"/>
      <c r="AB15" s="14"/>
      <c r="AC15" s="14"/>
      <c r="AE15" s="1164"/>
    </row>
    <row r="16" spans="1:57" s="1" customFormat="1" ht="7.2" customHeight="1" x14ac:dyDescent="0.3">
      <c r="A16" s="1163"/>
      <c r="B16" s="276"/>
      <c r="C16" s="275"/>
      <c r="D16" s="275"/>
      <c r="E16" s="274"/>
      <c r="F16" s="159"/>
      <c r="G16" s="25"/>
      <c r="H16" s="674"/>
      <c r="I16" s="674"/>
      <c r="J16" s="674"/>
      <c r="K16" s="674"/>
      <c r="L16" s="682"/>
      <c r="M16" s="682"/>
      <c r="N16" s="682"/>
      <c r="O16" s="682"/>
      <c r="P16" s="682"/>
      <c r="Q16" s="682"/>
      <c r="R16" s="682"/>
      <c r="S16" s="14"/>
      <c r="T16" s="14"/>
      <c r="U16" s="14"/>
      <c r="V16" s="14"/>
      <c r="W16" s="14"/>
      <c r="X16" s="14"/>
      <c r="Y16" s="14"/>
      <c r="Z16" s="14"/>
      <c r="AA16" s="14"/>
      <c r="AB16" s="14"/>
      <c r="AC16" s="14"/>
      <c r="AE16" s="1164"/>
    </row>
    <row r="17" spans="1:57" s="1" customFormat="1" ht="16.95" customHeight="1" x14ac:dyDescent="0.3">
      <c r="A17" s="1163"/>
      <c r="B17" s="1244" t="s">
        <v>44</v>
      </c>
      <c r="C17" s="1244"/>
      <c r="D17" s="1244"/>
      <c r="E17" s="1244"/>
      <c r="F17" s="1244"/>
      <c r="G17" s="25"/>
      <c r="H17" s="1237" t="str">
        <f>IF(pCRSalaries&lt;Minimum_Cost_Recovery_Multiplier,HYPERLINK("https://gateway.research.unimelb.edu.au/resources/contracts/preparing/costing-pricing-support","Please refer to the Research Costing and Pricing Support webpage by clicking on 'Research Gateway Help' on the banner above for more information on research costing and pricing policy and process."),"")</f>
        <v/>
      </c>
      <c r="I17" s="1237"/>
      <c r="J17" s="1237"/>
      <c r="K17" s="1237"/>
      <c r="L17" s="1237"/>
      <c r="M17" s="1237"/>
      <c r="N17" s="1237"/>
      <c r="O17" s="1237"/>
      <c r="P17" s="1237"/>
      <c r="Q17" s="1237"/>
      <c r="R17" s="1237"/>
      <c r="S17" s="1064"/>
      <c r="T17" s="1064"/>
      <c r="U17" s="1134">
        <v>1</v>
      </c>
      <c r="V17" s="1064"/>
      <c r="W17" s="1064"/>
      <c r="X17" s="1064"/>
      <c r="Y17" s="1064"/>
      <c r="Z17" s="1064"/>
      <c r="AA17" s="1064"/>
      <c r="AB17" s="1064"/>
      <c r="AC17" s="1064"/>
      <c r="AE17" s="1164"/>
    </row>
    <row r="18" spans="1:57" s="1" customFormat="1" ht="14.4" customHeight="1" x14ac:dyDescent="0.3">
      <c r="A18" s="1163"/>
      <c r="B18" s="119"/>
      <c r="C18" s="119"/>
      <c r="D18" s="119"/>
      <c r="E18" s="119"/>
      <c r="F18" s="119"/>
      <c r="G18" s="119"/>
      <c r="H18" s="1238"/>
      <c r="I18" s="1238"/>
      <c r="J18" s="1238"/>
      <c r="K18" s="1238"/>
      <c r="L18" s="1238"/>
      <c r="M18" s="1238"/>
      <c r="N18" s="1238"/>
      <c r="O18" s="1238"/>
      <c r="P18" s="1238"/>
      <c r="Q18" s="1238"/>
      <c r="R18" s="1238"/>
      <c r="S18" s="119"/>
      <c r="T18" s="119"/>
      <c r="U18" s="119"/>
      <c r="V18" s="119"/>
      <c r="W18" s="119"/>
      <c r="X18" s="119"/>
      <c r="Y18" s="119"/>
      <c r="Z18" s="119"/>
      <c r="AA18" s="119"/>
      <c r="AB18" s="119"/>
      <c r="AC18" s="120" t="str">
        <f>IF(tbBudgetCurrency="AUD - Australian Dollar", "",tb_xrate)</f>
        <v/>
      </c>
      <c r="AD18" s="115"/>
      <c r="AE18" s="116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row>
    <row r="19" spans="1:57" s="6" customFormat="1" ht="20.399999999999999" customHeight="1" x14ac:dyDescent="0.3">
      <c r="A19" s="1163"/>
      <c r="B19" s="1242" t="s">
        <v>45</v>
      </c>
      <c r="C19" s="1235" t="s">
        <v>46</v>
      </c>
      <c r="D19" s="1235" t="s">
        <v>47</v>
      </c>
      <c r="E19" s="1235" t="s">
        <v>48</v>
      </c>
      <c r="F19" s="1235" t="s">
        <v>49</v>
      </c>
      <c r="G19" s="1235" t="s">
        <v>50</v>
      </c>
      <c r="H19" s="962" t="s">
        <v>51</v>
      </c>
      <c r="I19" s="1232" t="str">
        <f>"Year 1" &amp; IF(pStartYear&lt;&gt;"",IF(First_year_fraction=12," ("&amp;pStartYear&amp;") "," ("&amp;pStartYear&amp;") " &amp; "- " &amp;First_year_fraction&amp; " months"),"")</f>
        <v xml:space="preserve">Year 1 (2026) </v>
      </c>
      <c r="J19" s="1233"/>
      <c r="K19" s="1234" t="str">
        <f>"Year 2" &amp; IF(OR(pStartYear="",pStartYear+1&gt;pEndYear),"",(IF(pStartYear+1=pEndYear,(IF(Last_Year_Fraction=12," ("&amp;pStartYear+1&amp;") "," ("&amp;pStartYear+1&amp;") - "&amp;Last_Year_Fraction&amp;" months"))," ("&amp;pStartYear+1&amp;") ")))</f>
        <v xml:space="preserve">Year 2 (2027) </v>
      </c>
      <c r="L19" s="1233"/>
      <c r="M19" s="1232" t="str">
        <f>"Year 3" &amp; IF(OR(pStartYear="",pStartYear+2&gt;pEndYear),"",(IF(pStartYear+2=pEndYear,(IF(Last_Year_Fraction=12," ("&amp;pStartYear+2&amp;") "," ("&amp;pStartYear+2&amp;") - "&amp;Last_Year_Fraction&amp;" months"))," ("&amp;pStartYear+2&amp;") ")))</f>
        <v xml:space="preserve">Year 3 (2028) </v>
      </c>
      <c r="N19" s="1233"/>
      <c r="O19" s="1232" t="str">
        <f>"Year 4" &amp; IF(OR(pStartYear="",pStartYear+3&gt;pEndYear),"",(IF(pStartYear+3=pEndYear,(IF(Last_Year_Fraction=12," ("&amp;pStartYear+3&amp;") "," ("&amp;pStartYear+3&amp;") - "&amp;Last_Year_Fraction&amp;" months"))," ("&amp;pStartYear+3&amp;") ")))</f>
        <v xml:space="preserve">Year 4 (2029) </v>
      </c>
      <c r="P19" s="1233"/>
      <c r="Q19" s="1232" t="str">
        <f>"Year 5" &amp; IF(OR(pStartYear="",pStartYear+4&gt;pEndYear),"",(IF(pStartYear+4=pEndYear,(IF(Last_Year_Fraction=12," ("&amp;pStartYear+4&amp;") "," ("&amp;pStartYear+4&amp;") - "&amp;Last_Year_Fraction&amp;" months"))," ("&amp;pStartYear+4&amp;") ")))</f>
        <v xml:space="preserve">Year 5 (2030) </v>
      </c>
      <c r="R19" s="1233"/>
      <c r="S19" s="1232" t="str">
        <f>"Year 6" &amp; IF(OR(pStartYear="",pStartYear+5&gt;pEndYear),"",(IF(pStartYear+5=pEndYear,(IF(Last_Year_Fraction=12," ("&amp;pStartYear+5&amp;") "," ("&amp;pStartYear+5&amp;") - "&amp;Last_Year_Fraction&amp;" months"))," ("&amp;pStartYear+5&amp;") ")))</f>
        <v>Year 6</v>
      </c>
      <c r="T19" s="1233"/>
      <c r="U19" s="1232" t="str">
        <f>"Year 7" &amp; IF(OR(pStartYear="",pStartYear+6&gt;pEndYear),"",(IF(pStartYear+6=pEndYear,(IF(Last_Year_Fraction=12," ("&amp;pStartYear+6&amp;") "," ("&amp;pStartYear+6&amp;") - "&amp;Last_Year_Fraction&amp;" months"))," ("&amp;pStartYear+6&amp;") ")))</f>
        <v>Year 7</v>
      </c>
      <c r="V19" s="1233"/>
      <c r="W19" s="1232" t="str">
        <f>"Year 8" &amp; IF(OR(pStartYear="",pStartYear+7&gt;pEndYear),"",(IF(pStartYear+7=pEndYear,(IF(Last_Year_Fraction=12," ("&amp;pStartYear+7&amp;") "," ("&amp;pStartYear+7&amp;") - "&amp;Last_Year_Fraction&amp;" months"))," ("&amp;pStartYear+7&amp;") ")))</f>
        <v>Year 8</v>
      </c>
      <c r="X19" s="1233"/>
      <c r="Y19" s="1232" t="str">
        <f>"Year 9" &amp; IF(OR(pStartYear="",pStartYear+8&gt;pEndYear),"",(IF(pStartYear+8=pEndYear,(IF(Last_Year_Fraction=12," ("&amp;pStartYear+8&amp;") "," ("&amp;pStartYear+8&amp;") - "&amp;Last_Year_Fraction&amp;" months"))," ("&amp;pStartYear+8&amp;") ")))</f>
        <v>Year 9</v>
      </c>
      <c r="Z19" s="1233"/>
      <c r="AA19" s="1232" t="str">
        <f>"Year 10" &amp; IF(OR(pStartYear="",pStartYear+9&gt;pEndYear),"",(IF(pStartYear+9=pEndYear,(IF(Last_Year_Fraction=12," ("&amp;pStartYear+9&amp;") "," ("&amp;pStartYear+9&amp;") - "&amp;Last_Year_Fraction&amp;" months"))," ("&amp;pStartYear+9&amp;") ")))</f>
        <v>Year 10</v>
      </c>
      <c r="AB19" s="1233"/>
      <c r="AC19" s="38" t="str">
        <f>IF(tbBudgetCurrency="AUD - Australian Dollar","Total (AUD)",CONCATENATE("Total (",LEFT(tbBudgetCurrency,3),")"))</f>
        <v>Total (AUD)</v>
      </c>
      <c r="AD19" s="960" t="str">
        <f>IF(tbBudgetCurrency="AUD - Australian Dollar","Full Cost (AUD)",CONCATENATE("Full Cost (",LEFT(tbBudgetCurrency,3),")"))</f>
        <v>Full Cost (AUD)</v>
      </c>
      <c r="AE19" s="30"/>
      <c r="AF19" s="15"/>
      <c r="AG19" s="14"/>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row>
    <row r="20" spans="1:57" s="6" customFormat="1" ht="17.100000000000001" customHeight="1" x14ac:dyDescent="0.3">
      <c r="A20" s="1163"/>
      <c r="B20" s="1243"/>
      <c r="C20" s="1236"/>
      <c r="D20" s="1236"/>
      <c r="E20" s="1236"/>
      <c r="F20" s="1236"/>
      <c r="G20" s="1236"/>
      <c r="H20" s="963">
        <f>pRateDate</f>
        <v>45778</v>
      </c>
      <c r="I20" s="964" t="s">
        <v>52</v>
      </c>
      <c r="J20" s="964" t="str">
        <f>IF(tbBudgetCurrency="AUD - Australian Dollar","Total (AUD)",CONCATENATE("Total (",LEFT(tbBudgetCurrency,3),")"))</f>
        <v>Total (AUD)</v>
      </c>
      <c r="K20" s="964" t="str">
        <f>$I$20</f>
        <v>Time</v>
      </c>
      <c r="L20" s="964" t="str">
        <f>$J$20</f>
        <v>Total (AUD)</v>
      </c>
      <c r="M20" s="964" t="str">
        <f>$I$20</f>
        <v>Time</v>
      </c>
      <c r="N20" s="964" t="str">
        <f>$J$20</f>
        <v>Total (AUD)</v>
      </c>
      <c r="O20" s="964" t="str">
        <f>$I$20</f>
        <v>Time</v>
      </c>
      <c r="P20" s="964" t="str">
        <f>$J$20</f>
        <v>Total (AUD)</v>
      </c>
      <c r="Q20" s="964" t="str">
        <f>$I$20</f>
        <v>Time</v>
      </c>
      <c r="R20" s="964" t="str">
        <f>$J$20</f>
        <v>Total (AUD)</v>
      </c>
      <c r="S20" s="964" t="str">
        <f>$I$20</f>
        <v>Time</v>
      </c>
      <c r="T20" s="964" t="str">
        <f>$J$20</f>
        <v>Total (AUD)</v>
      </c>
      <c r="U20" s="964" t="str">
        <f>$I$20</f>
        <v>Time</v>
      </c>
      <c r="V20" s="964" t="str">
        <f>$J$20</f>
        <v>Total (AUD)</v>
      </c>
      <c r="W20" s="964" t="str">
        <f>$I$20</f>
        <v>Time</v>
      </c>
      <c r="X20" s="964" t="str">
        <f>$J$20</f>
        <v>Total (AUD)</v>
      </c>
      <c r="Y20" s="964" t="str">
        <f>$I$20</f>
        <v>Time</v>
      </c>
      <c r="Z20" s="964" t="str">
        <f>$J$20</f>
        <v>Total (AUD)</v>
      </c>
      <c r="AA20" s="964" t="str">
        <f>$I$20</f>
        <v>Time</v>
      </c>
      <c r="AB20" s="964" t="str">
        <f>$J$20</f>
        <v>Total (AUD)</v>
      </c>
      <c r="AC20" s="224" t="str">
        <f>CONCATENATE("Recovery at ",pCRSalaries)</f>
        <v>Recovery at 2.5</v>
      </c>
      <c r="AD20" s="961" t="s">
        <v>53</v>
      </c>
      <c r="AE20" s="30"/>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row>
    <row r="21" spans="1:57" s="1" customFormat="1" ht="15" customHeight="1" x14ac:dyDescent="0.3">
      <c r="A21" s="1163"/>
      <c r="B21" s="33" t="str">
        <f>IF(tbChiefInvestigator1="","",tbChiefInvestigator1)</f>
        <v/>
      </c>
      <c r="C21" s="1165" t="str">
        <f t="shared" ref="C21:C40" si="0">CONCATENATE(E21," ",D21)</f>
        <v xml:space="preserve"> </v>
      </c>
      <c r="D21" s="33"/>
      <c r="E21" s="33"/>
      <c r="F21" s="33"/>
      <c r="G21" s="33"/>
      <c r="H21" s="294">
        <f t="shared" ref="H21:H40" si="1">IFERROR(VLOOKUP(CONCATENATE(IF(OR($D21="Continuing",$D21="Fixed-Term"),"Fortnight",IF($D21="Casual","Casual","")),$E21,$F21),tSalaryRate,5,FALSE)*VLOOKUP($G21,tSalaryRateMultiplier,2,FALSE),0)</f>
        <v>0</v>
      </c>
      <c r="I21" s="28">
        <v>0</v>
      </c>
      <c r="J21" s="965">
        <f>IFERROR('On cost calculator'!K24,0)</f>
        <v>0</v>
      </c>
      <c r="K21" s="28">
        <v>0</v>
      </c>
      <c r="L21" s="965">
        <f>IFERROR('On cost calculator'!M24,0)</f>
        <v>0</v>
      </c>
      <c r="M21" s="28">
        <v>0</v>
      </c>
      <c r="N21" s="965">
        <f>IFERROR('On cost calculator'!O24,0)</f>
        <v>0</v>
      </c>
      <c r="O21" s="28">
        <v>0</v>
      </c>
      <c r="P21" s="965">
        <f>IFERROR('On cost calculator'!Q24,0)</f>
        <v>0</v>
      </c>
      <c r="Q21" s="28">
        <v>0</v>
      </c>
      <c r="R21" s="965">
        <f>IFERROR('On cost calculator'!S24,0)</f>
        <v>0</v>
      </c>
      <c r="S21" s="28">
        <v>0</v>
      </c>
      <c r="T21" s="965">
        <f>IFERROR('On cost calculator'!U24,0)</f>
        <v>0</v>
      </c>
      <c r="U21" s="28">
        <v>0</v>
      </c>
      <c r="V21" s="965">
        <f>IFERROR('On cost calculator'!W24,0)</f>
        <v>0</v>
      </c>
      <c r="W21" s="28">
        <v>0</v>
      </c>
      <c r="X21" s="965">
        <f>IFERROR('On cost calculator'!Y24,0)</f>
        <v>0</v>
      </c>
      <c r="Y21" s="28">
        <v>0</v>
      </c>
      <c r="Z21" s="965">
        <f>IFERROR('On cost calculator'!AA24,0)</f>
        <v>0</v>
      </c>
      <c r="AA21" s="28">
        <v>0</v>
      </c>
      <c r="AB21" s="965">
        <f>IFERROR('On cost calculator'!AC24,0)</f>
        <v>0</v>
      </c>
      <c r="AC21" s="958">
        <f>SUM($J21,$L21,$N21,$P21,$R21,$T21,$V21,$X21,$Z21,$AB21)</f>
        <v>0</v>
      </c>
      <c r="AD21" s="991">
        <f t="shared" ref="AD21:AD41" si="2">(AC21/pCRSalaries)*dfullrecovery</f>
        <v>0</v>
      </c>
      <c r="AE21" s="272"/>
      <c r="AF21" s="14"/>
      <c r="AG21" s="1166"/>
      <c r="AH21" s="1167"/>
      <c r="AI21" s="14"/>
      <c r="AJ21" s="14"/>
      <c r="AK21" s="14"/>
      <c r="AL21" s="14"/>
      <c r="AM21" s="14"/>
      <c r="AN21" s="14"/>
      <c r="AO21" s="14"/>
      <c r="AP21" s="14"/>
      <c r="AQ21" s="14"/>
      <c r="AR21" s="14"/>
      <c r="AS21" s="14"/>
      <c r="AT21" s="14"/>
      <c r="AU21" s="14"/>
      <c r="AV21" s="14"/>
      <c r="AW21" s="14"/>
      <c r="AX21" s="14"/>
      <c r="AY21" s="14"/>
      <c r="AZ21" s="14"/>
      <c r="BA21" s="14"/>
      <c r="BB21" s="14"/>
      <c r="BC21" s="14"/>
      <c r="BD21" s="14"/>
      <c r="BE21" s="14"/>
    </row>
    <row r="22" spans="1:57" s="1" customFormat="1" ht="15" customHeight="1" x14ac:dyDescent="0.3">
      <c r="A22" s="1163"/>
      <c r="B22" s="33"/>
      <c r="C22" s="1165" t="str">
        <f t="shared" si="0"/>
        <v xml:space="preserve"> </v>
      </c>
      <c r="D22" s="33"/>
      <c r="E22" s="33"/>
      <c r="F22" s="33"/>
      <c r="G22" s="33"/>
      <c r="H22" s="294">
        <f t="shared" si="1"/>
        <v>0</v>
      </c>
      <c r="I22" s="28">
        <v>0</v>
      </c>
      <c r="J22" s="965">
        <f>IFERROR('On cost calculator'!K43,0)</f>
        <v>0</v>
      </c>
      <c r="K22" s="28">
        <v>0</v>
      </c>
      <c r="L22" s="965">
        <f>IFERROR('On cost calculator'!M43,0)</f>
        <v>0</v>
      </c>
      <c r="M22" s="28">
        <v>0</v>
      </c>
      <c r="N22" s="965">
        <f>IFERROR('On cost calculator'!O43,0)</f>
        <v>0</v>
      </c>
      <c r="O22" s="28">
        <v>0</v>
      </c>
      <c r="P22" s="965">
        <f>IFERROR('On cost calculator'!Q43,0)</f>
        <v>0</v>
      </c>
      <c r="Q22" s="28">
        <v>0</v>
      </c>
      <c r="R22" s="965">
        <f>IFERROR('On cost calculator'!S43,0)</f>
        <v>0</v>
      </c>
      <c r="S22" s="28">
        <v>0</v>
      </c>
      <c r="T22" s="965">
        <f>IFERROR('On cost calculator'!U43,0)</f>
        <v>0</v>
      </c>
      <c r="U22" s="28">
        <v>0</v>
      </c>
      <c r="V22" s="965">
        <f>IFERROR('On cost calculator'!W43,0)</f>
        <v>0</v>
      </c>
      <c r="W22" s="28">
        <v>0</v>
      </c>
      <c r="X22" s="965">
        <f>IFERROR('On cost calculator'!Y43,0)</f>
        <v>0</v>
      </c>
      <c r="Y22" s="28">
        <v>0</v>
      </c>
      <c r="Z22" s="965">
        <f>IFERROR('On cost calculator'!AA43,0)</f>
        <v>0</v>
      </c>
      <c r="AA22" s="28">
        <v>0</v>
      </c>
      <c r="AB22" s="965">
        <f>IFERROR('On cost calculator'!AC43,0)</f>
        <v>0</v>
      </c>
      <c r="AC22" s="958">
        <f t="shared" ref="AC22:AC30" si="3">SUM($J22,$L22,$N22,$P22,$R22,$T22,$V22,$X22,$Z22,$AB22)</f>
        <v>0</v>
      </c>
      <c r="AD22" s="991">
        <f t="shared" si="2"/>
        <v>0</v>
      </c>
      <c r="AE22" s="272"/>
      <c r="AF22" s="14"/>
      <c r="AG22" s="1166"/>
      <c r="AH22" s="1167"/>
      <c r="AI22" s="14"/>
      <c r="AJ22" s="14"/>
      <c r="AK22" s="14"/>
      <c r="AL22" s="14"/>
      <c r="AM22" s="14"/>
      <c r="AN22" s="14"/>
      <c r="AO22" s="14"/>
      <c r="AP22" s="14"/>
      <c r="AQ22" s="14"/>
      <c r="AR22" s="14"/>
      <c r="AS22" s="14"/>
      <c r="AT22" s="14"/>
      <c r="AU22" s="14"/>
      <c r="AV22" s="14"/>
      <c r="AW22" s="14"/>
      <c r="AX22" s="14"/>
      <c r="AY22" s="14"/>
      <c r="AZ22" s="14"/>
      <c r="BA22" s="14"/>
      <c r="BB22" s="14"/>
      <c r="BC22" s="14"/>
      <c r="BD22" s="14"/>
      <c r="BE22" s="14"/>
    </row>
    <row r="23" spans="1:57" s="1" customFormat="1" ht="15" customHeight="1" x14ac:dyDescent="0.3">
      <c r="A23" s="1163"/>
      <c r="B23" s="33"/>
      <c r="C23" s="1165" t="str">
        <f t="shared" si="0"/>
        <v xml:space="preserve"> </v>
      </c>
      <c r="D23" s="33"/>
      <c r="E23" s="33"/>
      <c r="F23" s="33"/>
      <c r="G23" s="33"/>
      <c r="H23" s="294">
        <f t="shared" si="1"/>
        <v>0</v>
      </c>
      <c r="I23" s="28">
        <v>0</v>
      </c>
      <c r="J23" s="965">
        <f>IFERROR('On cost calculator'!K62,0)</f>
        <v>0</v>
      </c>
      <c r="K23" s="28">
        <v>0</v>
      </c>
      <c r="L23" s="965">
        <f>IFERROR('On cost calculator'!M62,0)</f>
        <v>0</v>
      </c>
      <c r="M23" s="28">
        <v>0</v>
      </c>
      <c r="N23" s="965">
        <f>IFERROR('On cost calculator'!O62,0)</f>
        <v>0</v>
      </c>
      <c r="O23" s="28">
        <v>0</v>
      </c>
      <c r="P23" s="965">
        <f>IFERROR('On cost calculator'!Q62,0)</f>
        <v>0</v>
      </c>
      <c r="Q23" s="28">
        <v>0</v>
      </c>
      <c r="R23" s="965">
        <f>IFERROR('On cost calculator'!S62,0)</f>
        <v>0</v>
      </c>
      <c r="S23" s="28">
        <v>0</v>
      </c>
      <c r="T23" s="965">
        <f>IFERROR('On cost calculator'!U62,0)</f>
        <v>0</v>
      </c>
      <c r="U23" s="28">
        <v>0</v>
      </c>
      <c r="V23" s="965">
        <f>IFERROR('On cost calculator'!W62,0)</f>
        <v>0</v>
      </c>
      <c r="W23" s="28">
        <v>0</v>
      </c>
      <c r="X23" s="965">
        <f>IFERROR('On cost calculator'!Y62,0)</f>
        <v>0</v>
      </c>
      <c r="Y23" s="28">
        <v>0</v>
      </c>
      <c r="Z23" s="965">
        <f>IFERROR('On cost calculator'!AA62,0)</f>
        <v>0</v>
      </c>
      <c r="AA23" s="28">
        <v>0</v>
      </c>
      <c r="AB23" s="965">
        <f>IFERROR('On cost calculator'!AC62,0)</f>
        <v>0</v>
      </c>
      <c r="AC23" s="958">
        <f t="shared" si="3"/>
        <v>0</v>
      </c>
      <c r="AD23" s="991">
        <f t="shared" si="2"/>
        <v>0</v>
      </c>
      <c r="AE23" s="272"/>
      <c r="AF23" s="14"/>
      <c r="AG23" s="1168"/>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row>
    <row r="24" spans="1:57" s="1" customFormat="1" ht="15" customHeight="1" x14ac:dyDescent="0.3">
      <c r="A24" s="1163"/>
      <c r="B24" s="33"/>
      <c r="C24" s="1165" t="str">
        <f t="shared" si="0"/>
        <v xml:space="preserve"> </v>
      </c>
      <c r="D24" s="33"/>
      <c r="E24" s="33"/>
      <c r="F24" s="33"/>
      <c r="G24" s="33"/>
      <c r="H24" s="294">
        <f t="shared" si="1"/>
        <v>0</v>
      </c>
      <c r="I24" s="28">
        <v>0</v>
      </c>
      <c r="J24" s="965">
        <f>IFERROR('On cost calculator'!K81,0)</f>
        <v>0</v>
      </c>
      <c r="K24" s="28">
        <v>0</v>
      </c>
      <c r="L24" s="965">
        <f>IFERROR('On cost calculator'!M81,0)</f>
        <v>0</v>
      </c>
      <c r="M24" s="28">
        <v>0</v>
      </c>
      <c r="N24" s="965">
        <f>IFERROR('On cost calculator'!O81,0)</f>
        <v>0</v>
      </c>
      <c r="O24" s="28">
        <v>0</v>
      </c>
      <c r="P24" s="965">
        <f>IFERROR('On cost calculator'!Q81,0)</f>
        <v>0</v>
      </c>
      <c r="Q24" s="28">
        <v>0</v>
      </c>
      <c r="R24" s="965">
        <f>IFERROR('On cost calculator'!S81,0)</f>
        <v>0</v>
      </c>
      <c r="S24" s="28">
        <v>0</v>
      </c>
      <c r="T24" s="965">
        <f>IFERROR('On cost calculator'!U81,0)</f>
        <v>0</v>
      </c>
      <c r="U24" s="28">
        <v>0</v>
      </c>
      <c r="V24" s="965">
        <f>IFERROR('On cost calculator'!W81,0)</f>
        <v>0</v>
      </c>
      <c r="W24" s="28">
        <v>0</v>
      </c>
      <c r="X24" s="965">
        <f>IFERROR('On cost calculator'!Y81,0)</f>
        <v>0</v>
      </c>
      <c r="Y24" s="28">
        <v>0</v>
      </c>
      <c r="Z24" s="965">
        <f>IFERROR('On cost calculator'!AA81,0)</f>
        <v>0</v>
      </c>
      <c r="AA24" s="28">
        <v>0</v>
      </c>
      <c r="AB24" s="965">
        <f>IFERROR('On cost calculator'!AC81,0)</f>
        <v>0</v>
      </c>
      <c r="AC24" s="958">
        <f t="shared" si="3"/>
        <v>0</v>
      </c>
      <c r="AD24" s="991">
        <f t="shared" si="2"/>
        <v>0</v>
      </c>
      <c r="AE24" s="272"/>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row>
    <row r="25" spans="1:57" s="1" customFormat="1" ht="15" customHeight="1" x14ac:dyDescent="0.3">
      <c r="A25" s="1163"/>
      <c r="B25" s="33"/>
      <c r="C25" s="1165" t="str">
        <f t="shared" si="0"/>
        <v xml:space="preserve"> </v>
      </c>
      <c r="D25" s="33"/>
      <c r="E25" s="33"/>
      <c r="F25" s="33"/>
      <c r="G25" s="33"/>
      <c r="H25" s="294">
        <f t="shared" si="1"/>
        <v>0</v>
      </c>
      <c r="I25" s="28">
        <v>0</v>
      </c>
      <c r="J25" s="965">
        <f>IFERROR('On cost calculator'!K100,0)</f>
        <v>0</v>
      </c>
      <c r="K25" s="28">
        <v>0</v>
      </c>
      <c r="L25" s="965">
        <f>IFERROR('On cost calculator'!M100,0)</f>
        <v>0</v>
      </c>
      <c r="M25" s="28">
        <v>0</v>
      </c>
      <c r="N25" s="965">
        <f>IFERROR('On cost calculator'!O100,0)</f>
        <v>0</v>
      </c>
      <c r="O25" s="28">
        <v>0</v>
      </c>
      <c r="P25" s="965">
        <f>IFERROR('On cost calculator'!Q100,0)</f>
        <v>0</v>
      </c>
      <c r="Q25" s="28">
        <v>0</v>
      </c>
      <c r="R25" s="965">
        <f>IFERROR('On cost calculator'!S100,0)</f>
        <v>0</v>
      </c>
      <c r="S25" s="28">
        <v>0</v>
      </c>
      <c r="T25" s="965">
        <f>IFERROR('On cost calculator'!U100,0)</f>
        <v>0</v>
      </c>
      <c r="U25" s="28">
        <v>0</v>
      </c>
      <c r="V25" s="965">
        <f>IFERROR('On cost calculator'!W100,0)</f>
        <v>0</v>
      </c>
      <c r="W25" s="28">
        <v>0</v>
      </c>
      <c r="X25" s="965">
        <f>IFERROR('On cost calculator'!Y100,0)</f>
        <v>0</v>
      </c>
      <c r="Y25" s="28">
        <v>0</v>
      </c>
      <c r="Z25" s="965">
        <f>IFERROR('On cost calculator'!AA100,0)</f>
        <v>0</v>
      </c>
      <c r="AA25" s="28">
        <v>0</v>
      </c>
      <c r="AB25" s="965">
        <f>IFERROR('On cost calculator'!AC100,0)</f>
        <v>0</v>
      </c>
      <c r="AC25" s="958">
        <f t="shared" si="3"/>
        <v>0</v>
      </c>
      <c r="AD25" s="991">
        <f t="shared" si="2"/>
        <v>0</v>
      </c>
      <c r="AE25" s="272"/>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row>
    <row r="26" spans="1:57" s="1" customFormat="1" ht="15" customHeight="1" x14ac:dyDescent="0.3">
      <c r="A26" s="1163"/>
      <c r="B26" s="33"/>
      <c r="C26" s="1165" t="str">
        <f t="shared" si="0"/>
        <v xml:space="preserve"> </v>
      </c>
      <c r="D26" s="33"/>
      <c r="E26" s="33"/>
      <c r="F26" s="33"/>
      <c r="G26" s="33"/>
      <c r="H26" s="294">
        <f t="shared" si="1"/>
        <v>0</v>
      </c>
      <c r="I26" s="28">
        <v>0</v>
      </c>
      <c r="J26" s="965">
        <f>IFERROR('On cost calculator'!K119,0)</f>
        <v>0</v>
      </c>
      <c r="K26" s="28">
        <v>0</v>
      </c>
      <c r="L26" s="965">
        <f>IFERROR('On cost calculator'!M119,0)</f>
        <v>0</v>
      </c>
      <c r="M26" s="28">
        <v>0</v>
      </c>
      <c r="N26" s="965">
        <f>IFERROR('On cost calculator'!O119,0)</f>
        <v>0</v>
      </c>
      <c r="O26" s="28">
        <v>0</v>
      </c>
      <c r="P26" s="965">
        <f>IFERROR('On cost calculator'!Q119,0)</f>
        <v>0</v>
      </c>
      <c r="Q26" s="28">
        <v>0</v>
      </c>
      <c r="R26" s="965">
        <f>IFERROR('On cost calculator'!S119,0)</f>
        <v>0</v>
      </c>
      <c r="S26" s="28">
        <v>0</v>
      </c>
      <c r="T26" s="965">
        <f>IFERROR('On cost calculator'!U119,0)</f>
        <v>0</v>
      </c>
      <c r="U26" s="28">
        <v>0</v>
      </c>
      <c r="V26" s="965">
        <f>IFERROR('On cost calculator'!W119,0)</f>
        <v>0</v>
      </c>
      <c r="W26" s="28">
        <v>0</v>
      </c>
      <c r="X26" s="965">
        <f>IFERROR('On cost calculator'!Y119,0)</f>
        <v>0</v>
      </c>
      <c r="Y26" s="28">
        <v>0</v>
      </c>
      <c r="Z26" s="965">
        <f>IFERROR('On cost calculator'!AA119,0)</f>
        <v>0</v>
      </c>
      <c r="AA26" s="28">
        <v>0</v>
      </c>
      <c r="AB26" s="965">
        <f>IFERROR('On cost calculator'!AC119,0)</f>
        <v>0</v>
      </c>
      <c r="AC26" s="958">
        <f t="shared" si="3"/>
        <v>0</v>
      </c>
      <c r="AD26" s="991">
        <f t="shared" si="2"/>
        <v>0</v>
      </c>
      <c r="AE26" s="29"/>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row>
    <row r="27" spans="1:57" s="1" customFormat="1" ht="15" customHeight="1" x14ac:dyDescent="0.3">
      <c r="A27" s="1163"/>
      <c r="B27" s="33"/>
      <c r="C27" s="1165" t="str">
        <f t="shared" si="0"/>
        <v xml:space="preserve"> </v>
      </c>
      <c r="D27" s="33"/>
      <c r="E27" s="33"/>
      <c r="F27" s="33"/>
      <c r="G27" s="33"/>
      <c r="H27" s="294">
        <f t="shared" si="1"/>
        <v>0</v>
      </c>
      <c r="I27" s="28">
        <v>0</v>
      </c>
      <c r="J27" s="965">
        <f>IFERROR('On cost calculator'!K138,0)</f>
        <v>0</v>
      </c>
      <c r="K27" s="28">
        <v>0</v>
      </c>
      <c r="L27" s="965">
        <f>IFERROR('On cost calculator'!M138,0)</f>
        <v>0</v>
      </c>
      <c r="M27" s="28">
        <v>0</v>
      </c>
      <c r="N27" s="965">
        <f>IFERROR('On cost calculator'!O138,0)</f>
        <v>0</v>
      </c>
      <c r="O27" s="28">
        <v>0</v>
      </c>
      <c r="P27" s="965">
        <f>IFERROR('On cost calculator'!Q138,0)</f>
        <v>0</v>
      </c>
      <c r="Q27" s="28">
        <v>0</v>
      </c>
      <c r="R27" s="965">
        <f>IFERROR('On cost calculator'!S138,0)</f>
        <v>0</v>
      </c>
      <c r="S27" s="28">
        <v>0</v>
      </c>
      <c r="T27" s="965">
        <f>IFERROR('On cost calculator'!U138,0)</f>
        <v>0</v>
      </c>
      <c r="U27" s="28">
        <v>0</v>
      </c>
      <c r="V27" s="965">
        <f>IFERROR('On cost calculator'!W138,0)</f>
        <v>0</v>
      </c>
      <c r="W27" s="28">
        <v>0</v>
      </c>
      <c r="X27" s="965">
        <f>IFERROR('On cost calculator'!Y138,0)</f>
        <v>0</v>
      </c>
      <c r="Y27" s="28">
        <v>0</v>
      </c>
      <c r="Z27" s="965">
        <f>IFERROR('On cost calculator'!AA138,0)</f>
        <v>0</v>
      </c>
      <c r="AA27" s="28">
        <v>0</v>
      </c>
      <c r="AB27" s="965">
        <f>IFERROR('On cost calculator'!AC138,0)</f>
        <v>0</v>
      </c>
      <c r="AC27" s="958">
        <f t="shared" si="3"/>
        <v>0</v>
      </c>
      <c r="AD27" s="991">
        <f t="shared" si="2"/>
        <v>0</v>
      </c>
      <c r="AE27" s="29"/>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row>
    <row r="28" spans="1:57" s="1" customFormat="1" ht="15" customHeight="1" x14ac:dyDescent="0.3">
      <c r="A28" s="1163"/>
      <c r="B28" s="33"/>
      <c r="C28" s="1165" t="str">
        <f t="shared" si="0"/>
        <v xml:space="preserve"> </v>
      </c>
      <c r="D28" s="33"/>
      <c r="E28" s="33"/>
      <c r="F28" s="33"/>
      <c r="G28" s="33"/>
      <c r="H28" s="294">
        <f t="shared" si="1"/>
        <v>0</v>
      </c>
      <c r="I28" s="28">
        <v>0</v>
      </c>
      <c r="J28" s="965">
        <f>IFERROR('On cost calculator'!K157,0)</f>
        <v>0</v>
      </c>
      <c r="K28" s="28">
        <v>0</v>
      </c>
      <c r="L28" s="965">
        <f>IFERROR('On cost calculator'!M157,0)</f>
        <v>0</v>
      </c>
      <c r="M28" s="28">
        <v>0</v>
      </c>
      <c r="N28" s="965">
        <f>IFERROR('On cost calculator'!O157,0)</f>
        <v>0</v>
      </c>
      <c r="O28" s="28">
        <v>0</v>
      </c>
      <c r="P28" s="965">
        <f>IFERROR('On cost calculator'!Q157,0)</f>
        <v>0</v>
      </c>
      <c r="Q28" s="28">
        <v>0</v>
      </c>
      <c r="R28" s="965">
        <f>IFERROR('On cost calculator'!S157,0)</f>
        <v>0</v>
      </c>
      <c r="S28" s="28">
        <v>0</v>
      </c>
      <c r="T28" s="965">
        <f>IFERROR('On cost calculator'!U157,0)</f>
        <v>0</v>
      </c>
      <c r="U28" s="28">
        <v>0</v>
      </c>
      <c r="V28" s="965">
        <f>IFERROR('On cost calculator'!W157,0)</f>
        <v>0</v>
      </c>
      <c r="W28" s="28">
        <v>0</v>
      </c>
      <c r="X28" s="965">
        <f>IFERROR('On cost calculator'!Y157,0)</f>
        <v>0</v>
      </c>
      <c r="Y28" s="28">
        <v>0</v>
      </c>
      <c r="Z28" s="965">
        <f>IFERROR('On cost calculator'!AA157,0)</f>
        <v>0</v>
      </c>
      <c r="AA28" s="28">
        <v>0</v>
      </c>
      <c r="AB28" s="965">
        <f>IFERROR('On cost calculator'!AC157,0)</f>
        <v>0</v>
      </c>
      <c r="AC28" s="958">
        <f t="shared" si="3"/>
        <v>0</v>
      </c>
      <c r="AD28" s="991">
        <f t="shared" si="2"/>
        <v>0</v>
      </c>
      <c r="AE28" s="29"/>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row>
    <row r="29" spans="1:57" s="1" customFormat="1" ht="15" customHeight="1" x14ac:dyDescent="0.3">
      <c r="A29" s="1163"/>
      <c r="B29" s="33"/>
      <c r="C29" s="1165" t="str">
        <f t="shared" si="0"/>
        <v xml:space="preserve"> </v>
      </c>
      <c r="D29" s="33"/>
      <c r="E29" s="33"/>
      <c r="F29" s="33"/>
      <c r="G29" s="33"/>
      <c r="H29" s="294">
        <f t="shared" si="1"/>
        <v>0</v>
      </c>
      <c r="I29" s="28">
        <v>0</v>
      </c>
      <c r="J29" s="965">
        <f>IFERROR('On cost calculator'!K176,0)</f>
        <v>0</v>
      </c>
      <c r="K29" s="28">
        <v>0</v>
      </c>
      <c r="L29" s="965">
        <f>IFERROR('On cost calculator'!M176,0)</f>
        <v>0</v>
      </c>
      <c r="M29" s="28">
        <v>0</v>
      </c>
      <c r="N29" s="965">
        <f>IFERROR('On cost calculator'!O176,0)</f>
        <v>0</v>
      </c>
      <c r="O29" s="28">
        <v>0</v>
      </c>
      <c r="P29" s="965">
        <f>IFERROR('On cost calculator'!Q176,0)</f>
        <v>0</v>
      </c>
      <c r="Q29" s="28">
        <v>0</v>
      </c>
      <c r="R29" s="965">
        <f>IFERROR('On cost calculator'!S176,0)</f>
        <v>0</v>
      </c>
      <c r="S29" s="28">
        <v>0</v>
      </c>
      <c r="T29" s="965">
        <f>IFERROR('On cost calculator'!U176,0)</f>
        <v>0</v>
      </c>
      <c r="U29" s="28">
        <v>0</v>
      </c>
      <c r="V29" s="965">
        <f>IFERROR('On cost calculator'!W176,0)</f>
        <v>0</v>
      </c>
      <c r="W29" s="28">
        <v>0</v>
      </c>
      <c r="X29" s="965">
        <f>IFERROR('On cost calculator'!Y176,0)</f>
        <v>0</v>
      </c>
      <c r="Y29" s="28">
        <v>0</v>
      </c>
      <c r="Z29" s="965">
        <f>IFERROR('On cost calculator'!AA176,0)</f>
        <v>0</v>
      </c>
      <c r="AA29" s="28">
        <v>0</v>
      </c>
      <c r="AB29" s="965">
        <f>IFERROR('On cost calculator'!AC176,0)</f>
        <v>0</v>
      </c>
      <c r="AC29" s="958">
        <f t="shared" si="3"/>
        <v>0</v>
      </c>
      <c r="AD29" s="991">
        <f t="shared" si="2"/>
        <v>0</v>
      </c>
      <c r="AE29" s="29"/>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row>
    <row r="30" spans="1:57" s="1" customFormat="1" ht="15" customHeight="1" x14ac:dyDescent="0.3">
      <c r="A30" s="1163"/>
      <c r="B30" s="33"/>
      <c r="C30" s="1165" t="str">
        <f t="shared" si="0"/>
        <v xml:space="preserve"> </v>
      </c>
      <c r="D30" s="33"/>
      <c r="E30" s="33"/>
      <c r="F30" s="33"/>
      <c r="G30" s="33"/>
      <c r="H30" s="294">
        <f t="shared" si="1"/>
        <v>0</v>
      </c>
      <c r="I30" s="28">
        <v>0</v>
      </c>
      <c r="J30" s="965">
        <f>IFERROR('On cost calculator'!K195,0)</f>
        <v>0</v>
      </c>
      <c r="K30" s="28">
        <v>0</v>
      </c>
      <c r="L30" s="965">
        <f>IFERROR('On cost calculator'!M195,0)</f>
        <v>0</v>
      </c>
      <c r="M30" s="28">
        <v>0</v>
      </c>
      <c r="N30" s="965">
        <f>IFERROR('On cost calculator'!O195,0)</f>
        <v>0</v>
      </c>
      <c r="O30" s="28">
        <v>0</v>
      </c>
      <c r="P30" s="965">
        <f>IFERROR('On cost calculator'!Q195,0)</f>
        <v>0</v>
      </c>
      <c r="Q30" s="28">
        <v>0</v>
      </c>
      <c r="R30" s="965">
        <f>IFERROR('On cost calculator'!S195,0)</f>
        <v>0</v>
      </c>
      <c r="S30" s="28">
        <v>0</v>
      </c>
      <c r="T30" s="965">
        <f>IFERROR('On cost calculator'!U195,0)</f>
        <v>0</v>
      </c>
      <c r="U30" s="28">
        <v>0</v>
      </c>
      <c r="V30" s="965">
        <f>IFERROR('On cost calculator'!W195,0)</f>
        <v>0</v>
      </c>
      <c r="W30" s="28">
        <v>0</v>
      </c>
      <c r="X30" s="965">
        <f>IFERROR('On cost calculator'!Y195,0)</f>
        <v>0</v>
      </c>
      <c r="Y30" s="28">
        <v>0</v>
      </c>
      <c r="Z30" s="965">
        <f>IFERROR('On cost calculator'!AA195,0)</f>
        <v>0</v>
      </c>
      <c r="AA30" s="28">
        <v>0</v>
      </c>
      <c r="AB30" s="965">
        <f>IFERROR('On cost calculator'!AC195,0)</f>
        <v>0</v>
      </c>
      <c r="AC30" s="958">
        <f t="shared" si="3"/>
        <v>0</v>
      </c>
      <c r="AD30" s="991">
        <f t="shared" si="2"/>
        <v>0</v>
      </c>
      <c r="AE30" s="29"/>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row>
    <row r="31" spans="1:57" s="1" customFormat="1" ht="15" hidden="1" customHeight="1" outlineLevel="1" x14ac:dyDescent="0.3">
      <c r="A31" s="1163"/>
      <c r="B31" s="33"/>
      <c r="C31" s="1165" t="str">
        <f t="shared" si="0"/>
        <v xml:space="preserve"> </v>
      </c>
      <c r="D31" s="33"/>
      <c r="E31" s="33"/>
      <c r="F31" s="33"/>
      <c r="G31" s="33"/>
      <c r="H31" s="294">
        <f t="shared" si="1"/>
        <v>0</v>
      </c>
      <c r="I31" s="28">
        <v>0</v>
      </c>
      <c r="J31" s="965">
        <f>IFERROR('On cost calculator'!K214,0)</f>
        <v>0</v>
      </c>
      <c r="K31" s="28">
        <v>0</v>
      </c>
      <c r="L31" s="965">
        <f>IFERROR('On cost calculator'!M214,0)</f>
        <v>0</v>
      </c>
      <c r="M31" s="28">
        <v>0</v>
      </c>
      <c r="N31" s="965">
        <f>IFERROR('On cost calculator'!O214,0)</f>
        <v>0</v>
      </c>
      <c r="O31" s="28">
        <v>0</v>
      </c>
      <c r="P31" s="965">
        <f>IFERROR('On cost calculator'!Q214,0)</f>
        <v>0</v>
      </c>
      <c r="Q31" s="28">
        <v>0</v>
      </c>
      <c r="R31" s="965">
        <f>IFERROR('On cost calculator'!S214,0)</f>
        <v>0</v>
      </c>
      <c r="S31" s="28">
        <v>0</v>
      </c>
      <c r="T31" s="965">
        <f>IFERROR('On cost calculator'!U214,0)</f>
        <v>0</v>
      </c>
      <c r="U31" s="28">
        <v>0</v>
      </c>
      <c r="V31" s="965">
        <f>IFERROR('On cost calculator'!W214,0)</f>
        <v>0</v>
      </c>
      <c r="W31" s="28">
        <v>0</v>
      </c>
      <c r="X31" s="965">
        <f>IFERROR('On cost calculator'!Y214,0)</f>
        <v>0</v>
      </c>
      <c r="Y31" s="28">
        <v>0</v>
      </c>
      <c r="Z31" s="965">
        <f>IFERROR('On cost calculator'!AA214,0)</f>
        <v>0</v>
      </c>
      <c r="AA31" s="28">
        <v>0</v>
      </c>
      <c r="AB31" s="965">
        <f>IFERROR('On cost calculator'!AC214,0)</f>
        <v>0</v>
      </c>
      <c r="AC31" s="958">
        <f t="shared" ref="AC31:AC40" si="4">SUM($J31,$L31,$N31,$P31,$R31,$T31,$V31,$X31,$Z31,$AB31)</f>
        <v>0</v>
      </c>
      <c r="AD31" s="991">
        <f t="shared" si="2"/>
        <v>0</v>
      </c>
      <c r="AE31" s="29"/>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row>
    <row r="32" spans="1:57" s="1" customFormat="1" ht="15" hidden="1" customHeight="1" outlineLevel="1" x14ac:dyDescent="0.3">
      <c r="A32" s="1163"/>
      <c r="B32" s="33"/>
      <c r="C32" s="1165" t="str">
        <f t="shared" si="0"/>
        <v xml:space="preserve"> </v>
      </c>
      <c r="D32" s="33"/>
      <c r="E32" s="33"/>
      <c r="F32" s="33"/>
      <c r="G32" s="33"/>
      <c r="H32" s="294">
        <f t="shared" si="1"/>
        <v>0</v>
      </c>
      <c r="I32" s="28">
        <v>0</v>
      </c>
      <c r="J32" s="965">
        <f>IFERROR('On cost calculator'!K233,0)</f>
        <v>0</v>
      </c>
      <c r="K32" s="28">
        <v>0</v>
      </c>
      <c r="L32" s="965">
        <f>IFERROR('On cost calculator'!M233,0)</f>
        <v>0</v>
      </c>
      <c r="M32" s="28">
        <v>0</v>
      </c>
      <c r="N32" s="965">
        <f>IFERROR('On cost calculator'!O233,0)</f>
        <v>0</v>
      </c>
      <c r="O32" s="28">
        <v>0</v>
      </c>
      <c r="P32" s="965">
        <f>IFERROR('On cost calculator'!Q233,0)</f>
        <v>0</v>
      </c>
      <c r="Q32" s="28">
        <v>0</v>
      </c>
      <c r="R32" s="965">
        <f>IFERROR('On cost calculator'!S233,0)</f>
        <v>0</v>
      </c>
      <c r="S32" s="28">
        <v>0</v>
      </c>
      <c r="T32" s="965">
        <f>IFERROR('On cost calculator'!U233,0)</f>
        <v>0</v>
      </c>
      <c r="U32" s="28">
        <v>0</v>
      </c>
      <c r="V32" s="965">
        <f>IFERROR('On cost calculator'!W233,0)</f>
        <v>0</v>
      </c>
      <c r="W32" s="28">
        <v>0</v>
      </c>
      <c r="X32" s="965">
        <f>IFERROR('On cost calculator'!Y233,0)</f>
        <v>0</v>
      </c>
      <c r="Y32" s="28">
        <v>0</v>
      </c>
      <c r="Z32" s="965">
        <f>IFERROR('On cost calculator'!AA233,0)</f>
        <v>0</v>
      </c>
      <c r="AA32" s="28">
        <v>0</v>
      </c>
      <c r="AB32" s="965">
        <f>IFERROR('On cost calculator'!AC233,0)</f>
        <v>0</v>
      </c>
      <c r="AC32" s="958">
        <f t="shared" si="4"/>
        <v>0</v>
      </c>
      <c r="AD32" s="991">
        <f t="shared" si="2"/>
        <v>0</v>
      </c>
      <c r="AE32" s="29"/>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row>
    <row r="33" spans="1:57" s="1" customFormat="1" ht="15" hidden="1" customHeight="1" outlineLevel="1" x14ac:dyDescent="0.3">
      <c r="A33" s="1163"/>
      <c r="B33" s="33"/>
      <c r="C33" s="1165" t="str">
        <f t="shared" si="0"/>
        <v xml:space="preserve"> </v>
      </c>
      <c r="D33" s="33"/>
      <c r="E33" s="33"/>
      <c r="F33" s="33"/>
      <c r="G33" s="33"/>
      <c r="H33" s="294">
        <f t="shared" si="1"/>
        <v>0</v>
      </c>
      <c r="I33" s="28">
        <v>0</v>
      </c>
      <c r="J33" s="965">
        <f>IFERROR('On cost calculator'!K252,0)</f>
        <v>0</v>
      </c>
      <c r="K33" s="28">
        <v>0</v>
      </c>
      <c r="L33" s="965">
        <f>IFERROR('On cost calculator'!M252,0)</f>
        <v>0</v>
      </c>
      <c r="M33" s="28">
        <v>0</v>
      </c>
      <c r="N33" s="965">
        <f>IFERROR('On cost calculator'!O252,0)</f>
        <v>0</v>
      </c>
      <c r="O33" s="28">
        <v>0</v>
      </c>
      <c r="P33" s="965">
        <f>IFERROR('On cost calculator'!Q252,0)</f>
        <v>0</v>
      </c>
      <c r="Q33" s="28">
        <v>0</v>
      </c>
      <c r="R33" s="965">
        <f>IFERROR('On cost calculator'!S252,0)</f>
        <v>0</v>
      </c>
      <c r="S33" s="28">
        <v>0</v>
      </c>
      <c r="T33" s="965">
        <f>IFERROR('On cost calculator'!U252,0)</f>
        <v>0</v>
      </c>
      <c r="U33" s="28">
        <v>0</v>
      </c>
      <c r="V33" s="965">
        <f>IFERROR('On cost calculator'!W252,0)</f>
        <v>0</v>
      </c>
      <c r="W33" s="28">
        <v>0</v>
      </c>
      <c r="X33" s="965">
        <f>IFERROR('On cost calculator'!Y252,0)</f>
        <v>0</v>
      </c>
      <c r="Y33" s="28">
        <v>0</v>
      </c>
      <c r="Z33" s="965">
        <f>IFERROR('On cost calculator'!AA252,0)</f>
        <v>0</v>
      </c>
      <c r="AA33" s="28">
        <v>0</v>
      </c>
      <c r="AB33" s="965">
        <f>IFERROR('On cost calculator'!AC252,0)</f>
        <v>0</v>
      </c>
      <c r="AC33" s="958">
        <f t="shared" si="4"/>
        <v>0</v>
      </c>
      <c r="AD33" s="991">
        <f t="shared" si="2"/>
        <v>0</v>
      </c>
      <c r="AE33" s="29"/>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row>
    <row r="34" spans="1:57" s="1" customFormat="1" ht="15" hidden="1" customHeight="1" outlineLevel="1" x14ac:dyDescent="0.3">
      <c r="A34" s="1163"/>
      <c r="B34" s="33"/>
      <c r="C34" s="1165" t="str">
        <f t="shared" si="0"/>
        <v xml:space="preserve"> </v>
      </c>
      <c r="D34" s="33"/>
      <c r="E34" s="33"/>
      <c r="F34" s="33"/>
      <c r="G34" s="33"/>
      <c r="H34" s="294">
        <f t="shared" si="1"/>
        <v>0</v>
      </c>
      <c r="I34" s="28">
        <v>0</v>
      </c>
      <c r="J34" s="965">
        <f>IFERROR('On cost calculator'!K271,0)</f>
        <v>0</v>
      </c>
      <c r="K34" s="28">
        <v>0</v>
      </c>
      <c r="L34" s="965">
        <f>IFERROR('On cost calculator'!M271,0)</f>
        <v>0</v>
      </c>
      <c r="M34" s="28">
        <v>0</v>
      </c>
      <c r="N34" s="965">
        <f>IFERROR('On cost calculator'!O271,0)</f>
        <v>0</v>
      </c>
      <c r="O34" s="28">
        <v>0</v>
      </c>
      <c r="P34" s="965">
        <f>IFERROR('On cost calculator'!Q271,0)</f>
        <v>0</v>
      </c>
      <c r="Q34" s="28">
        <v>0</v>
      </c>
      <c r="R34" s="965">
        <f>IFERROR('On cost calculator'!S271,0)</f>
        <v>0</v>
      </c>
      <c r="S34" s="28">
        <v>0</v>
      </c>
      <c r="T34" s="965">
        <f>IFERROR('On cost calculator'!U271,0)</f>
        <v>0</v>
      </c>
      <c r="U34" s="28">
        <v>0</v>
      </c>
      <c r="V34" s="965">
        <f>IFERROR('On cost calculator'!W271,0)</f>
        <v>0</v>
      </c>
      <c r="W34" s="28">
        <v>0</v>
      </c>
      <c r="X34" s="965">
        <f>IFERROR('On cost calculator'!Y271,0)</f>
        <v>0</v>
      </c>
      <c r="Y34" s="28">
        <v>0</v>
      </c>
      <c r="Z34" s="965">
        <f>IFERROR('On cost calculator'!AA271,0)</f>
        <v>0</v>
      </c>
      <c r="AA34" s="28">
        <v>0</v>
      </c>
      <c r="AB34" s="965">
        <f>IFERROR('On cost calculator'!AC271,0)</f>
        <v>0</v>
      </c>
      <c r="AC34" s="958">
        <f t="shared" si="4"/>
        <v>0</v>
      </c>
      <c r="AD34" s="991">
        <f t="shared" si="2"/>
        <v>0</v>
      </c>
      <c r="AE34" s="29"/>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row>
    <row r="35" spans="1:57" s="1" customFormat="1" ht="15" hidden="1" customHeight="1" outlineLevel="1" x14ac:dyDescent="0.3">
      <c r="A35" s="1163"/>
      <c r="B35" s="33"/>
      <c r="C35" s="1165" t="str">
        <f t="shared" si="0"/>
        <v xml:space="preserve"> </v>
      </c>
      <c r="D35" s="33"/>
      <c r="E35" s="33"/>
      <c r="F35" s="33"/>
      <c r="G35" s="33"/>
      <c r="H35" s="294">
        <f t="shared" si="1"/>
        <v>0</v>
      </c>
      <c r="I35" s="28">
        <v>0</v>
      </c>
      <c r="J35" s="965">
        <f>IFERROR('On cost calculator'!K290,0)</f>
        <v>0</v>
      </c>
      <c r="K35" s="28">
        <v>0</v>
      </c>
      <c r="L35" s="965">
        <f>IFERROR('On cost calculator'!M290,0)</f>
        <v>0</v>
      </c>
      <c r="M35" s="28">
        <v>0</v>
      </c>
      <c r="N35" s="965">
        <f>IFERROR('On cost calculator'!O290,0)</f>
        <v>0</v>
      </c>
      <c r="O35" s="28">
        <v>0</v>
      </c>
      <c r="P35" s="965">
        <f>IFERROR('On cost calculator'!Q290,0)</f>
        <v>0</v>
      </c>
      <c r="Q35" s="28">
        <v>0</v>
      </c>
      <c r="R35" s="965">
        <f>IFERROR('On cost calculator'!S290,0)</f>
        <v>0</v>
      </c>
      <c r="S35" s="28">
        <v>0</v>
      </c>
      <c r="T35" s="965">
        <f>IFERROR('On cost calculator'!U290,0)</f>
        <v>0</v>
      </c>
      <c r="U35" s="28">
        <v>0</v>
      </c>
      <c r="V35" s="965">
        <f>IFERROR('On cost calculator'!W290,0)</f>
        <v>0</v>
      </c>
      <c r="W35" s="28">
        <v>0</v>
      </c>
      <c r="X35" s="965">
        <f>IFERROR('On cost calculator'!Y290,0)</f>
        <v>0</v>
      </c>
      <c r="Y35" s="28">
        <v>0</v>
      </c>
      <c r="Z35" s="965">
        <f>IFERROR('On cost calculator'!AA290,0)</f>
        <v>0</v>
      </c>
      <c r="AA35" s="28">
        <v>0</v>
      </c>
      <c r="AB35" s="965">
        <f>IFERROR('On cost calculator'!AC290,0)</f>
        <v>0</v>
      </c>
      <c r="AC35" s="958">
        <f t="shared" si="4"/>
        <v>0</v>
      </c>
      <c r="AD35" s="991">
        <f t="shared" si="2"/>
        <v>0</v>
      </c>
      <c r="AE35" s="29"/>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row>
    <row r="36" spans="1:57" s="1" customFormat="1" ht="15" hidden="1" customHeight="1" outlineLevel="1" x14ac:dyDescent="0.3">
      <c r="A36" s="1163"/>
      <c r="B36" s="33"/>
      <c r="C36" s="1165" t="str">
        <f t="shared" si="0"/>
        <v xml:space="preserve"> </v>
      </c>
      <c r="D36" s="33"/>
      <c r="E36" s="33"/>
      <c r="F36" s="33"/>
      <c r="G36" s="33"/>
      <c r="H36" s="294">
        <f t="shared" si="1"/>
        <v>0</v>
      </c>
      <c r="I36" s="28">
        <v>0</v>
      </c>
      <c r="J36" s="965">
        <f>IFERROR('On cost calculator'!K309,0)</f>
        <v>0</v>
      </c>
      <c r="K36" s="28">
        <v>0</v>
      </c>
      <c r="L36" s="965">
        <f>IFERROR('On cost calculator'!M309,0)</f>
        <v>0</v>
      </c>
      <c r="M36" s="28">
        <v>0</v>
      </c>
      <c r="N36" s="965">
        <f>IFERROR('On cost calculator'!O309,0)</f>
        <v>0</v>
      </c>
      <c r="O36" s="28">
        <v>0</v>
      </c>
      <c r="P36" s="965">
        <f>IFERROR('On cost calculator'!Q309,0)</f>
        <v>0</v>
      </c>
      <c r="Q36" s="28">
        <v>0</v>
      </c>
      <c r="R36" s="965">
        <f>IFERROR('On cost calculator'!S309,0)</f>
        <v>0</v>
      </c>
      <c r="S36" s="28">
        <v>0</v>
      </c>
      <c r="T36" s="965">
        <f>IFERROR('On cost calculator'!U309,0)</f>
        <v>0</v>
      </c>
      <c r="U36" s="28">
        <v>0</v>
      </c>
      <c r="V36" s="965">
        <f>IFERROR('On cost calculator'!W309,0)</f>
        <v>0</v>
      </c>
      <c r="W36" s="28">
        <v>0</v>
      </c>
      <c r="X36" s="965">
        <f>IFERROR('On cost calculator'!Y309,0)</f>
        <v>0</v>
      </c>
      <c r="Y36" s="28">
        <v>0</v>
      </c>
      <c r="Z36" s="965">
        <f>IFERROR('On cost calculator'!AA309,0)</f>
        <v>0</v>
      </c>
      <c r="AA36" s="28">
        <v>0</v>
      </c>
      <c r="AB36" s="965">
        <f>IFERROR('On cost calculator'!AC309,0)</f>
        <v>0</v>
      </c>
      <c r="AC36" s="958">
        <f t="shared" si="4"/>
        <v>0</v>
      </c>
      <c r="AD36" s="991">
        <f t="shared" si="2"/>
        <v>0</v>
      </c>
      <c r="AE36" s="29"/>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row>
    <row r="37" spans="1:57" s="1" customFormat="1" ht="15" hidden="1" customHeight="1" outlineLevel="1" x14ac:dyDescent="0.3">
      <c r="A37" s="1163"/>
      <c r="B37" s="33"/>
      <c r="C37" s="1165" t="str">
        <f t="shared" si="0"/>
        <v xml:space="preserve"> </v>
      </c>
      <c r="D37" s="33"/>
      <c r="E37" s="33"/>
      <c r="F37" s="33"/>
      <c r="G37" s="33"/>
      <c r="H37" s="294">
        <f t="shared" si="1"/>
        <v>0</v>
      </c>
      <c r="I37" s="28">
        <v>0</v>
      </c>
      <c r="J37" s="965">
        <f>IFERROR('On cost calculator'!K328,0)</f>
        <v>0</v>
      </c>
      <c r="K37" s="28">
        <v>0</v>
      </c>
      <c r="L37" s="965">
        <f>IFERROR('On cost calculator'!M328,0)</f>
        <v>0</v>
      </c>
      <c r="M37" s="28">
        <v>0</v>
      </c>
      <c r="N37" s="965">
        <f>IFERROR('On cost calculator'!O328,0)</f>
        <v>0</v>
      </c>
      <c r="O37" s="28">
        <v>0</v>
      </c>
      <c r="P37" s="965">
        <f>IFERROR('On cost calculator'!Q328,0)</f>
        <v>0</v>
      </c>
      <c r="Q37" s="28">
        <v>0</v>
      </c>
      <c r="R37" s="965">
        <f>IFERROR('On cost calculator'!S328,0)</f>
        <v>0</v>
      </c>
      <c r="S37" s="28">
        <v>0</v>
      </c>
      <c r="T37" s="965">
        <f>IFERROR('On cost calculator'!U328,0)</f>
        <v>0</v>
      </c>
      <c r="U37" s="28">
        <v>0</v>
      </c>
      <c r="V37" s="965">
        <f>IFERROR('On cost calculator'!W328,0)</f>
        <v>0</v>
      </c>
      <c r="W37" s="28">
        <v>0</v>
      </c>
      <c r="X37" s="965">
        <f>IFERROR('On cost calculator'!Y328,0)</f>
        <v>0</v>
      </c>
      <c r="Y37" s="28">
        <v>0</v>
      </c>
      <c r="Z37" s="965">
        <f>IFERROR('On cost calculator'!AA328,0)</f>
        <v>0</v>
      </c>
      <c r="AA37" s="28">
        <v>0</v>
      </c>
      <c r="AB37" s="965">
        <f>IFERROR('On cost calculator'!AC328,0)</f>
        <v>0</v>
      </c>
      <c r="AC37" s="958">
        <f t="shared" si="4"/>
        <v>0</v>
      </c>
      <c r="AD37" s="991">
        <f t="shared" si="2"/>
        <v>0</v>
      </c>
      <c r="AE37" s="29"/>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row>
    <row r="38" spans="1:57" s="1" customFormat="1" ht="15" hidden="1" customHeight="1" outlineLevel="1" x14ac:dyDescent="0.3">
      <c r="A38" s="1163"/>
      <c r="B38" s="33"/>
      <c r="C38" s="1165" t="str">
        <f t="shared" si="0"/>
        <v xml:space="preserve"> </v>
      </c>
      <c r="D38" s="33"/>
      <c r="E38" s="33"/>
      <c r="F38" s="33"/>
      <c r="G38" s="33"/>
      <c r="H38" s="294">
        <f t="shared" si="1"/>
        <v>0</v>
      </c>
      <c r="I38" s="28">
        <v>0</v>
      </c>
      <c r="J38" s="965">
        <f>IFERROR('On cost calculator'!K347,0)</f>
        <v>0</v>
      </c>
      <c r="K38" s="28">
        <v>0</v>
      </c>
      <c r="L38" s="965">
        <f>IFERROR('On cost calculator'!M347,0)</f>
        <v>0</v>
      </c>
      <c r="M38" s="28">
        <v>0</v>
      </c>
      <c r="N38" s="965">
        <f>IFERROR('On cost calculator'!O347,0)</f>
        <v>0</v>
      </c>
      <c r="O38" s="28">
        <v>0</v>
      </c>
      <c r="P38" s="965">
        <f>IFERROR('On cost calculator'!Q347,0)</f>
        <v>0</v>
      </c>
      <c r="Q38" s="28">
        <v>0</v>
      </c>
      <c r="R38" s="965">
        <f>IFERROR('On cost calculator'!S347,0)</f>
        <v>0</v>
      </c>
      <c r="S38" s="28">
        <v>0</v>
      </c>
      <c r="T38" s="965">
        <f>IFERROR('On cost calculator'!U347,0)</f>
        <v>0</v>
      </c>
      <c r="U38" s="28">
        <v>0</v>
      </c>
      <c r="V38" s="965">
        <f>IFERROR('On cost calculator'!W347,0)</f>
        <v>0</v>
      </c>
      <c r="W38" s="28">
        <v>0</v>
      </c>
      <c r="X38" s="965">
        <f>IFERROR('On cost calculator'!Y347,0)</f>
        <v>0</v>
      </c>
      <c r="Y38" s="28">
        <v>0</v>
      </c>
      <c r="Z38" s="965">
        <f>IFERROR('On cost calculator'!AA347,0)</f>
        <v>0</v>
      </c>
      <c r="AA38" s="28">
        <v>0</v>
      </c>
      <c r="AB38" s="965">
        <f>IFERROR('On cost calculator'!AC347,0)</f>
        <v>0</v>
      </c>
      <c r="AC38" s="958">
        <f t="shared" si="4"/>
        <v>0</v>
      </c>
      <c r="AD38" s="991">
        <f t="shared" si="2"/>
        <v>0</v>
      </c>
      <c r="AE38" s="29"/>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row>
    <row r="39" spans="1:57" s="1" customFormat="1" ht="15" hidden="1" customHeight="1" outlineLevel="1" x14ac:dyDescent="0.3">
      <c r="A39" s="1163"/>
      <c r="B39" s="33"/>
      <c r="C39" s="1165" t="str">
        <f t="shared" si="0"/>
        <v xml:space="preserve"> </v>
      </c>
      <c r="D39" s="33"/>
      <c r="E39" s="33"/>
      <c r="F39" s="33"/>
      <c r="G39" s="33"/>
      <c r="H39" s="294">
        <f t="shared" si="1"/>
        <v>0</v>
      </c>
      <c r="I39" s="28">
        <v>0</v>
      </c>
      <c r="J39" s="965">
        <f>IFERROR('On cost calculator'!K366,0)</f>
        <v>0</v>
      </c>
      <c r="K39" s="28">
        <v>0</v>
      </c>
      <c r="L39" s="965">
        <f>IFERROR('On cost calculator'!M366,0)</f>
        <v>0</v>
      </c>
      <c r="M39" s="28">
        <v>0</v>
      </c>
      <c r="N39" s="965">
        <f>IFERROR('On cost calculator'!O366,0)</f>
        <v>0</v>
      </c>
      <c r="O39" s="28">
        <v>0</v>
      </c>
      <c r="P39" s="965">
        <f>IFERROR('On cost calculator'!Q366,0)</f>
        <v>0</v>
      </c>
      <c r="Q39" s="28">
        <v>0</v>
      </c>
      <c r="R39" s="965">
        <f>IFERROR('On cost calculator'!S366,0)</f>
        <v>0</v>
      </c>
      <c r="S39" s="28">
        <v>0</v>
      </c>
      <c r="T39" s="965">
        <f>IFERROR('On cost calculator'!U366,0)</f>
        <v>0</v>
      </c>
      <c r="U39" s="28">
        <v>0</v>
      </c>
      <c r="V39" s="965">
        <f>IFERROR('On cost calculator'!W366,0)</f>
        <v>0</v>
      </c>
      <c r="W39" s="28">
        <v>0</v>
      </c>
      <c r="X39" s="965">
        <f>IFERROR('On cost calculator'!Y366,0)</f>
        <v>0</v>
      </c>
      <c r="Y39" s="28">
        <v>0</v>
      </c>
      <c r="Z39" s="965">
        <f>IFERROR('On cost calculator'!AA366,0)</f>
        <v>0</v>
      </c>
      <c r="AA39" s="28">
        <v>0</v>
      </c>
      <c r="AB39" s="965">
        <f>IFERROR('On cost calculator'!AC366,0)</f>
        <v>0</v>
      </c>
      <c r="AC39" s="958">
        <f t="shared" si="4"/>
        <v>0</v>
      </c>
      <c r="AD39" s="991">
        <f t="shared" si="2"/>
        <v>0</v>
      </c>
      <c r="AE39" s="29"/>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row>
    <row r="40" spans="1:57" s="1" customFormat="1" ht="15" hidden="1" customHeight="1" outlineLevel="1" x14ac:dyDescent="0.3">
      <c r="A40" s="1163"/>
      <c r="B40" s="33"/>
      <c r="C40" s="1165" t="str">
        <f t="shared" si="0"/>
        <v xml:space="preserve"> </v>
      </c>
      <c r="D40" s="33"/>
      <c r="E40" s="33"/>
      <c r="F40" s="33"/>
      <c r="G40" s="33"/>
      <c r="H40" s="294">
        <f t="shared" si="1"/>
        <v>0</v>
      </c>
      <c r="I40" s="28">
        <v>0</v>
      </c>
      <c r="J40" s="965">
        <f>IFERROR('On cost calculator'!K385,0)</f>
        <v>0</v>
      </c>
      <c r="K40" s="28">
        <v>0</v>
      </c>
      <c r="L40" s="965">
        <f>IFERROR('On cost calculator'!M385,0)</f>
        <v>0</v>
      </c>
      <c r="M40" s="28">
        <v>0</v>
      </c>
      <c r="N40" s="965">
        <f>IFERROR('On cost calculator'!O385,0)</f>
        <v>0</v>
      </c>
      <c r="O40" s="28">
        <v>0</v>
      </c>
      <c r="P40" s="965">
        <f>IFERROR('On cost calculator'!Q385,0)</f>
        <v>0</v>
      </c>
      <c r="Q40" s="28">
        <v>0</v>
      </c>
      <c r="R40" s="965">
        <f>IFERROR('On cost calculator'!S385,0)</f>
        <v>0</v>
      </c>
      <c r="S40" s="28">
        <v>0</v>
      </c>
      <c r="T40" s="965">
        <f>IFERROR('On cost calculator'!U385,0)</f>
        <v>0</v>
      </c>
      <c r="U40" s="28">
        <v>0</v>
      </c>
      <c r="V40" s="965">
        <f>IFERROR('On cost calculator'!W385,0)</f>
        <v>0</v>
      </c>
      <c r="W40" s="28">
        <v>0</v>
      </c>
      <c r="X40" s="965">
        <f>IFERROR('On cost calculator'!Y385,0)</f>
        <v>0</v>
      </c>
      <c r="Y40" s="28">
        <v>0</v>
      </c>
      <c r="Z40" s="965">
        <f>IFERROR('On cost calculator'!AA385,0)</f>
        <v>0</v>
      </c>
      <c r="AA40" s="28">
        <v>0</v>
      </c>
      <c r="AB40" s="965">
        <f>IFERROR('On cost calculator'!AC385,0)</f>
        <v>0</v>
      </c>
      <c r="AC40" s="958">
        <f t="shared" si="4"/>
        <v>0</v>
      </c>
      <c r="AD40" s="991">
        <f t="shared" si="2"/>
        <v>0</v>
      </c>
      <c r="AE40" s="29"/>
      <c r="AF40" s="14"/>
      <c r="AG40" s="16"/>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row>
    <row r="41" spans="1:57" s="1" customFormat="1" ht="17.100000000000001" customHeight="1" collapsed="1" thickBot="1" x14ac:dyDescent="0.35">
      <c r="A41" s="1163"/>
      <c r="B41" s="25"/>
      <c r="C41" s="25"/>
      <c r="D41" s="25"/>
      <c r="E41" s="25"/>
      <c r="F41" s="25"/>
      <c r="G41" s="25"/>
      <c r="H41" s="25"/>
      <c r="I41" s="25"/>
      <c r="J41" s="966">
        <f>SUM(J21:J40)</f>
        <v>0</v>
      </c>
      <c r="K41" s="24"/>
      <c r="L41" s="966">
        <f>SUM(L21:L40)</f>
        <v>0</v>
      </c>
      <c r="M41" s="24"/>
      <c r="N41" s="966">
        <f>SUM(N21:N40)</f>
        <v>0</v>
      </c>
      <c r="O41" s="24"/>
      <c r="P41" s="966">
        <f>SUM(P21:P40)</f>
        <v>0</v>
      </c>
      <c r="Q41" s="24"/>
      <c r="R41" s="966">
        <f>SUM(R21:R40)</f>
        <v>0</v>
      </c>
      <c r="S41" s="24"/>
      <c r="T41" s="966">
        <f>SUM(T21:T40)</f>
        <v>0</v>
      </c>
      <c r="U41" s="24"/>
      <c r="V41" s="966">
        <f>SUM(V21:V40)</f>
        <v>0</v>
      </c>
      <c r="W41" s="24"/>
      <c r="X41" s="966">
        <f>SUM(X21:X40)</f>
        <v>0</v>
      </c>
      <c r="Y41" s="24"/>
      <c r="Z41" s="966">
        <f>SUM(Z21:Z40)</f>
        <v>0</v>
      </c>
      <c r="AA41" s="24"/>
      <c r="AB41" s="966">
        <f>SUM(AB21:AB40)</f>
        <v>0</v>
      </c>
      <c r="AC41" s="959">
        <f>SUM($J41,$L41,$N41,$P41,$R41,$T41,$V41,$X41,$Z41,$AB41)</f>
        <v>0</v>
      </c>
      <c r="AD41" s="992">
        <f t="shared" si="2"/>
        <v>0</v>
      </c>
      <c r="AE41" s="29"/>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row>
    <row r="42" spans="1:57" s="118" customFormat="1" ht="17.100000000000001" customHeight="1" thickTop="1" x14ac:dyDescent="0.3">
      <c r="A42" s="1163"/>
      <c r="H42" s="117" t="str">
        <f>IF(tbBudgetCurrency="AUD - Australian Dollar", "","Amount in AUD")</f>
        <v/>
      </c>
      <c r="I42" s="116"/>
      <c r="J42" s="117" t="str">
        <f>IF(tbBudgetCurrency="AUD - Australian Dollar", "",J41/new_xrate)</f>
        <v/>
      </c>
      <c r="K42" s="116"/>
      <c r="L42" s="117" t="str">
        <f>IF(tbBudgetCurrency="AUD - Australian Dollar", "",L41/new_xrate)</f>
        <v/>
      </c>
      <c r="M42" s="116"/>
      <c r="N42" s="117" t="str">
        <f>IF(tbBudgetCurrency="AUD - Australian Dollar", "",N41/new_xrate)</f>
        <v/>
      </c>
      <c r="O42" s="116"/>
      <c r="P42" s="117" t="str">
        <f>IF(tbBudgetCurrency="AUD - Australian Dollar", "",P41/new_xrate)</f>
        <v/>
      </c>
      <c r="Q42" s="116"/>
      <c r="R42" s="117" t="str">
        <f>IF(tbBudgetCurrency="AUD - Australian Dollar", "",R41/new_xrate)</f>
        <v/>
      </c>
      <c r="S42" s="116"/>
      <c r="T42" s="117" t="str">
        <f>IF(tbBudgetCurrency="AUD - Australian Dollar", "",T41/new_xrate)</f>
        <v/>
      </c>
      <c r="U42" s="116"/>
      <c r="V42" s="117" t="str">
        <f>IF(tbBudgetCurrency="AUD - Australian Dollar", "",V41/new_xrate)</f>
        <v/>
      </c>
      <c r="W42" s="116"/>
      <c r="X42" s="117" t="str">
        <f>IF(tbBudgetCurrency="AUD - Australian Dollar", "",X41/new_xrate)</f>
        <v/>
      </c>
      <c r="Y42" s="116"/>
      <c r="Z42" s="117" t="str">
        <f>IF(tbBudgetCurrency="AUD - Australian Dollar", "",Z41/new_xrate)</f>
        <v/>
      </c>
      <c r="AA42" s="116"/>
      <c r="AB42" s="117" t="str">
        <f>IF(tbBudgetCurrency="AUD - Australian Dollar", "",AB41/new_xrate)</f>
        <v/>
      </c>
      <c r="AC42" s="117" t="str">
        <f>IF(tbBudgetCurrency="AUD - Australian Dollar", "",AC41/new_xrate)</f>
        <v/>
      </c>
      <c r="AD42" s="117" t="str">
        <f>IF(tbBudgetCurrency="AUD - Australian Dollar", "",AD41/new_xrate)</f>
        <v/>
      </c>
      <c r="AE42" s="29"/>
    </row>
    <row r="43" spans="1:57" s="214" customFormat="1" x14ac:dyDescent="0.3">
      <c r="A43" s="1163"/>
      <c r="B43" s="215"/>
      <c r="C43" s="215"/>
      <c r="D43" s="215"/>
      <c r="E43" s="215"/>
      <c r="F43" s="215"/>
      <c r="G43" s="216"/>
      <c r="H43" s="215"/>
      <c r="I43" s="216"/>
      <c r="J43" s="217"/>
      <c r="K43" s="213"/>
      <c r="L43" s="213"/>
      <c r="M43" s="218"/>
      <c r="N43" s="213"/>
      <c r="O43" s="213"/>
      <c r="P43" s="213"/>
      <c r="Q43" s="213"/>
      <c r="R43" s="213"/>
      <c r="S43" s="213"/>
      <c r="T43" s="213"/>
      <c r="U43" s="213"/>
      <c r="V43" s="213"/>
      <c r="W43" s="213"/>
      <c r="X43" s="213"/>
      <c r="Y43" s="213"/>
      <c r="Z43" s="213"/>
      <c r="AA43" s="213"/>
      <c r="AB43" s="213"/>
      <c r="AC43" s="219"/>
      <c r="AD43" s="219"/>
      <c r="AE43" s="29"/>
      <c r="AF43" s="220"/>
      <c r="AG43" s="220"/>
      <c r="AH43" s="220"/>
      <c r="AI43" s="220"/>
      <c r="AJ43" s="220"/>
      <c r="AK43" s="220"/>
      <c r="AL43" s="220"/>
      <c r="AM43" s="220"/>
      <c r="AN43" s="220"/>
      <c r="AO43" s="220"/>
      <c r="AP43" s="220"/>
      <c r="AQ43" s="220"/>
      <c r="AR43" s="220"/>
      <c r="AS43" s="220"/>
      <c r="AT43" s="220"/>
      <c r="AU43" s="220"/>
      <c r="AV43" s="220"/>
      <c r="AW43" s="220"/>
      <c r="AX43" s="220"/>
      <c r="AY43" s="220"/>
      <c r="AZ43" s="220"/>
      <c r="BA43" s="220"/>
      <c r="BB43" s="220"/>
      <c r="BC43" s="220"/>
      <c r="BD43" s="220"/>
      <c r="BE43" s="220"/>
    </row>
    <row r="44" spans="1:57" s="1" customFormat="1" ht="21" customHeight="1" x14ac:dyDescent="0.3">
      <c r="A44" s="1163"/>
      <c r="B44" s="1230" t="s">
        <v>54</v>
      </c>
      <c r="C44" s="1231"/>
      <c r="D44" s="1231"/>
      <c r="E44" s="1231"/>
      <c r="F44" s="1231"/>
      <c r="G44" s="1231"/>
      <c r="H44" s="1231"/>
      <c r="I44" s="1231"/>
      <c r="J44" s="1231"/>
      <c r="K44" s="1231"/>
      <c r="L44" s="1231"/>
      <c r="M44" s="1231"/>
      <c r="N44" s="1231"/>
      <c r="O44" s="1231"/>
      <c r="P44" s="1231"/>
      <c r="Q44" s="1231"/>
      <c r="R44" s="1231"/>
      <c r="S44" s="1245"/>
      <c r="T44" s="1245"/>
      <c r="U44" s="1245"/>
      <c r="V44" s="1245"/>
      <c r="W44" s="1245"/>
      <c r="X44" s="1245"/>
      <c r="Y44" s="1245"/>
      <c r="Z44" s="1245"/>
      <c r="AA44" s="1245"/>
      <c r="AB44" s="1245"/>
      <c r="AC44" s="1245"/>
      <c r="AD44" s="680"/>
      <c r="AE44" s="681"/>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row>
    <row r="45" spans="1:57" s="1" customFormat="1" x14ac:dyDescent="0.3">
      <c r="A45" s="1163"/>
      <c r="B45" s="1250" t="s">
        <v>55</v>
      </c>
      <c r="C45" s="1250"/>
      <c r="D45" s="1250"/>
      <c r="E45" s="1250"/>
      <c r="F45" s="1250"/>
      <c r="G45" s="1250"/>
      <c r="H45" s="1250"/>
      <c r="I45" s="1250"/>
      <c r="J45" s="1250"/>
      <c r="K45" s="1250"/>
      <c r="L45" s="1250"/>
      <c r="M45" s="1250"/>
      <c r="N45" s="1250"/>
      <c r="O45" s="1250"/>
      <c r="P45" s="1250"/>
      <c r="Q45" s="1250"/>
      <c r="R45" s="1250"/>
      <c r="S45" s="1250"/>
      <c r="T45" s="1250"/>
      <c r="U45" s="1250"/>
      <c r="V45" s="1250"/>
      <c r="W45" s="1250"/>
      <c r="X45" s="1250"/>
      <c r="Y45" s="1250"/>
      <c r="Z45" s="1250"/>
      <c r="AA45" s="1250"/>
      <c r="AB45" s="1250"/>
      <c r="AC45" s="1250"/>
      <c r="AD45" s="282"/>
      <c r="AE45" s="31"/>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row>
    <row r="46" spans="1:57" s="1" customFormat="1" ht="7.95" customHeight="1" x14ac:dyDescent="0.3">
      <c r="A46" s="1163"/>
      <c r="B46" s="25"/>
      <c r="C46" s="25"/>
      <c r="D46" s="25"/>
      <c r="E46" s="25"/>
      <c r="F46" s="25"/>
      <c r="G46" s="25"/>
      <c r="H46" s="25"/>
      <c r="I46" s="25"/>
      <c r="J46" s="34"/>
      <c r="K46" s="34"/>
      <c r="L46" s="34"/>
      <c r="M46" s="34"/>
      <c r="N46" s="34"/>
      <c r="O46" s="34"/>
      <c r="P46" s="34"/>
      <c r="Q46" s="34"/>
      <c r="R46" s="34"/>
      <c r="S46" s="34"/>
      <c r="T46" s="34"/>
      <c r="U46" s="34"/>
      <c r="V46" s="34"/>
      <c r="W46" s="34"/>
      <c r="X46" s="34"/>
      <c r="Y46" s="34"/>
      <c r="Z46" s="34"/>
      <c r="AA46" s="34"/>
      <c r="AB46" s="34"/>
      <c r="AC46" s="27"/>
      <c r="AD46" s="27"/>
      <c r="AE46" s="31"/>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row>
    <row r="47" spans="1:57" s="1" customFormat="1" x14ac:dyDescent="0.3">
      <c r="A47" s="1163"/>
      <c r="B47" s="21" t="s">
        <v>43</v>
      </c>
      <c r="C47" s="21"/>
      <c r="D47" s="28">
        <v>2.5</v>
      </c>
      <c r="E47" s="22" t="s">
        <v>56</v>
      </c>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116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row>
    <row r="48" spans="1:57" s="1" customFormat="1" x14ac:dyDescent="0.3">
      <c r="A48" s="1163"/>
      <c r="B48" s="21"/>
      <c r="C48" s="21"/>
      <c r="D48" s="22"/>
      <c r="E48" s="22"/>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116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row>
    <row r="49" spans="1:57" s="1" customFormat="1" ht="30.75" customHeight="1" x14ac:dyDescent="0.3">
      <c r="A49" s="1163"/>
      <c r="B49" s="1241" t="s">
        <v>57</v>
      </c>
      <c r="C49" s="1241"/>
      <c r="D49" s="1241"/>
      <c r="E49" s="1241"/>
      <c r="F49" s="1241"/>
      <c r="G49" s="1241"/>
      <c r="H49" s="1241"/>
      <c r="I49" s="1241"/>
      <c r="J49" s="1241"/>
      <c r="K49" s="1241"/>
      <c r="L49" s="1241"/>
      <c r="M49" s="1241"/>
      <c r="N49" s="1241"/>
      <c r="O49" s="1241"/>
      <c r="P49" s="1241"/>
      <c r="Q49" s="1241"/>
      <c r="R49" s="1241"/>
      <c r="S49" s="1241"/>
      <c r="T49" s="1241"/>
      <c r="U49" s="1241"/>
      <c r="V49" s="1241"/>
      <c r="W49" s="1241"/>
      <c r="X49" s="1241"/>
      <c r="Y49" s="1241"/>
      <c r="Z49" s="1241"/>
      <c r="AA49" s="1241"/>
      <c r="AB49" s="1241"/>
      <c r="AC49" s="1241"/>
      <c r="AD49" s="280"/>
      <c r="AE49" s="116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row>
    <row r="50" spans="1:57" s="1" customFormat="1" x14ac:dyDescent="0.3">
      <c r="A50" s="1163"/>
      <c r="B50" s="25"/>
      <c r="C50" s="25"/>
      <c r="D50" s="25"/>
      <c r="E50" s="25"/>
      <c r="F50" s="25"/>
      <c r="G50" s="25"/>
      <c r="H50" s="25"/>
      <c r="I50" s="25"/>
      <c r="J50" s="34"/>
      <c r="K50" s="34"/>
      <c r="L50" s="34"/>
      <c r="M50" s="34"/>
      <c r="N50" s="34"/>
      <c r="O50" s="34"/>
      <c r="P50" s="34"/>
      <c r="Q50" s="34"/>
      <c r="R50" s="34"/>
      <c r="S50" s="34"/>
      <c r="T50" s="34"/>
      <c r="U50" s="34"/>
      <c r="V50" s="34"/>
      <c r="W50" s="34"/>
      <c r="X50" s="34"/>
      <c r="Y50" s="34"/>
      <c r="Z50" s="34"/>
      <c r="AA50" s="34"/>
      <c r="AB50" s="34"/>
      <c r="AC50" s="300" t="str">
        <f>IF(tbBudgetCurrency="AUD - Australian Dollar", "",tb_xrate)</f>
        <v/>
      </c>
      <c r="AD50" s="27"/>
      <c r="AE50" s="31"/>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row>
    <row r="51" spans="1:57" s="6" customFormat="1" ht="23.1" customHeight="1" x14ac:dyDescent="0.3">
      <c r="A51" s="1163"/>
      <c r="B51" s="1242" t="s">
        <v>58</v>
      </c>
      <c r="C51" s="1235" t="s">
        <v>46</v>
      </c>
      <c r="D51" s="1235" t="s">
        <v>47</v>
      </c>
      <c r="E51" s="1235" t="s">
        <v>48</v>
      </c>
      <c r="F51" s="1235" t="s">
        <v>49</v>
      </c>
      <c r="G51" s="1235" t="s">
        <v>50</v>
      </c>
      <c r="H51" s="962" t="s">
        <v>59</v>
      </c>
      <c r="I51" s="1232" t="str">
        <f>"Year 1" &amp; IF(pStartYear&lt;&gt;"",IF(First_year_fraction=12," ("&amp;pStartYear&amp;") "," ("&amp;pStartYear&amp;") " &amp; "- " &amp;First_year_fraction&amp; " months"),"")</f>
        <v xml:space="preserve">Year 1 (2026) </v>
      </c>
      <c r="J51" s="1233"/>
      <c r="K51" s="1234" t="str">
        <f>"Year 2" &amp; IF(OR(pStartYear="",pStartYear+1&gt;pEndYear),"",(IF(pStartYear+1=pEndYear,(IF(Last_Year_Fraction=12," ("&amp;pStartYear+1&amp;") "," ("&amp;pStartYear+1&amp;") - "&amp;Last_Year_Fraction&amp;" months"))," ("&amp;pStartYear+1&amp;") ")))</f>
        <v xml:space="preserve">Year 2 (2027) </v>
      </c>
      <c r="L51" s="1233"/>
      <c r="M51" s="1232" t="str">
        <f>"Year 3" &amp; IF(OR(pStartYear="",pStartYear+2&gt;pEndYear),"",(IF(pStartYear+2=pEndYear,(IF(Last_Year_Fraction=12," ("&amp;pStartYear+2&amp;") "," ("&amp;pStartYear+2&amp;") - "&amp;Last_Year_Fraction&amp;" months"))," ("&amp;pStartYear+2&amp;") ")))</f>
        <v xml:space="preserve">Year 3 (2028) </v>
      </c>
      <c r="N51" s="1233"/>
      <c r="O51" s="1232" t="str">
        <f>"Year 4" &amp; IF(OR(pStartYear="",pStartYear+3&gt;pEndYear),"",(IF(pStartYear+3=pEndYear,(IF(Last_Year_Fraction=12," ("&amp;pStartYear+3&amp;") "," ("&amp;pStartYear+3&amp;") - "&amp;Last_Year_Fraction&amp;" months"))," ("&amp;pStartYear+3&amp;") ")))</f>
        <v xml:space="preserve">Year 4 (2029) </v>
      </c>
      <c r="P51" s="1233"/>
      <c r="Q51" s="1232" t="str">
        <f>"Year 5" &amp; IF(OR(pStartYear="",pStartYear+4&gt;pEndYear),"",(IF(pStartYear+4=pEndYear,(IF(Last_Year_Fraction=12," ("&amp;pStartYear+4&amp;") "," ("&amp;pStartYear+4&amp;") - "&amp;Last_Year_Fraction&amp;" months"))," ("&amp;pStartYear+4&amp;") ")))</f>
        <v xml:space="preserve">Year 5 (2030) </v>
      </c>
      <c r="R51" s="1233"/>
      <c r="S51" s="1232" t="str">
        <f>"Year 6" &amp; IF(OR(pStartYear="",pStartYear+5&gt;pEndYear),"",(IF(pStartYear+5=pEndYear,(IF(Last_Year_Fraction=12," ("&amp;pStartYear+5&amp;") "," ("&amp;pStartYear+5&amp;") - "&amp;Last_Year_Fraction&amp;" months"))," ("&amp;pStartYear+5&amp;") ")))</f>
        <v>Year 6</v>
      </c>
      <c r="T51" s="1233"/>
      <c r="U51" s="1232" t="str">
        <f>"Year 7" &amp; IF(OR(pStartYear="",pStartYear+6&gt;pEndYear),"",(IF(pStartYear+6=pEndYear,(IF(Last_Year_Fraction=12," ("&amp;pStartYear+6&amp;") "," ("&amp;pStartYear+6&amp;") - "&amp;Last_Year_Fraction&amp;" months"))," ("&amp;pStartYear+6&amp;") ")))</f>
        <v>Year 7</v>
      </c>
      <c r="V51" s="1233"/>
      <c r="W51" s="1232" t="str">
        <f>"Year 8" &amp; IF(OR(pStartYear="",pStartYear+7&gt;pEndYear),"",(IF(pStartYear+7=pEndYear,(IF(Last_Year_Fraction=12," ("&amp;pStartYear+7&amp;") "," ("&amp;pStartYear+7&amp;") - "&amp;Last_Year_Fraction&amp;" months"))," ("&amp;pStartYear+7&amp;") ")))</f>
        <v>Year 8</v>
      </c>
      <c r="X51" s="1233"/>
      <c r="Y51" s="1232" t="str">
        <f>"Year 9" &amp; IF(OR(pStartYear="",pStartYear+8&gt;pEndYear),"",(IF(pStartYear+8=pEndYear,(IF(Last_Year_Fraction=12," ("&amp;pStartYear+8&amp;") "," ("&amp;pStartYear+8&amp;") - "&amp;Last_Year_Fraction&amp;" months"))," ("&amp;pStartYear+8&amp;") ")))</f>
        <v>Year 9</v>
      </c>
      <c r="Z51" s="1233"/>
      <c r="AA51" s="1232" t="str">
        <f>"Year 10" &amp; IF(OR(pStartYear="",pStartYear+9&gt;pEndYear),"",(IF(pStartYear+9=pEndYear,(IF(Last_Year_Fraction=12," ("&amp;pStartYear+9&amp;") "," ("&amp;pStartYear+9&amp;") - "&amp;Last_Year_Fraction&amp;" months"))," ("&amp;pStartYear+9&amp;") ")))</f>
        <v>Year 10</v>
      </c>
      <c r="AB51" s="1233"/>
      <c r="AC51" s="38" t="str">
        <f>IF(tbBudgetCurrency="AUD - Australian Dollar","Total (AUD)",CONCATENATE("Total (",LEFT(tbBudgetCurrency,3),")"))</f>
        <v>Total (AUD)</v>
      </c>
      <c r="AD51" s="960" t="str">
        <f>IF(tbBudgetCurrency="AUD - Australian Dollar","Full Cost (AUD)",CONCATENATE("Full Cost (",LEFT(tbBudgetCurrency,3),")"))</f>
        <v>Full Cost (AUD)</v>
      </c>
      <c r="AE51" s="30"/>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row>
    <row r="52" spans="1:57" s="6" customFormat="1" ht="17.100000000000001" customHeight="1" x14ac:dyDescent="0.3">
      <c r="A52" s="1163"/>
      <c r="B52" s="1243"/>
      <c r="C52" s="1236"/>
      <c r="D52" s="1236"/>
      <c r="E52" s="1236"/>
      <c r="F52" s="1236"/>
      <c r="G52" s="1236"/>
      <c r="H52" s="963">
        <f>pRateDate</f>
        <v>45778</v>
      </c>
      <c r="I52" s="964" t="s">
        <v>52</v>
      </c>
      <c r="J52" s="964" t="str">
        <f>IF(tbBudgetCurrency="AUD - Australian Dollar","Total (AUD)",CONCATENATE("Total (",LEFT(tbBudgetCurrency,3),")"))</f>
        <v>Total (AUD)</v>
      </c>
      <c r="K52" s="964" t="str">
        <f>$I$20</f>
        <v>Time</v>
      </c>
      <c r="L52" s="964" t="str">
        <f>$J$20</f>
        <v>Total (AUD)</v>
      </c>
      <c r="M52" s="964" t="str">
        <f>$I$20</f>
        <v>Time</v>
      </c>
      <c r="N52" s="964" t="str">
        <f>$J$20</f>
        <v>Total (AUD)</v>
      </c>
      <c r="O52" s="964" t="str">
        <f>$I$20</f>
        <v>Time</v>
      </c>
      <c r="P52" s="964" t="str">
        <f>$J$20</f>
        <v>Total (AUD)</v>
      </c>
      <c r="Q52" s="964" t="str">
        <f>$I$20</f>
        <v>Time</v>
      </c>
      <c r="R52" s="964" t="str">
        <f>$J$20</f>
        <v>Total (AUD)</v>
      </c>
      <c r="S52" s="964" t="str">
        <f>$I$20</f>
        <v>Time</v>
      </c>
      <c r="T52" s="964" t="str">
        <f>$J$20</f>
        <v>Total (AUD)</v>
      </c>
      <c r="U52" s="964" t="str">
        <f>$I$20</f>
        <v>Time</v>
      </c>
      <c r="V52" s="964" t="str">
        <f>$J$20</f>
        <v>Total (AUD)</v>
      </c>
      <c r="W52" s="964" t="str">
        <f>$I$20</f>
        <v>Time</v>
      </c>
      <c r="X52" s="964" t="str">
        <f>$J$20</f>
        <v>Total (AUD)</v>
      </c>
      <c r="Y52" s="964" t="str">
        <f>$I$20</f>
        <v>Time</v>
      </c>
      <c r="Z52" s="964" t="str">
        <f>$J$20</f>
        <v>Total (AUD)</v>
      </c>
      <c r="AA52" s="964" t="str">
        <f>$I$20</f>
        <v>Time</v>
      </c>
      <c r="AB52" s="964" t="str">
        <f>$J$20</f>
        <v>Total (AUD)</v>
      </c>
      <c r="AC52" s="224" t="str">
        <f>CONCATENATE("Recovery at ",pCRInKind)</f>
        <v>Recovery at 2.5</v>
      </c>
      <c r="AD52" s="961" t="s">
        <v>53</v>
      </c>
      <c r="AE52" s="30"/>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row>
    <row r="53" spans="1:57" s="1" customFormat="1" ht="15" customHeight="1" x14ac:dyDescent="0.3">
      <c r="A53" s="1163"/>
      <c r="B53" s="33"/>
      <c r="C53" s="1065" t="str">
        <f t="shared" ref="C53:C72" si="5">CONCATENATE(E53," ",D53)</f>
        <v xml:space="preserve"> </v>
      </c>
      <c r="D53" s="33"/>
      <c r="E53" s="33"/>
      <c r="F53" s="33"/>
      <c r="G53" s="33"/>
      <c r="H53" s="294">
        <f t="shared" ref="H53:H72" si="6">IFERROR((VLOOKUP(CONCATENATE(IF(OR($D53="Continuing",$D53="Fixed-Term"),"Fortnight",IF($D53="Casual","Casual","")),$E53,$F53),tSalaryRate,5,FALSE)*VLOOKUP($G53,tSalaryRateMultiplier,2,FALSE)),0)</f>
        <v>0</v>
      </c>
      <c r="I53" s="28">
        <v>0</v>
      </c>
      <c r="J53" s="965">
        <f>IFERROR('On cost calculator'!K409,0)</f>
        <v>0</v>
      </c>
      <c r="K53" s="28">
        <v>0</v>
      </c>
      <c r="L53" s="965">
        <f>IFERROR('On cost calculator'!M409,0)</f>
        <v>0</v>
      </c>
      <c r="M53" s="28">
        <v>0</v>
      </c>
      <c r="N53" s="965">
        <f>IFERROR('On cost calculator'!O409,0)</f>
        <v>0</v>
      </c>
      <c r="O53" s="28"/>
      <c r="P53" s="965">
        <f>IFERROR('On cost calculator'!Q409,0)</f>
        <v>0</v>
      </c>
      <c r="Q53" s="28">
        <v>0</v>
      </c>
      <c r="R53" s="965">
        <f>IFERROR('On cost calculator'!S409,0)</f>
        <v>0</v>
      </c>
      <c r="S53" s="28">
        <v>0</v>
      </c>
      <c r="T53" s="965">
        <f>IFERROR('On cost calculator'!U409,0)</f>
        <v>0</v>
      </c>
      <c r="U53" s="28">
        <v>0</v>
      </c>
      <c r="V53" s="965">
        <f>IFERROR('On cost calculator'!W409,0)</f>
        <v>0</v>
      </c>
      <c r="W53" s="28">
        <v>0</v>
      </c>
      <c r="X53" s="965">
        <f>IFERROR('On cost calculator'!Y409,0)</f>
        <v>0</v>
      </c>
      <c r="Y53" s="28">
        <v>0</v>
      </c>
      <c r="Z53" s="965">
        <f>IFERROR('On cost calculator'!AA409,0)</f>
        <v>0</v>
      </c>
      <c r="AA53" s="28">
        <v>0</v>
      </c>
      <c r="AB53" s="965">
        <f>IFERROR('On cost calculator'!AC409,0)</f>
        <v>0</v>
      </c>
      <c r="AC53" s="958">
        <f>SUM($J53,$L53,$N53,$P53,$R53,$T53,$V53,$X53,$Z53,$AB53)</f>
        <v>0</v>
      </c>
      <c r="AD53" s="991">
        <f t="shared" ref="AD53:AD73" si="7">(AC53/pCRInKind)*dfullrecovery</f>
        <v>0</v>
      </c>
      <c r="AE53" s="29"/>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row>
    <row r="54" spans="1:57" s="1" customFormat="1" ht="15" customHeight="1" x14ac:dyDescent="0.3">
      <c r="A54" s="1163"/>
      <c r="B54" s="33"/>
      <c r="C54" s="1065" t="str">
        <f t="shared" si="5"/>
        <v xml:space="preserve"> </v>
      </c>
      <c r="D54" s="33"/>
      <c r="E54" s="33"/>
      <c r="F54" s="33"/>
      <c r="G54" s="33"/>
      <c r="H54" s="294">
        <f t="shared" si="6"/>
        <v>0</v>
      </c>
      <c r="I54" s="28">
        <v>0</v>
      </c>
      <c r="J54" s="965">
        <f>IFERROR('On cost calculator'!K428,0)</f>
        <v>0</v>
      </c>
      <c r="K54" s="28">
        <v>0</v>
      </c>
      <c r="L54" s="965">
        <f>IFERROR('On cost calculator'!M428,0)</f>
        <v>0</v>
      </c>
      <c r="M54" s="28">
        <v>0</v>
      </c>
      <c r="N54" s="965">
        <f>IFERROR('On cost calculator'!O428,0)</f>
        <v>0</v>
      </c>
      <c r="O54" s="28">
        <v>0</v>
      </c>
      <c r="P54" s="965">
        <f>IFERROR('On cost calculator'!Q428,0)</f>
        <v>0</v>
      </c>
      <c r="Q54" s="28">
        <v>0</v>
      </c>
      <c r="R54" s="965">
        <f>IFERROR('On cost calculator'!S428,0)</f>
        <v>0</v>
      </c>
      <c r="S54" s="28">
        <v>0</v>
      </c>
      <c r="T54" s="965">
        <f>IFERROR('On cost calculator'!U428,0)</f>
        <v>0</v>
      </c>
      <c r="U54" s="28">
        <v>0</v>
      </c>
      <c r="V54" s="965">
        <f>IFERROR('On cost calculator'!W428,0)</f>
        <v>0</v>
      </c>
      <c r="W54" s="28">
        <v>0</v>
      </c>
      <c r="X54" s="965">
        <f>IFERROR('On cost calculator'!Y428,0)</f>
        <v>0</v>
      </c>
      <c r="Y54" s="28">
        <v>0</v>
      </c>
      <c r="Z54" s="965">
        <f>IFERROR('On cost calculator'!AA428,0)</f>
        <v>0</v>
      </c>
      <c r="AA54" s="28">
        <v>0</v>
      </c>
      <c r="AB54" s="965">
        <f>IFERROR('On cost calculator'!AC428,0)</f>
        <v>0</v>
      </c>
      <c r="AC54" s="958">
        <f t="shared" ref="AC54:AC73" si="8">SUM($J54,$L54,$N54,$P54,$R54,$T54,$V54,$X54,$Z54,$AB54)</f>
        <v>0</v>
      </c>
      <c r="AD54" s="991">
        <f t="shared" si="7"/>
        <v>0</v>
      </c>
      <c r="AE54" s="29"/>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row>
    <row r="55" spans="1:57" s="1" customFormat="1" ht="15" customHeight="1" x14ac:dyDescent="0.3">
      <c r="A55" s="1163"/>
      <c r="B55" s="33"/>
      <c r="C55" s="1065" t="str">
        <f t="shared" si="5"/>
        <v xml:space="preserve"> </v>
      </c>
      <c r="D55" s="33"/>
      <c r="E55" s="33"/>
      <c r="F55" s="33"/>
      <c r="G55" s="33"/>
      <c r="H55" s="294">
        <f t="shared" si="6"/>
        <v>0</v>
      </c>
      <c r="I55" s="28">
        <v>0</v>
      </c>
      <c r="J55" s="965">
        <f>IFERROR('On cost calculator'!K447,0)</f>
        <v>0</v>
      </c>
      <c r="K55" s="28">
        <v>0</v>
      </c>
      <c r="L55" s="965">
        <f>IFERROR('On cost calculator'!M447,0)</f>
        <v>0</v>
      </c>
      <c r="M55" s="28">
        <v>0</v>
      </c>
      <c r="N55" s="965">
        <f>IFERROR('On cost calculator'!O447,0)</f>
        <v>0</v>
      </c>
      <c r="O55" s="28">
        <v>0</v>
      </c>
      <c r="P55" s="965">
        <f>IFERROR('On cost calculator'!Q447,0)</f>
        <v>0</v>
      </c>
      <c r="Q55" s="28">
        <v>0</v>
      </c>
      <c r="R55" s="965">
        <f>IFERROR('On cost calculator'!S447,0)</f>
        <v>0</v>
      </c>
      <c r="S55" s="28">
        <v>0</v>
      </c>
      <c r="T55" s="965">
        <f>IFERROR('On cost calculator'!U447,0)</f>
        <v>0</v>
      </c>
      <c r="U55" s="28">
        <v>0</v>
      </c>
      <c r="V55" s="965">
        <f>IFERROR('On cost calculator'!W447,0)</f>
        <v>0</v>
      </c>
      <c r="W55" s="28">
        <v>0</v>
      </c>
      <c r="X55" s="965">
        <f>IFERROR('On cost calculator'!Y447,0)</f>
        <v>0</v>
      </c>
      <c r="Y55" s="28">
        <v>0</v>
      </c>
      <c r="Z55" s="965">
        <f>IFERROR('On cost calculator'!AA447,0)</f>
        <v>0</v>
      </c>
      <c r="AA55" s="28">
        <v>0</v>
      </c>
      <c r="AB55" s="965">
        <f>IFERROR('On cost calculator'!AC447,0)</f>
        <v>0</v>
      </c>
      <c r="AC55" s="958">
        <f t="shared" si="8"/>
        <v>0</v>
      </c>
      <c r="AD55" s="991">
        <f t="shared" si="7"/>
        <v>0</v>
      </c>
      <c r="AE55" s="29"/>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row>
    <row r="56" spans="1:57" s="1" customFormat="1" ht="15" customHeight="1" x14ac:dyDescent="0.3">
      <c r="A56" s="1163"/>
      <c r="B56" s="33"/>
      <c r="C56" s="1065" t="str">
        <f t="shared" si="5"/>
        <v xml:space="preserve"> </v>
      </c>
      <c r="D56" s="33"/>
      <c r="E56" s="33"/>
      <c r="F56" s="33"/>
      <c r="G56" s="33"/>
      <c r="H56" s="294">
        <f t="shared" si="6"/>
        <v>0</v>
      </c>
      <c r="I56" s="28">
        <v>0</v>
      </c>
      <c r="J56" s="965">
        <f>IFERROR('On cost calculator'!K466,0)</f>
        <v>0</v>
      </c>
      <c r="K56" s="28">
        <v>0</v>
      </c>
      <c r="L56" s="965">
        <f>IFERROR('On cost calculator'!M466,0)</f>
        <v>0</v>
      </c>
      <c r="M56" s="28">
        <v>0</v>
      </c>
      <c r="N56" s="965">
        <f>IFERROR('On cost calculator'!O466,0)</f>
        <v>0</v>
      </c>
      <c r="O56" s="28">
        <v>0</v>
      </c>
      <c r="P56" s="965">
        <f>IFERROR('On cost calculator'!Q466,0)</f>
        <v>0</v>
      </c>
      <c r="Q56" s="28">
        <v>0</v>
      </c>
      <c r="R56" s="965">
        <f>IFERROR('On cost calculator'!S466,0)</f>
        <v>0</v>
      </c>
      <c r="S56" s="28">
        <v>0</v>
      </c>
      <c r="T56" s="965">
        <f>IFERROR('On cost calculator'!U466,0)</f>
        <v>0</v>
      </c>
      <c r="U56" s="28">
        <v>0</v>
      </c>
      <c r="V56" s="965">
        <f>IFERROR('On cost calculator'!W466,0)</f>
        <v>0</v>
      </c>
      <c r="W56" s="28">
        <v>0</v>
      </c>
      <c r="X56" s="965">
        <f>IFERROR('On cost calculator'!Y466,0)</f>
        <v>0</v>
      </c>
      <c r="Y56" s="28">
        <v>0</v>
      </c>
      <c r="Z56" s="965">
        <f>IFERROR('On cost calculator'!AA466,0)</f>
        <v>0</v>
      </c>
      <c r="AA56" s="28">
        <v>0</v>
      </c>
      <c r="AB56" s="965">
        <f>IFERROR('On cost calculator'!AC466,0)</f>
        <v>0</v>
      </c>
      <c r="AC56" s="958">
        <f t="shared" si="8"/>
        <v>0</v>
      </c>
      <c r="AD56" s="991">
        <f t="shared" si="7"/>
        <v>0</v>
      </c>
      <c r="AE56" s="29"/>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row>
    <row r="57" spans="1:57" s="1" customFormat="1" ht="15" customHeight="1" x14ac:dyDescent="0.3">
      <c r="A57" s="1163"/>
      <c r="B57" s="33"/>
      <c r="C57" s="1065" t="str">
        <f t="shared" si="5"/>
        <v xml:space="preserve"> </v>
      </c>
      <c r="D57" s="33"/>
      <c r="E57" s="33"/>
      <c r="F57" s="33"/>
      <c r="G57" s="33"/>
      <c r="H57" s="294">
        <f t="shared" si="6"/>
        <v>0</v>
      </c>
      <c r="I57" s="28">
        <v>0</v>
      </c>
      <c r="J57" s="965">
        <f>IFERROR('On cost calculator'!K485,0)</f>
        <v>0</v>
      </c>
      <c r="K57" s="28">
        <v>0</v>
      </c>
      <c r="L57" s="965">
        <f>IFERROR('On cost calculator'!M485,0)</f>
        <v>0</v>
      </c>
      <c r="M57" s="28">
        <v>0</v>
      </c>
      <c r="N57" s="965">
        <f>IFERROR('On cost calculator'!O485,0)</f>
        <v>0</v>
      </c>
      <c r="O57" s="28">
        <v>0</v>
      </c>
      <c r="P57" s="965">
        <f>IFERROR('On cost calculator'!Q485,0)</f>
        <v>0</v>
      </c>
      <c r="Q57" s="28">
        <v>0</v>
      </c>
      <c r="R57" s="965">
        <f>IFERROR('On cost calculator'!S485,0)</f>
        <v>0</v>
      </c>
      <c r="S57" s="28">
        <v>0</v>
      </c>
      <c r="T57" s="965">
        <f>IFERROR('On cost calculator'!U485,0)</f>
        <v>0</v>
      </c>
      <c r="U57" s="28">
        <v>0</v>
      </c>
      <c r="V57" s="965">
        <f>IFERROR('On cost calculator'!W485,0)</f>
        <v>0</v>
      </c>
      <c r="W57" s="28">
        <v>0</v>
      </c>
      <c r="X57" s="965">
        <f>IFERROR('On cost calculator'!Y485,0)</f>
        <v>0</v>
      </c>
      <c r="Y57" s="28">
        <v>0</v>
      </c>
      <c r="Z57" s="965">
        <f>IFERROR('On cost calculator'!AA485,0)</f>
        <v>0</v>
      </c>
      <c r="AA57" s="28">
        <v>0</v>
      </c>
      <c r="AB57" s="965">
        <f>IFERROR('On cost calculator'!AC485,0)</f>
        <v>0</v>
      </c>
      <c r="AC57" s="958">
        <f t="shared" si="8"/>
        <v>0</v>
      </c>
      <c r="AD57" s="991">
        <f t="shared" si="7"/>
        <v>0</v>
      </c>
      <c r="AE57" s="29"/>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row>
    <row r="58" spans="1:57" s="1" customFormat="1" ht="15" customHeight="1" x14ac:dyDescent="0.3">
      <c r="A58" s="1163"/>
      <c r="B58" s="33"/>
      <c r="C58" s="1065" t="str">
        <f t="shared" si="5"/>
        <v xml:space="preserve"> </v>
      </c>
      <c r="D58" s="33"/>
      <c r="E58" s="33"/>
      <c r="F58" s="33"/>
      <c r="G58" s="33"/>
      <c r="H58" s="294">
        <f t="shared" si="6"/>
        <v>0</v>
      </c>
      <c r="I58" s="28">
        <v>0</v>
      </c>
      <c r="J58" s="965">
        <f>IFERROR('On cost calculator'!K504,0)</f>
        <v>0</v>
      </c>
      <c r="K58" s="28">
        <v>0</v>
      </c>
      <c r="L58" s="965">
        <f>IFERROR('On cost calculator'!M504,0)</f>
        <v>0</v>
      </c>
      <c r="M58" s="28">
        <v>0</v>
      </c>
      <c r="N58" s="965">
        <f>IFERROR('On cost calculator'!O504,0)</f>
        <v>0</v>
      </c>
      <c r="O58" s="28">
        <v>0</v>
      </c>
      <c r="P58" s="965">
        <f>IFERROR('On cost calculator'!Q504,0)</f>
        <v>0</v>
      </c>
      <c r="Q58" s="28">
        <v>0</v>
      </c>
      <c r="R58" s="965">
        <f>IFERROR('On cost calculator'!S504,0)</f>
        <v>0</v>
      </c>
      <c r="S58" s="28">
        <v>0</v>
      </c>
      <c r="T58" s="965">
        <f>IFERROR('On cost calculator'!U504,0)</f>
        <v>0</v>
      </c>
      <c r="U58" s="28">
        <v>0</v>
      </c>
      <c r="V58" s="965">
        <f>IFERROR('On cost calculator'!W504,0)</f>
        <v>0</v>
      </c>
      <c r="W58" s="28">
        <v>0</v>
      </c>
      <c r="X58" s="965">
        <f>IFERROR('On cost calculator'!Y504,0)</f>
        <v>0</v>
      </c>
      <c r="Y58" s="28">
        <v>0</v>
      </c>
      <c r="Z58" s="965">
        <f>IFERROR('On cost calculator'!AA504,0)</f>
        <v>0</v>
      </c>
      <c r="AA58" s="28">
        <v>0</v>
      </c>
      <c r="AB58" s="965">
        <f>IFERROR('On cost calculator'!AC504,0)</f>
        <v>0</v>
      </c>
      <c r="AC58" s="958">
        <f t="shared" si="8"/>
        <v>0</v>
      </c>
      <c r="AD58" s="991">
        <f t="shared" si="7"/>
        <v>0</v>
      </c>
      <c r="AE58" s="29"/>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row>
    <row r="59" spans="1:57" s="1" customFormat="1" ht="15" customHeight="1" x14ac:dyDescent="0.3">
      <c r="A59" s="1163"/>
      <c r="B59" s="33"/>
      <c r="C59" s="1065" t="str">
        <f t="shared" si="5"/>
        <v xml:space="preserve"> </v>
      </c>
      <c r="D59" s="33"/>
      <c r="E59" s="33"/>
      <c r="F59" s="33"/>
      <c r="G59" s="33"/>
      <c r="H59" s="294">
        <f t="shared" si="6"/>
        <v>0</v>
      </c>
      <c r="I59" s="28">
        <v>0</v>
      </c>
      <c r="J59" s="965">
        <f>IFERROR('On cost calculator'!K523,0)</f>
        <v>0</v>
      </c>
      <c r="K59" s="28">
        <v>0</v>
      </c>
      <c r="L59" s="965">
        <f>IFERROR('On cost calculator'!M523,0)</f>
        <v>0</v>
      </c>
      <c r="M59" s="28">
        <v>0</v>
      </c>
      <c r="N59" s="965">
        <f>IFERROR('On cost calculator'!O523,0)</f>
        <v>0</v>
      </c>
      <c r="O59" s="28">
        <v>0</v>
      </c>
      <c r="P59" s="965">
        <f>IFERROR('On cost calculator'!Q523,0)</f>
        <v>0</v>
      </c>
      <c r="Q59" s="28">
        <v>0</v>
      </c>
      <c r="R59" s="965">
        <f>IFERROR('On cost calculator'!S523,0)</f>
        <v>0</v>
      </c>
      <c r="S59" s="28">
        <v>0</v>
      </c>
      <c r="T59" s="965">
        <f>IFERROR('On cost calculator'!U523,0)</f>
        <v>0</v>
      </c>
      <c r="U59" s="28">
        <v>0</v>
      </c>
      <c r="V59" s="965">
        <f>IFERROR('On cost calculator'!W523,0)</f>
        <v>0</v>
      </c>
      <c r="W59" s="28">
        <v>0</v>
      </c>
      <c r="X59" s="965">
        <f>IFERROR('On cost calculator'!Y523,0)</f>
        <v>0</v>
      </c>
      <c r="Y59" s="28">
        <v>0</v>
      </c>
      <c r="Z59" s="965">
        <f>IFERROR('On cost calculator'!AA523,0)</f>
        <v>0</v>
      </c>
      <c r="AA59" s="28">
        <v>0</v>
      </c>
      <c r="AB59" s="965">
        <f>IFERROR('On cost calculator'!AC523,0)</f>
        <v>0</v>
      </c>
      <c r="AC59" s="958">
        <f t="shared" si="8"/>
        <v>0</v>
      </c>
      <c r="AD59" s="991">
        <f t="shared" si="7"/>
        <v>0</v>
      </c>
      <c r="AE59" s="29"/>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row>
    <row r="60" spans="1:57" s="1" customFormat="1" ht="15" customHeight="1" x14ac:dyDescent="0.3">
      <c r="A60" s="1163"/>
      <c r="B60" s="33"/>
      <c r="C60" s="1065" t="str">
        <f t="shared" si="5"/>
        <v xml:space="preserve"> </v>
      </c>
      <c r="D60" s="33"/>
      <c r="E60" s="33"/>
      <c r="F60" s="33"/>
      <c r="G60" s="33"/>
      <c r="H60" s="294">
        <f t="shared" si="6"/>
        <v>0</v>
      </c>
      <c r="I60" s="28">
        <v>0</v>
      </c>
      <c r="J60" s="965">
        <f>IFERROR('On cost calculator'!K542,0)</f>
        <v>0</v>
      </c>
      <c r="K60" s="28">
        <v>0</v>
      </c>
      <c r="L60" s="965">
        <f>IFERROR('On cost calculator'!M542,0)</f>
        <v>0</v>
      </c>
      <c r="M60" s="28">
        <v>0</v>
      </c>
      <c r="N60" s="965">
        <f>IFERROR('On cost calculator'!O542,0)</f>
        <v>0</v>
      </c>
      <c r="O60" s="28">
        <v>0</v>
      </c>
      <c r="P60" s="965">
        <f>IFERROR('On cost calculator'!Q542,0)</f>
        <v>0</v>
      </c>
      <c r="Q60" s="28">
        <v>0</v>
      </c>
      <c r="R60" s="965">
        <f>IFERROR('On cost calculator'!S542,0)</f>
        <v>0</v>
      </c>
      <c r="S60" s="28">
        <v>0</v>
      </c>
      <c r="T60" s="965">
        <f>IFERROR('On cost calculator'!U542,0)</f>
        <v>0</v>
      </c>
      <c r="U60" s="28">
        <v>0</v>
      </c>
      <c r="V60" s="965">
        <f>IFERROR('On cost calculator'!W542,0)</f>
        <v>0</v>
      </c>
      <c r="W60" s="28">
        <v>0</v>
      </c>
      <c r="X60" s="965">
        <f>IFERROR('On cost calculator'!Y542,0)</f>
        <v>0</v>
      </c>
      <c r="Y60" s="28">
        <v>0</v>
      </c>
      <c r="Z60" s="965">
        <f>IFERROR('On cost calculator'!AA542,0)</f>
        <v>0</v>
      </c>
      <c r="AA60" s="28">
        <v>0</v>
      </c>
      <c r="AB60" s="965">
        <f>IFERROR('On cost calculator'!AC542,0)</f>
        <v>0</v>
      </c>
      <c r="AC60" s="958">
        <f t="shared" si="8"/>
        <v>0</v>
      </c>
      <c r="AD60" s="991">
        <f t="shared" si="7"/>
        <v>0</v>
      </c>
      <c r="AE60" s="29"/>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row>
    <row r="61" spans="1:57" s="1" customFormat="1" ht="15" customHeight="1" x14ac:dyDescent="0.3">
      <c r="A61" s="1163"/>
      <c r="B61" s="33"/>
      <c r="C61" s="1065" t="str">
        <f t="shared" si="5"/>
        <v xml:space="preserve"> </v>
      </c>
      <c r="D61" s="33"/>
      <c r="E61" s="33"/>
      <c r="F61" s="33"/>
      <c r="G61" s="33"/>
      <c r="H61" s="294">
        <f t="shared" si="6"/>
        <v>0</v>
      </c>
      <c r="I61" s="28">
        <v>0</v>
      </c>
      <c r="J61" s="965">
        <f>IFERROR('On cost calculator'!K561,0)</f>
        <v>0</v>
      </c>
      <c r="K61" s="28">
        <v>0</v>
      </c>
      <c r="L61" s="965">
        <f>IFERROR('On cost calculator'!M561,0)</f>
        <v>0</v>
      </c>
      <c r="M61" s="28">
        <v>0</v>
      </c>
      <c r="N61" s="965">
        <f>IFERROR('On cost calculator'!O561,0)</f>
        <v>0</v>
      </c>
      <c r="O61" s="28">
        <v>0</v>
      </c>
      <c r="P61" s="965">
        <f>IFERROR('On cost calculator'!Q561,0)</f>
        <v>0</v>
      </c>
      <c r="Q61" s="28">
        <v>0</v>
      </c>
      <c r="R61" s="965">
        <f>IFERROR('On cost calculator'!S561,0)</f>
        <v>0</v>
      </c>
      <c r="S61" s="28">
        <v>0</v>
      </c>
      <c r="T61" s="965">
        <f>IFERROR('On cost calculator'!U561,0)</f>
        <v>0</v>
      </c>
      <c r="U61" s="28">
        <v>0</v>
      </c>
      <c r="V61" s="965">
        <f>IFERROR('On cost calculator'!W561,0)</f>
        <v>0</v>
      </c>
      <c r="W61" s="28">
        <v>0</v>
      </c>
      <c r="X61" s="965">
        <f>IFERROR('On cost calculator'!Y561,0)</f>
        <v>0</v>
      </c>
      <c r="Y61" s="28">
        <v>0</v>
      </c>
      <c r="Z61" s="965">
        <f>IFERROR('On cost calculator'!AA561,0)</f>
        <v>0</v>
      </c>
      <c r="AA61" s="28">
        <v>0</v>
      </c>
      <c r="AB61" s="965">
        <f>IFERROR('On cost calculator'!AC561,0)</f>
        <v>0</v>
      </c>
      <c r="AC61" s="958">
        <f t="shared" si="8"/>
        <v>0</v>
      </c>
      <c r="AD61" s="991">
        <f t="shared" si="7"/>
        <v>0</v>
      </c>
      <c r="AE61" s="29"/>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row>
    <row r="62" spans="1:57" s="1" customFormat="1" ht="15" customHeight="1" x14ac:dyDescent="0.3">
      <c r="A62" s="1163"/>
      <c r="B62" s="33"/>
      <c r="C62" s="1065" t="str">
        <f t="shared" si="5"/>
        <v xml:space="preserve"> </v>
      </c>
      <c r="D62" s="33"/>
      <c r="E62" s="33"/>
      <c r="F62" s="33"/>
      <c r="G62" s="33"/>
      <c r="H62" s="294">
        <f t="shared" si="6"/>
        <v>0</v>
      </c>
      <c r="I62" s="28">
        <v>0</v>
      </c>
      <c r="J62" s="965">
        <f>IFERROR('On cost calculator'!K580,0)</f>
        <v>0</v>
      </c>
      <c r="K62" s="28">
        <v>0</v>
      </c>
      <c r="L62" s="965">
        <f>IFERROR('On cost calculator'!M580,0)</f>
        <v>0</v>
      </c>
      <c r="M62" s="28">
        <v>0</v>
      </c>
      <c r="N62" s="965">
        <f>IFERROR('On cost calculator'!O580,0)</f>
        <v>0</v>
      </c>
      <c r="O62" s="28">
        <v>0</v>
      </c>
      <c r="P62" s="965">
        <f>IFERROR('On cost calculator'!Q580,0)</f>
        <v>0</v>
      </c>
      <c r="Q62" s="28">
        <v>0</v>
      </c>
      <c r="R62" s="965">
        <f>IFERROR('On cost calculator'!S580,0)</f>
        <v>0</v>
      </c>
      <c r="S62" s="28">
        <v>0</v>
      </c>
      <c r="T62" s="965">
        <f>IFERROR('On cost calculator'!U580,0)</f>
        <v>0</v>
      </c>
      <c r="U62" s="28">
        <v>0</v>
      </c>
      <c r="V62" s="965">
        <f>IFERROR('On cost calculator'!W580,0)</f>
        <v>0</v>
      </c>
      <c r="W62" s="28">
        <v>0</v>
      </c>
      <c r="X62" s="965">
        <f>IFERROR('On cost calculator'!Y580,0)</f>
        <v>0</v>
      </c>
      <c r="Y62" s="28">
        <v>0</v>
      </c>
      <c r="Z62" s="965">
        <f>IFERROR('On cost calculator'!AA580,0)</f>
        <v>0</v>
      </c>
      <c r="AA62" s="28">
        <v>0</v>
      </c>
      <c r="AB62" s="965">
        <f>IFERROR('On cost calculator'!AC580,0)</f>
        <v>0</v>
      </c>
      <c r="AC62" s="958">
        <f t="shared" si="8"/>
        <v>0</v>
      </c>
      <c r="AD62" s="991">
        <f t="shared" si="7"/>
        <v>0</v>
      </c>
      <c r="AE62" s="29"/>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row>
    <row r="63" spans="1:57" s="1" customFormat="1" ht="15" hidden="1" customHeight="1" outlineLevel="1" x14ac:dyDescent="0.3">
      <c r="A63" s="1163"/>
      <c r="B63" s="33"/>
      <c r="C63" s="1065" t="str">
        <f t="shared" si="5"/>
        <v xml:space="preserve"> </v>
      </c>
      <c r="D63" s="33"/>
      <c r="E63" s="33"/>
      <c r="F63" s="33"/>
      <c r="G63" s="33"/>
      <c r="H63" s="294">
        <f t="shared" si="6"/>
        <v>0</v>
      </c>
      <c r="I63" s="28">
        <v>0</v>
      </c>
      <c r="J63" s="965">
        <f>IFERROR('On cost calculator'!K599,0)</f>
        <v>0</v>
      </c>
      <c r="K63" s="28">
        <v>0</v>
      </c>
      <c r="L63" s="965">
        <f>IFERROR('On cost calculator'!M599,0)</f>
        <v>0</v>
      </c>
      <c r="M63" s="28">
        <v>0</v>
      </c>
      <c r="N63" s="965">
        <f>IFERROR('On cost calculator'!O599,0)</f>
        <v>0</v>
      </c>
      <c r="O63" s="28">
        <v>0</v>
      </c>
      <c r="P63" s="965">
        <f>IFERROR('On cost calculator'!Q599,0)</f>
        <v>0</v>
      </c>
      <c r="Q63" s="28">
        <v>0</v>
      </c>
      <c r="R63" s="965">
        <f>IFERROR('On cost calculator'!S599,0)</f>
        <v>0</v>
      </c>
      <c r="S63" s="28">
        <v>0</v>
      </c>
      <c r="T63" s="965">
        <f>IFERROR('On cost calculator'!U599,0)</f>
        <v>0</v>
      </c>
      <c r="U63" s="28">
        <v>0</v>
      </c>
      <c r="V63" s="965">
        <f>IFERROR('On cost calculator'!W599,0)</f>
        <v>0</v>
      </c>
      <c r="W63" s="28">
        <v>0</v>
      </c>
      <c r="X63" s="965">
        <f>IFERROR('On cost calculator'!Y599,0)</f>
        <v>0</v>
      </c>
      <c r="Y63" s="28">
        <v>0</v>
      </c>
      <c r="Z63" s="965">
        <f>IFERROR('On cost calculator'!AA599,0)</f>
        <v>0</v>
      </c>
      <c r="AA63" s="28">
        <v>0</v>
      </c>
      <c r="AB63" s="965">
        <f>IFERROR('On cost calculator'!AC599,0)</f>
        <v>0</v>
      </c>
      <c r="AC63" s="958">
        <f t="shared" si="8"/>
        <v>0</v>
      </c>
      <c r="AD63" s="991">
        <f t="shared" si="7"/>
        <v>0</v>
      </c>
      <c r="AE63" s="29"/>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row>
    <row r="64" spans="1:57" s="1" customFormat="1" ht="15" hidden="1" customHeight="1" outlineLevel="1" x14ac:dyDescent="0.3">
      <c r="A64" s="1163"/>
      <c r="B64" s="33"/>
      <c r="C64" s="1065" t="str">
        <f t="shared" si="5"/>
        <v xml:space="preserve"> </v>
      </c>
      <c r="D64" s="33"/>
      <c r="E64" s="33"/>
      <c r="F64" s="33"/>
      <c r="G64" s="33"/>
      <c r="H64" s="294">
        <f t="shared" si="6"/>
        <v>0</v>
      </c>
      <c r="I64" s="28">
        <v>0</v>
      </c>
      <c r="J64" s="965">
        <f>IFERROR('On cost calculator'!K618,0)</f>
        <v>0</v>
      </c>
      <c r="K64" s="28">
        <v>0</v>
      </c>
      <c r="L64" s="965">
        <f>IFERROR('On cost calculator'!M618,0)</f>
        <v>0</v>
      </c>
      <c r="M64" s="28">
        <v>0</v>
      </c>
      <c r="N64" s="965">
        <f>IFERROR('On cost calculator'!O618,0)</f>
        <v>0</v>
      </c>
      <c r="O64" s="28">
        <v>0</v>
      </c>
      <c r="P64" s="965">
        <f>IFERROR('On cost calculator'!Q618,0)</f>
        <v>0</v>
      </c>
      <c r="Q64" s="28">
        <v>0</v>
      </c>
      <c r="R64" s="965">
        <f>IFERROR('On cost calculator'!S618,0)</f>
        <v>0</v>
      </c>
      <c r="S64" s="28">
        <v>0</v>
      </c>
      <c r="T64" s="965">
        <f>IFERROR('On cost calculator'!U618,0)</f>
        <v>0</v>
      </c>
      <c r="U64" s="28">
        <v>0</v>
      </c>
      <c r="V64" s="965">
        <f>IFERROR('On cost calculator'!W618,0)</f>
        <v>0</v>
      </c>
      <c r="W64" s="28">
        <v>0</v>
      </c>
      <c r="X64" s="965">
        <f>IFERROR('On cost calculator'!Y618,0)</f>
        <v>0</v>
      </c>
      <c r="Y64" s="28">
        <v>0</v>
      </c>
      <c r="Z64" s="965">
        <f>IFERROR('On cost calculator'!AA618,0)</f>
        <v>0</v>
      </c>
      <c r="AA64" s="28">
        <v>0</v>
      </c>
      <c r="AB64" s="965">
        <f>IFERROR('On cost calculator'!AC618,0)</f>
        <v>0</v>
      </c>
      <c r="AC64" s="958">
        <f t="shared" si="8"/>
        <v>0</v>
      </c>
      <c r="AD64" s="991">
        <f t="shared" si="7"/>
        <v>0</v>
      </c>
      <c r="AE64" s="29"/>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row>
    <row r="65" spans="1:57" s="1" customFormat="1" ht="15" hidden="1" customHeight="1" outlineLevel="1" x14ac:dyDescent="0.3">
      <c r="A65" s="1163"/>
      <c r="B65" s="33"/>
      <c r="C65" s="1065" t="str">
        <f t="shared" si="5"/>
        <v xml:space="preserve"> </v>
      </c>
      <c r="D65" s="33"/>
      <c r="E65" s="33"/>
      <c r="F65" s="33"/>
      <c r="G65" s="33"/>
      <c r="H65" s="294">
        <f t="shared" si="6"/>
        <v>0</v>
      </c>
      <c r="I65" s="28">
        <v>0</v>
      </c>
      <c r="J65" s="965">
        <f>IFERROR('On cost calculator'!K637,0)</f>
        <v>0</v>
      </c>
      <c r="K65" s="28">
        <v>0</v>
      </c>
      <c r="L65" s="965">
        <f>IFERROR('On cost calculator'!M637,0)</f>
        <v>0</v>
      </c>
      <c r="M65" s="28">
        <v>0</v>
      </c>
      <c r="N65" s="965">
        <f>IFERROR('On cost calculator'!O637,0)</f>
        <v>0</v>
      </c>
      <c r="O65" s="28">
        <v>0</v>
      </c>
      <c r="P65" s="965">
        <f>IFERROR('On cost calculator'!Q637,0)</f>
        <v>0</v>
      </c>
      <c r="Q65" s="28">
        <v>0</v>
      </c>
      <c r="R65" s="965">
        <f>IFERROR('On cost calculator'!S637,0)</f>
        <v>0</v>
      </c>
      <c r="S65" s="28">
        <v>0</v>
      </c>
      <c r="T65" s="965">
        <f>IFERROR('On cost calculator'!U637,0)</f>
        <v>0</v>
      </c>
      <c r="U65" s="28">
        <v>0</v>
      </c>
      <c r="V65" s="965">
        <f>IFERROR('On cost calculator'!W637,0)</f>
        <v>0</v>
      </c>
      <c r="W65" s="28">
        <v>0</v>
      </c>
      <c r="X65" s="965">
        <f>IFERROR('On cost calculator'!Y637,0)</f>
        <v>0</v>
      </c>
      <c r="Y65" s="28">
        <v>0</v>
      </c>
      <c r="Z65" s="965">
        <f>IFERROR('On cost calculator'!AA637,0)</f>
        <v>0</v>
      </c>
      <c r="AA65" s="28">
        <v>0</v>
      </c>
      <c r="AB65" s="965">
        <f>IFERROR('On cost calculator'!AC637,0)</f>
        <v>0</v>
      </c>
      <c r="AC65" s="958">
        <f t="shared" si="8"/>
        <v>0</v>
      </c>
      <c r="AD65" s="991">
        <f t="shared" si="7"/>
        <v>0</v>
      </c>
      <c r="AE65" s="29"/>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row>
    <row r="66" spans="1:57" s="1" customFormat="1" ht="15" hidden="1" customHeight="1" outlineLevel="1" x14ac:dyDescent="0.3">
      <c r="A66" s="1163"/>
      <c r="B66" s="33"/>
      <c r="C66" s="1065" t="str">
        <f t="shared" si="5"/>
        <v xml:space="preserve"> </v>
      </c>
      <c r="D66" s="33"/>
      <c r="E66" s="33"/>
      <c r="F66" s="33"/>
      <c r="G66" s="33"/>
      <c r="H66" s="294">
        <f t="shared" si="6"/>
        <v>0</v>
      </c>
      <c r="I66" s="28">
        <v>0</v>
      </c>
      <c r="J66" s="965">
        <f>IFERROR('On cost calculator'!K656,0)</f>
        <v>0</v>
      </c>
      <c r="K66" s="28">
        <v>0</v>
      </c>
      <c r="L66" s="965">
        <f>IFERROR('On cost calculator'!M656,0)</f>
        <v>0</v>
      </c>
      <c r="M66" s="28">
        <v>0</v>
      </c>
      <c r="N66" s="965">
        <f>IFERROR('On cost calculator'!O656,0)</f>
        <v>0</v>
      </c>
      <c r="O66" s="28">
        <v>0</v>
      </c>
      <c r="P66" s="965">
        <f>IFERROR('On cost calculator'!Q656,0)</f>
        <v>0</v>
      </c>
      <c r="Q66" s="28">
        <v>0</v>
      </c>
      <c r="R66" s="965">
        <f>IFERROR('On cost calculator'!S656,0)</f>
        <v>0</v>
      </c>
      <c r="S66" s="28">
        <v>0</v>
      </c>
      <c r="T66" s="965">
        <f>IFERROR('On cost calculator'!U656,0)</f>
        <v>0</v>
      </c>
      <c r="U66" s="28">
        <v>0</v>
      </c>
      <c r="V66" s="965">
        <f>IFERROR('On cost calculator'!W656,0)</f>
        <v>0</v>
      </c>
      <c r="W66" s="28">
        <v>0</v>
      </c>
      <c r="X66" s="965">
        <f>IFERROR('On cost calculator'!Y656,0)</f>
        <v>0</v>
      </c>
      <c r="Y66" s="28">
        <v>0</v>
      </c>
      <c r="Z66" s="965">
        <f>IFERROR('On cost calculator'!AA656,0)</f>
        <v>0</v>
      </c>
      <c r="AA66" s="28">
        <v>0</v>
      </c>
      <c r="AB66" s="965">
        <f>IFERROR('On cost calculator'!AC656,0)</f>
        <v>0</v>
      </c>
      <c r="AC66" s="958">
        <f t="shared" si="8"/>
        <v>0</v>
      </c>
      <c r="AD66" s="991">
        <f t="shared" si="7"/>
        <v>0</v>
      </c>
      <c r="AE66" s="29"/>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row>
    <row r="67" spans="1:57" s="1" customFormat="1" ht="15" hidden="1" customHeight="1" outlineLevel="1" x14ac:dyDescent="0.3">
      <c r="A67" s="1163"/>
      <c r="B67" s="33"/>
      <c r="C67" s="1065" t="str">
        <f t="shared" si="5"/>
        <v xml:space="preserve"> </v>
      </c>
      <c r="D67" s="33"/>
      <c r="E67" s="33"/>
      <c r="F67" s="33"/>
      <c r="G67" s="33"/>
      <c r="H67" s="294">
        <f t="shared" si="6"/>
        <v>0</v>
      </c>
      <c r="I67" s="28">
        <v>0</v>
      </c>
      <c r="J67" s="965">
        <f>IFERROR('On cost calculator'!K675,0)</f>
        <v>0</v>
      </c>
      <c r="K67" s="28">
        <v>0</v>
      </c>
      <c r="L67" s="965">
        <f>IFERROR('On cost calculator'!M675,0)</f>
        <v>0</v>
      </c>
      <c r="M67" s="28">
        <v>0</v>
      </c>
      <c r="N67" s="965">
        <f>IFERROR('On cost calculator'!O675,0)</f>
        <v>0</v>
      </c>
      <c r="O67" s="28">
        <v>0</v>
      </c>
      <c r="P67" s="965">
        <f>IFERROR('On cost calculator'!Q675,0)</f>
        <v>0</v>
      </c>
      <c r="Q67" s="28">
        <v>0</v>
      </c>
      <c r="R67" s="965">
        <f>IFERROR('On cost calculator'!S675,0)</f>
        <v>0</v>
      </c>
      <c r="S67" s="28">
        <v>0</v>
      </c>
      <c r="T67" s="965">
        <f>IFERROR('On cost calculator'!U675,0)</f>
        <v>0</v>
      </c>
      <c r="U67" s="28">
        <v>0</v>
      </c>
      <c r="V67" s="965">
        <f>IFERROR('On cost calculator'!W675,0)</f>
        <v>0</v>
      </c>
      <c r="W67" s="28">
        <v>0</v>
      </c>
      <c r="X67" s="965">
        <f>IFERROR('On cost calculator'!Y675,0)</f>
        <v>0</v>
      </c>
      <c r="Y67" s="28">
        <v>0</v>
      </c>
      <c r="Z67" s="965">
        <f>IFERROR('On cost calculator'!AA675,0)</f>
        <v>0</v>
      </c>
      <c r="AA67" s="28">
        <v>0</v>
      </c>
      <c r="AB67" s="965">
        <f>IFERROR('On cost calculator'!AC675,0)</f>
        <v>0</v>
      </c>
      <c r="AC67" s="958">
        <f t="shared" si="8"/>
        <v>0</v>
      </c>
      <c r="AD67" s="991">
        <f t="shared" si="7"/>
        <v>0</v>
      </c>
      <c r="AE67" s="29"/>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row>
    <row r="68" spans="1:57" s="1" customFormat="1" ht="15" hidden="1" customHeight="1" outlineLevel="1" x14ac:dyDescent="0.3">
      <c r="A68" s="1163"/>
      <c r="B68" s="33"/>
      <c r="C68" s="1065" t="str">
        <f t="shared" si="5"/>
        <v xml:space="preserve"> </v>
      </c>
      <c r="D68" s="33"/>
      <c r="E68" s="33"/>
      <c r="F68" s="33"/>
      <c r="G68" s="33"/>
      <c r="H68" s="294">
        <f t="shared" si="6"/>
        <v>0</v>
      </c>
      <c r="I68" s="28">
        <v>0</v>
      </c>
      <c r="J68" s="965">
        <f>IFERROR('On cost calculator'!K694,0)</f>
        <v>0</v>
      </c>
      <c r="K68" s="28">
        <v>0</v>
      </c>
      <c r="L68" s="965">
        <f>IFERROR('On cost calculator'!M694,0)</f>
        <v>0</v>
      </c>
      <c r="M68" s="28">
        <v>0</v>
      </c>
      <c r="N68" s="965">
        <f>IFERROR('On cost calculator'!O694,0)</f>
        <v>0</v>
      </c>
      <c r="O68" s="28">
        <v>0</v>
      </c>
      <c r="P68" s="965">
        <f>IFERROR('On cost calculator'!Q694,0)</f>
        <v>0</v>
      </c>
      <c r="Q68" s="28">
        <v>0</v>
      </c>
      <c r="R68" s="965">
        <f>IFERROR('On cost calculator'!S694,0)</f>
        <v>0</v>
      </c>
      <c r="S68" s="28">
        <v>0</v>
      </c>
      <c r="T68" s="965">
        <f>IFERROR('On cost calculator'!U694,0)</f>
        <v>0</v>
      </c>
      <c r="U68" s="28">
        <v>0</v>
      </c>
      <c r="V68" s="965">
        <f>IFERROR('On cost calculator'!W694,0)</f>
        <v>0</v>
      </c>
      <c r="W68" s="28">
        <v>0</v>
      </c>
      <c r="X68" s="965">
        <f>IFERROR('On cost calculator'!Y694,0)</f>
        <v>0</v>
      </c>
      <c r="Y68" s="28">
        <v>0</v>
      </c>
      <c r="Z68" s="965">
        <f>IFERROR('On cost calculator'!AA694,0)</f>
        <v>0</v>
      </c>
      <c r="AA68" s="28">
        <v>0</v>
      </c>
      <c r="AB68" s="965">
        <f>IFERROR('On cost calculator'!AC694,0)</f>
        <v>0</v>
      </c>
      <c r="AC68" s="958">
        <f t="shared" si="8"/>
        <v>0</v>
      </c>
      <c r="AD68" s="991">
        <f t="shared" si="7"/>
        <v>0</v>
      </c>
      <c r="AE68" s="29"/>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row>
    <row r="69" spans="1:57" s="1" customFormat="1" ht="15" hidden="1" customHeight="1" outlineLevel="1" x14ac:dyDescent="0.3">
      <c r="A69" s="1163"/>
      <c r="B69" s="33"/>
      <c r="C69" s="1065" t="str">
        <f t="shared" si="5"/>
        <v xml:space="preserve"> </v>
      </c>
      <c r="D69" s="33"/>
      <c r="E69" s="33"/>
      <c r="F69" s="33"/>
      <c r="G69" s="33"/>
      <c r="H69" s="294">
        <f t="shared" si="6"/>
        <v>0</v>
      </c>
      <c r="I69" s="28">
        <v>0</v>
      </c>
      <c r="J69" s="965">
        <f>IFERROR('On cost calculator'!K713,0)</f>
        <v>0</v>
      </c>
      <c r="K69" s="28">
        <v>0</v>
      </c>
      <c r="L69" s="965">
        <f>IFERROR('On cost calculator'!M713,0)</f>
        <v>0</v>
      </c>
      <c r="M69" s="28">
        <v>0</v>
      </c>
      <c r="N69" s="965">
        <f>IFERROR('On cost calculator'!O713,0)</f>
        <v>0</v>
      </c>
      <c r="O69" s="28">
        <v>0</v>
      </c>
      <c r="P69" s="965">
        <f>IFERROR('On cost calculator'!Q713,0)</f>
        <v>0</v>
      </c>
      <c r="Q69" s="28">
        <v>0</v>
      </c>
      <c r="R69" s="965">
        <f>IFERROR('On cost calculator'!S713,0)</f>
        <v>0</v>
      </c>
      <c r="S69" s="28">
        <v>0</v>
      </c>
      <c r="T69" s="965">
        <f>IFERROR('On cost calculator'!U713,0)</f>
        <v>0</v>
      </c>
      <c r="U69" s="28">
        <v>0</v>
      </c>
      <c r="V69" s="965">
        <f>IFERROR('On cost calculator'!W713,0)</f>
        <v>0</v>
      </c>
      <c r="W69" s="28">
        <v>0</v>
      </c>
      <c r="X69" s="965">
        <f>IFERROR('On cost calculator'!Y713,0)</f>
        <v>0</v>
      </c>
      <c r="Y69" s="28">
        <v>0</v>
      </c>
      <c r="Z69" s="965">
        <f>IFERROR('On cost calculator'!AA713,0)</f>
        <v>0</v>
      </c>
      <c r="AA69" s="28">
        <v>0</v>
      </c>
      <c r="AB69" s="965">
        <f>IFERROR('On cost calculator'!AC713,0)</f>
        <v>0</v>
      </c>
      <c r="AC69" s="958">
        <f t="shared" si="8"/>
        <v>0</v>
      </c>
      <c r="AD69" s="991">
        <f t="shared" si="7"/>
        <v>0</v>
      </c>
      <c r="AE69" s="29"/>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row>
    <row r="70" spans="1:57" s="1" customFormat="1" ht="15" hidden="1" customHeight="1" outlineLevel="1" x14ac:dyDescent="0.3">
      <c r="A70" s="1163"/>
      <c r="B70" s="33"/>
      <c r="C70" s="1065" t="str">
        <f t="shared" si="5"/>
        <v xml:space="preserve"> </v>
      </c>
      <c r="D70" s="33"/>
      <c r="E70" s="33"/>
      <c r="F70" s="33"/>
      <c r="G70" s="33"/>
      <c r="H70" s="294">
        <f t="shared" si="6"/>
        <v>0</v>
      </c>
      <c r="I70" s="28">
        <v>0</v>
      </c>
      <c r="J70" s="965">
        <f>IFERROR('On cost calculator'!K732,0)</f>
        <v>0</v>
      </c>
      <c r="K70" s="28">
        <v>0</v>
      </c>
      <c r="L70" s="965">
        <f>IFERROR('On cost calculator'!M732,0)</f>
        <v>0</v>
      </c>
      <c r="M70" s="28">
        <v>0</v>
      </c>
      <c r="N70" s="965">
        <f>IFERROR('On cost calculator'!O732,0)</f>
        <v>0</v>
      </c>
      <c r="O70" s="28">
        <v>0</v>
      </c>
      <c r="P70" s="965">
        <f>IFERROR('On cost calculator'!Q732,0)</f>
        <v>0</v>
      </c>
      <c r="Q70" s="28">
        <v>0</v>
      </c>
      <c r="R70" s="965">
        <f>IFERROR('On cost calculator'!S732,0)</f>
        <v>0</v>
      </c>
      <c r="S70" s="28">
        <v>0</v>
      </c>
      <c r="T70" s="965">
        <f>IFERROR('On cost calculator'!U732,0)</f>
        <v>0</v>
      </c>
      <c r="U70" s="28">
        <v>0</v>
      </c>
      <c r="V70" s="965">
        <f>IFERROR('On cost calculator'!W732,0)</f>
        <v>0</v>
      </c>
      <c r="W70" s="28">
        <v>0</v>
      </c>
      <c r="X70" s="965">
        <f>IFERROR('On cost calculator'!Y732,0)</f>
        <v>0</v>
      </c>
      <c r="Y70" s="28">
        <v>0</v>
      </c>
      <c r="Z70" s="965">
        <f>IFERROR('On cost calculator'!AA732,0)</f>
        <v>0</v>
      </c>
      <c r="AA70" s="28">
        <v>0</v>
      </c>
      <c r="AB70" s="965">
        <f>IFERROR('On cost calculator'!AC732,0)</f>
        <v>0</v>
      </c>
      <c r="AC70" s="958">
        <f t="shared" si="8"/>
        <v>0</v>
      </c>
      <c r="AD70" s="991">
        <f t="shared" si="7"/>
        <v>0</v>
      </c>
      <c r="AE70" s="29"/>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row>
    <row r="71" spans="1:57" s="1" customFormat="1" ht="15.75" hidden="1" customHeight="1" outlineLevel="1" x14ac:dyDescent="0.3">
      <c r="A71" s="1163"/>
      <c r="B71" s="33"/>
      <c r="C71" s="1065" t="str">
        <f t="shared" si="5"/>
        <v xml:space="preserve"> </v>
      </c>
      <c r="D71" s="33"/>
      <c r="E71" s="33"/>
      <c r="F71" s="33"/>
      <c r="G71" s="33"/>
      <c r="H71" s="294">
        <f t="shared" si="6"/>
        <v>0</v>
      </c>
      <c r="I71" s="28">
        <v>0</v>
      </c>
      <c r="J71" s="965">
        <f>IFERROR('On cost calculator'!K751,0)</f>
        <v>0</v>
      </c>
      <c r="K71" s="28">
        <v>0</v>
      </c>
      <c r="L71" s="965">
        <f>IFERROR('On cost calculator'!M751,0)</f>
        <v>0</v>
      </c>
      <c r="M71" s="28">
        <v>0</v>
      </c>
      <c r="N71" s="965">
        <f>IFERROR('On cost calculator'!O751,0)</f>
        <v>0</v>
      </c>
      <c r="O71" s="28">
        <v>0</v>
      </c>
      <c r="P71" s="965">
        <f>IFERROR('On cost calculator'!Q751,0)</f>
        <v>0</v>
      </c>
      <c r="Q71" s="28">
        <v>0</v>
      </c>
      <c r="R71" s="965">
        <f>IFERROR('On cost calculator'!S751,0)</f>
        <v>0</v>
      </c>
      <c r="S71" s="28">
        <v>0</v>
      </c>
      <c r="T71" s="965">
        <f>IFERROR('On cost calculator'!U751,0)</f>
        <v>0</v>
      </c>
      <c r="U71" s="28">
        <v>0</v>
      </c>
      <c r="V71" s="965">
        <f>IFERROR('On cost calculator'!W751,0)</f>
        <v>0</v>
      </c>
      <c r="W71" s="28">
        <v>0</v>
      </c>
      <c r="X71" s="965">
        <f>IFERROR('On cost calculator'!Y751,0)</f>
        <v>0</v>
      </c>
      <c r="Y71" s="28">
        <v>0</v>
      </c>
      <c r="Z71" s="965">
        <f>IFERROR('On cost calculator'!AA751,0)</f>
        <v>0</v>
      </c>
      <c r="AA71" s="28">
        <v>0</v>
      </c>
      <c r="AB71" s="965">
        <f>IFERROR('On cost calculator'!AC751,0)</f>
        <v>0</v>
      </c>
      <c r="AC71" s="958">
        <f t="shared" si="8"/>
        <v>0</v>
      </c>
      <c r="AD71" s="991">
        <f t="shared" si="7"/>
        <v>0</v>
      </c>
      <c r="AE71" s="29"/>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row>
    <row r="72" spans="1:57" s="1" customFormat="1" ht="17.25" hidden="1" customHeight="1" outlineLevel="1" x14ac:dyDescent="0.3">
      <c r="A72" s="1163"/>
      <c r="B72" s="33"/>
      <c r="C72" s="1065" t="str">
        <f t="shared" si="5"/>
        <v xml:space="preserve"> </v>
      </c>
      <c r="D72" s="33"/>
      <c r="E72" s="33"/>
      <c r="F72" s="33"/>
      <c r="G72" s="33"/>
      <c r="H72" s="294">
        <f t="shared" si="6"/>
        <v>0</v>
      </c>
      <c r="I72" s="28">
        <v>0</v>
      </c>
      <c r="J72" s="965">
        <f>IFERROR('On cost calculator'!K770,0)</f>
        <v>0</v>
      </c>
      <c r="K72" s="28">
        <v>0</v>
      </c>
      <c r="L72" s="965">
        <f>IFERROR('On cost calculator'!M770,0)</f>
        <v>0</v>
      </c>
      <c r="M72" s="28">
        <v>0</v>
      </c>
      <c r="N72" s="965">
        <f>IFERROR('On cost calculator'!O770,0)</f>
        <v>0</v>
      </c>
      <c r="O72" s="28">
        <v>0</v>
      </c>
      <c r="P72" s="965">
        <f>IFERROR('On cost calculator'!Q770,0)</f>
        <v>0</v>
      </c>
      <c r="Q72" s="28">
        <v>0</v>
      </c>
      <c r="R72" s="965">
        <f>IFERROR('On cost calculator'!S770,0)</f>
        <v>0</v>
      </c>
      <c r="S72" s="28">
        <v>0</v>
      </c>
      <c r="T72" s="965">
        <f>IFERROR('On cost calculator'!U770,0)</f>
        <v>0</v>
      </c>
      <c r="U72" s="28">
        <v>0</v>
      </c>
      <c r="V72" s="965">
        <f>IFERROR('On cost calculator'!W770,0)</f>
        <v>0</v>
      </c>
      <c r="W72" s="28">
        <v>0</v>
      </c>
      <c r="X72" s="965">
        <f>IFERROR('On cost calculator'!Y770,0)</f>
        <v>0</v>
      </c>
      <c r="Y72" s="28">
        <v>0</v>
      </c>
      <c r="Z72" s="965">
        <f>IFERROR('On cost calculator'!AA770,0)</f>
        <v>0</v>
      </c>
      <c r="AA72" s="28">
        <v>0</v>
      </c>
      <c r="AB72" s="965">
        <f>IFERROR('On cost calculator'!AC770,0)</f>
        <v>0</v>
      </c>
      <c r="AC72" s="958">
        <f t="shared" si="8"/>
        <v>0</v>
      </c>
      <c r="AD72" s="991">
        <f t="shared" si="7"/>
        <v>0</v>
      </c>
      <c r="AE72" s="29"/>
      <c r="AF72" s="14"/>
      <c r="AG72" s="16"/>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row>
    <row r="73" spans="1:57" s="1" customFormat="1" ht="17.100000000000001" customHeight="1" collapsed="1" thickBot="1" x14ac:dyDescent="0.35">
      <c r="A73" s="1163"/>
      <c r="B73" s="25"/>
      <c r="C73" s="25"/>
      <c r="D73" s="25"/>
      <c r="E73" s="25"/>
      <c r="F73" s="25"/>
      <c r="G73" s="25"/>
      <c r="H73" s="25"/>
      <c r="I73" s="25"/>
      <c r="J73" s="966">
        <f>SUM(J53:J72)</f>
        <v>0</v>
      </c>
      <c r="K73" s="24"/>
      <c r="L73" s="966">
        <f>SUM(L53:L72)</f>
        <v>0</v>
      </c>
      <c r="M73" s="24"/>
      <c r="N73" s="966">
        <f>SUM(N53:N72)</f>
        <v>0</v>
      </c>
      <c r="O73" s="24"/>
      <c r="P73" s="966">
        <f>SUM(P53:P72)</f>
        <v>0</v>
      </c>
      <c r="Q73" s="24"/>
      <c r="R73" s="966">
        <f>SUM(R53:R72)</f>
        <v>0</v>
      </c>
      <c r="S73" s="24"/>
      <c r="T73" s="966">
        <f>SUM(T53:T72)</f>
        <v>0</v>
      </c>
      <c r="U73" s="24"/>
      <c r="V73" s="966">
        <f>SUM(V53:V72)</f>
        <v>0</v>
      </c>
      <c r="W73" s="24"/>
      <c r="X73" s="966">
        <f>SUM(X53:X72)</f>
        <v>0</v>
      </c>
      <c r="Y73" s="24"/>
      <c r="Z73" s="966">
        <f>SUM(Z53:Z72)</f>
        <v>0</v>
      </c>
      <c r="AA73" s="24"/>
      <c r="AB73" s="966">
        <f>SUM(AB53:AB72)</f>
        <v>0</v>
      </c>
      <c r="AC73" s="959">
        <f t="shared" si="8"/>
        <v>0</v>
      </c>
      <c r="AD73" s="992">
        <f t="shared" si="7"/>
        <v>0</v>
      </c>
      <c r="AE73" s="29"/>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row>
    <row r="74" spans="1:57" s="118" customFormat="1" ht="17.100000000000001" customHeight="1" thickTop="1" x14ac:dyDescent="0.3">
      <c r="A74" s="1163"/>
      <c r="B74" s="117"/>
      <c r="C74" s="117"/>
      <c r="D74" s="117"/>
      <c r="E74" s="117"/>
      <c r="F74" s="117"/>
      <c r="G74" s="117"/>
      <c r="H74" s="117" t="str">
        <f>IF(tbBudgetCurrency="AUD - Australian Dollar", "","Amount in AUD")</f>
        <v/>
      </c>
      <c r="I74" s="116"/>
      <c r="J74" s="117" t="str">
        <f>IF(tbBudgetCurrency="AUD - Australian Dollar", "",J73/new_xrate)</f>
        <v/>
      </c>
      <c r="K74" s="116"/>
      <c r="L74" s="117" t="str">
        <f>IF(tbBudgetCurrency="AUD - Australian Dollar", "",L73/new_xrate)</f>
        <v/>
      </c>
      <c r="M74" s="116"/>
      <c r="N74" s="117" t="str">
        <f>IF(tbBudgetCurrency="AUD - Australian Dollar", "",N73/new_xrate)</f>
        <v/>
      </c>
      <c r="O74" s="116"/>
      <c r="P74" s="117" t="str">
        <f>IF(tbBudgetCurrency="AUD - Australian Dollar", "",P73/new_xrate)</f>
        <v/>
      </c>
      <c r="Q74" s="116"/>
      <c r="R74" s="117" t="str">
        <f>IF(tbBudgetCurrency="AUD - Australian Dollar", "",R73/new_xrate)</f>
        <v/>
      </c>
      <c r="S74" s="116"/>
      <c r="T74" s="117" t="str">
        <f>IF(tbBudgetCurrency="AUD - Australian Dollar", "",T73/new_xrate)</f>
        <v/>
      </c>
      <c r="U74" s="116"/>
      <c r="V74" s="117" t="str">
        <f>IF(tbBudgetCurrency="AUD - Australian Dollar", "",V73/new_xrate)</f>
        <v/>
      </c>
      <c r="W74" s="116"/>
      <c r="X74" s="117" t="str">
        <f>IF(tbBudgetCurrency="AUD - Australian Dollar", "",X73/new_xrate)</f>
        <v/>
      </c>
      <c r="Y74" s="116"/>
      <c r="Z74" s="117" t="str">
        <f>IF(tbBudgetCurrency="AUD - Australian Dollar", "",Z73/new_xrate)</f>
        <v/>
      </c>
      <c r="AA74" s="116"/>
      <c r="AB74" s="117" t="str">
        <f>IF(tbBudgetCurrency="AUD - Australian Dollar", "",AB73/new_xrate)</f>
        <v/>
      </c>
      <c r="AC74" s="117" t="str">
        <f>IF(tbBudgetCurrency="AUD - Australian Dollar", "",AC73/new_xrate)</f>
        <v/>
      </c>
      <c r="AD74" s="117" t="str">
        <f>IF(tbBudgetCurrency="AUD - Australian Dollar", "",AD73/new_xrate)</f>
        <v/>
      </c>
      <c r="AE74" s="29"/>
    </row>
    <row r="75" spans="1:57" s="1" customFormat="1" x14ac:dyDescent="0.3">
      <c r="A75" s="1163"/>
      <c r="B75" s="26"/>
      <c r="C75" s="26"/>
      <c r="D75" s="26"/>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1164"/>
    </row>
    <row r="76" spans="1:57" s="1" customFormat="1" ht="19.95" customHeight="1" x14ac:dyDescent="0.3">
      <c r="A76" s="1163"/>
      <c r="B76" s="1230" t="s">
        <v>60</v>
      </c>
      <c r="C76" s="1231"/>
      <c r="D76" s="1231"/>
      <c r="E76" s="1231"/>
      <c r="F76" s="1231"/>
      <c r="G76" s="1231"/>
      <c r="H76" s="1231"/>
      <c r="I76" s="1231"/>
      <c r="J76" s="1231"/>
      <c r="K76" s="1231"/>
      <c r="L76" s="1231"/>
      <c r="M76" s="1231"/>
      <c r="N76" s="1231"/>
      <c r="O76" s="1231"/>
      <c r="P76" s="1231"/>
      <c r="Q76" s="1231"/>
      <c r="R76" s="1231"/>
      <c r="S76" s="1230"/>
      <c r="T76" s="1231"/>
      <c r="U76" s="1231"/>
      <c r="V76" s="1231"/>
      <c r="W76" s="1231"/>
      <c r="X76" s="1231"/>
      <c r="Y76" s="1231"/>
      <c r="Z76" s="1231"/>
      <c r="AA76" s="1231"/>
      <c r="AB76" s="1231"/>
      <c r="AC76" s="1231"/>
      <c r="AD76" s="680"/>
      <c r="AE76" s="1169"/>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row>
    <row r="77" spans="1:57" s="1" customFormat="1" ht="27" customHeight="1" x14ac:dyDescent="0.3">
      <c r="A77" s="1163"/>
      <c r="B77" s="1250" t="s">
        <v>61</v>
      </c>
      <c r="C77" s="1250"/>
      <c r="D77" s="1250"/>
      <c r="E77" s="1250"/>
      <c r="F77" s="1250"/>
      <c r="G77" s="1250"/>
      <c r="H77" s="1250"/>
      <c r="I77" s="1250"/>
      <c r="J77" s="1250"/>
      <c r="K77" s="1250"/>
      <c r="L77" s="1250"/>
      <c r="M77" s="1250"/>
      <c r="N77" s="1250"/>
      <c r="O77" s="1250"/>
      <c r="P77" s="1250"/>
      <c r="Q77" s="1250"/>
      <c r="R77" s="1250"/>
      <c r="S77" s="1250"/>
      <c r="T77" s="1250"/>
      <c r="U77" s="1250"/>
      <c r="V77" s="1250"/>
      <c r="W77" s="1250"/>
      <c r="X77" s="1250"/>
      <c r="Y77" s="1250"/>
      <c r="Z77" s="1250"/>
      <c r="AA77" s="1250"/>
      <c r="AB77" s="1250"/>
      <c r="AC77" s="1250"/>
      <c r="AD77" s="282"/>
      <c r="AE77" s="31"/>
    </row>
    <row r="78" spans="1:57" s="1" customFormat="1" x14ac:dyDescent="0.3">
      <c r="A78" s="1163"/>
      <c r="B78" s="282"/>
      <c r="C78" s="282"/>
      <c r="D78" s="282"/>
      <c r="E78" s="282"/>
      <c r="F78" s="282"/>
      <c r="G78" s="282"/>
      <c r="H78" s="282"/>
      <c r="I78" s="282"/>
      <c r="J78" s="282"/>
      <c r="K78" s="282"/>
      <c r="L78" s="282"/>
      <c r="M78" s="282"/>
      <c r="N78" s="282"/>
      <c r="O78" s="282"/>
      <c r="P78" s="282"/>
      <c r="Q78" s="282"/>
      <c r="R78" s="282"/>
      <c r="S78" s="282"/>
      <c r="T78" s="282"/>
      <c r="U78" s="282"/>
      <c r="V78" s="282"/>
      <c r="W78" s="282"/>
      <c r="X78" s="282"/>
      <c r="Y78" s="282"/>
      <c r="Z78" s="282"/>
      <c r="AA78" s="282"/>
      <c r="AB78" s="282"/>
      <c r="AC78" s="282"/>
      <c r="AD78" s="282"/>
      <c r="AE78" s="31"/>
    </row>
    <row r="79" spans="1:57" s="1" customFormat="1" ht="17.100000000000001" customHeight="1" x14ac:dyDescent="0.3">
      <c r="A79" s="1163"/>
      <c r="B79" s="21"/>
      <c r="C79" s="21"/>
      <c r="D79" s="21"/>
      <c r="E79" s="25"/>
      <c r="F79" s="25"/>
      <c r="G79" s="25"/>
      <c r="H79" s="25"/>
      <c r="I79" s="1247" t="str">
        <f>"Year 1" &amp; IF(pStartYear&lt;&gt;"",IF(First_year_fraction=12," ("&amp;pStartYear&amp;") "," ("&amp;pStartYear&amp;") " &amp; "- " &amp;First_year_fraction&amp; " months"),"")</f>
        <v xml:space="preserve">Year 1 (2026) </v>
      </c>
      <c r="J79" s="1248"/>
      <c r="K79" s="1249" t="str">
        <f>"Year 2" &amp; IF(OR(pStartYear="",pStartYear+1&gt;pEndYear),"",(IF(pStartYear+1=pEndYear,(IF(Last_Year_Fraction=12," ("&amp;pStartYear+1&amp;") "," ("&amp;pStartYear+1&amp;") - "&amp;Last_Year_Fraction&amp;" months"))," ("&amp;pStartYear+1&amp;") ")))</f>
        <v xml:space="preserve">Year 2 (2027) </v>
      </c>
      <c r="L79" s="1248"/>
      <c r="M79" s="1249" t="str">
        <f>"Year 3" &amp; IF(OR(pStartYear="",pStartYear+2&gt;pEndYear),"",(IF(pStartYear+2=pEndYear,(IF(Last_Year_Fraction=12," ("&amp;pStartYear+2&amp;") "," ("&amp;pStartYear+2&amp;") - "&amp;Last_Year_Fraction&amp;" months"))," ("&amp;pStartYear+2&amp;") ")))</f>
        <v xml:space="preserve">Year 3 (2028) </v>
      </c>
      <c r="N79" s="1248"/>
      <c r="O79" s="1249" t="str">
        <f>"Year 4" &amp; IF(OR(pStartYear="",pStartYear+3&gt;pEndYear),"",(IF(pStartYear+3=pEndYear,(IF(Last_Year_Fraction=12," ("&amp;pStartYear+3&amp;") "," ("&amp;pStartYear+3&amp;") - "&amp;Last_Year_Fraction&amp;" months"))," ("&amp;pStartYear+3&amp;") ")))</f>
        <v xml:space="preserve">Year 4 (2029) </v>
      </c>
      <c r="P79" s="1248"/>
      <c r="Q79" s="1249" t="str">
        <f>"Year 5" &amp; IF(OR(pStartYear="",pStartYear+4&gt;pEndYear),"",(IF(pStartYear+4=pEndYear,(IF(Last_Year_Fraction=12," ("&amp;pStartYear+4&amp;") "," ("&amp;pStartYear+4&amp;") - "&amp;Last_Year_Fraction&amp;" months"))," ("&amp;pStartYear+4&amp;") ")))</f>
        <v xml:space="preserve">Year 5 (2030) </v>
      </c>
      <c r="R79" s="1248"/>
      <c r="S79" s="1249" t="str">
        <f>"Year 6" &amp; IF(OR(pStartYear="",pStartYear+5&gt;pEndYear),"",(IF(pStartYear+5=pEndYear,(IF(Last_Year_Fraction=12," ("&amp;pStartYear+5&amp;") "," ("&amp;pStartYear+5&amp;") - "&amp;Last_Year_Fraction&amp;" months"))," ("&amp;pStartYear+5&amp;") ")))</f>
        <v>Year 6</v>
      </c>
      <c r="T79" s="1248"/>
      <c r="U79" s="1249" t="str">
        <f>"Year 7" &amp; IF(OR(pStartYear="",pStartYear+6&gt;pEndYear),"",(IF(pStartYear+6=pEndYear,(IF(Last_Year_Fraction=12," ("&amp;pStartYear+6&amp;") "," ("&amp;pStartYear+6&amp;") - "&amp;Last_Year_Fraction&amp;" months"))," ("&amp;pStartYear+6&amp;") ")))</f>
        <v>Year 7</v>
      </c>
      <c r="V79" s="1248"/>
      <c r="W79" s="1249" t="str">
        <f>"Year 8" &amp; IF(OR(pStartYear="",pStartYear+7&gt;pEndYear),"",(IF(pStartYear+7=pEndYear,(IF(Last_Year_Fraction=12," ("&amp;pStartYear+7&amp;") "," ("&amp;pStartYear+7&amp;") - "&amp;Last_Year_Fraction&amp;" months"))," ("&amp;pStartYear+7&amp;") ")))</f>
        <v>Year 8</v>
      </c>
      <c r="X79" s="1248"/>
      <c r="Y79" s="1249" t="str">
        <f>"Year 9" &amp; IF(OR(pStartYear="",pStartYear+8&gt;pEndYear),"",(IF(pStartYear+8=pEndYear,(IF(Last_Year_Fraction=12," ("&amp;pStartYear+8&amp;") "," ("&amp;pStartYear+8&amp;") - "&amp;Last_Year_Fraction&amp;" months"))," ("&amp;pStartYear+8&amp;") ")))</f>
        <v>Year 9</v>
      </c>
      <c r="Z79" s="1248"/>
      <c r="AA79" s="1249" t="str">
        <f>"Year 10" &amp; IF(OR(pStartYear="",pStartYear+9&gt;pEndYear),"",(IF(pStartYear+9=pEndYear,(IF(Last_Year_Fraction=12," ("&amp;pStartYear+9&amp;") "," ("&amp;pStartYear+9&amp;") - "&amp;Last_Year_Fraction&amp;" months"))," ("&amp;pStartYear+9&amp;") ")))</f>
        <v>Year 10</v>
      </c>
      <c r="AB79" s="1251"/>
      <c r="AC79" s="301" t="str">
        <f>IF(tbBudgetCurrency="AUD - Australian Dollar","Total (AUD)",CONCATENATE("Total (",LEFT(tbBudgetCurrency,3),")"))</f>
        <v>Total (AUD)</v>
      </c>
      <c r="AD79" s="302" t="str">
        <f>IF(tbBudgetCurrency="AUD - Australian Dollar","Full Cost (AUD)",CONCATENATE("Full Cost (",LEFT(tbBudgetCurrency,3),")"))</f>
        <v>Full Cost (AUD)</v>
      </c>
      <c r="AE79" s="29"/>
    </row>
    <row r="80" spans="1:57" s="1" customFormat="1" ht="17.100000000000001" customHeight="1" thickBot="1" x14ac:dyDescent="0.35">
      <c r="A80" s="1163"/>
      <c r="B80" s="21" t="s">
        <v>62</v>
      </c>
      <c r="C80" s="21"/>
      <c r="D80" s="21"/>
      <c r="E80" s="25"/>
      <c r="F80" s="25"/>
      <c r="G80" s="25"/>
      <c r="H80" s="25"/>
      <c r="I80" s="35"/>
      <c r="J80" s="369">
        <f>J$73-J$73/pCRInKind</f>
        <v>0</v>
      </c>
      <c r="K80" s="24"/>
      <c r="L80" s="369">
        <f>L$73-L$73/pCRInKind</f>
        <v>0</v>
      </c>
      <c r="M80" s="24"/>
      <c r="N80" s="369">
        <f>N$73-N$73/pCRInKind</f>
        <v>0</v>
      </c>
      <c r="O80" s="24"/>
      <c r="P80" s="369">
        <f>P$73-P$73/pCRInKind</f>
        <v>0</v>
      </c>
      <c r="Q80" s="24"/>
      <c r="R80" s="369">
        <f>R$73-R$73/pCRInKind</f>
        <v>0</v>
      </c>
      <c r="S80" s="24"/>
      <c r="T80" s="369">
        <f>T$73-T$73/pCRInKind</f>
        <v>0</v>
      </c>
      <c r="U80" s="24"/>
      <c r="V80" s="369">
        <f>V$73-V$73/pCRInKind</f>
        <v>0</v>
      </c>
      <c r="W80" s="24"/>
      <c r="X80" s="369">
        <f>X$73-X$73/pCRInKind</f>
        <v>0</v>
      </c>
      <c r="Y80" s="24"/>
      <c r="Z80" s="369">
        <f>Z$73-Z$73/pCRInKind</f>
        <v>0</v>
      </c>
      <c r="AA80" s="24"/>
      <c r="AB80" s="369">
        <f>AB$73-AB$73/pCRInKind</f>
        <v>0</v>
      </c>
      <c r="AC80" s="369">
        <f>SUM($J80,$L80,$N80,$P80,$R80,$T80,$V80,$X80,$Z80,$AB80)</f>
        <v>0</v>
      </c>
      <c r="AD80" s="370">
        <f>(AC80*dfullrecovery)/pCRInKind</f>
        <v>0</v>
      </c>
      <c r="AE80" s="29"/>
    </row>
    <row r="81" spans="1:31" s="118" customFormat="1" ht="17.100000000000001" customHeight="1" thickTop="1" x14ac:dyDescent="0.3">
      <c r="A81" s="1163"/>
      <c r="B81" s="117"/>
      <c r="C81" s="117"/>
      <c r="D81" s="117"/>
      <c r="E81" s="117"/>
      <c r="F81" s="117"/>
      <c r="G81" s="117"/>
      <c r="H81" s="117" t="str">
        <f>IF(tbBudgetCurrency="AUD - Australian Dollar", "","Amount in AUD")</f>
        <v/>
      </c>
      <c r="I81" s="116"/>
      <c r="J81" s="117" t="str">
        <f>IF(tbBudgetCurrency="AUD - Australian Dollar", "",J80/new_xrate)</f>
        <v/>
      </c>
      <c r="K81" s="116"/>
      <c r="L81" s="117" t="str">
        <f>IF(tbBudgetCurrency="AUD - Australian Dollar", "",L80/new_xrate)</f>
        <v/>
      </c>
      <c r="M81" s="116"/>
      <c r="N81" s="117" t="str">
        <f>IF(tbBudgetCurrency="AUD - Australian Dollar", "",N80/new_xrate)</f>
        <v/>
      </c>
      <c r="O81" s="116"/>
      <c r="P81" s="117" t="str">
        <f>IF(tbBudgetCurrency="AUD - Australian Dollar", "",P80/new_xrate)</f>
        <v/>
      </c>
      <c r="Q81" s="116"/>
      <c r="R81" s="117" t="str">
        <f>IF(tbBudgetCurrency="AUD - Australian Dollar", "",R80/new_xrate)</f>
        <v/>
      </c>
      <c r="S81" s="116"/>
      <c r="T81" s="117" t="str">
        <f>IF(tbBudgetCurrency="AUD - Australian Dollar", "",T80/new_xrate)</f>
        <v/>
      </c>
      <c r="U81" s="116"/>
      <c r="V81" s="117" t="str">
        <f>IF(tbBudgetCurrency="AUD - Australian Dollar", "",V80/new_xrate)</f>
        <v/>
      </c>
      <c r="W81" s="116"/>
      <c r="X81" s="117" t="str">
        <f>IF(tbBudgetCurrency="AUD - Australian Dollar", "",X80/new_xrate)</f>
        <v/>
      </c>
      <c r="Y81" s="116"/>
      <c r="Z81" s="117" t="str">
        <f>IF(tbBudgetCurrency="AUD - Australian Dollar", "",Z80/new_xrate)</f>
        <v/>
      </c>
      <c r="AA81" s="116"/>
      <c r="AB81" s="117" t="str">
        <f>IF(tbBudgetCurrency="AUD - Australian Dollar", "",AB80/new_xrate)</f>
        <v/>
      </c>
      <c r="AC81" s="117" t="str">
        <f>IF(tbBudgetCurrency="AUD - Australian Dollar", "",AC80/new_xrate)</f>
        <v/>
      </c>
      <c r="AD81" s="117" t="str">
        <f>IF(tbBudgetCurrency="AUD - Australian Dollar", "",AD80/new_xrate)</f>
        <v/>
      </c>
      <c r="AE81" s="29"/>
    </row>
    <row r="82" spans="1:31" ht="15" thickBot="1" x14ac:dyDescent="0.35">
      <c r="A82" s="1163"/>
      <c r="B82" s="36"/>
      <c r="C82" s="36"/>
      <c r="D82" s="36"/>
      <c r="E82" s="36"/>
      <c r="F82" s="36"/>
      <c r="G82" s="36"/>
      <c r="H82" s="36"/>
      <c r="I82" s="36"/>
      <c r="J82" s="36"/>
      <c r="K82" s="36"/>
      <c r="L82" s="36"/>
      <c r="M82" s="37"/>
      <c r="N82" s="37"/>
      <c r="O82" s="37"/>
      <c r="P82" s="37"/>
      <c r="Q82" s="37"/>
      <c r="R82" s="37"/>
      <c r="S82" s="37"/>
      <c r="T82" s="37"/>
      <c r="U82" s="37"/>
      <c r="V82" s="37"/>
      <c r="W82" s="37"/>
      <c r="X82" s="37"/>
      <c r="Y82" s="37"/>
      <c r="Z82" s="37"/>
      <c r="AA82" s="37"/>
      <c r="AB82" s="37"/>
      <c r="AC82" s="37"/>
      <c r="AD82" s="37"/>
      <c r="AE82" s="1170"/>
    </row>
    <row r="83" spans="1:31" ht="15" thickTop="1" x14ac:dyDescent="0.3">
      <c r="A83" s="1163"/>
      <c r="O83" s="170"/>
    </row>
    <row r="84" spans="1:31" hidden="1" x14ac:dyDescent="0.3">
      <c r="J84" s="107" t="s">
        <v>63</v>
      </c>
      <c r="K84" s="108"/>
      <c r="L84" s="108"/>
      <c r="M84" s="108"/>
      <c r="N84" s="108"/>
      <c r="O84" s="108"/>
      <c r="P84" s="108"/>
      <c r="Q84" s="108"/>
      <c r="R84" s="108"/>
      <c r="AC84" s="77">
        <f>SUM($J80,$L80,$N80,$P80,$R80,$T80,$V80,$X80,$Z80,$AB80)</f>
        <v>0</v>
      </c>
    </row>
    <row r="85" spans="1:31" hidden="1" x14ac:dyDescent="0.3"/>
    <row r="86" spans="1:31" hidden="1" x14ac:dyDescent="0.3">
      <c r="J86" s="77">
        <f>($J$73*dfullrecovery)/pCRInKind - ((J73*dfullrecovery)/pCRInKind )/dfullrecovery</f>
        <v>0</v>
      </c>
    </row>
    <row r="87" spans="1:31" hidden="1" x14ac:dyDescent="0.3"/>
    <row r="172" spans="6:10" x14ac:dyDescent="0.3">
      <c r="F172" s="1246"/>
      <c r="G172" s="1246"/>
      <c r="H172" s="1246"/>
      <c r="I172" s="1246"/>
      <c r="J172" s="1246"/>
    </row>
  </sheetData>
  <sheetProtection sheet="1" objects="1" scenarios="1" selectLockedCells="1"/>
  <customSheetViews>
    <customSheetView guid="{14CC7D48-F74C-409C-986F-C21E8F9D3A08}" scale="85" showGridLines="0" fitToPage="1" hiddenRows="1" hiddenColumns="1" topLeftCell="A34">
      <selection sqref="A1:AC1"/>
      <pageMargins left="0" right="0" top="0" bottom="0" header="0" footer="0"/>
      <printOptions horizontalCentered="1"/>
      <pageSetup paperSize="8" scale="81" orientation="landscape" r:id="rId1"/>
    </customSheetView>
  </customSheetViews>
  <mergeCells count="66">
    <mergeCell ref="AA9:AB9"/>
    <mergeCell ref="S9:T9"/>
    <mergeCell ref="U9:V9"/>
    <mergeCell ref="W9:X9"/>
    <mergeCell ref="I9:J9"/>
    <mergeCell ref="K9:L9"/>
    <mergeCell ref="M9:N9"/>
    <mergeCell ref="O9:P9"/>
    <mergeCell ref="Q9:R9"/>
    <mergeCell ref="Y9:Z9"/>
    <mergeCell ref="AA79:AB79"/>
    <mergeCell ref="B77:AC77"/>
    <mergeCell ref="M51:N51"/>
    <mergeCell ref="O51:P51"/>
    <mergeCell ref="Q51:R51"/>
    <mergeCell ref="S51:T51"/>
    <mergeCell ref="Q79:R79"/>
    <mergeCell ref="AA51:AB51"/>
    <mergeCell ref="Y51:Z51"/>
    <mergeCell ref="B51:B52"/>
    <mergeCell ref="D51:D52"/>
    <mergeCell ref="E51:E52"/>
    <mergeCell ref="F51:F52"/>
    <mergeCell ref="F172:J172"/>
    <mergeCell ref="G51:G52"/>
    <mergeCell ref="W19:X19"/>
    <mergeCell ref="Y19:Z19"/>
    <mergeCell ref="U19:V19"/>
    <mergeCell ref="I79:J79"/>
    <mergeCell ref="K79:L79"/>
    <mergeCell ref="M79:N79"/>
    <mergeCell ref="O79:P79"/>
    <mergeCell ref="S79:T79"/>
    <mergeCell ref="U79:V79"/>
    <mergeCell ref="W79:X79"/>
    <mergeCell ref="Y79:Z79"/>
    <mergeCell ref="U51:V51"/>
    <mergeCell ref="W51:X51"/>
    <mergeCell ref="B45:AC45"/>
    <mergeCell ref="A7:AD7"/>
    <mergeCell ref="M1:P1"/>
    <mergeCell ref="B49:AC49"/>
    <mergeCell ref="B19:B20"/>
    <mergeCell ref="D19:D20"/>
    <mergeCell ref="E19:E20"/>
    <mergeCell ref="F19:F20"/>
    <mergeCell ref="I19:J19"/>
    <mergeCell ref="K19:L19"/>
    <mergeCell ref="M19:N19"/>
    <mergeCell ref="AA19:AB19"/>
    <mergeCell ref="O19:P19"/>
    <mergeCell ref="B17:F17"/>
    <mergeCell ref="G19:G20"/>
    <mergeCell ref="B44:R44"/>
    <mergeCell ref="S44:AC44"/>
    <mergeCell ref="H15:R15"/>
    <mergeCell ref="B13:R13"/>
    <mergeCell ref="B76:R76"/>
    <mergeCell ref="S76:AC76"/>
    <mergeCell ref="Q19:R19"/>
    <mergeCell ref="S19:T19"/>
    <mergeCell ref="I51:J51"/>
    <mergeCell ref="K51:L51"/>
    <mergeCell ref="C19:C20"/>
    <mergeCell ref="C51:C52"/>
    <mergeCell ref="H17:R18"/>
  </mergeCells>
  <phoneticPr fontId="80" type="noConversion"/>
  <conditionalFormatting sqref="B17:F17">
    <cfRule type="expression" dxfId="43" priority="1">
      <formula>Chk_CI_Costs=0</formula>
    </cfRule>
  </conditionalFormatting>
  <dataValidations count="5">
    <dataValidation type="list" allowBlank="1" showInputMessage="1" showErrorMessage="1" sqref="E21:E40 E53:E72" xr:uid="{00000000-0002-0000-0100-000000000000}">
      <formula1>"Academic, Professional"</formula1>
    </dataValidation>
    <dataValidation type="list" allowBlank="1" showInputMessage="1" showErrorMessage="1" sqref="D21:D40 D53:D72" xr:uid="{00000000-0002-0000-0100-000001000000}">
      <formula1>"Continuing, Fixed-Term, Casual"</formula1>
    </dataValidation>
    <dataValidation type="list" allowBlank="1" showInputMessage="1" showErrorMessage="1" sqref="F21:F40 F53:F72" xr:uid="{00000000-0002-0000-0100-000002000000}">
      <formula1>IF(OR($D21="Continuing",$D21="Fixed-Term"),IF($E21="Academic",dFortAcaClass,IF($E21="Professional",dFortProClass,)),IF($D21="Casual",IF($E21="Academic",dCasAcaClass,IF($E21="Professional",dCasProClass,)),))</formula1>
    </dataValidation>
    <dataValidation type="list" allowBlank="1" showInputMessage="1" showErrorMessage="1" sqref="G21:G40 G53:G72" xr:uid="{00000000-0002-0000-0100-000005000000}">
      <formula1>IF(OR($D21="Continuing",$D21="Fixed-Term"),dFortTime,IF($D21="Casual",dCasTime,))</formula1>
    </dataValidation>
    <dataValidation type="decimal" allowBlank="1" showInputMessage="1" showErrorMessage="1" error="Check Time!!! _x000a_- For FTE, the time factor should be between 0 and 1._x000a_- For Daily/Hourly, the time factor should be greater than or equal to 0." sqref="Y21:Y40 Y53:Y72 I21:I40 M21:M40 O21:O40 Q21:Q40 S21:S40 U21:U40 W21:W40 W53:W72 AA21:AA40 AA53:AA72 K53:K72 M53:M72 O53:O72 Q53:Q72 S53:S72 U53:U72 K21:K40 I53:I72" xr:uid="{8528BD43-2DAE-4F34-A483-1219CF4B4351}">
      <formula1>0</formula1>
      <formula2>IF($G21="FTE",1,I21)</formula2>
    </dataValidation>
  </dataValidations>
  <printOptions horizontalCentered="1"/>
  <pageMargins left="0.31496062992126" right="0.31496062992126" top="0.31496062992126" bottom="0.31496062992126" header="0.31496062992126" footer="0.31496062992126"/>
  <pageSetup paperSize="9" scale="46" fitToHeight="0" orientation="landscape" r:id="rId2"/>
  <headerFooter>
    <oddHeader>&amp;C&amp;"Calibri,Bold"&amp;16&amp;K094183Project Research Budget</oddHeader>
    <oddFooter>&amp;L&amp;F&amp;C&amp;P of &amp;N pages&amp;RThe University of Melbourne - Research Innovation and Commercialisation</oddFooter>
  </headerFooter>
  <ignoredErrors>
    <ignoredError sqref="L20"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2051" r:id="rId5" name="chk_nocostrecovery">
              <controlPr locked="0" defaultSize="0" autoFill="0" autoLine="0" autoPict="0" macro="[0]!chk_nocostrecovery" altText="nocost_Recovery">
                <anchor moveWithCells="1">
                  <from>
                    <xdr:col>5</xdr:col>
                    <xdr:colOff>640080</xdr:colOff>
                    <xdr:row>13</xdr:row>
                    <xdr:rowOff>175260</xdr:rowOff>
                  </from>
                  <to>
                    <xdr:col>7</xdr:col>
                    <xdr:colOff>228600</xdr:colOff>
                    <xdr:row>15</xdr:row>
                    <xdr:rowOff>38100</xdr:rowOff>
                  </to>
                </anchor>
              </controlPr>
            </control>
          </mc:Choice>
        </mc:AlternateContent>
        <mc:AlternateContent xmlns:mc="http://schemas.openxmlformats.org/markup-compatibility/2006">
          <mc:Choice Requires="x14">
            <control shapeId="2056" r:id="rId6" name="cb_override_multiplier">
              <controlPr locked="0" defaultSize="0" autoFill="0" autoLine="0" autoPict="0" macro="[0]!chk_override_multiplier" altText="nocost_Recovery">
                <anchor moveWithCells="1">
                  <from>
                    <xdr:col>4</xdr:col>
                    <xdr:colOff>137160</xdr:colOff>
                    <xdr:row>13</xdr:row>
                    <xdr:rowOff>175260</xdr:rowOff>
                  </from>
                  <to>
                    <xdr:col>5</xdr:col>
                    <xdr:colOff>563880</xdr:colOff>
                    <xdr:row>15</xdr:row>
                    <xdr:rowOff>38100</xdr:rowOff>
                  </to>
                </anchor>
              </controlPr>
            </control>
          </mc:Choice>
        </mc:AlternateContent>
        <mc:AlternateContent xmlns:mc="http://schemas.openxmlformats.org/markup-compatibility/2006">
          <mc:Choice Requires="x14">
            <control shapeId="2069" r:id="rId7" name="Group Box 21">
              <controlPr defaultSize="0" autoFill="0" autoPict="0">
                <anchor moveWithCells="1">
                  <from>
                    <xdr:col>5</xdr:col>
                    <xdr:colOff>99060</xdr:colOff>
                    <xdr:row>15</xdr:row>
                    <xdr:rowOff>106680</xdr:rowOff>
                  </from>
                  <to>
                    <xdr:col>7</xdr:col>
                    <xdr:colOff>899160</xdr:colOff>
                    <xdr:row>17</xdr:row>
                    <xdr:rowOff>144780</xdr:rowOff>
                  </to>
                </anchor>
              </controlPr>
            </control>
          </mc:Choice>
        </mc:AlternateContent>
        <mc:AlternateContent xmlns:mc="http://schemas.openxmlformats.org/markup-compatibility/2006">
          <mc:Choice Requires="x14">
            <control shapeId="2070" r:id="rId8" name="Option Button 22">
              <controlPr locked="0" defaultSize="0" autoFill="0" autoLine="0" autoPict="0">
                <anchor>
                  <from>
                    <xdr:col>5</xdr:col>
                    <xdr:colOff>800100</xdr:colOff>
                    <xdr:row>15</xdr:row>
                    <xdr:rowOff>60960</xdr:rowOff>
                  </from>
                  <to>
                    <xdr:col>6</xdr:col>
                    <xdr:colOff>114300</xdr:colOff>
                    <xdr:row>17</xdr:row>
                    <xdr:rowOff>38100</xdr:rowOff>
                  </to>
                </anchor>
              </controlPr>
            </control>
          </mc:Choice>
        </mc:AlternateContent>
        <mc:AlternateContent xmlns:mc="http://schemas.openxmlformats.org/markup-compatibility/2006">
          <mc:Choice Requires="x14">
            <control shapeId="2071" r:id="rId9" name="Option Button 23">
              <controlPr locked="0" defaultSize="0" autoFill="0" autoLine="0" autoPict="0">
                <anchor>
                  <from>
                    <xdr:col>6</xdr:col>
                    <xdr:colOff>342900</xdr:colOff>
                    <xdr:row>15</xdr:row>
                    <xdr:rowOff>68580</xdr:rowOff>
                  </from>
                  <to>
                    <xdr:col>7</xdr:col>
                    <xdr:colOff>68580</xdr:colOff>
                    <xdr:row>17</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E611-7085-4E17-ADF0-383A48B10EFC}">
  <sheetPr codeName="Sheet24">
    <tabColor theme="3"/>
    <pageSetUpPr autoPageBreaks="0" fitToPage="1"/>
  </sheetPr>
  <dimension ref="A1:QJ286"/>
  <sheetViews>
    <sheetView showGridLines="0" zoomScaleNormal="100" workbookViewId="0">
      <pane ySplit="11" topLeftCell="A12" activePane="bottomLeft" state="frozen"/>
      <selection pane="bottomLeft" activeCell="AF1" sqref="AF1"/>
    </sheetView>
  </sheetViews>
  <sheetFormatPr defaultColWidth="8.5546875" defaultRowHeight="14.4" outlineLevelRow="1" outlineLevelCol="1" x14ac:dyDescent="0.3"/>
  <cols>
    <col min="1" max="1" width="20" style="229" customWidth="1"/>
    <col min="2" max="2" width="39.5546875" style="229" customWidth="1"/>
    <col min="3" max="3" width="24.33203125" style="229" hidden="1" customWidth="1"/>
    <col min="4" max="4" width="46.109375" style="229" customWidth="1"/>
    <col min="5" max="5" width="27.33203125" style="229" customWidth="1"/>
    <col min="6" max="9" width="13.5546875" style="229" customWidth="1"/>
    <col min="10" max="10" width="15" style="229" customWidth="1"/>
    <col min="11" max="15" width="13.5546875" style="229" hidden="1" customWidth="1" outlineLevel="1"/>
    <col min="16" max="16" width="13.5546875" style="229" customWidth="1" collapsed="1"/>
    <col min="17" max="17" width="7" style="229" customWidth="1"/>
    <col min="18" max="18" width="17.33203125" style="520" customWidth="1"/>
    <col min="19" max="19" width="16.6640625" style="229" customWidth="1"/>
    <col min="20" max="20" width="37" style="229" customWidth="1"/>
    <col min="21" max="21" width="27.44140625" style="229" customWidth="1"/>
    <col min="22" max="22" width="10.5546875" style="229" hidden="1" customWidth="1"/>
    <col min="23" max="25" width="8.5546875" style="229" hidden="1" customWidth="1"/>
    <col min="26" max="26" width="14.5546875" style="229" hidden="1" customWidth="1"/>
    <col min="27" max="16384" width="8.5546875" style="229"/>
  </cols>
  <sheetData>
    <row r="1" spans="1:32" ht="36" customHeight="1" x14ac:dyDescent="0.3">
      <c r="A1" s="665"/>
      <c r="B1" s="694" t="str">
        <f>tool_name_and_version</f>
        <v>Research Costing and Pricing tool v4.3.1</v>
      </c>
      <c r="C1" s="666"/>
      <c r="D1" s="666"/>
      <c r="E1" s="666"/>
      <c r="F1" s="666"/>
      <c r="G1" s="666"/>
      <c r="H1" s="666"/>
      <c r="I1" s="666"/>
      <c r="J1" s="659"/>
      <c r="K1" s="659"/>
      <c r="L1" s="666"/>
      <c r="M1" s="1240"/>
      <c r="N1" s="1240"/>
      <c r="O1" s="1240"/>
      <c r="P1" s="1240"/>
      <c r="Q1" s="666"/>
      <c r="R1" s="666"/>
      <c r="S1" s="666"/>
      <c r="T1" s="666"/>
      <c r="U1" s="666"/>
      <c r="V1" s="666"/>
      <c r="W1" s="666"/>
      <c r="X1" s="666"/>
      <c r="Y1" s="666"/>
      <c r="Z1" s="666"/>
      <c r="AA1" s="489"/>
      <c r="AB1" s="489"/>
      <c r="AC1" s="489"/>
      <c r="AD1" s="489"/>
      <c r="AE1" s="489"/>
      <c r="AF1" s="524"/>
    </row>
    <row r="2" spans="1:32" ht="23.4" customHeight="1" x14ac:dyDescent="0.3">
      <c r="A2" s="733"/>
      <c r="B2" s="734"/>
      <c r="C2" s="734"/>
      <c r="D2" s="734"/>
      <c r="E2" s="734"/>
      <c r="F2" s="735"/>
      <c r="G2" s="734"/>
      <c r="H2" s="734"/>
      <c r="I2" s="734"/>
      <c r="J2" s="736"/>
      <c r="K2" s="736"/>
      <c r="L2" s="736"/>
      <c r="M2" s="736"/>
      <c r="N2" s="736"/>
      <c r="O2" s="736"/>
      <c r="P2" s="736"/>
      <c r="Q2" s="736"/>
      <c r="R2" s="736"/>
      <c r="S2" s="736"/>
      <c r="T2" s="736"/>
      <c r="U2" s="737"/>
      <c r="V2" s="669"/>
      <c r="W2" s="669"/>
      <c r="X2" s="669"/>
      <c r="Y2" s="669"/>
      <c r="Z2" s="669"/>
      <c r="AA2" s="489"/>
      <c r="AB2" s="489"/>
      <c r="AC2" s="489"/>
      <c r="AD2" s="489"/>
      <c r="AE2" s="489"/>
      <c r="AF2" s="524"/>
    </row>
    <row r="3" spans="1:32" s="521" customFormat="1" ht="19.2" customHeight="1" x14ac:dyDescent="0.3">
      <c r="A3" s="676" t="str">
        <f>IF(tbBudgetCurrency="AUD - Australian Dollar","Project Cost (Rolling Total) - AUD",CONCATENATE("Project Cost (Rolling Total) - ",LEFT(tbBudgetCurrency,3)))</f>
        <v>Project Cost (Rolling Total) - AUD</v>
      </c>
      <c r="C3" s="676"/>
      <c r="D3" s="676"/>
      <c r="E3" s="670"/>
      <c r="F3" s="671"/>
      <c r="G3" s="670"/>
      <c r="H3" s="670"/>
      <c r="I3" s="670"/>
      <c r="J3" s="683"/>
      <c r="K3"/>
      <c r="L3"/>
      <c r="M3"/>
      <c r="N3"/>
      <c r="O3"/>
      <c r="P3"/>
      <c r="Q3"/>
      <c r="R3"/>
      <c r="S3" s="489"/>
      <c r="T3" s="489"/>
      <c r="U3" s="685"/>
      <c r="V3" s="489"/>
      <c r="W3" s="489"/>
      <c r="X3" s="489"/>
      <c r="Y3" s="489"/>
      <c r="Z3" s="993">
        <f>new_xrate</f>
        <v>1</v>
      </c>
      <c r="AA3" s="489"/>
      <c r="AB3" s="489"/>
      <c r="AC3" s="489"/>
      <c r="AD3" s="489"/>
      <c r="AE3" s="489"/>
      <c r="AF3" s="524"/>
    </row>
    <row r="4" spans="1:32" s="524" customFormat="1" ht="17.399999999999999" customHeight="1" x14ac:dyDescent="0.3">
      <c r="B4" s="1093" t="str">
        <f>CONCATENATE("Using salary recovery multiplier (",pCRSalaries,")")</f>
        <v>Using salary recovery multiplier (2.5)</v>
      </c>
      <c r="C4" s="672"/>
      <c r="D4" s="1128">
        <f>vl_project_cost</f>
        <v>0</v>
      </c>
      <c r="E4" s="670"/>
      <c r="F4" s="671"/>
      <c r="G4" s="670"/>
      <c r="H4" s="670"/>
      <c r="I4" s="670"/>
      <c r="J4" s="683"/>
      <c r="K4"/>
      <c r="L4"/>
      <c r="M4"/>
      <c r="N4"/>
      <c r="O4"/>
      <c r="P4"/>
      <c r="Q4"/>
      <c r="R4"/>
      <c r="S4" s="489"/>
      <c r="T4" s="489"/>
      <c r="U4" s="685"/>
      <c r="V4" s="489"/>
      <c r="W4" s="489"/>
      <c r="X4" s="489"/>
      <c r="Y4" s="489"/>
      <c r="Z4" s="489"/>
      <c r="AA4" s="489"/>
      <c r="AB4" s="489"/>
      <c r="AC4" s="489"/>
      <c r="AD4" s="489"/>
      <c r="AE4" s="489"/>
    </row>
    <row r="5" spans="1:32" s="521" customFormat="1" ht="15.6" customHeight="1" x14ac:dyDescent="0.3">
      <c r="B5" s="1093" t="str">
        <f>CONCATENATE("Using full salary recovery (",dfullrecovery,")")</f>
        <v>Using full salary recovery (2.5)</v>
      </c>
      <c r="C5" s="672"/>
      <c r="D5" s="1128">
        <f>vl_full_project_cost</f>
        <v>0</v>
      </c>
      <c r="E5" s="670"/>
      <c r="F5" s="671"/>
      <c r="G5" s="670"/>
      <c r="H5" s="670"/>
      <c r="I5" s="670"/>
      <c r="J5" s="683"/>
      <c r="K5"/>
      <c r="L5"/>
      <c r="M5"/>
      <c r="N5"/>
      <c r="O5"/>
      <c r="P5"/>
      <c r="Q5"/>
      <c r="R5"/>
      <c r="S5" s="489"/>
      <c r="T5" s="489"/>
      <c r="U5" s="685"/>
      <c r="V5" s="489"/>
      <c r="W5" s="489"/>
      <c r="X5" s="489"/>
      <c r="Y5" s="489"/>
      <c r="Z5" s="489"/>
      <c r="AA5" s="524"/>
      <c r="AB5" s="524"/>
      <c r="AC5" s="524"/>
      <c r="AD5" s="524"/>
      <c r="AE5" s="524"/>
    </row>
    <row r="6" spans="1:32" s="521" customFormat="1" ht="2.1" customHeight="1" x14ac:dyDescent="0.35">
      <c r="B6" s="672"/>
      <c r="C6" s="525"/>
      <c r="D6" s="525"/>
      <c r="E6" s="525"/>
      <c r="F6" s="525"/>
      <c r="G6" s="525"/>
      <c r="H6" s="525"/>
      <c r="I6" s="525"/>
      <c r="J6" s="525"/>
      <c r="K6" s="525"/>
      <c r="L6" s="525"/>
      <c r="M6" s="525"/>
      <c r="N6" s="525"/>
      <c r="O6" s="525"/>
      <c r="P6" s="525"/>
      <c r="Q6" s="525"/>
      <c r="R6" s="526"/>
      <c r="S6" s="527"/>
      <c r="U6" s="686"/>
      <c r="AA6" s="524"/>
      <c r="AB6" s="524"/>
      <c r="AC6" s="524"/>
      <c r="AD6" s="524"/>
      <c r="AE6" s="524"/>
    </row>
    <row r="7" spans="1:32" s="524" customFormat="1" ht="6" customHeight="1" x14ac:dyDescent="0.3">
      <c r="B7" s="672"/>
      <c r="C7" s="565"/>
      <c r="D7" s="565"/>
      <c r="E7" s="565"/>
      <c r="F7" s="565"/>
      <c r="G7" s="565"/>
      <c r="H7" s="565"/>
      <c r="I7" s="565"/>
      <c r="S7" s="527"/>
      <c r="U7" s="687"/>
    </row>
    <row r="8" spans="1:32" s="1139" customFormat="1" ht="21" customHeight="1" thickBot="1" x14ac:dyDescent="0.5">
      <c r="A8" s="1239" t="s">
        <v>64</v>
      </c>
      <c r="B8" s="1239"/>
      <c r="C8" s="1239"/>
      <c r="D8" s="1239"/>
      <c r="E8" s="1239"/>
      <c r="F8" s="1239"/>
      <c r="G8" s="1239"/>
      <c r="H8" s="1239"/>
      <c r="I8" s="1239"/>
      <c r="J8" s="1239"/>
      <c r="K8" s="1239"/>
      <c r="L8" s="1239"/>
      <c r="M8" s="1239"/>
      <c r="N8" s="1239"/>
      <c r="O8" s="1239"/>
      <c r="P8" s="1239"/>
      <c r="Q8" s="1239"/>
      <c r="R8" s="1239"/>
      <c r="S8" s="1239"/>
      <c r="T8" s="688"/>
      <c r="U8" s="688"/>
    </row>
    <row r="9" spans="1:32" s="524" customFormat="1" ht="14.25" hidden="1" customHeight="1" x14ac:dyDescent="0.3">
      <c r="A9" s="522"/>
      <c r="B9" s="565"/>
      <c r="C9" s="565"/>
      <c r="D9" s="565"/>
      <c r="E9" s="565"/>
      <c r="F9" s="565"/>
      <c r="G9" s="565"/>
      <c r="H9" s="565"/>
      <c r="I9" s="565"/>
      <c r="S9" s="527"/>
      <c r="T9" s="527"/>
      <c r="U9" s="689"/>
    </row>
    <row r="10" spans="1:32" s="524" customFormat="1" ht="17.399999999999999" hidden="1" customHeight="1" x14ac:dyDescent="0.3">
      <c r="A10" s="1163"/>
      <c r="B10" s="1260"/>
      <c r="C10" s="1260"/>
      <c r="D10" s="1260"/>
      <c r="E10" s="1260"/>
      <c r="F10" s="1260"/>
      <c r="G10" s="1260"/>
      <c r="H10" s="1260"/>
      <c r="I10" s="1260"/>
      <c r="J10" s="1260"/>
      <c r="K10" s="523"/>
      <c r="L10" s="523"/>
      <c r="M10" s="523"/>
      <c r="N10" s="523"/>
      <c r="O10" s="523"/>
      <c r="P10" s="523"/>
      <c r="Q10" s="523"/>
      <c r="R10" s="528"/>
      <c r="S10" s="527"/>
      <c r="T10" s="527"/>
      <c r="U10" s="690"/>
    </row>
    <row r="11" spans="1:32" s="524" customFormat="1" ht="13.35" hidden="1" customHeight="1" x14ac:dyDescent="0.3">
      <c r="A11" s="1163"/>
      <c r="B11" s="1260"/>
      <c r="C11" s="1260"/>
      <c r="D11" s="1260"/>
      <c r="E11" s="1260"/>
      <c r="F11" s="1260"/>
      <c r="G11" s="1260"/>
      <c r="H11" s="1260"/>
      <c r="I11" s="1260"/>
      <c r="J11" s="1260"/>
      <c r="K11" s="523"/>
      <c r="L11" s="523"/>
      <c r="M11" s="523"/>
      <c r="N11" s="523"/>
      <c r="O11" s="523"/>
      <c r="P11" s="529"/>
      <c r="Q11" s="523"/>
      <c r="R11" s="528"/>
      <c r="S11" s="527"/>
      <c r="T11" s="527"/>
      <c r="U11" s="690"/>
    </row>
    <row r="12" spans="1:32" s="524" customFormat="1" ht="15" customHeight="1" thickBot="1" x14ac:dyDescent="0.35">
      <c r="A12" s="1163"/>
      <c r="B12" s="643"/>
      <c r="C12" s="523"/>
      <c r="D12" s="530"/>
      <c r="F12" s="523"/>
      <c r="G12" s="523"/>
      <c r="H12" s="523"/>
      <c r="I12" s="523"/>
      <c r="J12" s="523"/>
      <c r="K12" s="523"/>
      <c r="L12" s="523"/>
      <c r="M12" s="523"/>
      <c r="N12" s="523"/>
      <c r="O12" s="523"/>
      <c r="P12" s="1140" t="str">
        <f>IF(tbBudgetCurrency="AUD - Australian Dollar", "",tb_xrate)</f>
        <v/>
      </c>
      <c r="R12" s="531"/>
      <c r="S12" s="532"/>
      <c r="T12" s="527"/>
      <c r="U12" s="690"/>
    </row>
    <row r="13" spans="1:32" s="534" customFormat="1" ht="31.35" customHeight="1" thickBot="1" x14ac:dyDescent="0.35">
      <c r="A13" s="1163"/>
      <c r="B13" s="968" t="s">
        <v>65</v>
      </c>
      <c r="C13" s="969" t="s">
        <v>66</v>
      </c>
      <c r="D13" s="968" t="s">
        <v>67</v>
      </c>
      <c r="E13" s="968" t="s">
        <v>68</v>
      </c>
      <c r="F13" s="967" t="str">
        <f>"Year 1" &amp; IF(pStartYear&lt;&gt;""," ("&amp;pStartYear&amp;") ","")</f>
        <v xml:space="preserve">Year 1 (2026) </v>
      </c>
      <c r="G13" s="967" t="str">
        <f>"Year 2" &amp; IF(pStartYear&lt;&gt;"",IF(pStartYear+1&gt;pEndYear,""," ("&amp;pStartYear+1&amp;") "),"")</f>
        <v xml:space="preserve">Year 2 (2027) </v>
      </c>
      <c r="H13" s="967" t="str">
        <f>"Year 3" &amp; IF(pStartYear&lt;&gt;"",IF(pStartYear+2&gt;pEndYear,""," ("&amp;pStartYear+2&amp;") "),"")</f>
        <v xml:space="preserve">Year 3 (2028) </v>
      </c>
      <c r="I13" s="967" t="str">
        <f>"Year 4" &amp; IF(pStartYear&lt;&gt;"",IF(pStartYear+3&gt;pEndYear,""," ("&amp;pStartYear+3&amp;") "),"")</f>
        <v xml:space="preserve">Year 4 (2029) </v>
      </c>
      <c r="J13" s="967" t="str">
        <f>"Year 5" &amp; IF(pStartYear&lt;&gt;"",IF(pStartYear+4&gt;pEndYear,""," ("&amp;pStartYear+4&amp;") "),"")</f>
        <v xml:space="preserve">Year 5 (2030) </v>
      </c>
      <c r="K13" s="967" t="str">
        <f>"Year 6" &amp; IF(pStartYear&lt;&gt;"",IF(pStartYear+5&gt;pEndYear,""," ("&amp;pStartYear+5&amp;") "),"")</f>
        <v>Year 6</v>
      </c>
      <c r="L13" s="967" t="str">
        <f>"Year 7" &amp; IF(pStartYear&lt;&gt;"",IF(pStartYear+6&gt;pEndYear,""," ("&amp;pStartYear+6&amp;") "),"")</f>
        <v>Year 7</v>
      </c>
      <c r="M13" s="967" t="str">
        <f>"Year 8" &amp; IF(pStartYear&lt;&gt;"",IF(pStartYear+7&gt;pEndYear,""," ("&amp;pStartYear+7&amp;") "),"")</f>
        <v>Year 8</v>
      </c>
      <c r="N13" s="967" t="str">
        <f>"Year 9" &amp; IF(pStartYear&lt;&gt;"",IF(pStartYear+8&gt;pEndYear,""," ("&amp;pStartYear+8&amp;") "),"")</f>
        <v>Year 9</v>
      </c>
      <c r="O13" s="967" t="str">
        <f>"Year 10" &amp; IF(pStartYear&lt;&gt;"",IF(pStartYear+9&gt;pEndYear,""," ("&amp;pStartYear+9&amp;") "),"")</f>
        <v>Year 10</v>
      </c>
      <c r="P13" s="533" t="str">
        <f>IF(tbBudgetCurrency="AUD - Australian Dollar","Total (AUD)",CONCATENATE("Total (",LEFT(tbBudgetCurrency,3),")"))</f>
        <v>Total (AUD)</v>
      </c>
      <c r="Q13" s="533" t="s">
        <v>69</v>
      </c>
      <c r="R13" s="971" t="s">
        <v>70</v>
      </c>
      <c r="S13" s="970" t="s">
        <v>71</v>
      </c>
      <c r="T13" s="1261" t="s">
        <v>72</v>
      </c>
      <c r="U13" s="1262"/>
      <c r="V13" s="524"/>
      <c r="AA13" s="524"/>
    </row>
    <row r="14" spans="1:32" s="524" customFormat="1" ht="16.350000000000001" customHeight="1" x14ac:dyDescent="0.3">
      <c r="A14" s="1163"/>
      <c r="B14" s="567"/>
      <c r="C14" s="567"/>
      <c r="D14" s="567"/>
      <c r="E14" s="567"/>
      <c r="F14" s="568">
        <v>0</v>
      </c>
      <c r="G14" s="568">
        <v>0</v>
      </c>
      <c r="H14" s="1138">
        <v>0</v>
      </c>
      <c r="I14" s="568">
        <v>0</v>
      </c>
      <c r="J14" s="568">
        <v>0</v>
      </c>
      <c r="K14" s="568">
        <v>0</v>
      </c>
      <c r="L14" s="568">
        <v>0</v>
      </c>
      <c r="M14" s="568">
        <v>0</v>
      </c>
      <c r="N14" s="568">
        <v>0</v>
      </c>
      <c r="O14" s="568">
        <v>0</v>
      </c>
      <c r="P14" s="569">
        <f t="shared" ref="P14:P45" si="0">SUM($F14:$O14)</f>
        <v>0</v>
      </c>
      <c r="Q14" s="230" t="b">
        <v>0</v>
      </c>
      <c r="R14" s="18" t="s">
        <v>73</v>
      </c>
      <c r="S14" s="566">
        <v>0</v>
      </c>
      <c r="T14" s="1263" t="s">
        <v>74</v>
      </c>
      <c r="U14" s="1264"/>
    </row>
    <row r="15" spans="1:32" s="524" customFormat="1" ht="14.4" customHeight="1" x14ac:dyDescent="0.3">
      <c r="A15" s="1163"/>
      <c r="B15" s="567"/>
      <c r="C15" s="567"/>
      <c r="D15" s="567"/>
      <c r="E15" s="567"/>
      <c r="F15" s="568">
        <v>0</v>
      </c>
      <c r="G15" s="568">
        <v>0</v>
      </c>
      <c r="H15" s="568">
        <v>0</v>
      </c>
      <c r="I15" s="568">
        <v>0</v>
      </c>
      <c r="J15" s="568">
        <v>0</v>
      </c>
      <c r="K15" s="568">
        <v>0</v>
      </c>
      <c r="L15" s="568">
        <v>0</v>
      </c>
      <c r="M15" s="568">
        <v>0</v>
      </c>
      <c r="N15" s="568">
        <v>0</v>
      </c>
      <c r="O15" s="568">
        <v>0</v>
      </c>
      <c r="P15" s="569">
        <f t="shared" si="0"/>
        <v>0</v>
      </c>
      <c r="Q15" s="230" t="b">
        <v>0</v>
      </c>
      <c r="R15" s="18" t="s">
        <v>73</v>
      </c>
      <c r="S15" s="566">
        <v>0</v>
      </c>
      <c r="T15" s="1265"/>
      <c r="U15" s="1266"/>
    </row>
    <row r="16" spans="1:32" s="524" customFormat="1" ht="14.4" customHeight="1" x14ac:dyDescent="0.3">
      <c r="A16" s="1163"/>
      <c r="B16" s="567"/>
      <c r="C16" s="567"/>
      <c r="D16" s="567"/>
      <c r="E16" s="567"/>
      <c r="F16" s="568">
        <v>0</v>
      </c>
      <c r="G16" s="568">
        <v>0</v>
      </c>
      <c r="H16" s="568">
        <v>0</v>
      </c>
      <c r="I16" s="568">
        <v>0</v>
      </c>
      <c r="J16" s="568">
        <v>0</v>
      </c>
      <c r="K16" s="568">
        <v>0</v>
      </c>
      <c r="L16" s="568">
        <v>0</v>
      </c>
      <c r="M16" s="568">
        <v>0</v>
      </c>
      <c r="N16" s="568">
        <v>0</v>
      </c>
      <c r="O16" s="568">
        <v>0</v>
      </c>
      <c r="P16" s="569">
        <f t="shared" si="0"/>
        <v>0</v>
      </c>
      <c r="Q16" s="230" t="b">
        <v>0</v>
      </c>
      <c r="R16" s="18" t="s">
        <v>73</v>
      </c>
      <c r="S16" s="566">
        <v>0</v>
      </c>
      <c r="T16" s="1265"/>
      <c r="U16" s="1266"/>
    </row>
    <row r="17" spans="1:21" s="524" customFormat="1" ht="14.4" customHeight="1" x14ac:dyDescent="0.3">
      <c r="A17" s="1163"/>
      <c r="B17" s="567"/>
      <c r="C17" s="567"/>
      <c r="D17" s="567"/>
      <c r="E17" s="567"/>
      <c r="F17" s="568">
        <v>0</v>
      </c>
      <c r="G17" s="568">
        <v>0</v>
      </c>
      <c r="H17" s="568">
        <v>0</v>
      </c>
      <c r="I17" s="568">
        <v>0</v>
      </c>
      <c r="J17" s="568">
        <v>0</v>
      </c>
      <c r="K17" s="568">
        <v>0</v>
      </c>
      <c r="L17" s="568">
        <v>0</v>
      </c>
      <c r="M17" s="568">
        <v>0</v>
      </c>
      <c r="N17" s="568">
        <v>0</v>
      </c>
      <c r="O17" s="568">
        <v>0</v>
      </c>
      <c r="P17" s="569">
        <f t="shared" si="0"/>
        <v>0</v>
      </c>
      <c r="Q17" s="230" t="b">
        <v>0</v>
      </c>
      <c r="R17" s="18" t="s">
        <v>73</v>
      </c>
      <c r="S17" s="566">
        <v>0</v>
      </c>
      <c r="T17" s="1265"/>
      <c r="U17" s="1266"/>
    </row>
    <row r="18" spans="1:21" s="524" customFormat="1" ht="14.4" customHeight="1" x14ac:dyDescent="0.3">
      <c r="A18" s="1163"/>
      <c r="B18" s="567"/>
      <c r="C18" s="567"/>
      <c r="D18" s="567"/>
      <c r="E18" s="567"/>
      <c r="F18" s="568">
        <v>0</v>
      </c>
      <c r="G18" s="568">
        <v>0</v>
      </c>
      <c r="H18" s="568">
        <v>0</v>
      </c>
      <c r="I18" s="568">
        <v>0</v>
      </c>
      <c r="J18" s="568">
        <v>0</v>
      </c>
      <c r="K18" s="568">
        <v>0</v>
      </c>
      <c r="L18" s="568">
        <v>0</v>
      </c>
      <c r="M18" s="568">
        <v>0</v>
      </c>
      <c r="N18" s="568">
        <v>0</v>
      </c>
      <c r="O18" s="568">
        <v>0</v>
      </c>
      <c r="P18" s="569">
        <f t="shared" si="0"/>
        <v>0</v>
      </c>
      <c r="Q18" s="230" t="b">
        <v>0</v>
      </c>
      <c r="R18" s="18" t="s">
        <v>73</v>
      </c>
      <c r="S18" s="566">
        <v>0</v>
      </c>
      <c r="T18" s="1265"/>
      <c r="U18" s="1266"/>
    </row>
    <row r="19" spans="1:21" s="524" customFormat="1" ht="14.4" customHeight="1" x14ac:dyDescent="0.3">
      <c r="A19" s="1163"/>
      <c r="B19" s="567"/>
      <c r="C19" s="567"/>
      <c r="D19" s="567"/>
      <c r="E19" s="567"/>
      <c r="F19" s="568">
        <v>0</v>
      </c>
      <c r="G19" s="568">
        <v>0</v>
      </c>
      <c r="H19" s="568">
        <v>0</v>
      </c>
      <c r="I19" s="568">
        <v>0</v>
      </c>
      <c r="J19" s="568">
        <v>0</v>
      </c>
      <c r="K19" s="568">
        <v>0</v>
      </c>
      <c r="L19" s="568">
        <v>0</v>
      </c>
      <c r="M19" s="568">
        <v>0</v>
      </c>
      <c r="N19" s="568">
        <v>0</v>
      </c>
      <c r="O19" s="568">
        <v>0</v>
      </c>
      <c r="P19" s="569">
        <f t="shared" si="0"/>
        <v>0</v>
      </c>
      <c r="Q19" s="230" t="b">
        <v>0</v>
      </c>
      <c r="R19" s="18" t="s">
        <v>73</v>
      </c>
      <c r="S19" s="566">
        <v>0</v>
      </c>
      <c r="T19" s="1265"/>
      <c r="U19" s="1266"/>
    </row>
    <row r="20" spans="1:21" s="524" customFormat="1" ht="14.4" customHeight="1" x14ac:dyDescent="0.3">
      <c r="A20" s="1163"/>
      <c r="B20" s="567"/>
      <c r="C20" s="567"/>
      <c r="D20" s="567"/>
      <c r="E20" s="567"/>
      <c r="F20" s="568">
        <v>0</v>
      </c>
      <c r="G20" s="568">
        <v>0</v>
      </c>
      <c r="H20" s="568">
        <v>0</v>
      </c>
      <c r="I20" s="568">
        <v>0</v>
      </c>
      <c r="J20" s="568">
        <v>0</v>
      </c>
      <c r="K20" s="568">
        <v>0</v>
      </c>
      <c r="L20" s="568">
        <v>0</v>
      </c>
      <c r="M20" s="568">
        <v>0</v>
      </c>
      <c r="N20" s="568">
        <v>0</v>
      </c>
      <c r="O20" s="568">
        <v>0</v>
      </c>
      <c r="P20" s="569">
        <f t="shared" si="0"/>
        <v>0</v>
      </c>
      <c r="Q20" s="230" t="b">
        <v>0</v>
      </c>
      <c r="R20" s="18" t="s">
        <v>73</v>
      </c>
      <c r="S20" s="566">
        <v>0</v>
      </c>
      <c r="T20" s="1265"/>
      <c r="U20" s="1266"/>
    </row>
    <row r="21" spans="1:21" s="524" customFormat="1" ht="14.4" customHeight="1" x14ac:dyDescent="0.3">
      <c r="A21" s="1163"/>
      <c r="B21" s="567"/>
      <c r="C21" s="567"/>
      <c r="D21" s="567"/>
      <c r="E21" s="567"/>
      <c r="F21" s="568">
        <v>0</v>
      </c>
      <c r="G21" s="568">
        <v>0</v>
      </c>
      <c r="H21" s="568">
        <v>0</v>
      </c>
      <c r="I21" s="568">
        <v>0</v>
      </c>
      <c r="J21" s="568">
        <v>0</v>
      </c>
      <c r="K21" s="568">
        <v>0</v>
      </c>
      <c r="L21" s="568">
        <v>0</v>
      </c>
      <c r="M21" s="568">
        <v>0</v>
      </c>
      <c r="N21" s="568">
        <v>0</v>
      </c>
      <c r="O21" s="568">
        <v>0</v>
      </c>
      <c r="P21" s="569">
        <f t="shared" si="0"/>
        <v>0</v>
      </c>
      <c r="Q21" s="230" t="b">
        <v>0</v>
      </c>
      <c r="R21" s="18" t="s">
        <v>73</v>
      </c>
      <c r="S21" s="566">
        <v>0</v>
      </c>
      <c r="T21" s="1265"/>
      <c r="U21" s="1266"/>
    </row>
    <row r="22" spans="1:21" s="524" customFormat="1" ht="14.4" customHeight="1" x14ac:dyDescent="0.3">
      <c r="A22" s="1163"/>
      <c r="B22" s="567"/>
      <c r="C22" s="567"/>
      <c r="D22" s="567"/>
      <c r="E22" s="567"/>
      <c r="F22" s="568">
        <v>0</v>
      </c>
      <c r="G22" s="568">
        <v>0</v>
      </c>
      <c r="H22" s="568">
        <v>0</v>
      </c>
      <c r="I22" s="568">
        <v>0</v>
      </c>
      <c r="J22" s="568">
        <v>0</v>
      </c>
      <c r="K22" s="568">
        <v>0</v>
      </c>
      <c r="L22" s="568">
        <v>0</v>
      </c>
      <c r="M22" s="568">
        <v>0</v>
      </c>
      <c r="N22" s="568">
        <v>0</v>
      </c>
      <c r="O22" s="568">
        <v>0</v>
      </c>
      <c r="P22" s="569">
        <f t="shared" si="0"/>
        <v>0</v>
      </c>
      <c r="Q22" s="230" t="b">
        <v>0</v>
      </c>
      <c r="R22" s="18" t="s">
        <v>73</v>
      </c>
      <c r="S22" s="566">
        <v>0</v>
      </c>
      <c r="T22" s="1265"/>
      <c r="U22" s="1266"/>
    </row>
    <row r="23" spans="1:21" s="524" customFormat="1" ht="14.4" customHeight="1" x14ac:dyDescent="0.3">
      <c r="A23" s="522"/>
      <c r="B23" s="567"/>
      <c r="C23" s="567"/>
      <c r="D23" s="567"/>
      <c r="E23" s="567"/>
      <c r="F23" s="568">
        <v>0</v>
      </c>
      <c r="G23" s="568">
        <v>0</v>
      </c>
      <c r="H23" s="568">
        <v>0</v>
      </c>
      <c r="I23" s="568">
        <v>0</v>
      </c>
      <c r="J23" s="568">
        <v>0</v>
      </c>
      <c r="K23" s="568">
        <v>0</v>
      </c>
      <c r="L23" s="568">
        <v>0</v>
      </c>
      <c r="M23" s="568">
        <v>0</v>
      </c>
      <c r="N23" s="568">
        <v>0</v>
      </c>
      <c r="O23" s="568">
        <v>0</v>
      </c>
      <c r="P23" s="569">
        <f t="shared" si="0"/>
        <v>0</v>
      </c>
      <c r="Q23" s="230" t="b">
        <v>0</v>
      </c>
      <c r="R23" s="18" t="s">
        <v>73</v>
      </c>
      <c r="S23" s="566">
        <v>0</v>
      </c>
      <c r="T23" s="1265"/>
      <c r="U23" s="1266"/>
    </row>
    <row r="24" spans="1:21" s="524" customFormat="1" ht="15" hidden="1" customHeight="1" outlineLevel="1" x14ac:dyDescent="0.3">
      <c r="A24" s="522"/>
      <c r="B24" s="555"/>
      <c r="C24" s="555"/>
      <c r="D24" s="555"/>
      <c r="E24" s="555"/>
      <c r="F24" s="568">
        <v>0</v>
      </c>
      <c r="G24" s="568">
        <v>0</v>
      </c>
      <c r="H24" s="568">
        <v>0</v>
      </c>
      <c r="I24" s="568">
        <v>0</v>
      </c>
      <c r="J24" s="568">
        <v>0</v>
      </c>
      <c r="K24" s="568">
        <v>0</v>
      </c>
      <c r="L24" s="568">
        <v>0</v>
      </c>
      <c r="M24" s="568">
        <v>0</v>
      </c>
      <c r="N24" s="568">
        <v>0</v>
      </c>
      <c r="O24" s="568">
        <v>0</v>
      </c>
      <c r="P24" s="556">
        <f t="shared" si="0"/>
        <v>0</v>
      </c>
      <c r="Q24" s="230" t="b">
        <v>0</v>
      </c>
      <c r="R24" s="18" t="s">
        <v>73</v>
      </c>
      <c r="S24" s="566">
        <v>0</v>
      </c>
      <c r="T24" s="1265"/>
      <c r="U24" s="1266"/>
    </row>
    <row r="25" spans="1:21" s="524" customFormat="1" ht="15" hidden="1" customHeight="1" outlineLevel="1" x14ac:dyDescent="0.3">
      <c r="A25" s="522"/>
      <c r="B25" s="555"/>
      <c r="C25" s="555"/>
      <c r="D25" s="555"/>
      <c r="E25" s="555"/>
      <c r="F25" s="568">
        <v>0</v>
      </c>
      <c r="G25" s="568">
        <v>0</v>
      </c>
      <c r="H25" s="568">
        <v>0</v>
      </c>
      <c r="I25" s="568">
        <v>0</v>
      </c>
      <c r="J25" s="568">
        <v>0</v>
      </c>
      <c r="K25" s="568">
        <v>0</v>
      </c>
      <c r="L25" s="568">
        <v>0</v>
      </c>
      <c r="M25" s="568">
        <v>0</v>
      </c>
      <c r="N25" s="568">
        <v>0</v>
      </c>
      <c r="O25" s="568">
        <v>0</v>
      </c>
      <c r="P25" s="556">
        <f t="shared" si="0"/>
        <v>0</v>
      </c>
      <c r="Q25" s="230" t="b">
        <v>0</v>
      </c>
      <c r="R25" s="18" t="s">
        <v>73</v>
      </c>
      <c r="S25" s="566">
        <v>0</v>
      </c>
      <c r="T25" s="1265"/>
      <c r="U25" s="1266"/>
    </row>
    <row r="26" spans="1:21" s="524" customFormat="1" ht="15" hidden="1" customHeight="1" outlineLevel="1" x14ac:dyDescent="0.3">
      <c r="A26" s="522"/>
      <c r="B26" s="555"/>
      <c r="C26" s="555"/>
      <c r="D26" s="555"/>
      <c r="E26" s="555"/>
      <c r="F26" s="568">
        <v>0</v>
      </c>
      <c r="G26" s="568">
        <v>0</v>
      </c>
      <c r="H26" s="568">
        <v>0</v>
      </c>
      <c r="I26" s="568">
        <v>0</v>
      </c>
      <c r="J26" s="568">
        <v>0</v>
      </c>
      <c r="K26" s="568">
        <v>0</v>
      </c>
      <c r="L26" s="568">
        <v>0</v>
      </c>
      <c r="M26" s="568">
        <v>0</v>
      </c>
      <c r="N26" s="568">
        <v>0</v>
      </c>
      <c r="O26" s="568">
        <v>0</v>
      </c>
      <c r="P26" s="556">
        <f t="shared" si="0"/>
        <v>0</v>
      </c>
      <c r="Q26" s="230" t="b">
        <v>0</v>
      </c>
      <c r="R26" s="18" t="s">
        <v>73</v>
      </c>
      <c r="S26" s="566">
        <v>0</v>
      </c>
      <c r="T26" s="1265"/>
      <c r="U26" s="1266"/>
    </row>
    <row r="27" spans="1:21" s="524" customFormat="1" ht="15" hidden="1" customHeight="1" outlineLevel="1" x14ac:dyDescent="0.3">
      <c r="A27" s="522"/>
      <c r="B27" s="555"/>
      <c r="C27" s="555"/>
      <c r="D27" s="555"/>
      <c r="E27" s="555"/>
      <c r="F27" s="568">
        <v>0</v>
      </c>
      <c r="G27" s="568">
        <v>0</v>
      </c>
      <c r="H27" s="568">
        <v>0</v>
      </c>
      <c r="I27" s="568">
        <v>0</v>
      </c>
      <c r="J27" s="568">
        <v>0</v>
      </c>
      <c r="K27" s="568">
        <v>0</v>
      </c>
      <c r="L27" s="568">
        <v>0</v>
      </c>
      <c r="M27" s="568">
        <v>0</v>
      </c>
      <c r="N27" s="568">
        <v>0</v>
      </c>
      <c r="O27" s="568">
        <v>0</v>
      </c>
      <c r="P27" s="556">
        <f t="shared" si="0"/>
        <v>0</v>
      </c>
      <c r="Q27" s="230" t="b">
        <v>0</v>
      </c>
      <c r="R27" s="18" t="s">
        <v>73</v>
      </c>
      <c r="S27" s="566">
        <v>0</v>
      </c>
      <c r="T27" s="1265"/>
      <c r="U27" s="1266"/>
    </row>
    <row r="28" spans="1:21" s="524" customFormat="1" ht="15" hidden="1" customHeight="1" outlineLevel="1" x14ac:dyDescent="0.3">
      <c r="A28" s="522"/>
      <c r="B28" s="555"/>
      <c r="C28" s="555"/>
      <c r="D28" s="555"/>
      <c r="E28" s="555"/>
      <c r="F28" s="568">
        <v>0</v>
      </c>
      <c r="G28" s="568">
        <v>0</v>
      </c>
      <c r="H28" s="568">
        <v>0</v>
      </c>
      <c r="I28" s="568">
        <v>0</v>
      </c>
      <c r="J28" s="568">
        <v>0</v>
      </c>
      <c r="K28" s="568">
        <v>0</v>
      </c>
      <c r="L28" s="568">
        <v>0</v>
      </c>
      <c r="M28" s="568">
        <v>0</v>
      </c>
      <c r="N28" s="568">
        <v>0</v>
      </c>
      <c r="O28" s="568">
        <v>0</v>
      </c>
      <c r="P28" s="556">
        <f t="shared" si="0"/>
        <v>0</v>
      </c>
      <c r="Q28" s="230" t="b">
        <v>0</v>
      </c>
      <c r="R28" s="18" t="s">
        <v>73</v>
      </c>
      <c r="S28" s="566">
        <v>0</v>
      </c>
      <c r="T28" s="1265"/>
      <c r="U28" s="1266"/>
    </row>
    <row r="29" spans="1:21" s="524" customFormat="1" ht="15" hidden="1" customHeight="1" outlineLevel="1" x14ac:dyDescent="0.3">
      <c r="A29" s="522"/>
      <c r="B29" s="555"/>
      <c r="C29" s="555"/>
      <c r="D29" s="555"/>
      <c r="E29" s="555"/>
      <c r="F29" s="568">
        <v>0</v>
      </c>
      <c r="G29" s="568">
        <v>0</v>
      </c>
      <c r="H29" s="568">
        <v>0</v>
      </c>
      <c r="I29" s="568">
        <v>0</v>
      </c>
      <c r="J29" s="568">
        <v>0</v>
      </c>
      <c r="K29" s="568">
        <v>0</v>
      </c>
      <c r="L29" s="568">
        <v>0</v>
      </c>
      <c r="M29" s="568">
        <v>0</v>
      </c>
      <c r="N29" s="568">
        <v>0</v>
      </c>
      <c r="O29" s="568">
        <v>0</v>
      </c>
      <c r="P29" s="556">
        <f t="shared" si="0"/>
        <v>0</v>
      </c>
      <c r="Q29" s="230" t="b">
        <v>0</v>
      </c>
      <c r="R29" s="18" t="s">
        <v>73</v>
      </c>
      <c r="S29" s="566">
        <v>0</v>
      </c>
      <c r="T29" s="1265"/>
      <c r="U29" s="1266"/>
    </row>
    <row r="30" spans="1:21" s="524" customFormat="1" ht="15" hidden="1" customHeight="1" outlineLevel="1" x14ac:dyDescent="0.3">
      <c r="A30" s="522"/>
      <c r="B30" s="555"/>
      <c r="C30" s="555"/>
      <c r="D30" s="555"/>
      <c r="E30" s="555"/>
      <c r="F30" s="568">
        <v>0</v>
      </c>
      <c r="G30" s="568">
        <v>0</v>
      </c>
      <c r="H30" s="568">
        <v>0</v>
      </c>
      <c r="I30" s="568">
        <v>0</v>
      </c>
      <c r="J30" s="568">
        <v>0</v>
      </c>
      <c r="K30" s="568">
        <v>0</v>
      </c>
      <c r="L30" s="568">
        <v>0</v>
      </c>
      <c r="M30" s="568">
        <v>0</v>
      </c>
      <c r="N30" s="568">
        <v>0</v>
      </c>
      <c r="O30" s="568">
        <v>0</v>
      </c>
      <c r="P30" s="556">
        <f t="shared" si="0"/>
        <v>0</v>
      </c>
      <c r="Q30" s="230" t="b">
        <v>0</v>
      </c>
      <c r="R30" s="18" t="s">
        <v>73</v>
      </c>
      <c r="S30" s="566">
        <v>0</v>
      </c>
      <c r="T30" s="1265"/>
      <c r="U30" s="1266"/>
    </row>
    <row r="31" spans="1:21" s="524" customFormat="1" ht="15" hidden="1" customHeight="1" outlineLevel="1" x14ac:dyDescent="0.3">
      <c r="A31" s="522"/>
      <c r="B31" s="554"/>
      <c r="C31" s="554"/>
      <c r="D31" s="555"/>
      <c r="E31" s="555"/>
      <c r="F31" s="568">
        <v>0</v>
      </c>
      <c r="G31" s="568">
        <v>0</v>
      </c>
      <c r="H31" s="568">
        <v>0</v>
      </c>
      <c r="I31" s="568">
        <v>0</v>
      </c>
      <c r="J31" s="568">
        <v>0</v>
      </c>
      <c r="K31" s="568">
        <v>0</v>
      </c>
      <c r="L31" s="568">
        <v>0</v>
      </c>
      <c r="M31" s="568">
        <v>0</v>
      </c>
      <c r="N31" s="568">
        <v>0</v>
      </c>
      <c r="O31" s="568">
        <v>0</v>
      </c>
      <c r="P31" s="556">
        <f t="shared" si="0"/>
        <v>0</v>
      </c>
      <c r="Q31" s="230" t="b">
        <v>0</v>
      </c>
      <c r="R31" s="18" t="s">
        <v>73</v>
      </c>
      <c r="S31" s="566">
        <v>0</v>
      </c>
      <c r="T31" s="1265"/>
      <c r="U31" s="1266"/>
    </row>
    <row r="32" spans="1:21" s="524" customFormat="1" ht="15" hidden="1" customHeight="1" outlineLevel="1" x14ac:dyDescent="0.3">
      <c r="A32" s="522"/>
      <c r="B32" s="554"/>
      <c r="C32" s="554"/>
      <c r="D32" s="555"/>
      <c r="E32" s="555"/>
      <c r="F32" s="568">
        <v>0</v>
      </c>
      <c r="G32" s="568">
        <v>0</v>
      </c>
      <c r="H32" s="568">
        <v>0</v>
      </c>
      <c r="I32" s="568">
        <v>0</v>
      </c>
      <c r="J32" s="568">
        <v>0</v>
      </c>
      <c r="K32" s="568">
        <v>0</v>
      </c>
      <c r="L32" s="568">
        <v>0</v>
      </c>
      <c r="M32" s="568">
        <v>0</v>
      </c>
      <c r="N32" s="568">
        <v>0</v>
      </c>
      <c r="O32" s="568">
        <v>0</v>
      </c>
      <c r="P32" s="556">
        <f t="shared" si="0"/>
        <v>0</v>
      </c>
      <c r="Q32" s="230" t="b">
        <v>0</v>
      </c>
      <c r="R32" s="18" t="s">
        <v>73</v>
      </c>
      <c r="S32" s="566">
        <v>0</v>
      </c>
      <c r="T32" s="1265"/>
      <c r="U32" s="1266"/>
    </row>
    <row r="33" spans="1:31" s="524" customFormat="1" ht="15" hidden="1" customHeight="1" outlineLevel="1" x14ac:dyDescent="0.3">
      <c r="A33" s="522"/>
      <c r="B33" s="554"/>
      <c r="C33" s="554"/>
      <c r="D33" s="555"/>
      <c r="E33" s="555"/>
      <c r="F33" s="568">
        <v>0</v>
      </c>
      <c r="G33" s="568">
        <v>0</v>
      </c>
      <c r="H33" s="568">
        <v>0</v>
      </c>
      <c r="I33" s="568">
        <v>0</v>
      </c>
      <c r="J33" s="568">
        <v>0</v>
      </c>
      <c r="K33" s="568">
        <v>0</v>
      </c>
      <c r="L33" s="568">
        <v>0</v>
      </c>
      <c r="M33" s="568">
        <v>0</v>
      </c>
      <c r="N33" s="568">
        <v>0</v>
      </c>
      <c r="O33" s="568">
        <v>0</v>
      </c>
      <c r="P33" s="556">
        <f t="shared" si="0"/>
        <v>0</v>
      </c>
      <c r="Q33" s="230" t="b">
        <v>0</v>
      </c>
      <c r="R33" s="18" t="s">
        <v>73</v>
      </c>
      <c r="S33" s="566">
        <v>0</v>
      </c>
      <c r="T33" s="1265"/>
      <c r="U33" s="1266"/>
    </row>
    <row r="34" spans="1:31" s="524" customFormat="1" ht="15" hidden="1" customHeight="1" outlineLevel="1" x14ac:dyDescent="0.3">
      <c r="A34" s="522"/>
      <c r="B34" s="554"/>
      <c r="C34" s="554"/>
      <c r="D34" s="555"/>
      <c r="E34" s="555"/>
      <c r="F34" s="568">
        <v>0</v>
      </c>
      <c r="G34" s="568">
        <v>0</v>
      </c>
      <c r="H34" s="568">
        <v>0</v>
      </c>
      <c r="I34" s="568">
        <v>0</v>
      </c>
      <c r="J34" s="568">
        <v>0</v>
      </c>
      <c r="K34" s="568">
        <v>0</v>
      </c>
      <c r="L34" s="568">
        <v>0</v>
      </c>
      <c r="M34" s="568">
        <v>0</v>
      </c>
      <c r="N34" s="568">
        <v>0</v>
      </c>
      <c r="O34" s="568">
        <v>0</v>
      </c>
      <c r="P34" s="556">
        <f t="shared" si="0"/>
        <v>0</v>
      </c>
      <c r="Q34" s="230" t="b">
        <v>0</v>
      </c>
      <c r="R34" s="18" t="s">
        <v>73</v>
      </c>
      <c r="S34" s="566">
        <v>0</v>
      </c>
      <c r="T34" s="1265"/>
      <c r="U34" s="1266"/>
    </row>
    <row r="35" spans="1:31" s="524" customFormat="1" ht="15" hidden="1" customHeight="1" outlineLevel="1" x14ac:dyDescent="0.3">
      <c r="A35" s="522"/>
      <c r="B35" s="554"/>
      <c r="C35" s="554"/>
      <c r="D35" s="555"/>
      <c r="E35" s="555"/>
      <c r="F35" s="568">
        <v>0</v>
      </c>
      <c r="G35" s="568">
        <v>0</v>
      </c>
      <c r="H35" s="568">
        <v>0</v>
      </c>
      <c r="I35" s="568">
        <v>0</v>
      </c>
      <c r="J35" s="568">
        <v>0</v>
      </c>
      <c r="K35" s="568">
        <v>0</v>
      </c>
      <c r="L35" s="568">
        <v>0</v>
      </c>
      <c r="M35" s="568">
        <v>0</v>
      </c>
      <c r="N35" s="568">
        <v>0</v>
      </c>
      <c r="O35" s="568">
        <v>0</v>
      </c>
      <c r="P35" s="556">
        <f t="shared" si="0"/>
        <v>0</v>
      </c>
      <c r="Q35" s="230" t="b">
        <v>0</v>
      </c>
      <c r="R35" s="18" t="s">
        <v>73</v>
      </c>
      <c r="S35" s="566">
        <v>0</v>
      </c>
      <c r="T35" s="1265"/>
      <c r="U35" s="1266"/>
    </row>
    <row r="36" spans="1:31" s="524" customFormat="1" ht="15" hidden="1" customHeight="1" outlineLevel="1" x14ac:dyDescent="0.3">
      <c r="A36" s="522"/>
      <c r="B36" s="554"/>
      <c r="C36" s="554"/>
      <c r="D36" s="555"/>
      <c r="E36" s="555"/>
      <c r="F36" s="568">
        <v>0</v>
      </c>
      <c r="G36" s="568">
        <v>0</v>
      </c>
      <c r="H36" s="568">
        <v>0</v>
      </c>
      <c r="I36" s="568">
        <v>0</v>
      </c>
      <c r="J36" s="568">
        <v>0</v>
      </c>
      <c r="K36" s="568">
        <v>0</v>
      </c>
      <c r="L36" s="568">
        <v>0</v>
      </c>
      <c r="M36" s="568">
        <v>0</v>
      </c>
      <c r="N36" s="568">
        <v>0</v>
      </c>
      <c r="O36" s="568">
        <v>0</v>
      </c>
      <c r="P36" s="556">
        <f t="shared" si="0"/>
        <v>0</v>
      </c>
      <c r="Q36" s="230" t="b">
        <v>0</v>
      </c>
      <c r="R36" s="18" t="s">
        <v>73</v>
      </c>
      <c r="S36" s="566">
        <v>0</v>
      </c>
      <c r="T36" s="1265"/>
      <c r="U36" s="1266"/>
    </row>
    <row r="37" spans="1:31" s="524" customFormat="1" ht="15" hidden="1" customHeight="1" outlineLevel="1" x14ac:dyDescent="0.3">
      <c r="A37" s="522"/>
      <c r="B37" s="554"/>
      <c r="C37" s="554"/>
      <c r="D37" s="555"/>
      <c r="E37" s="555"/>
      <c r="F37" s="568">
        <v>0</v>
      </c>
      <c r="G37" s="568">
        <v>0</v>
      </c>
      <c r="H37" s="568">
        <v>0</v>
      </c>
      <c r="I37" s="568">
        <v>0</v>
      </c>
      <c r="J37" s="568">
        <v>0</v>
      </c>
      <c r="K37" s="568">
        <v>0</v>
      </c>
      <c r="L37" s="568">
        <v>0</v>
      </c>
      <c r="M37" s="568">
        <v>0</v>
      </c>
      <c r="N37" s="568">
        <v>0</v>
      </c>
      <c r="O37" s="568">
        <v>0</v>
      </c>
      <c r="P37" s="556">
        <f t="shared" si="0"/>
        <v>0</v>
      </c>
      <c r="Q37" s="230" t="b">
        <v>0</v>
      </c>
      <c r="R37" s="18" t="s">
        <v>73</v>
      </c>
      <c r="S37" s="566">
        <v>0</v>
      </c>
      <c r="T37" s="1265"/>
      <c r="U37" s="1266"/>
    </row>
    <row r="38" spans="1:31" s="524" customFormat="1" ht="15" hidden="1" customHeight="1" outlineLevel="1" x14ac:dyDescent="0.3">
      <c r="A38" s="522"/>
      <c r="B38" s="554"/>
      <c r="C38" s="554"/>
      <c r="D38" s="555"/>
      <c r="E38" s="555"/>
      <c r="F38" s="568">
        <v>0</v>
      </c>
      <c r="G38" s="568">
        <v>0</v>
      </c>
      <c r="H38" s="568">
        <v>0</v>
      </c>
      <c r="I38" s="568">
        <v>0</v>
      </c>
      <c r="J38" s="568">
        <v>0</v>
      </c>
      <c r="K38" s="568">
        <v>0</v>
      </c>
      <c r="L38" s="568">
        <v>0</v>
      </c>
      <c r="M38" s="568">
        <v>0</v>
      </c>
      <c r="N38" s="568">
        <v>0</v>
      </c>
      <c r="O38" s="568">
        <v>0</v>
      </c>
      <c r="P38" s="556">
        <f t="shared" si="0"/>
        <v>0</v>
      </c>
      <c r="Q38" s="230" t="b">
        <v>0</v>
      </c>
      <c r="R38" s="18" t="s">
        <v>73</v>
      </c>
      <c r="S38" s="566">
        <v>0</v>
      </c>
      <c r="T38" s="1265"/>
      <c r="U38" s="1266"/>
    </row>
    <row r="39" spans="1:31" s="524" customFormat="1" ht="15" hidden="1" customHeight="1" outlineLevel="1" x14ac:dyDescent="0.3">
      <c r="A39" s="522"/>
      <c r="B39" s="554"/>
      <c r="C39" s="554"/>
      <c r="D39" s="555"/>
      <c r="E39" s="555"/>
      <c r="F39" s="568">
        <v>0</v>
      </c>
      <c r="G39" s="568">
        <v>0</v>
      </c>
      <c r="H39" s="568">
        <v>0</v>
      </c>
      <c r="I39" s="568">
        <v>0</v>
      </c>
      <c r="J39" s="568">
        <v>0</v>
      </c>
      <c r="K39" s="568">
        <v>0</v>
      </c>
      <c r="L39" s="568">
        <v>0</v>
      </c>
      <c r="M39" s="568">
        <v>0</v>
      </c>
      <c r="N39" s="568">
        <v>0</v>
      </c>
      <c r="O39" s="568">
        <v>0</v>
      </c>
      <c r="P39" s="556">
        <f t="shared" si="0"/>
        <v>0</v>
      </c>
      <c r="Q39" s="230" t="b">
        <v>0</v>
      </c>
      <c r="R39" s="18" t="s">
        <v>73</v>
      </c>
      <c r="S39" s="566">
        <v>0</v>
      </c>
      <c r="T39" s="1265"/>
      <c r="U39" s="1266"/>
    </row>
    <row r="40" spans="1:31" s="524" customFormat="1" ht="15" hidden="1" customHeight="1" outlineLevel="1" x14ac:dyDescent="0.3">
      <c r="A40" s="522"/>
      <c r="B40" s="554"/>
      <c r="C40" s="554"/>
      <c r="D40" s="555"/>
      <c r="E40" s="555"/>
      <c r="F40" s="568">
        <v>0</v>
      </c>
      <c r="G40" s="568">
        <v>0</v>
      </c>
      <c r="H40" s="568">
        <v>0</v>
      </c>
      <c r="I40" s="568">
        <v>0</v>
      </c>
      <c r="J40" s="568">
        <v>0</v>
      </c>
      <c r="K40" s="568">
        <v>0</v>
      </c>
      <c r="L40" s="568">
        <v>0</v>
      </c>
      <c r="M40" s="568">
        <v>0</v>
      </c>
      <c r="N40" s="568">
        <v>0</v>
      </c>
      <c r="O40" s="568">
        <v>0</v>
      </c>
      <c r="P40" s="556">
        <f t="shared" si="0"/>
        <v>0</v>
      </c>
      <c r="Q40" s="230" t="b">
        <v>0</v>
      </c>
      <c r="R40" s="18" t="s">
        <v>73</v>
      </c>
      <c r="S40" s="566">
        <v>0</v>
      </c>
      <c r="T40" s="1265"/>
      <c r="U40" s="1266"/>
    </row>
    <row r="41" spans="1:31" s="524" customFormat="1" ht="15" hidden="1" customHeight="1" outlineLevel="1" x14ac:dyDescent="0.3">
      <c r="A41" s="522"/>
      <c r="B41" s="554"/>
      <c r="C41" s="554"/>
      <c r="D41" s="555"/>
      <c r="E41" s="555"/>
      <c r="F41" s="568">
        <v>0</v>
      </c>
      <c r="G41" s="568">
        <v>0</v>
      </c>
      <c r="H41" s="568">
        <v>0</v>
      </c>
      <c r="I41" s="568">
        <v>0</v>
      </c>
      <c r="J41" s="568">
        <v>0</v>
      </c>
      <c r="K41" s="568">
        <v>0</v>
      </c>
      <c r="L41" s="568">
        <v>0</v>
      </c>
      <c r="M41" s="568">
        <v>0</v>
      </c>
      <c r="N41" s="568">
        <v>0</v>
      </c>
      <c r="O41" s="568">
        <v>0</v>
      </c>
      <c r="P41" s="556">
        <f t="shared" si="0"/>
        <v>0</v>
      </c>
      <c r="Q41" s="230" t="b">
        <v>0</v>
      </c>
      <c r="R41" s="18" t="s">
        <v>73</v>
      </c>
      <c r="S41" s="566">
        <v>0</v>
      </c>
      <c r="T41" s="1265"/>
      <c r="U41" s="1266"/>
    </row>
    <row r="42" spans="1:31" s="524" customFormat="1" ht="15" hidden="1" customHeight="1" outlineLevel="1" x14ac:dyDescent="0.3">
      <c r="A42" s="522"/>
      <c r="B42" s="554"/>
      <c r="C42" s="554"/>
      <c r="D42" s="555"/>
      <c r="E42" s="555"/>
      <c r="F42" s="568">
        <v>0</v>
      </c>
      <c r="G42" s="568">
        <v>0</v>
      </c>
      <c r="H42" s="568">
        <v>0</v>
      </c>
      <c r="I42" s="568">
        <v>0</v>
      </c>
      <c r="J42" s="568">
        <v>0</v>
      </c>
      <c r="K42" s="568">
        <v>0</v>
      </c>
      <c r="L42" s="568">
        <v>0</v>
      </c>
      <c r="M42" s="568">
        <v>0</v>
      </c>
      <c r="N42" s="568">
        <v>0</v>
      </c>
      <c r="O42" s="568">
        <v>0</v>
      </c>
      <c r="P42" s="556">
        <f t="shared" si="0"/>
        <v>0</v>
      </c>
      <c r="Q42" s="230" t="b">
        <v>0</v>
      </c>
      <c r="R42" s="18" t="s">
        <v>73</v>
      </c>
      <c r="S42" s="566">
        <v>0</v>
      </c>
      <c r="T42" s="1265"/>
      <c r="U42" s="1266"/>
    </row>
    <row r="43" spans="1:31" s="524" customFormat="1" ht="15" hidden="1" customHeight="1" outlineLevel="1" x14ac:dyDescent="0.3">
      <c r="A43" s="522"/>
      <c r="B43" s="554"/>
      <c r="C43" s="554"/>
      <c r="D43" s="555"/>
      <c r="E43" s="555"/>
      <c r="F43" s="568">
        <v>0</v>
      </c>
      <c r="G43" s="568">
        <v>0</v>
      </c>
      <c r="H43" s="568">
        <v>0</v>
      </c>
      <c r="I43" s="568">
        <v>0</v>
      </c>
      <c r="J43" s="568">
        <v>0</v>
      </c>
      <c r="K43" s="568">
        <v>0</v>
      </c>
      <c r="L43" s="568">
        <v>0</v>
      </c>
      <c r="M43" s="568">
        <v>0</v>
      </c>
      <c r="N43" s="568">
        <v>0</v>
      </c>
      <c r="O43" s="568">
        <v>0</v>
      </c>
      <c r="P43" s="556">
        <f t="shared" si="0"/>
        <v>0</v>
      </c>
      <c r="Q43" s="230" t="b">
        <v>0</v>
      </c>
      <c r="R43" s="18" t="s">
        <v>73</v>
      </c>
      <c r="S43" s="566">
        <v>0</v>
      </c>
      <c r="T43" s="1265"/>
      <c r="U43" s="1266"/>
    </row>
    <row r="44" spans="1:31" s="524" customFormat="1" ht="15" customHeight="1" collapsed="1" x14ac:dyDescent="0.3">
      <c r="A44" s="522"/>
      <c r="B44" s="641" t="s">
        <v>75</v>
      </c>
      <c r="C44" s="642"/>
      <c r="D44" s="642"/>
      <c r="E44" s="564"/>
      <c r="F44" s="535" cm="1">
        <f t="array" ref="F44">(SUMPRODUCT(F14:F43,--($Q14:$Q43=FALSE))+SUMPRODUCT(F14:F43,--($Q14:$Q43=FALSE),--($R14:$R43="Yes"))*0.1)</f>
        <v>0</v>
      </c>
      <c r="G44" s="535" cm="1">
        <f t="array" ref="G44">(SUMPRODUCT(G14:G43,--($Q14:$Q43=FALSE))+SUMPRODUCT(G14:G43,--($Q14:$Q43=FALSE),--($R14:$R43="Yes"))*0.1)</f>
        <v>0</v>
      </c>
      <c r="H44" s="535" cm="1">
        <f t="array" ref="H44">(SUMPRODUCT(H14:H43,--($Q14:$Q43=FALSE))+SUMPRODUCT(H14:H43,--($Q14:$Q43=FALSE),--($R14:$R43="Yes"))*0.1)</f>
        <v>0</v>
      </c>
      <c r="I44" s="535" cm="1">
        <f t="array" ref="I44">(SUMPRODUCT(I14:I43,--($Q14:$Q43=FALSE))+SUMPRODUCT(I14:I43,--($Q14:$Q43=FALSE),--($R14:$R43="Yes"))*0.1)</f>
        <v>0</v>
      </c>
      <c r="J44" s="535" cm="1">
        <f t="array" ref="J44">(SUMPRODUCT(J14:J43,--($Q14:$Q43=FALSE))+SUMPRODUCT(J14:J43,--($Q14:$Q43=FALSE),--($R14:$R43="Yes"))*0.1)</f>
        <v>0</v>
      </c>
      <c r="K44" s="535" cm="1">
        <f t="array" ref="K44">(SUMPRODUCT(K14:K43,--($Q14:$Q43=FALSE))+SUMPRODUCT(K14:K43,--($Q14:$Q43=FALSE),--($R14:$R43="Yes"))*0.1)</f>
        <v>0</v>
      </c>
      <c r="L44" s="535" cm="1">
        <f t="array" ref="L44">(SUMPRODUCT(L14:L43,--($Q14:$Q43=FALSE))+SUMPRODUCT(L14:L43,--($Q14:$Q43=FALSE),--($R14:$R43="Yes"))*0.1)</f>
        <v>0</v>
      </c>
      <c r="M44" s="535" cm="1">
        <f t="array" ref="M44">(SUMPRODUCT(M14:M43,--($Q14:$Q43=FALSE))+SUMPRODUCT(M14:M43,--($Q14:$Q43=FALSE),--($R14:$R43="Yes"))*0.1)</f>
        <v>0</v>
      </c>
      <c r="N44" s="535" cm="1">
        <f t="array" ref="N44">(SUMPRODUCT(N14:N43,--($Q14:$Q43=FALSE))+SUMPRODUCT(N14:N43,--($Q14:$Q43=FALSE),--($R14:$R43="Yes"))*0.1)</f>
        <v>0</v>
      </c>
      <c r="O44" s="535" cm="1">
        <f t="array" ref="O44">(SUMPRODUCT(O14:O43,--($Q14:$Q43=FALSE))+SUMPRODUCT(O14:O43,--($Q14:$Q43=FALSE),--($R14:$R43="Yes"))*0.1)</f>
        <v>0</v>
      </c>
      <c r="P44" s="536">
        <f t="shared" si="0"/>
        <v>0</v>
      </c>
      <c r="Q44" s="540"/>
      <c r="R44" s="520"/>
      <c r="S44" s="541"/>
      <c r="T44" s="1265"/>
      <c r="U44" s="1266"/>
    </row>
    <row r="45" spans="1:31" s="524" customFormat="1" ht="15" customHeight="1" x14ac:dyDescent="0.3">
      <c r="A45" s="522"/>
      <c r="B45" s="1269" t="s">
        <v>76</v>
      </c>
      <c r="C45" s="1270"/>
      <c r="D45" s="1271"/>
      <c r="E45" s="1272"/>
      <c r="F45" s="535">
        <f t="shared" ref="F45:H45" si="1">F46-F44</f>
        <v>0</v>
      </c>
      <c r="G45" s="535">
        <f t="shared" si="1"/>
        <v>0</v>
      </c>
      <c r="H45" s="535">
        <f t="shared" si="1"/>
        <v>0</v>
      </c>
      <c r="I45" s="535">
        <f>I46-I44</f>
        <v>0</v>
      </c>
      <c r="J45" s="535">
        <f t="shared" ref="J45:O45" si="2">J46-J44</f>
        <v>0</v>
      </c>
      <c r="K45" s="535">
        <f t="shared" si="2"/>
        <v>0</v>
      </c>
      <c r="L45" s="535">
        <f t="shared" si="2"/>
        <v>0</v>
      </c>
      <c r="M45" s="535">
        <f t="shared" si="2"/>
        <v>0</v>
      </c>
      <c r="N45" s="535">
        <f t="shared" si="2"/>
        <v>0</v>
      </c>
      <c r="O45" s="535">
        <f t="shared" si="2"/>
        <v>0</v>
      </c>
      <c r="P45" s="536">
        <f t="shared" si="0"/>
        <v>0</v>
      </c>
      <c r="Q45" s="540"/>
      <c r="R45" s="520"/>
      <c r="S45" s="541"/>
      <c r="T45" s="1265"/>
      <c r="U45" s="1266"/>
    </row>
    <row r="46" spans="1:31" s="524" customFormat="1" ht="15.75" customHeight="1" thickBot="1" x14ac:dyDescent="0.35">
      <c r="A46" s="522"/>
      <c r="B46" s="537" t="s">
        <v>77</v>
      </c>
      <c r="C46" s="538"/>
      <c r="D46" s="538"/>
      <c r="E46" s="579"/>
      <c r="F46" s="539" cm="1">
        <f t="array" ref="F46">SUMPRODUCT(F14:F43,--($Q14:$Q43=FALSE),$S14:$S43,--($S14:$S43&gt;0))+SUMPRODUCT(F14:F43,--($Q14:$Q43=FALSE),--($R14:$R43="Yes"),$S14:$S43,--($S14:$S43&gt;0))*0.1+SUMPRODUCT(F14:F43,--($Q14:$Q43=FALSE),--($S14:$S43=0))+SUMPRODUCT(F14:F43,--($Q14:$Q43=FALSE),--($R14:$R43="Yes"),--($S14:$S43=0))*0.1</f>
        <v>0</v>
      </c>
      <c r="G46" s="539" cm="1">
        <f t="array" ref="G46">SUMPRODUCT(G14:G43,--($Q14:$Q43=FALSE),$S14:$S43,--($S14:$S43&gt;0))+SUMPRODUCT(G14:G43,--($Q14:$Q43=FALSE),--($R14:$R43="Yes"),$S14:$S43,--($S14:$S43&gt;0))*0.1+SUMPRODUCT(G14:G43,--($Q14:$Q43=FALSE),--($S14:$S43=0))+SUMPRODUCT(G14:G43,--($Q14:$Q43=FALSE),--($R14:$R43="Yes"),--($S14:$S43=0))*0.1</f>
        <v>0</v>
      </c>
      <c r="H46" s="539" cm="1">
        <f t="array" ref="H46">SUMPRODUCT(H14:H43,--($Q14:$Q43=FALSE),$S14:$S43,--($S14:$S43&gt;0))+SUMPRODUCT(H14:H43,--($Q14:$Q43=FALSE),--($R14:$R43="Yes"),$S14:$S43,--($S14:$S43&gt;0))*0.1+SUMPRODUCT(H14:H43,--($Q14:$Q43=FALSE),--($S14:$S43=0))+SUMPRODUCT(H14:H43,--($Q14:$Q43=FALSE),--($R14:$R43="Yes"),--($S14:$S43=0))*0.1</f>
        <v>0</v>
      </c>
      <c r="I46" s="539" cm="1">
        <f t="array" ref="I46">SUMPRODUCT(I14:I43,--($Q14:$Q43=FALSE),$S14:$S43,--($S14:$S43&gt;0))+SUMPRODUCT(I14:I43,--($Q14:$Q43=FALSE),--($R14:$R43="Yes"),$S14:$S43,--($S14:$S43&gt;0))*0.1+SUMPRODUCT(I14:I43,--($Q14:$Q43=FALSE),--($S14:$S43=0))+SUMPRODUCT(I14:I43,--($Q14:$Q43=FALSE),--($R14:$R43="Yes"),--($S14:$S43=0))*0.1</f>
        <v>0</v>
      </c>
      <c r="J46" s="539" cm="1">
        <f t="array" ref="J46">SUMPRODUCT(J14:J43,--($Q14:$Q43=FALSE),$S14:$S43,--($S14:$S43&gt;0))+SUMPRODUCT(J14:J43,--($Q14:$Q43=FALSE),--($R14:$R43="Yes"),$S14:$S43,--($S14:$S43&gt;0))*0.1+SUMPRODUCT(J14:J43,--($Q14:$Q43=FALSE),--($S14:$S43=0))+SUMPRODUCT(J14:J43,--($Q14:$Q43=FALSE),--($R14:$R43="Yes"),--($S14:$S43=0))*0.1</f>
        <v>0</v>
      </c>
      <c r="K46" s="539" cm="1">
        <f t="array" ref="K46">SUMPRODUCT(K14:K43,--($Q14:$Q43=FALSE),$S14:$S43,--($S14:$S43&gt;0))+SUMPRODUCT(K14:K43,--($Q14:$Q43=FALSE),--($R14:$R43="Yes"),$S14:$S43,--($S14:$S43&gt;0))*0.1+SUMPRODUCT(K14:K43,--($Q14:$Q43=FALSE),--($S14:$S43=0))+SUMPRODUCT(K14:K43,--($Q14:$Q43=FALSE),--($R14:$R43="Yes"),--($S14:$S43=0))*0.1</f>
        <v>0</v>
      </c>
      <c r="L46" s="539" cm="1">
        <f t="array" ref="L46">SUMPRODUCT(L14:L43,--($Q14:$Q43=FALSE),$S14:$S43,--($S14:$S43&gt;0))+SUMPRODUCT(L14:L43,--($Q14:$Q43=FALSE),--($R14:$R43="Yes"),$S14:$S43,--($S14:$S43&gt;0))*0.1+SUMPRODUCT(L14:L43,--($Q14:$Q43=FALSE),--($S14:$S43=0))+SUMPRODUCT(L14:L43,--($Q14:$Q43=FALSE),--($R14:$R43="Yes"),--($S14:$S43=0))*0.1</f>
        <v>0</v>
      </c>
      <c r="M46" s="539" cm="1">
        <f t="array" ref="M46">SUMPRODUCT(M14:M43,--($Q14:$Q43=FALSE),$S14:$S43,--($S14:$S43&gt;0))+SUMPRODUCT(M14:M43,--($Q14:$Q43=FALSE),--($R14:$R43="Yes"),$S14:$S43,--($S14:$S43&gt;0))*0.1+SUMPRODUCT(M14:M43,--($Q14:$Q43=FALSE),--($S14:$S43=0))+SUMPRODUCT(M14:M43,--($Q14:$Q43=FALSE),--($R14:$R43="Yes"),--($S14:$S43=0))*0.1</f>
        <v>0</v>
      </c>
      <c r="N46" s="539" cm="1">
        <f t="array" ref="N46">SUMPRODUCT(N14:N43,--($Q14:$Q43=FALSE),$S14:$S43,--($S14:$S43&gt;0))+SUMPRODUCT(N14:N43,--($Q14:$Q43=FALSE),--($R14:$R43="Yes"),$S14:$S43,--($S14:$S43&gt;0))*0.1+SUMPRODUCT(N14:N43,--($Q14:$Q43=FALSE),--($S14:$S43=0))+SUMPRODUCT(N14:N43,--($Q14:$Q43=FALSE),--($R14:$R43="Yes"),--($S14:$S43=0))*0.1</f>
        <v>0</v>
      </c>
      <c r="O46" s="539" cm="1">
        <f t="array" ref="O46">SUMPRODUCT(O14:O43,--($Q14:$Q43=FALSE),$S14:$S43,--($S14:$S43&gt;0))+SUMPRODUCT(O14:O43,--($Q14:$Q43=FALSE),--($R14:$R43="Yes"),$S14:$S43,--($S14:$S43&gt;0))*0.1+SUMPRODUCT(O14:O43,--($Q14:$Q43=FALSE),--($S14:$S43=0))+SUMPRODUCT(O14:O43,--($Q14:$Q43=FALSE),--($R14:$R43="Yes"),--($S14:$S43=0))*0.1</f>
        <v>0</v>
      </c>
      <c r="P46" s="539">
        <f t="shared" ref="P46" si="3">SUM(F46:O46)</f>
        <v>0</v>
      </c>
      <c r="Q46" s="540"/>
      <c r="R46" s="520"/>
      <c r="S46" s="541"/>
      <c r="T46" s="1265"/>
      <c r="U46" s="1266"/>
      <c r="V46" s="541"/>
      <c r="W46" s="541"/>
      <c r="X46" s="541"/>
      <c r="Y46" s="541"/>
      <c r="Z46" s="541"/>
      <c r="AA46" s="541"/>
      <c r="AB46" s="541"/>
      <c r="AC46" s="541"/>
      <c r="AD46" s="541"/>
    </row>
    <row r="47" spans="1:31" s="524" customFormat="1" ht="14.25" customHeight="1" thickTop="1" x14ac:dyDescent="0.3">
      <c r="A47" s="522"/>
      <c r="B47" s="542"/>
      <c r="C47" s="543"/>
      <c r="D47" s="1273" t="str">
        <f>IF(tbBudgetCurrency="AUD - Australian Dollar","","Total Non-Staff costs in AUD")</f>
        <v/>
      </c>
      <c r="E47" s="1273"/>
      <c r="F47" s="544" t="str">
        <f t="shared" ref="F47:P47" si="4">IF(tbBudgetCurrency="AUD - Australian Dollar", "",F46/new_xrate)</f>
        <v/>
      </c>
      <c r="G47" s="544" t="str">
        <f t="shared" si="4"/>
        <v/>
      </c>
      <c r="H47" s="544" t="str">
        <f t="shared" si="4"/>
        <v/>
      </c>
      <c r="I47" s="544" t="str">
        <f t="shared" si="4"/>
        <v/>
      </c>
      <c r="J47" s="544" t="str">
        <f t="shared" si="4"/>
        <v/>
      </c>
      <c r="K47" s="544" t="str">
        <f t="shared" si="4"/>
        <v/>
      </c>
      <c r="L47" s="544" t="str">
        <f t="shared" si="4"/>
        <v/>
      </c>
      <c r="M47" s="544" t="str">
        <f t="shared" si="4"/>
        <v/>
      </c>
      <c r="N47" s="544" t="str">
        <f t="shared" si="4"/>
        <v/>
      </c>
      <c r="O47" s="544" t="str">
        <f t="shared" si="4"/>
        <v/>
      </c>
      <c r="P47" s="544" t="str">
        <f t="shared" si="4"/>
        <v/>
      </c>
      <c r="Q47" s="540"/>
      <c r="R47" s="520"/>
      <c r="S47" s="541"/>
      <c r="T47" s="1265"/>
      <c r="U47" s="1266"/>
      <c r="V47" s="541"/>
      <c r="W47" s="541"/>
      <c r="X47" s="541"/>
      <c r="Y47" s="541"/>
      <c r="Z47" s="541"/>
      <c r="AA47" s="541"/>
      <c r="AB47" s="541"/>
      <c r="AC47" s="541"/>
      <c r="AD47" s="541"/>
      <c r="AE47" s="541"/>
    </row>
    <row r="48" spans="1:31" s="524" customFormat="1" ht="14.25" customHeight="1" x14ac:dyDescent="0.3">
      <c r="A48" s="522"/>
      <c r="B48" s="581" t="s">
        <v>78</v>
      </c>
      <c r="C48" s="585"/>
      <c r="D48" s="585"/>
      <c r="E48" s="582"/>
      <c r="F48" s="535" cm="1">
        <f t="array" ref="F48">(SUMPRODUCT(F14:F43,--($Q14:$Q43=TRUE))+SUMPRODUCT(F14:F43,--($Q14:$Q43=TRUE),--($R14:$R43="Yes"))*0.1)</f>
        <v>0</v>
      </c>
      <c r="G48" s="535" cm="1">
        <f t="array" ref="G48">(SUMPRODUCT(G14:G43,--($Q14:$Q43=TRUE))+SUMPRODUCT(G14:G43,--($Q14:$Q43=TRUE),--($R14:$R43="Yes"))*0.1)</f>
        <v>0</v>
      </c>
      <c r="H48" s="535" cm="1">
        <f t="array" ref="H48">(SUMPRODUCT(H14:H43,--($Q14:$Q43=TRUE))+SUMPRODUCT(H14:H43,--($Q14:$Q43=TRUE),--($R14:$R43="Yes"))*0.1)</f>
        <v>0</v>
      </c>
      <c r="I48" s="535" cm="1">
        <f t="array" ref="I48">(SUMPRODUCT(I14:I43,--($Q14:$Q43=TRUE))+SUMPRODUCT(I14:I43,--($Q14:$Q43=TRUE),--($R14:$R43="Yes"))*0.1)</f>
        <v>0</v>
      </c>
      <c r="J48" s="535" cm="1">
        <f t="array" ref="J48">(SUMPRODUCT(J14:J43,--($Q14:$Q43=TRUE))+SUMPRODUCT(J14:J43,--($Q14:$Q43=TRUE),--($R14:$R43="Yes"))*0.1)</f>
        <v>0</v>
      </c>
      <c r="K48" s="535" cm="1">
        <f t="array" ref="K48">(SUMPRODUCT(K14:K43,--($Q14:$Q43=TRUE))+SUMPRODUCT(K14:K43,--($Q14:$Q43=TRUE),--($R14:$R43="Yes"))*0.1)</f>
        <v>0</v>
      </c>
      <c r="L48" s="535" cm="1">
        <f t="array" ref="L48">(SUMPRODUCT(L14:L43,--($Q14:$Q43=TRUE))+SUMPRODUCT(L14:L43,--($Q14:$Q43=TRUE),--($R14:$R43="Yes"))*0.1)</f>
        <v>0</v>
      </c>
      <c r="M48" s="535" cm="1">
        <f t="array" ref="M48">(SUMPRODUCT(M14:M43,--($Q14:$Q43=TRUE))+SUMPRODUCT(M14:M43,--($Q14:$Q43=TRUE),--($R14:$R43="Yes"))*0.1)</f>
        <v>0</v>
      </c>
      <c r="N48" s="535" cm="1">
        <f t="array" ref="N48">(SUMPRODUCT(N14:N43,--($Q14:$Q43=TRUE))+SUMPRODUCT(N14:N43,--($Q14:$Q43=TRUE),--($R14:$R43="Yes"))*0.1)</f>
        <v>0</v>
      </c>
      <c r="O48" s="535" cm="1">
        <f t="array" ref="O48">(SUMPRODUCT(O14:O43,--($Q14:$Q43=TRUE))+SUMPRODUCT(O14:O43,--($Q14:$Q43=TRUE),--($R14:$R43="Yes"))*0.1)</f>
        <v>0</v>
      </c>
      <c r="P48" s="536">
        <f t="shared" ref="P48:P49" si="5">SUM($F48:$O48)</f>
        <v>0</v>
      </c>
      <c r="Q48" s="540"/>
      <c r="R48" s="520"/>
      <c r="S48" s="541"/>
      <c r="T48" s="1265"/>
      <c r="U48" s="1266"/>
    </row>
    <row r="49" spans="1:452" s="524" customFormat="1" ht="14.25" customHeight="1" x14ac:dyDescent="0.3">
      <c r="A49" s="522"/>
      <c r="B49" s="581" t="s">
        <v>79</v>
      </c>
      <c r="C49" s="582"/>
      <c r="D49" s="583"/>
      <c r="E49" s="584"/>
      <c r="F49" s="535" cm="1">
        <f t="array" ref="F49">F50-(SUMPRODUCT(F14:F43,--($Q14:$Q43=TRUE))+SUMPRODUCT(F14:F43,--($Q14:$Q43=TRUE),--($R14:$R43="Yes"))*0.1)</f>
        <v>0</v>
      </c>
      <c r="G49" s="535" cm="1">
        <f t="array" ref="G49">G50-(SUMPRODUCT(G14:G43,--($Q14:$Q43=TRUE))+SUMPRODUCT(G14:G43,--($Q14:$Q43=TRUE),--($R14:$R43="Yes"))*0.1)</f>
        <v>0</v>
      </c>
      <c r="H49" s="535" cm="1">
        <f t="array" ref="H49">H50-(SUMPRODUCT(H14:H43,--($Q14:$Q43=TRUE))+SUMPRODUCT(H14:H43,--($Q14:$Q43=TRUE),--($R14:$R43="Yes"))*0.1)</f>
        <v>0</v>
      </c>
      <c r="I49" s="535" cm="1">
        <f t="array" ref="I49">I50-(SUMPRODUCT(I14:I43,--($Q14:$Q43=TRUE))+SUMPRODUCT(I14:I43,--($Q14:$Q43=TRUE),--($R14:$R43="Yes"))*0.1)</f>
        <v>0</v>
      </c>
      <c r="J49" s="535" cm="1">
        <f t="array" ref="J49">J50-(SUMPRODUCT(J14:J43,--($Q14:$Q43=TRUE))+SUMPRODUCT(J14:J43,--($Q14:$Q43=TRUE),--($R14:$R43="Yes"))*0.1)</f>
        <v>0</v>
      </c>
      <c r="K49" s="535" cm="1">
        <f t="array" ref="K49">K50-(SUMPRODUCT(K14:K43,--($Q14:$Q43=TRUE))+SUMPRODUCT(K14:K43,--($Q14:$Q43=TRUE),--($R14:$R43="Yes"))*0.1)</f>
        <v>0</v>
      </c>
      <c r="L49" s="535" cm="1">
        <f t="array" ref="L49">L50-(SUMPRODUCT(L14:L43,--($Q14:$Q43=TRUE))+SUMPRODUCT(L14:L43,--($Q14:$Q43=TRUE),--($R14:$R43="Yes"))*0.1)</f>
        <v>0</v>
      </c>
      <c r="M49" s="535" cm="1">
        <f t="array" ref="M49">M50-(SUMPRODUCT(M14:M43,--($Q14:$Q43=TRUE))+SUMPRODUCT(M14:M43,--($Q14:$Q43=TRUE),--($R14:$R43="Yes"))*0.1)</f>
        <v>0</v>
      </c>
      <c r="N49" s="535" cm="1">
        <f t="array" ref="N49">N50-(SUMPRODUCT(N14:N43,--($Q14:$Q43=TRUE))+SUMPRODUCT(N14:N43,--($Q14:$Q43=TRUE),--($R14:$R43="Yes"))*0.1)</f>
        <v>0</v>
      </c>
      <c r="O49" s="535" cm="1">
        <f t="array" ref="O49">O50-(SUMPRODUCT(O14:O43,--($Q14:$Q43=TRUE))+SUMPRODUCT(O14:O43,--($Q14:$Q43=TRUE),--($R14:$R43="Yes"))*0.1)</f>
        <v>0</v>
      </c>
      <c r="P49" s="536">
        <f t="shared" si="5"/>
        <v>0</v>
      </c>
      <c r="Q49" s="540"/>
      <c r="R49" s="520"/>
      <c r="S49" s="541"/>
      <c r="T49" s="1265"/>
      <c r="U49" s="1266"/>
    </row>
    <row r="50" spans="1:452" s="524" customFormat="1" ht="14.25" customHeight="1" thickBot="1" x14ac:dyDescent="0.35">
      <c r="A50" s="522"/>
      <c r="B50" s="545" t="s">
        <v>80</v>
      </c>
      <c r="C50" s="546"/>
      <c r="D50" s="546"/>
      <c r="E50" s="580"/>
      <c r="F50" s="547" cm="1">
        <f t="array" ref="F50">SUMPRODUCT(F14:F43,--($Q14:$Q43=TRUE),$S14:$S43,--($S14:$S43&gt;0))+SUMPRODUCT(F14:F43,--($Q14:$Q43=TRUE),--($R14:$R43="Yes"),$S14:$S43,--($S14:$S43&gt;0))*0.1+SUMPRODUCT(F14:F43,--($Q14:$Q43=TRUE),--($S14:$S43=0))+SUMPRODUCT(F14:F43,--($Q14:$Q43=TRUE),--($R14:$R43="Yes"),--($S14:$S43=0))*0.1</f>
        <v>0</v>
      </c>
      <c r="G50" s="547" cm="1">
        <f t="array" ref="G50">SUMPRODUCT(G14:G43,--($Q14:$Q43=TRUE),$S14:$S43,--($S14:$S43&gt;0))+SUMPRODUCT(G14:G43,--($Q14:$Q43=TRUE),--($R14:$R43="Yes"),$S14:$S43,--($S14:$S43&gt;0))*0.1+SUMPRODUCT(G14:G43,--($Q14:$Q43=TRUE),--($S14:$S43=0))+SUMPRODUCT(G14:G43,--($Q14:$Q43=TRUE),--($R14:$R43="Yes"),--($S14:$S43=0))*0.1</f>
        <v>0</v>
      </c>
      <c r="H50" s="547" cm="1">
        <f t="array" ref="H50">SUMPRODUCT(H14:H43,--($Q14:$Q43=TRUE),$S14:$S43,--($S14:$S43&gt;0))+SUMPRODUCT(H14:H43,--($Q14:$Q43=TRUE),--($R14:$R43="Yes"),$S14:$S43,--($S14:$S43&gt;0))*0.1+SUMPRODUCT(H14:H43,--($Q14:$Q43=TRUE),--($S14:$S43=0))+SUMPRODUCT(H14:H43,--($Q14:$Q43=TRUE),--($R14:$R43="Yes"),--($S14:$S43=0))*0.1</f>
        <v>0</v>
      </c>
      <c r="I50" s="547" cm="1">
        <f t="array" ref="I50">SUMPRODUCT(I14:I43,--($Q14:$Q43=TRUE),$S14:$S43,--($S14:$S43&gt;0))+SUMPRODUCT(I14:I43,--($Q14:$Q43=TRUE),--($R14:$R43="Yes"),$S14:$S43,--($S14:$S43&gt;0))*0.1+SUMPRODUCT(I14:I43,--($Q14:$Q43=TRUE),--($S14:$S43=0))+SUMPRODUCT(I14:I43,--($Q14:$Q43=TRUE),--($R14:$R43="Yes"),--($S14:$S43=0))*0.1</f>
        <v>0</v>
      </c>
      <c r="J50" s="547" cm="1">
        <f t="array" ref="J50">SUMPRODUCT(J14:J43,--($Q14:$Q43=TRUE),$S14:$S43,--($S14:$S43&gt;0))+SUMPRODUCT(J14:J43,--($Q14:$Q43=TRUE),--($R14:$R43="Yes"),$S14:$S43,--($S14:$S43&gt;0))*0.1+SUMPRODUCT(J14:J43,--($Q14:$Q43=TRUE),--($S14:$S43=0))+SUMPRODUCT(J14:J43,--($Q14:$Q43=TRUE),--($R14:$R43="Yes"),--($S14:$S43=0))*0.1</f>
        <v>0</v>
      </c>
      <c r="K50" s="547" cm="1">
        <f t="array" ref="K50">SUMPRODUCT(K14:K43,--($Q14:$Q43=TRUE),$S14:$S43,--($S14:$S43&gt;0))+SUMPRODUCT(K14:K43,--($Q14:$Q43=TRUE),--($R14:$R43="Yes"),$S14:$S43,--($S14:$S43&gt;0))*0.1+SUMPRODUCT(K14:K43,--($Q14:$Q43=TRUE),--($S14:$S43=0))+SUMPRODUCT(K14:K43,--($Q14:$Q43=TRUE),--($R14:$R43="Yes"),--($S14:$S43=0))*0.1</f>
        <v>0</v>
      </c>
      <c r="L50" s="547" cm="1">
        <f t="array" ref="L50">SUMPRODUCT(L14:L43,--($Q14:$Q43=TRUE),$S14:$S43,--($S14:$S43&gt;0))+SUMPRODUCT(L14:L43,--($Q14:$Q43=TRUE),--($R14:$R43="Yes"),$S14:$S43,--($S14:$S43&gt;0))*0.1+SUMPRODUCT(L14:L43,--($Q14:$Q43=TRUE),--($S14:$S43=0))+SUMPRODUCT(L14:L43,--($Q14:$Q43=TRUE),--($R14:$R43="Yes"),--($S14:$S43=0))*0.1</f>
        <v>0</v>
      </c>
      <c r="M50" s="547" cm="1">
        <f t="array" ref="M50">SUMPRODUCT(M14:M43,--($Q14:$Q43=TRUE),$S14:$S43,--($S14:$S43&gt;0))+SUMPRODUCT(M14:M43,--($Q14:$Q43=TRUE),--($R14:$R43="Yes"),$S14:$S43,--($S14:$S43&gt;0))*0.1+SUMPRODUCT(M14:M43,--($Q14:$Q43=TRUE),--($S14:$S43=0))+SUMPRODUCT(M14:M43,--($Q14:$Q43=TRUE),--($R14:$R43="Yes"),--($S14:$S43=0))*0.1</f>
        <v>0</v>
      </c>
      <c r="N50" s="547" cm="1">
        <f t="array" ref="N50">SUMPRODUCT(N14:N43,--($Q14:$Q43=TRUE),$S14:$S43,--($S14:$S43&gt;0))+SUMPRODUCT(N14:N43,--($Q14:$Q43=TRUE),--($R14:$R43="Yes"),$S14:$S43,--($S14:$S43&gt;0))*0.1+SUMPRODUCT(N14:N43,--($Q14:$Q43=TRUE),--($S14:$S43=0))+SUMPRODUCT(N14:N43,--($Q14:$Q43=TRUE),--($R14:$R43="Yes"),--($S14:$S43=0))*0.1</f>
        <v>0</v>
      </c>
      <c r="O50" s="547" cm="1">
        <f t="array" ref="O50">SUMPRODUCT(O14:O43,--($Q14:$Q43=TRUE),$S14:$S43,--($S14:$S43&gt;0))+SUMPRODUCT(O14:O43,--($Q14:$Q43=TRUE),--($R14:$R43="Yes"),$S14:$S43,--($S14:$S43&gt;0))*0.1+SUMPRODUCT(O14:O43,--($Q14:$Q43=TRUE),--($S14:$S43=0))+SUMPRODUCT(O14:O43,--($Q14:$Q43=TRUE),--($R14:$R43="Yes"),--($S14:$S43=0))*0.1</f>
        <v>0</v>
      </c>
      <c r="P50" s="547">
        <f t="shared" ref="P50" si="6">SUM(F50:O50)</f>
        <v>0</v>
      </c>
      <c r="Q50" s="540"/>
      <c r="R50" s="520"/>
      <c r="S50" s="541"/>
      <c r="T50" s="1265"/>
      <c r="U50" s="1266"/>
    </row>
    <row r="51" spans="1:452" s="524" customFormat="1" ht="15" customHeight="1" thickTop="1" thickBot="1" x14ac:dyDescent="0.35">
      <c r="A51" s="522"/>
      <c r="B51" s="542"/>
      <c r="C51" s="543"/>
      <c r="D51" s="548"/>
      <c r="E51" s="570" t="str">
        <f>IF(tbBudgetCurrency="AUD - Australian Dollar","","Total In-kind Non-Staff costs in AUD")</f>
        <v/>
      </c>
      <c r="F51" s="544" t="str">
        <f t="shared" ref="F51:P51" si="7">IF(tbBudgetCurrency="AUD - Australian Dollar", "",F50/new_xrate)</f>
        <v/>
      </c>
      <c r="G51" s="544" t="str">
        <f t="shared" si="7"/>
        <v/>
      </c>
      <c r="H51" s="544" t="str">
        <f t="shared" si="7"/>
        <v/>
      </c>
      <c r="I51" s="544" t="str">
        <f t="shared" si="7"/>
        <v/>
      </c>
      <c r="J51" s="544" t="str">
        <f t="shared" si="7"/>
        <v/>
      </c>
      <c r="K51" s="544" t="str">
        <f t="shared" si="7"/>
        <v/>
      </c>
      <c r="L51" s="544" t="str">
        <f t="shared" si="7"/>
        <v/>
      </c>
      <c r="M51" s="544" t="str">
        <f t="shared" si="7"/>
        <v/>
      </c>
      <c r="N51" s="544" t="str">
        <f t="shared" si="7"/>
        <v/>
      </c>
      <c r="O51" s="544" t="str">
        <f t="shared" si="7"/>
        <v/>
      </c>
      <c r="P51" s="544" t="str">
        <f t="shared" si="7"/>
        <v/>
      </c>
      <c r="Q51" s="540"/>
      <c r="R51" s="520"/>
      <c r="S51" s="540"/>
      <c r="T51" s="1267"/>
      <c r="U51" s="1268"/>
    </row>
    <row r="52" spans="1:452" s="524" customFormat="1" ht="15" customHeight="1" x14ac:dyDescent="0.3">
      <c r="A52" s="522"/>
      <c r="B52" s="550"/>
      <c r="C52" s="551"/>
      <c r="D52" s="1256"/>
      <c r="E52" s="1256"/>
      <c r="F52" s="549"/>
      <c r="G52" s="549"/>
      <c r="H52" s="549"/>
      <c r="I52" s="549"/>
      <c r="J52" s="549"/>
      <c r="K52" s="549"/>
      <c r="L52" s="549"/>
      <c r="M52" s="549"/>
      <c r="N52" s="549"/>
      <c r="O52" s="549"/>
      <c r="P52" s="551"/>
      <c r="Q52" s="552"/>
      <c r="R52" s="520"/>
      <c r="S52" s="523"/>
      <c r="T52" s="523"/>
      <c r="U52" s="691"/>
    </row>
    <row r="53" spans="1:452" s="524" customFormat="1" ht="15" thickBot="1" x14ac:dyDescent="0.35">
      <c r="A53" s="522"/>
      <c r="B53" s="553" t="s">
        <v>81</v>
      </c>
      <c r="C53" s="538"/>
      <c r="D53" s="1257"/>
      <c r="E53" s="1258"/>
      <c r="F53" s="417">
        <v>0</v>
      </c>
      <c r="G53" s="417">
        <v>0</v>
      </c>
      <c r="H53" s="417">
        <v>0</v>
      </c>
      <c r="I53" s="417">
        <v>0</v>
      </c>
      <c r="J53" s="417">
        <v>0</v>
      </c>
      <c r="K53" s="417">
        <v>0</v>
      </c>
      <c r="L53" s="417">
        <v>0</v>
      </c>
      <c r="M53" s="417">
        <v>0</v>
      </c>
      <c r="N53" s="417">
        <v>0</v>
      </c>
      <c r="O53" s="417">
        <v>0</v>
      </c>
      <c r="P53" s="539">
        <f t="shared" ref="P53" si="8">SUM(F53:O53)</f>
        <v>0</v>
      </c>
      <c r="Q53" s="552"/>
      <c r="R53" s="520"/>
      <c r="S53" s="523"/>
      <c r="T53" s="523"/>
      <c r="U53" s="691"/>
    </row>
    <row r="54" spans="1:452" s="524" customFormat="1" ht="15" thickTop="1" x14ac:dyDescent="0.3">
      <c r="A54" s="522"/>
      <c r="B54" s="542"/>
      <c r="C54" s="543"/>
      <c r="D54" s="1259" t="str">
        <f>IF(tbBudgetCurrency="AUD - Australian Dollar","","Total Non-Staff costs in AUD")</f>
        <v/>
      </c>
      <c r="E54" s="1259"/>
      <c r="F54" s="544" t="str">
        <f t="shared" ref="F54:P54" si="9">IF(tbBudgetCurrency="AUD - Australian Dollar", "",F53/new_xrate)</f>
        <v/>
      </c>
      <c r="G54" s="544" t="str">
        <f t="shared" si="9"/>
        <v/>
      </c>
      <c r="H54" s="544" t="str">
        <f t="shared" si="9"/>
        <v/>
      </c>
      <c r="I54" s="544" t="str">
        <f t="shared" si="9"/>
        <v/>
      </c>
      <c r="J54" s="544" t="str">
        <f t="shared" si="9"/>
        <v/>
      </c>
      <c r="K54" s="544" t="str">
        <f t="shared" si="9"/>
        <v/>
      </c>
      <c r="L54" s="544" t="str">
        <f t="shared" si="9"/>
        <v/>
      </c>
      <c r="M54" s="544" t="str">
        <f t="shared" si="9"/>
        <v/>
      </c>
      <c r="N54" s="544" t="str">
        <f t="shared" si="9"/>
        <v/>
      </c>
      <c r="O54" s="544" t="str">
        <f t="shared" si="9"/>
        <v/>
      </c>
      <c r="P54" s="544" t="str">
        <f t="shared" si="9"/>
        <v/>
      </c>
      <c r="Q54" s="552"/>
      <c r="R54" s="520"/>
      <c r="S54" s="523"/>
      <c r="T54" s="523"/>
      <c r="U54" s="691"/>
    </row>
    <row r="55" spans="1:452" s="524" customFormat="1" x14ac:dyDescent="0.3">
      <c r="A55" s="557"/>
      <c r="B55" s="558"/>
      <c r="C55" s="559"/>
      <c r="D55" s="560"/>
      <c r="E55" s="560"/>
      <c r="F55" s="561"/>
      <c r="G55" s="561"/>
      <c r="H55" s="561"/>
      <c r="I55" s="561"/>
      <c r="J55" s="561"/>
      <c r="K55" s="561"/>
      <c r="L55" s="561"/>
      <c r="M55" s="561"/>
      <c r="N55" s="561"/>
      <c r="O55" s="561"/>
      <c r="P55" s="561"/>
      <c r="Q55" s="562"/>
      <c r="R55" s="563"/>
      <c r="S55" s="563"/>
      <c r="T55" s="563"/>
      <c r="U55" s="692"/>
    </row>
    <row r="56" spans="1:452" s="524" customFormat="1" x14ac:dyDescent="0.3">
      <c r="A56" s="557"/>
      <c r="B56" s="558"/>
      <c r="C56" s="559"/>
      <c r="D56" s="560"/>
      <c r="E56" s="560"/>
      <c r="F56" s="561"/>
      <c r="G56" s="561"/>
      <c r="H56" s="561"/>
      <c r="I56" s="561"/>
      <c r="J56" s="561"/>
      <c r="K56" s="561"/>
      <c r="L56" s="561"/>
      <c r="M56" s="561"/>
      <c r="N56" s="561"/>
      <c r="O56" s="561"/>
      <c r="P56" s="561"/>
      <c r="Q56" s="562"/>
      <c r="R56" s="563"/>
      <c r="S56" s="563"/>
      <c r="T56" s="563"/>
      <c r="U56" s="692"/>
    </row>
    <row r="57" spans="1:452" s="693" customFormat="1" ht="24" thickBot="1" x14ac:dyDescent="0.4">
      <c r="A57" s="1239" t="s">
        <v>82</v>
      </c>
      <c r="B57" s="1239"/>
      <c r="C57" s="1239"/>
      <c r="D57" s="1239"/>
      <c r="E57" s="1239"/>
      <c r="F57" s="1239"/>
      <c r="G57" s="1239"/>
      <c r="H57" s="1239"/>
      <c r="I57" s="1239"/>
      <c r="J57" s="1239"/>
      <c r="K57" s="1239"/>
      <c r="L57" s="1239"/>
      <c r="M57" s="1239"/>
      <c r="N57" s="1239"/>
      <c r="O57" s="1239"/>
      <c r="P57" s="1239"/>
      <c r="Q57" s="1239"/>
      <c r="R57" s="1239"/>
      <c r="S57" s="1239"/>
      <c r="T57" s="1239"/>
      <c r="U57" s="1239"/>
    </row>
    <row r="58" spans="1:452" s="577" customFormat="1" ht="10.35" customHeight="1" x14ac:dyDescent="0.35">
      <c r="A58" s="593"/>
      <c r="B58" s="594"/>
      <c r="C58" s="595"/>
      <c r="D58" s="595"/>
      <c r="E58" s="573"/>
      <c r="F58" s="574"/>
      <c r="G58" s="574"/>
      <c r="H58" s="574"/>
      <c r="I58" s="574"/>
      <c r="J58" s="574"/>
      <c r="K58" s="574"/>
      <c r="L58" s="574"/>
      <c r="M58" s="574"/>
      <c r="N58" s="574"/>
      <c r="O58" s="574"/>
      <c r="P58" s="596"/>
      <c r="Q58" s="575"/>
      <c r="R58" s="576"/>
      <c r="S58" s="576"/>
      <c r="T58" s="576"/>
    </row>
    <row r="59" spans="1:452" s="591" customFormat="1" x14ac:dyDescent="0.3">
      <c r="A59" s="597"/>
      <c r="B59" s="598" t="s">
        <v>83</v>
      </c>
      <c r="C59" s="599"/>
      <c r="D59" s="599"/>
      <c r="E59" s="633"/>
      <c r="F59" s="634">
        <f>F63</f>
        <v>0</v>
      </c>
      <c r="G59" s="634">
        <f t="shared" ref="G59:O59" si="10">G63</f>
        <v>0</v>
      </c>
      <c r="H59" s="634">
        <f t="shared" si="10"/>
        <v>0</v>
      </c>
      <c r="I59" s="634">
        <f t="shared" si="10"/>
        <v>0</v>
      </c>
      <c r="J59" s="634">
        <f t="shared" si="10"/>
        <v>0</v>
      </c>
      <c r="K59" s="634">
        <f t="shared" si="10"/>
        <v>0</v>
      </c>
      <c r="L59" s="634">
        <f t="shared" si="10"/>
        <v>0</v>
      </c>
      <c r="M59" s="634">
        <f t="shared" si="10"/>
        <v>0</v>
      </c>
      <c r="N59" s="634">
        <f t="shared" si="10"/>
        <v>0</v>
      </c>
      <c r="O59" s="634">
        <f t="shared" si="10"/>
        <v>0</v>
      </c>
      <c r="P59" s="635">
        <f>SUM(F59:O59)</f>
        <v>0</v>
      </c>
      <c r="Q59" s="1171"/>
      <c r="R59" s="636"/>
      <c r="S59" s="636"/>
      <c r="T59" s="636"/>
      <c r="U59" s="1172"/>
      <c r="V59" s="524"/>
      <c r="W59" s="524"/>
      <c r="X59" s="524"/>
      <c r="Y59" s="524"/>
      <c r="Z59" s="524"/>
      <c r="AA59" s="524"/>
      <c r="AB59" s="524"/>
      <c r="AC59" s="524"/>
      <c r="AD59" s="524"/>
      <c r="AE59" s="524"/>
      <c r="AF59" s="524"/>
      <c r="AG59" s="524"/>
      <c r="AH59" s="524"/>
      <c r="AI59" s="524"/>
      <c r="AJ59" s="524"/>
      <c r="AK59" s="524"/>
      <c r="AL59" s="524"/>
      <c r="AM59" s="524"/>
      <c r="AN59" s="524"/>
      <c r="AO59" s="524"/>
      <c r="AP59" s="524"/>
      <c r="AQ59" s="524"/>
      <c r="AR59" s="524"/>
      <c r="AS59" s="524"/>
      <c r="AT59" s="524"/>
      <c r="AU59" s="524"/>
      <c r="AV59" s="524"/>
      <c r="AW59" s="524"/>
      <c r="AX59" s="524"/>
      <c r="AY59" s="524"/>
      <c r="AZ59" s="524"/>
      <c r="BA59" s="524"/>
      <c r="BB59" s="524"/>
      <c r="BC59" s="524"/>
      <c r="BD59" s="524"/>
      <c r="BE59" s="524"/>
      <c r="BF59" s="524"/>
      <c r="BG59" s="524"/>
      <c r="BH59" s="524"/>
      <c r="BI59" s="524"/>
      <c r="BJ59" s="524"/>
      <c r="BK59" s="524"/>
      <c r="BL59" s="524"/>
      <c r="BM59" s="524"/>
      <c r="BN59" s="524"/>
      <c r="BO59" s="524"/>
      <c r="BP59" s="524"/>
      <c r="BQ59" s="524"/>
      <c r="BR59" s="524"/>
      <c r="BS59" s="524"/>
      <c r="BT59" s="524"/>
      <c r="BU59" s="524"/>
      <c r="BV59" s="524"/>
      <c r="BW59" s="524"/>
      <c r="BX59" s="524"/>
      <c r="BY59" s="524"/>
      <c r="BZ59" s="524"/>
      <c r="CA59" s="524"/>
      <c r="CB59" s="524"/>
      <c r="CC59" s="524"/>
      <c r="CD59" s="524"/>
      <c r="CE59" s="524"/>
      <c r="CF59" s="524"/>
      <c r="CG59" s="524"/>
      <c r="CH59" s="524"/>
      <c r="CI59" s="524"/>
      <c r="CJ59" s="524"/>
      <c r="CK59" s="524"/>
      <c r="CL59" s="524"/>
      <c r="CM59" s="524"/>
      <c r="CN59" s="524"/>
      <c r="CO59" s="524"/>
      <c r="CP59" s="524"/>
      <c r="CQ59" s="524"/>
      <c r="CR59" s="524"/>
      <c r="CS59" s="524"/>
      <c r="CT59" s="524"/>
      <c r="CU59" s="524"/>
      <c r="CV59" s="524"/>
      <c r="CW59" s="524"/>
      <c r="CX59" s="524"/>
      <c r="CY59" s="524"/>
      <c r="CZ59" s="524"/>
      <c r="DA59" s="524"/>
      <c r="DB59" s="524"/>
      <c r="DC59" s="524"/>
      <c r="DD59" s="524"/>
      <c r="DE59" s="524"/>
      <c r="DF59" s="524"/>
      <c r="DG59" s="524"/>
      <c r="DH59" s="524"/>
      <c r="DI59" s="524"/>
      <c r="DJ59" s="524"/>
      <c r="DK59" s="524"/>
      <c r="DL59" s="524"/>
      <c r="DM59" s="524"/>
      <c r="DN59" s="524"/>
      <c r="DO59" s="524"/>
      <c r="DP59" s="524"/>
      <c r="DQ59" s="524"/>
      <c r="DR59" s="524"/>
      <c r="DS59" s="524"/>
      <c r="DT59" s="524"/>
      <c r="DU59" s="524"/>
      <c r="DV59" s="524"/>
      <c r="DW59" s="524"/>
      <c r="DX59" s="524"/>
      <c r="DY59" s="524"/>
      <c r="DZ59" s="524"/>
      <c r="EA59" s="524"/>
      <c r="EB59" s="524"/>
      <c r="EC59" s="524"/>
      <c r="ED59" s="524"/>
      <c r="EE59" s="524"/>
      <c r="EF59" s="524"/>
      <c r="EG59" s="524"/>
      <c r="EH59" s="524"/>
      <c r="EI59" s="524"/>
      <c r="EJ59" s="524"/>
      <c r="EK59" s="524"/>
      <c r="EL59" s="524"/>
      <c r="EM59" s="524"/>
      <c r="EN59" s="524"/>
      <c r="EO59" s="524"/>
      <c r="EP59" s="524"/>
      <c r="EQ59" s="524"/>
      <c r="ER59" s="524"/>
      <c r="ES59" s="524"/>
      <c r="ET59" s="524"/>
      <c r="EU59" s="524"/>
      <c r="EV59" s="524"/>
      <c r="EW59" s="524"/>
      <c r="EX59" s="524"/>
      <c r="EY59" s="524"/>
      <c r="EZ59" s="524"/>
      <c r="FA59" s="524"/>
      <c r="FB59" s="524"/>
      <c r="FC59" s="524"/>
      <c r="FD59" s="524"/>
      <c r="FE59" s="524"/>
      <c r="FF59" s="524"/>
      <c r="FG59" s="524"/>
      <c r="FH59" s="524"/>
      <c r="FI59" s="524"/>
      <c r="FJ59" s="524"/>
      <c r="FK59" s="524"/>
      <c r="FL59" s="524"/>
      <c r="FM59" s="524"/>
      <c r="FN59" s="524"/>
      <c r="FO59" s="524"/>
      <c r="FP59" s="524"/>
      <c r="FQ59" s="524"/>
      <c r="FR59" s="524"/>
      <c r="FS59" s="524"/>
      <c r="FT59" s="524"/>
      <c r="FU59" s="524"/>
      <c r="FV59" s="524"/>
      <c r="FW59" s="524"/>
      <c r="FX59" s="524"/>
      <c r="FY59" s="524"/>
      <c r="FZ59" s="524"/>
      <c r="GA59" s="524"/>
      <c r="GB59" s="524"/>
      <c r="GC59" s="524"/>
      <c r="GD59" s="524"/>
      <c r="GE59" s="524"/>
      <c r="GF59" s="524"/>
      <c r="GG59" s="524"/>
      <c r="GH59" s="524"/>
      <c r="GI59" s="524"/>
      <c r="GJ59" s="524"/>
      <c r="GK59" s="524"/>
      <c r="GL59" s="524"/>
      <c r="GM59" s="524"/>
      <c r="GN59" s="524"/>
      <c r="GO59" s="524"/>
      <c r="GP59" s="524"/>
      <c r="GQ59" s="524"/>
      <c r="GR59" s="524"/>
      <c r="GS59" s="524"/>
      <c r="GT59" s="524"/>
      <c r="GU59" s="524"/>
      <c r="GV59" s="524"/>
      <c r="GW59" s="524"/>
      <c r="GX59" s="524"/>
      <c r="GY59" s="524"/>
      <c r="GZ59" s="524"/>
      <c r="HA59" s="524"/>
      <c r="HB59" s="524"/>
      <c r="HC59" s="524"/>
      <c r="HD59" s="524"/>
      <c r="HE59" s="524"/>
      <c r="HF59" s="524"/>
      <c r="HG59" s="524"/>
      <c r="HH59" s="524"/>
      <c r="HI59" s="524"/>
      <c r="HJ59" s="524"/>
      <c r="HK59" s="524"/>
      <c r="HL59" s="524"/>
      <c r="HM59" s="524"/>
      <c r="HN59" s="524"/>
      <c r="HO59" s="524"/>
      <c r="HP59" s="524"/>
      <c r="HQ59" s="524"/>
      <c r="HR59" s="524"/>
      <c r="HS59" s="524"/>
      <c r="HT59" s="524"/>
      <c r="HU59" s="524"/>
      <c r="HV59" s="524"/>
      <c r="HW59" s="524"/>
      <c r="HX59" s="524"/>
      <c r="HY59" s="524"/>
      <c r="HZ59" s="524"/>
      <c r="IA59" s="524"/>
      <c r="IB59" s="524"/>
      <c r="IC59" s="524"/>
      <c r="ID59" s="524"/>
      <c r="IE59" s="524"/>
      <c r="IF59" s="524"/>
      <c r="IG59" s="524"/>
      <c r="IH59" s="524"/>
      <c r="II59" s="524"/>
      <c r="IJ59" s="524"/>
      <c r="IK59" s="524"/>
      <c r="IL59" s="524"/>
      <c r="IM59" s="524"/>
      <c r="IN59" s="524"/>
      <c r="IO59" s="524"/>
      <c r="IP59" s="524"/>
      <c r="IQ59" s="524"/>
      <c r="IR59" s="524"/>
      <c r="IS59" s="524"/>
      <c r="IT59" s="524"/>
      <c r="IU59" s="524"/>
      <c r="IV59" s="524"/>
      <c r="IW59" s="524"/>
      <c r="IX59" s="524"/>
      <c r="IY59" s="524"/>
      <c r="IZ59" s="524"/>
      <c r="JA59" s="524"/>
      <c r="JB59" s="524"/>
      <c r="JC59" s="524"/>
      <c r="JD59" s="524"/>
      <c r="JE59" s="524"/>
      <c r="JF59" s="524"/>
      <c r="JG59" s="524"/>
      <c r="JH59" s="524"/>
      <c r="JI59" s="524"/>
      <c r="JJ59" s="524"/>
      <c r="JK59" s="524"/>
      <c r="JL59" s="524"/>
      <c r="JM59" s="524"/>
      <c r="JN59" s="524"/>
      <c r="JO59" s="524"/>
      <c r="JP59" s="524"/>
      <c r="JQ59" s="524"/>
      <c r="JR59" s="524"/>
      <c r="JS59" s="524"/>
      <c r="JT59" s="524"/>
      <c r="JU59" s="524"/>
      <c r="JV59" s="524"/>
      <c r="JW59" s="524"/>
      <c r="JX59" s="524"/>
      <c r="JY59" s="524"/>
      <c r="JZ59" s="524"/>
      <c r="KA59" s="524"/>
      <c r="KB59" s="524"/>
      <c r="KC59" s="524"/>
      <c r="KD59" s="524"/>
      <c r="KE59" s="524"/>
      <c r="KF59" s="524"/>
      <c r="KG59" s="524"/>
      <c r="KH59" s="524"/>
      <c r="KI59" s="524"/>
      <c r="KJ59" s="524"/>
      <c r="KK59" s="524"/>
      <c r="KL59" s="524"/>
      <c r="KM59" s="524"/>
      <c r="KN59" s="524"/>
      <c r="KO59" s="524"/>
      <c r="KP59" s="524"/>
      <c r="KQ59" s="524"/>
      <c r="KR59" s="524"/>
      <c r="KS59" s="524"/>
      <c r="KT59" s="524"/>
      <c r="KU59" s="524"/>
      <c r="KV59" s="524"/>
      <c r="KW59" s="524"/>
      <c r="KX59" s="524"/>
      <c r="KY59" s="524"/>
      <c r="KZ59" s="524"/>
      <c r="LA59" s="524"/>
      <c r="LB59" s="524"/>
      <c r="LC59" s="524"/>
      <c r="LD59" s="524"/>
      <c r="LE59" s="524"/>
      <c r="LF59" s="524"/>
      <c r="LG59" s="524"/>
      <c r="LH59" s="524"/>
      <c r="LI59" s="524"/>
      <c r="LJ59" s="524"/>
      <c r="LK59" s="524"/>
      <c r="LL59" s="524"/>
      <c r="LM59" s="524"/>
      <c r="LN59" s="524"/>
      <c r="LO59" s="524"/>
      <c r="LP59" s="524"/>
      <c r="LQ59" s="524"/>
      <c r="LR59" s="524"/>
      <c r="LS59" s="524"/>
      <c r="LT59" s="524"/>
      <c r="LU59" s="524"/>
      <c r="LV59" s="524"/>
      <c r="LW59" s="524"/>
      <c r="LX59" s="524"/>
      <c r="LY59" s="524"/>
      <c r="LZ59" s="524"/>
      <c r="MA59" s="524"/>
      <c r="MB59" s="524"/>
      <c r="MC59" s="524"/>
      <c r="MD59" s="524"/>
      <c r="ME59" s="524"/>
      <c r="MF59" s="524"/>
      <c r="MG59" s="524"/>
      <c r="MH59" s="524"/>
      <c r="MI59" s="524"/>
      <c r="MJ59" s="524"/>
      <c r="MK59" s="524"/>
      <c r="ML59" s="524"/>
      <c r="MM59" s="524"/>
      <c r="MN59" s="524"/>
      <c r="MO59" s="524"/>
      <c r="MP59" s="524"/>
      <c r="MQ59" s="524"/>
      <c r="MR59" s="524"/>
      <c r="MS59" s="524"/>
      <c r="MT59" s="524"/>
      <c r="MU59" s="524"/>
      <c r="MV59" s="524"/>
      <c r="MW59" s="524"/>
      <c r="MX59" s="524"/>
      <c r="MY59" s="524"/>
      <c r="MZ59" s="524"/>
      <c r="NA59" s="524"/>
      <c r="NB59" s="524"/>
      <c r="NC59" s="524"/>
      <c r="ND59" s="524"/>
      <c r="NE59" s="524"/>
      <c r="NF59" s="524"/>
      <c r="NG59" s="524"/>
      <c r="NH59" s="524"/>
      <c r="NI59" s="524"/>
      <c r="NJ59" s="524"/>
      <c r="NK59" s="524"/>
      <c r="NL59" s="524"/>
      <c r="NM59" s="524"/>
      <c r="NN59" s="524"/>
      <c r="NO59" s="524"/>
      <c r="NP59" s="524"/>
      <c r="NQ59" s="524"/>
      <c r="NR59" s="524"/>
      <c r="NS59" s="524"/>
      <c r="NT59" s="524"/>
      <c r="NU59" s="524"/>
      <c r="NV59" s="524"/>
      <c r="NW59" s="524"/>
      <c r="NX59" s="524"/>
      <c r="NY59" s="524"/>
      <c r="NZ59" s="524"/>
      <c r="OA59" s="524"/>
      <c r="OB59" s="524"/>
      <c r="OC59" s="524"/>
      <c r="OD59" s="524"/>
      <c r="OE59" s="524"/>
      <c r="OF59" s="524"/>
      <c r="OG59" s="524"/>
      <c r="OH59" s="524"/>
      <c r="OI59" s="524"/>
      <c r="OJ59" s="524"/>
      <c r="OK59" s="524"/>
      <c r="OL59" s="524"/>
      <c r="OM59" s="524"/>
      <c r="ON59" s="524"/>
      <c r="OO59" s="524"/>
      <c r="OP59" s="524"/>
      <c r="OQ59" s="524"/>
      <c r="OR59" s="524"/>
      <c r="OS59" s="524"/>
      <c r="OT59" s="524"/>
      <c r="OU59" s="524"/>
      <c r="OV59" s="524"/>
      <c r="OW59" s="524"/>
      <c r="OX59" s="524"/>
      <c r="OY59" s="524"/>
      <c r="OZ59" s="524"/>
      <c r="PA59" s="524"/>
      <c r="PB59" s="524"/>
      <c r="PC59" s="524"/>
      <c r="PD59" s="524"/>
      <c r="PE59" s="524"/>
      <c r="PF59" s="524"/>
      <c r="PG59" s="524"/>
      <c r="PH59" s="524"/>
      <c r="PI59" s="524"/>
      <c r="PJ59" s="524"/>
      <c r="PK59" s="524"/>
      <c r="PL59" s="524"/>
      <c r="PM59" s="524"/>
      <c r="PN59" s="524"/>
      <c r="PO59" s="524"/>
      <c r="PP59" s="524"/>
      <c r="PQ59" s="524"/>
      <c r="PR59" s="524"/>
      <c r="PS59" s="524"/>
      <c r="PT59" s="524"/>
      <c r="PU59" s="524"/>
      <c r="PV59" s="524"/>
      <c r="PW59" s="524"/>
      <c r="PX59" s="524"/>
      <c r="PY59" s="524"/>
      <c r="PZ59" s="524"/>
      <c r="QA59" s="524"/>
      <c r="QB59" s="524"/>
      <c r="QC59" s="524"/>
      <c r="QD59" s="524"/>
      <c r="QE59" s="524"/>
      <c r="QF59" s="524"/>
      <c r="QG59" s="524"/>
      <c r="QH59" s="524"/>
      <c r="QI59" s="524"/>
      <c r="QJ59" s="524"/>
    </row>
    <row r="60" spans="1:452" s="588" customFormat="1" ht="18" x14ac:dyDescent="0.35">
      <c r="A60" s="601"/>
      <c r="B60" s="602"/>
      <c r="C60" s="603"/>
      <c r="D60" s="603"/>
      <c r="E60" s="586"/>
      <c r="F60" s="587"/>
      <c r="G60" s="587"/>
      <c r="H60" s="587"/>
      <c r="I60" s="587"/>
      <c r="J60" s="587"/>
      <c r="K60" s="587"/>
      <c r="L60" s="587"/>
      <c r="M60" s="587"/>
      <c r="N60" s="587"/>
      <c r="O60" s="587"/>
      <c r="P60" s="604"/>
      <c r="Q60" s="575"/>
      <c r="R60" s="576"/>
      <c r="S60" s="576"/>
      <c r="T60" s="576"/>
      <c r="U60" s="577"/>
      <c r="V60" s="524"/>
      <c r="W60" s="524"/>
      <c r="X60" s="524"/>
      <c r="Y60" s="524"/>
      <c r="Z60" s="524"/>
      <c r="AA60" s="524"/>
      <c r="AB60" s="524"/>
      <c r="AC60" s="524"/>
      <c r="AD60" s="524"/>
      <c r="AE60" s="524"/>
      <c r="AF60" s="524"/>
      <c r="AG60" s="524"/>
      <c r="AH60" s="524"/>
      <c r="AI60" s="524"/>
      <c r="AJ60" s="524"/>
      <c r="AK60" s="524"/>
      <c r="AL60" s="524"/>
      <c r="AM60" s="524"/>
      <c r="AN60" s="524"/>
      <c r="AO60" s="524"/>
      <c r="AP60" s="524"/>
      <c r="AQ60" s="524"/>
      <c r="AR60" s="524"/>
      <c r="AS60" s="524"/>
      <c r="AT60" s="524"/>
      <c r="AU60" s="524"/>
      <c r="AV60" s="524"/>
      <c r="AW60" s="524"/>
      <c r="AX60" s="524"/>
      <c r="AY60" s="524"/>
      <c r="AZ60" s="524"/>
      <c r="BA60" s="524"/>
      <c r="BB60" s="524"/>
      <c r="BC60" s="524"/>
      <c r="BD60" s="524"/>
      <c r="BE60" s="524"/>
      <c r="BF60" s="524"/>
      <c r="BG60" s="524"/>
      <c r="BH60" s="524"/>
      <c r="BI60" s="524"/>
      <c r="BJ60" s="524"/>
      <c r="BK60" s="524"/>
      <c r="BL60" s="524"/>
      <c r="BM60" s="524"/>
      <c r="BN60" s="524"/>
      <c r="BO60" s="524"/>
      <c r="BP60" s="524"/>
      <c r="BQ60" s="524"/>
      <c r="BR60" s="524"/>
      <c r="BS60" s="524"/>
      <c r="BT60" s="524"/>
      <c r="BU60" s="524"/>
      <c r="BV60" s="524"/>
      <c r="BW60" s="524"/>
      <c r="BX60" s="524"/>
      <c r="BY60" s="524"/>
      <c r="BZ60" s="524"/>
      <c r="CA60" s="524"/>
      <c r="CB60" s="524"/>
      <c r="CC60" s="524"/>
      <c r="CD60" s="524"/>
      <c r="CE60" s="524"/>
      <c r="CF60" s="524"/>
      <c r="CG60" s="524"/>
      <c r="CH60" s="524"/>
      <c r="CI60" s="524"/>
      <c r="CJ60" s="524"/>
      <c r="CK60" s="524"/>
      <c r="CL60" s="524"/>
      <c r="CM60" s="524"/>
      <c r="CN60" s="524"/>
      <c r="CO60" s="524"/>
      <c r="CP60" s="524"/>
      <c r="CQ60" s="524"/>
      <c r="CR60" s="524"/>
      <c r="CS60" s="524"/>
      <c r="CT60" s="524"/>
      <c r="CU60" s="524"/>
      <c r="CV60" s="524"/>
      <c r="CW60" s="524"/>
      <c r="CX60" s="524"/>
      <c r="CY60" s="524"/>
      <c r="CZ60" s="524"/>
      <c r="DA60" s="524"/>
      <c r="DB60" s="524"/>
      <c r="DC60" s="524"/>
      <c r="DD60" s="524"/>
      <c r="DE60" s="524"/>
      <c r="DF60" s="524"/>
      <c r="DG60" s="524"/>
      <c r="DH60" s="524"/>
      <c r="DI60" s="524"/>
      <c r="DJ60" s="524"/>
      <c r="DK60" s="524"/>
      <c r="DL60" s="524"/>
      <c r="DM60" s="524"/>
      <c r="DN60" s="524"/>
      <c r="DO60" s="524"/>
      <c r="DP60" s="524"/>
      <c r="DQ60" s="524"/>
      <c r="DR60" s="524"/>
      <c r="DS60" s="524"/>
      <c r="DT60" s="524"/>
      <c r="DU60" s="524"/>
      <c r="DV60" s="524"/>
      <c r="DW60" s="524"/>
      <c r="DX60" s="524"/>
      <c r="DY60" s="524"/>
      <c r="DZ60" s="524"/>
      <c r="EA60" s="524"/>
      <c r="EB60" s="524"/>
      <c r="EC60" s="524"/>
      <c r="ED60" s="524"/>
      <c r="EE60" s="524"/>
      <c r="EF60" s="524"/>
      <c r="EG60" s="524"/>
      <c r="EH60" s="524"/>
      <c r="EI60" s="524"/>
      <c r="EJ60" s="524"/>
      <c r="EK60" s="524"/>
      <c r="EL60" s="524"/>
      <c r="EM60" s="524"/>
      <c r="EN60" s="524"/>
      <c r="EO60" s="524"/>
      <c r="EP60" s="524"/>
      <c r="EQ60" s="524"/>
      <c r="ER60" s="524"/>
      <c r="ES60" s="524"/>
      <c r="ET60" s="524"/>
      <c r="EU60" s="524"/>
      <c r="EV60" s="524"/>
      <c r="EW60" s="524"/>
      <c r="EX60" s="524"/>
      <c r="EY60" s="524"/>
      <c r="EZ60" s="524"/>
      <c r="FA60" s="524"/>
      <c r="FB60" s="524"/>
      <c r="FC60" s="524"/>
      <c r="FD60" s="524"/>
      <c r="FE60" s="524"/>
      <c r="FF60" s="524"/>
      <c r="FG60" s="524"/>
      <c r="FH60" s="524"/>
      <c r="FI60" s="524"/>
      <c r="FJ60" s="524"/>
      <c r="FK60" s="524"/>
      <c r="FL60" s="524"/>
      <c r="FM60" s="524"/>
      <c r="FN60" s="524"/>
      <c r="FO60" s="524"/>
      <c r="FP60" s="524"/>
      <c r="FQ60" s="524"/>
      <c r="FR60" s="524"/>
      <c r="FS60" s="524"/>
      <c r="FT60" s="524"/>
      <c r="FU60" s="524"/>
      <c r="FV60" s="524"/>
      <c r="FW60" s="524"/>
      <c r="FX60" s="524"/>
      <c r="FY60" s="524"/>
      <c r="FZ60" s="524"/>
      <c r="GA60" s="524"/>
      <c r="GB60" s="524"/>
      <c r="GC60" s="524"/>
      <c r="GD60" s="524"/>
      <c r="GE60" s="524"/>
      <c r="GF60" s="524"/>
      <c r="GG60" s="524"/>
      <c r="GH60" s="524"/>
      <c r="GI60" s="524"/>
      <c r="GJ60" s="524"/>
      <c r="GK60" s="524"/>
      <c r="GL60" s="524"/>
      <c r="GM60" s="524"/>
      <c r="GN60" s="524"/>
      <c r="GO60" s="524"/>
      <c r="GP60" s="524"/>
      <c r="GQ60" s="524"/>
      <c r="GR60" s="524"/>
      <c r="GS60" s="524"/>
      <c r="GT60" s="524"/>
      <c r="GU60" s="524"/>
      <c r="GV60" s="524"/>
      <c r="GW60" s="524"/>
      <c r="GX60" s="524"/>
      <c r="GY60" s="524"/>
      <c r="GZ60" s="524"/>
      <c r="HA60" s="524"/>
      <c r="HB60" s="524"/>
      <c r="HC60" s="524"/>
      <c r="HD60" s="524"/>
      <c r="HE60" s="524"/>
      <c r="HF60" s="524"/>
      <c r="HG60" s="524"/>
      <c r="HH60" s="524"/>
      <c r="HI60" s="524"/>
      <c r="HJ60" s="524"/>
      <c r="HK60" s="524"/>
      <c r="HL60" s="524"/>
      <c r="HM60" s="524"/>
      <c r="HN60" s="524"/>
      <c r="HO60" s="524"/>
      <c r="HP60" s="524"/>
      <c r="HQ60" s="524"/>
      <c r="HR60" s="524"/>
      <c r="HS60" s="524"/>
      <c r="HT60" s="524"/>
      <c r="HU60" s="524"/>
      <c r="HV60" s="524"/>
      <c r="HW60" s="524"/>
      <c r="HX60" s="524"/>
      <c r="HY60" s="524"/>
      <c r="HZ60" s="524"/>
      <c r="IA60" s="524"/>
      <c r="IB60" s="524"/>
      <c r="IC60" s="524"/>
      <c r="ID60" s="524"/>
      <c r="IE60" s="524"/>
      <c r="IF60" s="524"/>
      <c r="IG60" s="524"/>
      <c r="IH60" s="524"/>
      <c r="II60" s="524"/>
      <c r="IJ60" s="524"/>
      <c r="IK60" s="524"/>
      <c r="IL60" s="524"/>
      <c r="IM60" s="524"/>
      <c r="IN60" s="524"/>
      <c r="IO60" s="524"/>
      <c r="IP60" s="524"/>
      <c r="IQ60" s="524"/>
      <c r="IR60" s="524"/>
      <c r="IS60" s="524"/>
      <c r="IT60" s="524"/>
      <c r="IU60" s="524"/>
      <c r="IV60" s="524"/>
      <c r="IW60" s="524"/>
      <c r="IX60" s="524"/>
      <c r="IY60" s="524"/>
      <c r="IZ60" s="524"/>
      <c r="JA60" s="524"/>
      <c r="JB60" s="524"/>
      <c r="JC60" s="524"/>
      <c r="JD60" s="524"/>
      <c r="JE60" s="524"/>
      <c r="JF60" s="524"/>
      <c r="JG60" s="524"/>
      <c r="JH60" s="524"/>
      <c r="JI60" s="524"/>
      <c r="JJ60" s="524"/>
      <c r="JK60" s="524"/>
      <c r="JL60" s="524"/>
      <c r="JM60" s="524"/>
      <c r="JN60" s="524"/>
      <c r="JO60" s="524"/>
      <c r="JP60" s="524"/>
      <c r="JQ60" s="524"/>
      <c r="JR60" s="524"/>
      <c r="JS60" s="524"/>
      <c r="JT60" s="524"/>
      <c r="JU60" s="524"/>
      <c r="JV60" s="524"/>
      <c r="JW60" s="524"/>
      <c r="JX60" s="524"/>
      <c r="JY60" s="524"/>
      <c r="JZ60" s="524"/>
      <c r="KA60" s="524"/>
      <c r="KB60" s="524"/>
      <c r="KC60" s="524"/>
      <c r="KD60" s="524"/>
      <c r="KE60" s="524"/>
      <c r="KF60" s="524"/>
      <c r="KG60" s="524"/>
      <c r="KH60" s="524"/>
      <c r="KI60" s="524"/>
      <c r="KJ60" s="524"/>
      <c r="KK60" s="524"/>
      <c r="KL60" s="524"/>
      <c r="KM60" s="524"/>
      <c r="KN60" s="524"/>
      <c r="KO60" s="524"/>
      <c r="KP60" s="524"/>
      <c r="KQ60" s="524"/>
      <c r="KR60" s="524"/>
      <c r="KS60" s="524"/>
      <c r="KT60" s="524"/>
      <c r="KU60" s="524"/>
      <c r="KV60" s="524"/>
      <c r="KW60" s="524"/>
      <c r="KX60" s="524"/>
      <c r="KY60" s="524"/>
      <c r="KZ60" s="524"/>
      <c r="LA60" s="524"/>
      <c r="LB60" s="524"/>
      <c r="LC60" s="524"/>
      <c r="LD60" s="524"/>
      <c r="LE60" s="524"/>
      <c r="LF60" s="524"/>
      <c r="LG60" s="524"/>
      <c r="LH60" s="524"/>
      <c r="LI60" s="524"/>
      <c r="LJ60" s="524"/>
      <c r="LK60" s="524"/>
      <c r="LL60" s="524"/>
      <c r="LM60" s="524"/>
      <c r="LN60" s="524"/>
      <c r="LO60" s="524"/>
      <c r="LP60" s="524"/>
      <c r="LQ60" s="524"/>
      <c r="LR60" s="524"/>
      <c r="LS60" s="524"/>
      <c r="LT60" s="524"/>
      <c r="LU60" s="524"/>
      <c r="LV60" s="524"/>
      <c r="LW60" s="524"/>
      <c r="LX60" s="524"/>
      <c r="LY60" s="524"/>
      <c r="LZ60" s="524"/>
      <c r="MA60" s="524"/>
      <c r="MB60" s="524"/>
      <c r="MC60" s="524"/>
      <c r="MD60" s="524"/>
      <c r="ME60" s="524"/>
      <c r="MF60" s="524"/>
      <c r="MG60" s="524"/>
      <c r="MH60" s="524"/>
      <c r="MI60" s="524"/>
      <c r="MJ60" s="524"/>
      <c r="MK60" s="524"/>
      <c r="ML60" s="524"/>
      <c r="MM60" s="524"/>
      <c r="MN60" s="524"/>
      <c r="MO60" s="524"/>
      <c r="MP60" s="524"/>
      <c r="MQ60" s="524"/>
      <c r="MR60" s="524"/>
      <c r="MS60" s="524"/>
      <c r="MT60" s="524"/>
      <c r="MU60" s="524"/>
      <c r="MV60" s="524"/>
      <c r="MW60" s="524"/>
      <c r="MX60" s="524"/>
      <c r="MY60" s="524"/>
      <c r="MZ60" s="524"/>
      <c r="NA60" s="524"/>
      <c r="NB60" s="524"/>
      <c r="NC60" s="524"/>
      <c r="ND60" s="524"/>
      <c r="NE60" s="524"/>
      <c r="NF60" s="524"/>
      <c r="NG60" s="524"/>
      <c r="NH60" s="524"/>
      <c r="NI60" s="524"/>
      <c r="NJ60" s="524"/>
      <c r="NK60" s="524"/>
      <c r="NL60" s="524"/>
      <c r="NM60" s="524"/>
      <c r="NN60" s="524"/>
      <c r="NO60" s="524"/>
      <c r="NP60" s="524"/>
      <c r="NQ60" s="524"/>
      <c r="NR60" s="524"/>
      <c r="NS60" s="524"/>
      <c r="NT60" s="524"/>
      <c r="NU60" s="524"/>
      <c r="NV60" s="524"/>
      <c r="NW60" s="524"/>
      <c r="NX60" s="524"/>
      <c r="NY60" s="524"/>
      <c r="NZ60" s="524"/>
      <c r="OA60" s="524"/>
      <c r="OB60" s="524"/>
      <c r="OC60" s="524"/>
      <c r="OD60" s="524"/>
      <c r="OE60" s="524"/>
      <c r="OF60" s="524"/>
      <c r="OG60" s="524"/>
      <c r="OH60" s="524"/>
      <c r="OI60" s="524"/>
      <c r="OJ60" s="524"/>
      <c r="OK60" s="524"/>
      <c r="OL60" s="524"/>
      <c r="OM60" s="524"/>
      <c r="ON60" s="524"/>
      <c r="OO60" s="524"/>
      <c r="OP60" s="524"/>
      <c r="OQ60" s="524"/>
      <c r="OR60" s="524"/>
      <c r="OS60" s="524"/>
      <c r="OT60" s="524"/>
      <c r="OU60" s="524"/>
      <c r="OV60" s="524"/>
      <c r="OW60" s="524"/>
      <c r="OX60" s="524"/>
      <c r="OY60" s="524"/>
      <c r="OZ60" s="524"/>
      <c r="PA60" s="524"/>
      <c r="PB60" s="524"/>
      <c r="PC60" s="524"/>
      <c r="PD60" s="524"/>
      <c r="PE60" s="524"/>
      <c r="PF60" s="524"/>
      <c r="PG60" s="524"/>
      <c r="PH60" s="524"/>
      <c r="PI60" s="524"/>
      <c r="PJ60" s="524"/>
      <c r="PK60" s="524"/>
      <c r="PL60" s="524"/>
      <c r="PM60" s="524"/>
      <c r="PN60" s="524"/>
      <c r="PO60" s="524"/>
      <c r="PP60" s="524"/>
      <c r="PQ60" s="524"/>
      <c r="PR60" s="524"/>
      <c r="PS60" s="524"/>
      <c r="PT60" s="524"/>
      <c r="PU60" s="524"/>
      <c r="PV60" s="524"/>
      <c r="PW60" s="524"/>
      <c r="PX60" s="524"/>
      <c r="PY60" s="524"/>
      <c r="PZ60" s="524"/>
      <c r="QA60" s="524"/>
      <c r="QB60" s="524"/>
      <c r="QC60" s="524"/>
      <c r="QD60" s="524"/>
      <c r="QE60" s="524"/>
      <c r="QF60" s="524"/>
      <c r="QG60" s="524"/>
      <c r="QH60" s="524"/>
      <c r="QI60" s="524"/>
      <c r="QJ60" s="524"/>
    </row>
    <row r="61" spans="1:452" s="617" customFormat="1" x14ac:dyDescent="0.3">
      <c r="A61" s="611"/>
      <c r="B61" s="612" t="s">
        <v>84</v>
      </c>
      <c r="C61" s="613"/>
      <c r="D61" s="613"/>
      <c r="E61" s="637"/>
      <c r="F61" s="638">
        <f>F67</f>
        <v>0</v>
      </c>
      <c r="G61" s="638">
        <f t="shared" ref="G61:O61" si="11">G67</f>
        <v>0</v>
      </c>
      <c r="H61" s="638">
        <f t="shared" si="11"/>
        <v>0</v>
      </c>
      <c r="I61" s="638">
        <f t="shared" si="11"/>
        <v>0</v>
      </c>
      <c r="J61" s="638">
        <f t="shared" si="11"/>
        <v>0</v>
      </c>
      <c r="K61" s="638">
        <f t="shared" si="11"/>
        <v>0</v>
      </c>
      <c r="L61" s="638">
        <f t="shared" si="11"/>
        <v>0</v>
      </c>
      <c r="M61" s="638">
        <f t="shared" si="11"/>
        <v>0</v>
      </c>
      <c r="N61" s="638">
        <f t="shared" si="11"/>
        <v>0</v>
      </c>
      <c r="O61" s="638">
        <f t="shared" si="11"/>
        <v>0</v>
      </c>
      <c r="P61" s="639">
        <f>SUM(F61:O61)</f>
        <v>0</v>
      </c>
      <c r="Q61" s="1171"/>
      <c r="R61" s="636"/>
      <c r="S61" s="636"/>
      <c r="T61" s="636"/>
      <c r="U61" s="1172"/>
    </row>
    <row r="62" spans="1:452" s="588" customFormat="1" ht="18" x14ac:dyDescent="0.35">
      <c r="A62" s="601"/>
      <c r="B62" s="602"/>
      <c r="C62" s="603"/>
      <c r="D62" s="603"/>
      <c r="E62" s="586"/>
      <c r="F62" s="587"/>
      <c r="G62" s="587"/>
      <c r="H62" s="587"/>
      <c r="I62" s="587"/>
      <c r="J62" s="587"/>
      <c r="K62" s="587"/>
      <c r="L62" s="587"/>
      <c r="M62" s="587"/>
      <c r="N62" s="587"/>
      <c r="O62" s="587"/>
      <c r="P62" s="604"/>
      <c r="Q62" s="575"/>
      <c r="R62" s="576"/>
      <c r="S62" s="576"/>
      <c r="T62" s="576"/>
      <c r="U62" s="577"/>
      <c r="V62" s="524"/>
      <c r="W62" s="524"/>
      <c r="X62" s="524"/>
      <c r="Y62" s="524"/>
      <c r="Z62" s="524"/>
      <c r="AA62" s="524"/>
      <c r="AB62" s="524"/>
      <c r="AC62" s="524"/>
      <c r="AD62" s="524"/>
      <c r="AE62" s="524"/>
      <c r="AF62" s="524"/>
      <c r="AG62" s="524"/>
      <c r="AH62" s="524"/>
      <c r="AI62" s="524"/>
      <c r="AJ62" s="524"/>
      <c r="AK62" s="524"/>
      <c r="AL62" s="524"/>
      <c r="AM62" s="524"/>
      <c r="AN62" s="524"/>
      <c r="AO62" s="524"/>
      <c r="AP62" s="524"/>
      <c r="AQ62" s="524"/>
      <c r="AR62" s="524"/>
      <c r="AS62" s="524"/>
      <c r="AT62" s="524"/>
      <c r="AU62" s="524"/>
      <c r="AV62" s="524"/>
      <c r="AW62" s="524"/>
      <c r="AX62" s="524"/>
      <c r="AY62" s="524"/>
      <c r="AZ62" s="524"/>
      <c r="BA62" s="524"/>
      <c r="BB62" s="524"/>
      <c r="BC62" s="524"/>
      <c r="BD62" s="524"/>
      <c r="BE62" s="524"/>
      <c r="BF62" s="524"/>
      <c r="BG62" s="524"/>
      <c r="BH62" s="524"/>
      <c r="BI62" s="524"/>
      <c r="BJ62" s="524"/>
      <c r="BK62" s="524"/>
      <c r="BL62" s="524"/>
      <c r="BM62" s="524"/>
      <c r="BN62" s="524"/>
      <c r="BO62" s="524"/>
      <c r="BP62" s="524"/>
      <c r="BQ62" s="524"/>
      <c r="BR62" s="524"/>
      <c r="BS62" s="524"/>
      <c r="BT62" s="524"/>
      <c r="BU62" s="524"/>
      <c r="BV62" s="524"/>
      <c r="BW62" s="524"/>
      <c r="BX62" s="524"/>
      <c r="BY62" s="524"/>
      <c r="BZ62" s="524"/>
      <c r="CA62" s="524"/>
      <c r="CB62" s="524"/>
      <c r="CC62" s="524"/>
      <c r="CD62" s="524"/>
      <c r="CE62" s="524"/>
      <c r="CF62" s="524"/>
      <c r="CG62" s="524"/>
      <c r="CH62" s="524"/>
      <c r="CI62" s="524"/>
      <c r="CJ62" s="524"/>
      <c r="CK62" s="524"/>
      <c r="CL62" s="524"/>
      <c r="CM62" s="524"/>
      <c r="CN62" s="524"/>
      <c r="CO62" s="524"/>
      <c r="CP62" s="524"/>
      <c r="CQ62" s="524"/>
      <c r="CR62" s="524"/>
      <c r="CS62" s="524"/>
      <c r="CT62" s="524"/>
      <c r="CU62" s="524"/>
      <c r="CV62" s="524"/>
      <c r="CW62" s="524"/>
      <c r="CX62" s="524"/>
      <c r="CY62" s="524"/>
      <c r="CZ62" s="524"/>
      <c r="DA62" s="524"/>
      <c r="DB62" s="524"/>
      <c r="DC62" s="524"/>
      <c r="DD62" s="524"/>
      <c r="DE62" s="524"/>
      <c r="DF62" s="524"/>
      <c r="DG62" s="524"/>
      <c r="DH62" s="524"/>
      <c r="DI62" s="524"/>
      <c r="DJ62" s="524"/>
      <c r="DK62" s="524"/>
      <c r="DL62" s="524"/>
      <c r="DM62" s="524"/>
      <c r="DN62" s="524"/>
      <c r="DO62" s="524"/>
      <c r="DP62" s="524"/>
      <c r="DQ62" s="524"/>
      <c r="DR62" s="524"/>
      <c r="DS62" s="524"/>
      <c r="DT62" s="524"/>
      <c r="DU62" s="524"/>
      <c r="DV62" s="524"/>
      <c r="DW62" s="524"/>
      <c r="DX62" s="524"/>
      <c r="DY62" s="524"/>
      <c r="DZ62" s="524"/>
      <c r="EA62" s="524"/>
      <c r="EB62" s="524"/>
      <c r="EC62" s="524"/>
      <c r="ED62" s="524"/>
      <c r="EE62" s="524"/>
      <c r="EF62" s="524"/>
      <c r="EG62" s="524"/>
      <c r="EH62" s="524"/>
      <c r="EI62" s="524"/>
      <c r="EJ62" s="524"/>
      <c r="EK62" s="524"/>
      <c r="EL62" s="524"/>
      <c r="EM62" s="524"/>
      <c r="EN62" s="524"/>
      <c r="EO62" s="524"/>
      <c r="EP62" s="524"/>
      <c r="EQ62" s="524"/>
      <c r="ER62" s="524"/>
      <c r="ES62" s="524"/>
      <c r="ET62" s="524"/>
      <c r="EU62" s="524"/>
      <c r="EV62" s="524"/>
      <c r="EW62" s="524"/>
      <c r="EX62" s="524"/>
      <c r="EY62" s="524"/>
      <c r="EZ62" s="524"/>
      <c r="FA62" s="524"/>
      <c r="FB62" s="524"/>
      <c r="FC62" s="524"/>
      <c r="FD62" s="524"/>
      <c r="FE62" s="524"/>
      <c r="FF62" s="524"/>
      <c r="FG62" s="524"/>
      <c r="FH62" s="524"/>
      <c r="FI62" s="524"/>
      <c r="FJ62" s="524"/>
      <c r="FK62" s="524"/>
      <c r="FL62" s="524"/>
      <c r="FM62" s="524"/>
      <c r="FN62" s="524"/>
      <c r="FO62" s="524"/>
      <c r="FP62" s="524"/>
      <c r="FQ62" s="524"/>
      <c r="FR62" s="524"/>
      <c r="FS62" s="524"/>
      <c r="FT62" s="524"/>
      <c r="FU62" s="524"/>
      <c r="FV62" s="524"/>
      <c r="FW62" s="524"/>
      <c r="FX62" s="524"/>
      <c r="FY62" s="524"/>
      <c r="FZ62" s="524"/>
      <c r="GA62" s="524"/>
      <c r="GB62" s="524"/>
      <c r="GC62" s="524"/>
      <c r="GD62" s="524"/>
      <c r="GE62" s="524"/>
      <c r="GF62" s="524"/>
      <c r="GG62" s="524"/>
      <c r="GH62" s="524"/>
      <c r="GI62" s="524"/>
      <c r="GJ62" s="524"/>
      <c r="GK62" s="524"/>
      <c r="GL62" s="524"/>
      <c r="GM62" s="524"/>
      <c r="GN62" s="524"/>
      <c r="GO62" s="524"/>
      <c r="GP62" s="524"/>
      <c r="GQ62" s="524"/>
      <c r="GR62" s="524"/>
      <c r="GS62" s="524"/>
      <c r="GT62" s="524"/>
      <c r="GU62" s="524"/>
      <c r="GV62" s="524"/>
      <c r="GW62" s="524"/>
      <c r="GX62" s="524"/>
      <c r="GY62" s="524"/>
      <c r="GZ62" s="524"/>
      <c r="HA62" s="524"/>
      <c r="HB62" s="524"/>
      <c r="HC62" s="524"/>
      <c r="HD62" s="524"/>
      <c r="HE62" s="524"/>
      <c r="HF62" s="524"/>
      <c r="HG62" s="524"/>
      <c r="HH62" s="524"/>
      <c r="HI62" s="524"/>
      <c r="HJ62" s="524"/>
      <c r="HK62" s="524"/>
      <c r="HL62" s="524"/>
      <c r="HM62" s="524"/>
      <c r="HN62" s="524"/>
      <c r="HO62" s="524"/>
      <c r="HP62" s="524"/>
      <c r="HQ62" s="524"/>
      <c r="HR62" s="524"/>
      <c r="HS62" s="524"/>
      <c r="HT62" s="524"/>
      <c r="HU62" s="524"/>
      <c r="HV62" s="524"/>
      <c r="HW62" s="524"/>
      <c r="HX62" s="524"/>
      <c r="HY62" s="524"/>
      <c r="HZ62" s="524"/>
      <c r="IA62" s="524"/>
      <c r="IB62" s="524"/>
      <c r="IC62" s="524"/>
      <c r="ID62" s="524"/>
      <c r="IE62" s="524"/>
      <c r="IF62" s="524"/>
      <c r="IG62" s="524"/>
      <c r="IH62" s="524"/>
      <c r="II62" s="524"/>
      <c r="IJ62" s="524"/>
      <c r="IK62" s="524"/>
      <c r="IL62" s="524"/>
      <c r="IM62" s="524"/>
      <c r="IN62" s="524"/>
      <c r="IO62" s="524"/>
      <c r="IP62" s="524"/>
      <c r="IQ62" s="524"/>
      <c r="IR62" s="524"/>
      <c r="IS62" s="524"/>
      <c r="IT62" s="524"/>
      <c r="IU62" s="524"/>
      <c r="IV62" s="524"/>
      <c r="IW62" s="524"/>
      <c r="IX62" s="524"/>
      <c r="IY62" s="524"/>
      <c r="IZ62" s="524"/>
      <c r="JA62" s="524"/>
      <c r="JB62" s="524"/>
      <c r="JC62" s="524"/>
      <c r="JD62" s="524"/>
      <c r="JE62" s="524"/>
      <c r="JF62" s="524"/>
      <c r="JG62" s="524"/>
      <c r="JH62" s="524"/>
      <c r="JI62" s="524"/>
      <c r="JJ62" s="524"/>
      <c r="JK62" s="524"/>
      <c r="JL62" s="524"/>
      <c r="JM62" s="524"/>
      <c r="JN62" s="524"/>
      <c r="JO62" s="524"/>
      <c r="JP62" s="524"/>
      <c r="JQ62" s="524"/>
      <c r="JR62" s="524"/>
      <c r="JS62" s="524"/>
      <c r="JT62" s="524"/>
      <c r="JU62" s="524"/>
      <c r="JV62" s="524"/>
      <c r="JW62" s="524"/>
      <c r="JX62" s="524"/>
      <c r="JY62" s="524"/>
      <c r="JZ62" s="524"/>
      <c r="KA62" s="524"/>
      <c r="KB62" s="524"/>
      <c r="KC62" s="524"/>
      <c r="KD62" s="524"/>
      <c r="KE62" s="524"/>
      <c r="KF62" s="524"/>
      <c r="KG62" s="524"/>
      <c r="KH62" s="524"/>
      <c r="KI62" s="524"/>
      <c r="KJ62" s="524"/>
      <c r="KK62" s="524"/>
      <c r="KL62" s="524"/>
      <c r="KM62" s="524"/>
      <c r="KN62" s="524"/>
      <c r="KO62" s="524"/>
      <c r="KP62" s="524"/>
      <c r="KQ62" s="524"/>
      <c r="KR62" s="524"/>
      <c r="KS62" s="524"/>
      <c r="KT62" s="524"/>
      <c r="KU62" s="524"/>
      <c r="KV62" s="524"/>
      <c r="KW62" s="524"/>
      <c r="KX62" s="524"/>
      <c r="KY62" s="524"/>
      <c r="KZ62" s="524"/>
      <c r="LA62" s="524"/>
      <c r="LB62" s="524"/>
      <c r="LC62" s="524"/>
      <c r="LD62" s="524"/>
      <c r="LE62" s="524"/>
      <c r="LF62" s="524"/>
      <c r="LG62" s="524"/>
      <c r="LH62" s="524"/>
      <c r="LI62" s="524"/>
      <c r="LJ62" s="524"/>
      <c r="LK62" s="524"/>
      <c r="LL62" s="524"/>
      <c r="LM62" s="524"/>
      <c r="LN62" s="524"/>
      <c r="LO62" s="524"/>
      <c r="LP62" s="524"/>
      <c r="LQ62" s="524"/>
      <c r="LR62" s="524"/>
      <c r="LS62" s="524"/>
      <c r="LT62" s="524"/>
      <c r="LU62" s="524"/>
      <c r="LV62" s="524"/>
      <c r="LW62" s="524"/>
      <c r="LX62" s="524"/>
      <c r="LY62" s="524"/>
      <c r="LZ62" s="524"/>
      <c r="MA62" s="524"/>
      <c r="MB62" s="524"/>
      <c r="MC62" s="524"/>
      <c r="MD62" s="524"/>
      <c r="ME62" s="524"/>
      <c r="MF62" s="524"/>
      <c r="MG62" s="524"/>
      <c r="MH62" s="524"/>
      <c r="MI62" s="524"/>
      <c r="MJ62" s="524"/>
      <c r="MK62" s="524"/>
      <c r="ML62" s="524"/>
      <c r="MM62" s="524"/>
      <c r="MN62" s="524"/>
      <c r="MO62" s="524"/>
      <c r="MP62" s="524"/>
      <c r="MQ62" s="524"/>
      <c r="MR62" s="524"/>
      <c r="MS62" s="524"/>
      <c r="MT62" s="524"/>
      <c r="MU62" s="524"/>
      <c r="MV62" s="524"/>
      <c r="MW62" s="524"/>
      <c r="MX62" s="524"/>
      <c r="MY62" s="524"/>
      <c r="MZ62" s="524"/>
      <c r="NA62" s="524"/>
      <c r="NB62" s="524"/>
      <c r="NC62" s="524"/>
      <c r="ND62" s="524"/>
      <c r="NE62" s="524"/>
      <c r="NF62" s="524"/>
      <c r="NG62" s="524"/>
      <c r="NH62" s="524"/>
      <c r="NI62" s="524"/>
      <c r="NJ62" s="524"/>
      <c r="NK62" s="524"/>
      <c r="NL62" s="524"/>
      <c r="NM62" s="524"/>
      <c r="NN62" s="524"/>
      <c r="NO62" s="524"/>
      <c r="NP62" s="524"/>
      <c r="NQ62" s="524"/>
      <c r="NR62" s="524"/>
      <c r="NS62" s="524"/>
      <c r="NT62" s="524"/>
      <c r="NU62" s="524"/>
      <c r="NV62" s="524"/>
      <c r="NW62" s="524"/>
      <c r="NX62" s="524"/>
      <c r="NY62" s="524"/>
      <c r="NZ62" s="524"/>
      <c r="OA62" s="524"/>
      <c r="OB62" s="524"/>
      <c r="OC62" s="524"/>
      <c r="OD62" s="524"/>
      <c r="OE62" s="524"/>
      <c r="OF62" s="524"/>
      <c r="OG62" s="524"/>
      <c r="OH62" s="524"/>
      <c r="OI62" s="524"/>
      <c r="OJ62" s="524"/>
      <c r="OK62" s="524"/>
      <c r="OL62" s="524"/>
      <c r="OM62" s="524"/>
      <c r="ON62" s="524"/>
      <c r="OO62" s="524"/>
      <c r="OP62" s="524"/>
      <c r="OQ62" s="524"/>
      <c r="OR62" s="524"/>
      <c r="OS62" s="524"/>
      <c r="OT62" s="524"/>
      <c r="OU62" s="524"/>
      <c r="OV62" s="524"/>
      <c r="OW62" s="524"/>
      <c r="OX62" s="524"/>
      <c r="OY62" s="524"/>
      <c r="OZ62" s="524"/>
      <c r="PA62" s="524"/>
      <c r="PB62" s="524"/>
      <c r="PC62" s="524"/>
      <c r="PD62" s="524"/>
      <c r="PE62" s="524"/>
      <c r="PF62" s="524"/>
      <c r="PG62" s="524"/>
      <c r="PH62" s="524"/>
      <c r="PI62" s="524"/>
      <c r="PJ62" s="524"/>
      <c r="PK62" s="524"/>
      <c r="PL62" s="524"/>
      <c r="PM62" s="524"/>
      <c r="PN62" s="524"/>
      <c r="PO62" s="524"/>
      <c r="PP62" s="524"/>
      <c r="PQ62" s="524"/>
      <c r="PR62" s="524"/>
      <c r="PS62" s="524"/>
      <c r="PT62" s="524"/>
      <c r="PU62" s="524"/>
      <c r="PV62" s="524"/>
      <c r="PW62" s="524"/>
      <c r="PX62" s="524"/>
      <c r="PY62" s="524"/>
      <c r="PZ62" s="524"/>
      <c r="QA62" s="524"/>
      <c r="QB62" s="524"/>
      <c r="QC62" s="524"/>
      <c r="QD62" s="524"/>
      <c r="QE62" s="524"/>
      <c r="QF62" s="524"/>
      <c r="QG62" s="524"/>
      <c r="QH62" s="524"/>
      <c r="QI62" s="524"/>
      <c r="QJ62" s="524"/>
    </row>
    <row r="63" spans="1:452" s="592" customFormat="1" ht="18" x14ac:dyDescent="0.35">
      <c r="A63" s="618"/>
      <c r="B63" s="619"/>
      <c r="C63" s="620"/>
      <c r="D63" s="619" t="s">
        <v>85</v>
      </c>
      <c r="E63" s="621"/>
      <c r="F63" s="622" cm="1">
        <f t="array" ref="F63">SUMPRODUCT(F$14:F$43,--($D$14:$D$43=$D63),--($Q$14:$Q$43=FALSE),$S$14:$S$43,--($S$14:$S$43&gt;0))+SUMPRODUCT(F$14:F$43,--($D$14:$D$43=$D63),--($Q$14:$Q$43=FALSE),$S$14:$S$43,--($S$14:$S$43&gt;0),--($R$14:$R$43="Yes"))*0.1+SUMPRODUCT(F$14:F$43,--($D$14:$D$43=$D63),--($Q$14:$Q$43=FALSE),--($S$14:$S$43=0))+SUMPRODUCT(F$14:F$43,--($D$14:$D$43=$D63),--($Q$14:$Q$43=FALSE),--($R$14:$R$43="Yes"),--($S$14:$S$43=0))*0.1</f>
        <v>0</v>
      </c>
      <c r="G63" s="622" cm="1">
        <f t="array" ref="G63">SUMPRODUCT(G$14:G$43,--($D$14:$D$43=$D63),--($Q$14:$Q$43=FALSE),$S$14:$S$43,--($S$14:$S$43&gt;0))+SUMPRODUCT(G$14:G$43,--($D$14:$D$43=$D63),--($Q$14:$Q$43=FALSE),$S$14:$S$43,--($S$14:$S$43&gt;0),--($R$14:$R$43="Yes"))*0.1+SUMPRODUCT(G$14:G$43,--($D$14:$D$43=$D63),--($Q$14:$Q$43=FALSE),--($S$14:$S$43=0))+SUMPRODUCT(G$14:G$43,--($D$14:$D$43=$D63),--($Q$14:$Q$43=FALSE),--($R$14:$R$43="Yes"),--($S$14:$S$43=0))*0.1</f>
        <v>0</v>
      </c>
      <c r="H63" s="622" cm="1">
        <f t="array" ref="H63">SUMPRODUCT(H$14:H$43,--($D$14:$D$43=$D63),--($Q$14:$Q$43=FALSE),$S$14:$S$43,--($S$14:$S$43&gt;0))+SUMPRODUCT(H$14:H$43,--($D$14:$D$43=$D63),--($Q$14:$Q$43=FALSE),$S$14:$S$43,--($S$14:$S$43&gt;0),--($R$14:$R$43="Yes"))*0.1+SUMPRODUCT(H$14:H$43,--($D$14:$D$43=$D63),--($Q$14:$Q$43=FALSE),--($S$14:$S$43=0))+SUMPRODUCT(H$14:H$43,--($D$14:$D$43=$D63),--($Q$14:$Q$43=FALSE),--($R$14:$R$43="Yes"),--($S$14:$S$43=0))*0.1</f>
        <v>0</v>
      </c>
      <c r="I63" s="622" cm="1">
        <f t="array" ref="I63">SUMPRODUCT(I$14:I$43,--($D$14:$D$43=$D63),--($Q$14:$Q$43=FALSE),$S$14:$S$43,--($S$14:$S$43&gt;0))+SUMPRODUCT(I$14:I$43,--($D$14:$D$43=$D63),--($Q$14:$Q$43=FALSE),$S$14:$S$43,--($S$14:$S$43&gt;0),--($R$14:$R$43="Yes"))*0.1+SUMPRODUCT(I$14:I$43,--($D$14:$D$43=$D63),--($Q$14:$Q$43=FALSE),--($S$14:$S$43=0))+SUMPRODUCT(I$14:I$43,--($D$14:$D$43=$D63),--($Q$14:$Q$43=FALSE),--($R$14:$R$43="Yes"),--($S$14:$S$43=0))*0.1</f>
        <v>0</v>
      </c>
      <c r="J63" s="622" cm="1">
        <f t="array" ref="J63">SUMPRODUCT(J$14:J$43,--($D$14:$D$43=$D63),--($Q$14:$Q$43=FALSE),$S$14:$S$43,--($S$14:$S$43&gt;0))+SUMPRODUCT(J$14:J$43,--($D$14:$D$43=$D63),--($Q$14:$Q$43=FALSE),$S$14:$S$43,--($S$14:$S$43&gt;0),--($R$14:$R$43="Yes"))*0.1+SUMPRODUCT(J$14:J$43,--($D$14:$D$43=$D63),--($Q$14:$Q$43=FALSE),--($S$14:$S$43=0))+SUMPRODUCT(J$14:J$43,--($D$14:$D$43=$D63),--($Q$14:$Q$43=FALSE),--($R$14:$R$43="Yes"),--($S$14:$S$43=0))*0.1</f>
        <v>0</v>
      </c>
      <c r="K63" s="622" cm="1">
        <f t="array" ref="K63">SUMPRODUCT(K$14:K$43,--($D$14:$D$43=$D63),--($Q$14:$Q$43=FALSE),$S$14:$S$43,--($S$14:$S$43&gt;0))+SUMPRODUCT(K$14:K$43,--($D$14:$D$43=$D63),--($Q$14:$Q$43=FALSE),$S$14:$S$43,--($S$14:$S$43&gt;0),--($R$14:$R$43="Yes"))*0.1+SUMPRODUCT(K$14:K$43,--($D$14:$D$43=$D63),--($Q$14:$Q$43=FALSE),--($S$14:$S$43=0))+SUMPRODUCT(K$14:K$43,--($D$14:$D$43=$D63),--($Q$14:$Q$43=FALSE),--($R$14:$R$43="Yes"),--($S$14:$S$43=0))*0.1</f>
        <v>0</v>
      </c>
      <c r="L63" s="622" cm="1">
        <f t="array" ref="L63">SUMPRODUCT(L$14:L$43,--($D$14:$D$43=$D63),--($Q$14:$Q$43=FALSE),$S$14:$S$43,--($S$14:$S$43&gt;0))+SUMPRODUCT(L$14:L$43,--($D$14:$D$43=$D63),--($Q$14:$Q$43=FALSE),$S$14:$S$43,--($S$14:$S$43&gt;0),--($R$14:$R$43="Yes"))*0.1+SUMPRODUCT(L$14:L$43,--($D$14:$D$43=$D63),--($Q$14:$Q$43=FALSE),--($S$14:$S$43=0))+SUMPRODUCT(L$14:L$43,--($D$14:$D$43=$D63),--($Q$14:$Q$43=FALSE),--($R$14:$R$43="Yes"),--($S$14:$S$43=0))*0.1</f>
        <v>0</v>
      </c>
      <c r="M63" s="622" cm="1">
        <f t="array" ref="M63">SUMPRODUCT(M$14:M$43,--($D$14:$D$43=$D63),--($Q$14:$Q$43=FALSE),$S$14:$S$43,--($S$14:$S$43&gt;0))+SUMPRODUCT(M$14:M$43,--($D$14:$D$43=$D63),--($Q$14:$Q$43=FALSE),$S$14:$S$43,--($S$14:$S$43&gt;0),--($R$14:$R$43="Yes"))*0.1+SUMPRODUCT(M$14:M$43,--($D$14:$D$43=$D63),--($Q$14:$Q$43=FALSE),--($S$14:$S$43=0))+SUMPRODUCT(M$14:M$43,--($D$14:$D$43=$D63),--($Q$14:$Q$43=FALSE),--($R$14:$R$43="Yes"),--($S$14:$S$43=0))*0.1</f>
        <v>0</v>
      </c>
      <c r="N63" s="622" cm="1">
        <f t="array" ref="N63">SUMPRODUCT(N$14:N$43,--($D$14:$D$43=$D63),--($Q$14:$Q$43=FALSE),$S$14:$S$43,--($S$14:$S$43&gt;0))+SUMPRODUCT(N$14:N$43,--($D$14:$D$43=$D63),--($Q$14:$Q$43=FALSE),$S$14:$S$43,--($S$14:$S$43&gt;0),--($R$14:$R$43="Yes"))*0.1+SUMPRODUCT(N$14:N$43,--($D$14:$D$43=$D63),--($Q$14:$Q$43=FALSE),--($S$14:$S$43=0))+SUMPRODUCT(N$14:N$43,--($D$14:$D$43=$D63),--($Q$14:$Q$43=FALSE),--($R$14:$R$43="Yes"),--($S$14:$S$43=0))*0.1</f>
        <v>0</v>
      </c>
      <c r="O63" s="622" cm="1">
        <f t="array" ref="O63">SUMPRODUCT(O$14:O$43,--($D$14:$D$43=$D63),--($Q$14:$Q$43=FALSE),$S$14:$S$43,--($S$14:$S$43&gt;0))+SUMPRODUCT(O$14:O$43,--($D$14:$D$43=$D63),--($Q$14:$Q$43=FALSE),$S$14:$S$43,--($S$14:$S$43&gt;0),--($R$14:$R$43="Yes"))*0.1+SUMPRODUCT(O$14:O$43,--($D$14:$D$43=$D63),--($Q$14:$Q$43=FALSE),--($S$14:$S$43=0))+SUMPRODUCT(O$14:O$43,--($D$14:$D$43=$D63),--($Q$14:$Q$43=FALSE),--($R$14:$R$43="Yes"),--($S$14:$S$43=0))*0.1</f>
        <v>0</v>
      </c>
      <c r="P63" s="623">
        <f>SUM(F63:O63)</f>
        <v>0</v>
      </c>
      <c r="Q63" s="575"/>
      <c r="R63" s="576"/>
      <c r="S63" s="576"/>
      <c r="T63" s="576"/>
      <c r="U63" s="577"/>
      <c r="V63" s="610"/>
      <c r="W63" s="610"/>
      <c r="X63" s="610"/>
      <c r="Y63" s="610"/>
      <c r="Z63" s="610"/>
      <c r="AA63" s="610"/>
      <c r="AB63" s="610"/>
      <c r="AC63" s="610"/>
      <c r="AD63" s="610"/>
      <c r="AE63" s="610"/>
      <c r="AF63" s="610"/>
      <c r="AG63" s="610"/>
      <c r="AH63" s="610"/>
      <c r="AI63" s="610"/>
      <c r="AJ63" s="610"/>
      <c r="AK63" s="610"/>
      <c r="AL63" s="610"/>
      <c r="AM63" s="610"/>
      <c r="AN63" s="610"/>
      <c r="AO63" s="610"/>
      <c r="AP63" s="610"/>
      <c r="AQ63" s="610"/>
      <c r="AR63" s="610"/>
      <c r="AS63" s="610"/>
      <c r="AT63" s="610"/>
      <c r="AU63" s="610"/>
      <c r="AV63" s="610"/>
      <c r="AW63" s="610"/>
      <c r="AX63" s="610"/>
      <c r="AY63" s="610"/>
      <c r="AZ63" s="610"/>
      <c r="BA63" s="610"/>
      <c r="BB63" s="610"/>
      <c r="BC63" s="610"/>
      <c r="BD63" s="610"/>
      <c r="BE63" s="610"/>
      <c r="BF63" s="610"/>
      <c r="BG63" s="610"/>
      <c r="BH63" s="610"/>
      <c r="BI63" s="610"/>
      <c r="BJ63" s="610"/>
      <c r="BK63" s="610"/>
      <c r="BL63" s="610"/>
      <c r="BM63" s="610"/>
      <c r="BN63" s="610"/>
      <c r="BO63" s="610"/>
      <c r="BP63" s="610"/>
      <c r="BQ63" s="610"/>
      <c r="BR63" s="610"/>
      <c r="BS63" s="610"/>
      <c r="BT63" s="610"/>
      <c r="BU63" s="610"/>
      <c r="BV63" s="610"/>
      <c r="BW63" s="610"/>
      <c r="BX63" s="610"/>
      <c r="BY63" s="610"/>
      <c r="BZ63" s="610"/>
      <c r="CA63" s="610"/>
      <c r="CB63" s="610"/>
      <c r="CC63" s="610"/>
      <c r="CD63" s="610"/>
      <c r="CE63" s="610"/>
      <c r="CF63" s="610"/>
      <c r="CG63" s="610"/>
      <c r="CH63" s="610"/>
      <c r="CI63" s="610"/>
      <c r="CJ63" s="610"/>
      <c r="CK63" s="610"/>
      <c r="CL63" s="610"/>
      <c r="CM63" s="610"/>
      <c r="CN63" s="610"/>
      <c r="CO63" s="610"/>
      <c r="CP63" s="610"/>
      <c r="CQ63" s="610"/>
      <c r="CR63" s="610"/>
      <c r="CS63" s="610"/>
      <c r="CT63" s="610"/>
      <c r="CU63" s="610"/>
      <c r="CV63" s="610"/>
      <c r="CW63" s="610"/>
      <c r="CX63" s="610"/>
      <c r="CY63" s="610"/>
      <c r="CZ63" s="610"/>
      <c r="DA63" s="610"/>
      <c r="DB63" s="610"/>
      <c r="DC63" s="610"/>
      <c r="DD63" s="610"/>
      <c r="DE63" s="610"/>
      <c r="DF63" s="610"/>
      <c r="DG63" s="610"/>
      <c r="DH63" s="610"/>
      <c r="DI63" s="610"/>
      <c r="DJ63" s="610"/>
      <c r="DK63" s="610"/>
      <c r="DL63" s="610"/>
      <c r="DM63" s="610"/>
      <c r="DN63" s="610"/>
      <c r="DO63" s="610"/>
      <c r="DP63" s="610"/>
      <c r="DQ63" s="610"/>
      <c r="DR63" s="610"/>
      <c r="DS63" s="610"/>
      <c r="DT63" s="610"/>
      <c r="DU63" s="610"/>
      <c r="DV63" s="610"/>
      <c r="DW63" s="610"/>
      <c r="DX63" s="610"/>
      <c r="DY63" s="610"/>
      <c r="DZ63" s="610"/>
      <c r="EA63" s="610"/>
      <c r="EB63" s="610"/>
      <c r="EC63" s="610"/>
      <c r="ED63" s="610"/>
      <c r="EE63" s="610"/>
      <c r="EF63" s="610"/>
      <c r="EG63" s="610"/>
      <c r="EH63" s="610"/>
      <c r="EI63" s="610"/>
      <c r="EJ63" s="610"/>
      <c r="EK63" s="610"/>
      <c r="EL63" s="610"/>
      <c r="EM63" s="610"/>
      <c r="EN63" s="610"/>
      <c r="EO63" s="610"/>
      <c r="EP63" s="610"/>
      <c r="EQ63" s="610"/>
      <c r="ER63" s="610"/>
      <c r="ES63" s="610"/>
      <c r="ET63" s="610"/>
      <c r="EU63" s="610"/>
      <c r="EV63" s="610"/>
      <c r="EW63" s="610"/>
      <c r="EX63" s="610"/>
      <c r="EY63" s="610"/>
      <c r="EZ63" s="610"/>
      <c r="FA63" s="610"/>
      <c r="FB63" s="610"/>
      <c r="FC63" s="610"/>
      <c r="FD63" s="610"/>
      <c r="FE63" s="610"/>
      <c r="FF63" s="610"/>
      <c r="FG63" s="610"/>
      <c r="FH63" s="610"/>
      <c r="FI63" s="610"/>
      <c r="FJ63" s="610"/>
      <c r="FK63" s="610"/>
      <c r="FL63" s="610"/>
      <c r="FM63" s="610"/>
      <c r="FN63" s="610"/>
      <c r="FO63" s="610"/>
      <c r="FP63" s="610"/>
      <c r="FQ63" s="610"/>
      <c r="FR63" s="610"/>
      <c r="FS63" s="610"/>
      <c r="FT63" s="610"/>
      <c r="FU63" s="610"/>
      <c r="FV63" s="610"/>
      <c r="FW63" s="610"/>
      <c r="FX63" s="610"/>
      <c r="FY63" s="610"/>
      <c r="FZ63" s="610"/>
      <c r="GA63" s="610"/>
      <c r="GB63" s="610"/>
      <c r="GC63" s="610"/>
      <c r="GD63" s="610"/>
      <c r="GE63" s="610"/>
      <c r="GF63" s="610"/>
      <c r="GG63" s="610"/>
      <c r="GH63" s="610"/>
      <c r="GI63" s="610"/>
      <c r="GJ63" s="610"/>
      <c r="GK63" s="610"/>
      <c r="GL63" s="610"/>
      <c r="GM63" s="610"/>
      <c r="GN63" s="610"/>
      <c r="GO63" s="610"/>
      <c r="GP63" s="610"/>
      <c r="GQ63" s="610"/>
      <c r="GR63" s="610"/>
      <c r="GS63" s="610"/>
      <c r="GT63" s="610"/>
      <c r="GU63" s="610"/>
      <c r="GV63" s="610"/>
      <c r="GW63" s="610"/>
      <c r="GX63" s="610"/>
      <c r="GY63" s="610"/>
      <c r="GZ63" s="610"/>
      <c r="HA63" s="610"/>
      <c r="HB63" s="610"/>
      <c r="HC63" s="610"/>
      <c r="HD63" s="610"/>
      <c r="HE63" s="610"/>
      <c r="HF63" s="610"/>
      <c r="HG63" s="610"/>
      <c r="HH63" s="610"/>
      <c r="HI63" s="610"/>
      <c r="HJ63" s="610"/>
      <c r="HK63" s="610"/>
      <c r="HL63" s="610"/>
      <c r="HM63" s="610"/>
      <c r="HN63" s="610"/>
      <c r="HO63" s="610"/>
      <c r="HP63" s="610"/>
      <c r="HQ63" s="610"/>
      <c r="HR63" s="610"/>
      <c r="HS63" s="610"/>
      <c r="HT63" s="610"/>
      <c r="HU63" s="610"/>
      <c r="HV63" s="610"/>
      <c r="HW63" s="610"/>
      <c r="HX63" s="610"/>
      <c r="HY63" s="610"/>
      <c r="HZ63" s="610"/>
      <c r="IA63" s="610"/>
      <c r="IB63" s="610"/>
      <c r="IC63" s="610"/>
      <c r="ID63" s="610"/>
      <c r="IE63" s="610"/>
      <c r="IF63" s="610"/>
      <c r="IG63" s="610"/>
      <c r="IH63" s="610"/>
      <c r="II63" s="610"/>
      <c r="IJ63" s="610"/>
      <c r="IK63" s="610"/>
      <c r="IL63" s="610"/>
      <c r="IM63" s="610"/>
      <c r="IN63" s="610"/>
      <c r="IO63" s="610"/>
      <c r="IP63" s="610"/>
      <c r="IQ63" s="610"/>
      <c r="IR63" s="610"/>
      <c r="IS63" s="610"/>
      <c r="IT63" s="610"/>
      <c r="IU63" s="610"/>
      <c r="IV63" s="610"/>
      <c r="IW63" s="610"/>
      <c r="IX63" s="610"/>
      <c r="IY63" s="610"/>
      <c r="IZ63" s="610"/>
      <c r="JA63" s="610"/>
      <c r="JB63" s="610"/>
      <c r="JC63" s="610"/>
      <c r="JD63" s="610"/>
      <c r="JE63" s="610"/>
      <c r="JF63" s="610"/>
      <c r="JG63" s="610"/>
      <c r="JH63" s="610"/>
      <c r="JI63" s="610"/>
      <c r="JJ63" s="610"/>
      <c r="JK63" s="610"/>
      <c r="JL63" s="610"/>
      <c r="JM63" s="610"/>
      <c r="JN63" s="610"/>
      <c r="JO63" s="610"/>
      <c r="JP63" s="610"/>
      <c r="JQ63" s="610"/>
      <c r="JR63" s="610"/>
      <c r="JS63" s="610"/>
      <c r="JT63" s="610"/>
      <c r="JU63" s="610"/>
      <c r="JV63" s="610"/>
      <c r="JW63" s="610"/>
      <c r="JX63" s="610"/>
      <c r="JY63" s="610"/>
      <c r="JZ63" s="610"/>
      <c r="KA63" s="610"/>
      <c r="KB63" s="610"/>
      <c r="KC63" s="610"/>
      <c r="KD63" s="610"/>
      <c r="KE63" s="610"/>
      <c r="KF63" s="610"/>
      <c r="KG63" s="610"/>
      <c r="KH63" s="610"/>
      <c r="KI63" s="610"/>
      <c r="KJ63" s="610"/>
      <c r="KK63" s="610"/>
      <c r="KL63" s="610"/>
      <c r="KM63" s="610"/>
      <c r="KN63" s="610"/>
      <c r="KO63" s="610"/>
      <c r="KP63" s="610"/>
      <c r="KQ63" s="610"/>
      <c r="KR63" s="610"/>
      <c r="KS63" s="610"/>
      <c r="KT63" s="610"/>
      <c r="KU63" s="610"/>
      <c r="KV63" s="610"/>
      <c r="KW63" s="610"/>
      <c r="KX63" s="610"/>
      <c r="KY63" s="610"/>
      <c r="KZ63" s="610"/>
      <c r="LA63" s="610"/>
      <c r="LB63" s="610"/>
      <c r="LC63" s="610"/>
      <c r="LD63" s="610"/>
      <c r="LE63" s="610"/>
      <c r="LF63" s="610"/>
      <c r="LG63" s="610"/>
      <c r="LH63" s="610"/>
      <c r="LI63" s="610"/>
      <c r="LJ63" s="610"/>
      <c r="LK63" s="610"/>
      <c r="LL63" s="610"/>
      <c r="LM63" s="610"/>
      <c r="LN63" s="610"/>
      <c r="LO63" s="610"/>
      <c r="LP63" s="610"/>
      <c r="LQ63" s="610"/>
      <c r="LR63" s="610"/>
      <c r="LS63" s="610"/>
      <c r="LT63" s="610"/>
      <c r="LU63" s="610"/>
      <c r="LV63" s="610"/>
      <c r="LW63" s="610"/>
      <c r="LX63" s="610"/>
      <c r="LY63" s="610"/>
      <c r="LZ63" s="610"/>
      <c r="MA63" s="610"/>
      <c r="MB63" s="610"/>
      <c r="MC63" s="610"/>
      <c r="MD63" s="610"/>
      <c r="ME63" s="610"/>
      <c r="MF63" s="610"/>
      <c r="MG63" s="610"/>
      <c r="MH63" s="610"/>
      <c r="MI63" s="610"/>
      <c r="MJ63" s="610"/>
      <c r="MK63" s="610"/>
      <c r="ML63" s="610"/>
      <c r="MM63" s="610"/>
      <c r="MN63" s="610"/>
      <c r="MO63" s="610"/>
      <c r="MP63" s="610"/>
      <c r="MQ63" s="610"/>
      <c r="MR63" s="610"/>
      <c r="MS63" s="610"/>
      <c r="MT63" s="610"/>
      <c r="MU63" s="610"/>
      <c r="MV63" s="610"/>
      <c r="MW63" s="610"/>
      <c r="MX63" s="610"/>
      <c r="MY63" s="610"/>
      <c r="MZ63" s="610"/>
      <c r="NA63" s="610"/>
      <c r="NB63" s="610"/>
      <c r="NC63" s="610"/>
      <c r="ND63" s="610"/>
      <c r="NE63" s="610"/>
      <c r="NF63" s="610"/>
      <c r="NG63" s="610"/>
      <c r="NH63" s="610"/>
      <c r="NI63" s="610"/>
      <c r="NJ63" s="610"/>
      <c r="NK63" s="610"/>
      <c r="NL63" s="610"/>
      <c r="NM63" s="610"/>
      <c r="NN63" s="610"/>
      <c r="NO63" s="610"/>
      <c r="NP63" s="610"/>
      <c r="NQ63" s="610"/>
      <c r="NR63" s="610"/>
      <c r="NS63" s="610"/>
      <c r="NT63" s="610"/>
      <c r="NU63" s="610"/>
      <c r="NV63" s="610"/>
      <c r="NW63" s="610"/>
      <c r="NX63" s="610"/>
      <c r="NY63" s="610"/>
      <c r="NZ63" s="610"/>
      <c r="OA63" s="610"/>
      <c r="OB63" s="610"/>
      <c r="OC63" s="610"/>
      <c r="OD63" s="610"/>
      <c r="OE63" s="610"/>
      <c r="OF63" s="610"/>
      <c r="OG63" s="610"/>
      <c r="OH63" s="610"/>
      <c r="OI63" s="610"/>
      <c r="OJ63" s="610"/>
      <c r="OK63" s="610"/>
      <c r="OL63" s="610"/>
      <c r="OM63" s="610"/>
      <c r="ON63" s="610"/>
      <c r="OO63" s="610"/>
      <c r="OP63" s="610"/>
      <c r="OQ63" s="610"/>
      <c r="OR63" s="610"/>
      <c r="OS63" s="610"/>
      <c r="OT63" s="610"/>
      <c r="OU63" s="610"/>
      <c r="OV63" s="610"/>
      <c r="OW63" s="610"/>
      <c r="OX63" s="610"/>
      <c r="OY63" s="610"/>
      <c r="OZ63" s="610"/>
      <c r="PA63" s="610"/>
      <c r="PB63" s="610"/>
      <c r="PC63" s="610"/>
      <c r="PD63" s="610"/>
      <c r="PE63" s="610"/>
      <c r="PF63" s="610"/>
      <c r="PG63" s="610"/>
      <c r="PH63" s="610"/>
      <c r="PI63" s="610"/>
      <c r="PJ63" s="610"/>
      <c r="PK63" s="610"/>
      <c r="PL63" s="610"/>
      <c r="PM63" s="610"/>
      <c r="PN63" s="610"/>
      <c r="PO63" s="610"/>
      <c r="PP63" s="610"/>
      <c r="PQ63" s="610"/>
      <c r="PR63" s="610"/>
      <c r="PS63" s="610"/>
      <c r="PT63" s="610"/>
      <c r="PU63" s="610"/>
      <c r="PV63" s="610"/>
      <c r="PW63" s="610"/>
      <c r="PX63" s="610"/>
      <c r="PY63" s="610"/>
      <c r="PZ63" s="610"/>
      <c r="QA63" s="610"/>
      <c r="QB63" s="610"/>
      <c r="QC63" s="610"/>
      <c r="QD63" s="610"/>
      <c r="QE63" s="610"/>
      <c r="QF63" s="610"/>
      <c r="QG63" s="610"/>
      <c r="QH63" s="610"/>
      <c r="QI63" s="610"/>
      <c r="QJ63" s="610"/>
    </row>
    <row r="64" spans="1:452" s="524" customFormat="1" ht="18" x14ac:dyDescent="0.35">
      <c r="A64" s="605"/>
      <c r="B64" s="558"/>
      <c r="C64" s="559"/>
      <c r="D64" s="606"/>
      <c r="E64" s="572" t="s">
        <v>86</v>
      </c>
      <c r="F64" s="571" cm="1">
        <f t="array" ref="F64">SUMPRODUCT(F$14:F$43,--($Q$14:$Q$43=FALSE),--($D$14:$D$43=$D63))</f>
        <v>0</v>
      </c>
      <c r="G64" s="571" cm="1">
        <f t="array" ref="G64">SUMPRODUCT(G$14:G$43,--($Q$14:$Q$43=FALSE),--($D$14:$D$43=$D63))</f>
        <v>0</v>
      </c>
      <c r="H64" s="571" cm="1">
        <f t="array" ref="H64">SUMPRODUCT(H$14:H$43,--($Q$14:$Q$43=FALSE),--($D$14:$D$43=$D63))</f>
        <v>0</v>
      </c>
      <c r="I64" s="571" cm="1">
        <f t="array" ref="I64">SUMPRODUCT(I$14:I$43,--($Q$14:$Q$43=FALSE),--($D$14:$D$43=$D63))</f>
        <v>0</v>
      </c>
      <c r="J64" s="571" cm="1">
        <f t="array" ref="J64">SUMPRODUCT(J$14:J$43,--($Q$14:$Q$43=FALSE),--($D$14:$D$43=$D63))</f>
        <v>0</v>
      </c>
      <c r="K64" s="571" cm="1">
        <f t="array" ref="K64">SUMPRODUCT(K$14:K$43,--($Q$14:$Q$43=FALSE),--($D$14:$D$43=$D63))</f>
        <v>0</v>
      </c>
      <c r="L64" s="571" cm="1">
        <f t="array" ref="L64">SUMPRODUCT(L$14:L$43,--($Q$14:$Q$43=FALSE),--($D$14:$D$43=$D63))</f>
        <v>0</v>
      </c>
      <c r="M64" s="571" cm="1">
        <f t="array" ref="M64">SUMPRODUCT(M$14:M$43,--($Q$14:$Q$43=FALSE),--($D$14:$D$43=$D63))</f>
        <v>0</v>
      </c>
      <c r="N64" s="571" cm="1">
        <f t="array" ref="N64">SUMPRODUCT(N$14:N$43,--($Q$14:$Q$43=FALSE),--($D$14:$D$43=$D63))</f>
        <v>0</v>
      </c>
      <c r="O64" s="571" cm="1">
        <f t="array" ref="O64">SUMPRODUCT(O$14:O$43,--($Q$14:$Q$43=FALSE),--($D$14:$D$43=$D63))</f>
        <v>0</v>
      </c>
      <c r="P64" s="607">
        <f t="shared" ref="P64:P70" si="12">SUM(F64:O64)</f>
        <v>0</v>
      </c>
      <c r="Q64" s="575"/>
      <c r="R64" s="576"/>
      <c r="S64" s="576"/>
      <c r="T64" s="576"/>
      <c r="U64" s="577"/>
    </row>
    <row r="65" spans="1:452" s="524" customFormat="1" ht="18" x14ac:dyDescent="0.35">
      <c r="A65" s="605"/>
      <c r="B65" s="558"/>
      <c r="C65" s="559"/>
      <c r="D65" s="606"/>
      <c r="E65" s="572" t="s">
        <v>87</v>
      </c>
      <c r="F65" s="571" cm="1">
        <f t="array" ref="F65">SUMPRODUCT(F$14:F$43,--($Q$14:$Q$43=FALSE),--($D$14:$D$43=$D63),--($R$14:$R$43="Yes"))*0.1</f>
        <v>0</v>
      </c>
      <c r="G65" s="571" cm="1">
        <f t="array" ref="G65">SUMPRODUCT(G$14:G$43,--($Q$14:$Q$43=FALSE),--($D$14:$D$43=$D63),--($R$14:$R$43="Yes"))*0.1</f>
        <v>0</v>
      </c>
      <c r="H65" s="571" cm="1">
        <f t="array" ref="H65">SUMPRODUCT(H$14:H$43,--($Q$14:$Q$43=FALSE),--($D$14:$D$43=$D63),--($R$14:$R$43="Yes"))*0.1</f>
        <v>0</v>
      </c>
      <c r="I65" s="571" cm="1">
        <f t="array" ref="I65">SUMPRODUCT(I$14:I$43,--($Q$14:$Q$43=FALSE),--($D$14:$D$43=$D63),--($R$14:$R$43="Yes"))*0.1</f>
        <v>0</v>
      </c>
      <c r="J65" s="571" cm="1">
        <f t="array" ref="J65">SUMPRODUCT(J$14:J$43,--($Q$14:$Q$43=FALSE),--($D$14:$D$43=$D63),--($R$14:$R$43="Yes"))*0.1</f>
        <v>0</v>
      </c>
      <c r="K65" s="571" cm="1">
        <f t="array" ref="K65">SUMPRODUCT(K$14:K$43,--($Q$14:$Q$43=FALSE),--($D$14:$D$43=$D63),--($R$14:$R$43="Yes"))*0.1</f>
        <v>0</v>
      </c>
      <c r="L65" s="571" cm="1">
        <f t="array" ref="L65">SUMPRODUCT(L$14:L$43,--($Q$14:$Q$43=FALSE),--($D$14:$D$43=$D63),--($R$14:$R$43="Yes"))*0.1</f>
        <v>0</v>
      </c>
      <c r="M65" s="571" cm="1">
        <f t="array" ref="M65">SUMPRODUCT(M$14:M$43,--($Q$14:$Q$43=FALSE),--($D$14:$D$43=$D63),--($R$14:$R$43="Yes"))*0.1</f>
        <v>0</v>
      </c>
      <c r="N65" s="571" cm="1">
        <f t="array" ref="N65">SUMPRODUCT(N$14:N$43,--($Q$14:$Q$43=FALSE),--($D$14:$D$43=$D63),--($R$14:$R$43="Yes"))*0.1</f>
        <v>0</v>
      </c>
      <c r="O65" s="571" cm="1">
        <f t="array" ref="O65">SUMPRODUCT(O$14:O$43,--($Q$14:$Q$43=FALSE),--($D$14:$D$43=$D63),--($R$14:$R$43="Yes"))*0.1</f>
        <v>0</v>
      </c>
      <c r="P65" s="607">
        <f t="shared" si="12"/>
        <v>0</v>
      </c>
      <c r="Q65" s="575"/>
      <c r="R65" s="576"/>
      <c r="S65" s="576"/>
      <c r="T65" s="576"/>
      <c r="U65" s="577"/>
    </row>
    <row r="66" spans="1:452" s="524" customFormat="1" ht="18" x14ac:dyDescent="0.35">
      <c r="A66" s="605"/>
      <c r="B66" s="558"/>
      <c r="C66" s="559"/>
      <c r="D66" s="606"/>
      <c r="E66" s="572" t="s">
        <v>88</v>
      </c>
      <c r="F66" s="571">
        <f t="shared" ref="F66:O66" si="13">F63-(F64+F65)</f>
        <v>0</v>
      </c>
      <c r="G66" s="571">
        <f t="shared" si="13"/>
        <v>0</v>
      </c>
      <c r="H66" s="571">
        <f t="shared" si="13"/>
        <v>0</v>
      </c>
      <c r="I66" s="571">
        <f t="shared" si="13"/>
        <v>0</v>
      </c>
      <c r="J66" s="571">
        <f t="shared" si="13"/>
        <v>0</v>
      </c>
      <c r="K66" s="571">
        <f t="shared" si="13"/>
        <v>0</v>
      </c>
      <c r="L66" s="571">
        <f t="shared" si="13"/>
        <v>0</v>
      </c>
      <c r="M66" s="571">
        <f t="shared" si="13"/>
        <v>0</v>
      </c>
      <c r="N66" s="571">
        <f t="shared" si="13"/>
        <v>0</v>
      </c>
      <c r="O66" s="571">
        <f t="shared" si="13"/>
        <v>0</v>
      </c>
      <c r="P66" s="607">
        <f t="shared" si="12"/>
        <v>0</v>
      </c>
      <c r="Q66" s="575"/>
      <c r="R66" s="576"/>
      <c r="S66" s="576"/>
      <c r="T66" s="576"/>
      <c r="U66" s="577"/>
    </row>
    <row r="67" spans="1:452" s="578" customFormat="1" ht="18" x14ac:dyDescent="0.35">
      <c r="A67" s="624"/>
      <c r="B67" s="625"/>
      <c r="C67" s="626"/>
      <c r="D67" s="625" t="s">
        <v>89</v>
      </c>
      <c r="E67" s="627"/>
      <c r="F67" s="628" cm="1">
        <f t="array" ref="F67">SUMPRODUCT(F$14:F$43,--($D$14:$D$43=$D63),--($Q$14:$Q$43=TRUE),$S$14:$S$43,--($S$14:$S$43&gt;0))+SUMPRODUCT(F$14:F$43,--($D$14:$D$43=$D63),--($Q$14:$Q$43=TRUE),$S$14:$S$43,--($S$14:$S$43&gt;0),--($R$14:$R$43="Yes"))*0.1+SUMPRODUCT(F$14:F$43,--($D$14:$D$43=$D63),--($Q$14:$Q$43=TRUE),--($S14:$S43=0))+SUMPRODUCT(F$14:F$43,--($D$14:$D$43=$D63),--($Q$14:$Q$43=TRUE),--($R$14:$R$43="Yes"),--($S$14:$S$43=0))*0.1</f>
        <v>0</v>
      </c>
      <c r="G67" s="628" cm="1">
        <f t="array" ref="G67">SUMPRODUCT(G$14:G$43,--($D$14:$D$43=$D63),--($Q$14:$Q$43=TRUE),$S$14:$S$43,--($S$14:$S$43&gt;0))+SUMPRODUCT(G$14:G$43,--($D$14:$D$43=$D63),--($Q$14:$Q$43=TRUE),$S$14:$S$43,--($S$14:$S$43&gt;0),--($R$14:$R$43="Yes"))*0.1+SUMPRODUCT(G$14:G$43,--($D$14:$D$43=$D63),--($Q$14:$Q$43=TRUE),--($S14:$S43=0))+SUMPRODUCT(G$14:G$43,--($D$14:$D$43=$D63),--($Q$14:$Q$43=TRUE),--($R$14:$R$43="Yes"),--($S$14:$S$43=0))*0.1</f>
        <v>0</v>
      </c>
      <c r="H67" s="628" cm="1">
        <f t="array" ref="H67">SUMPRODUCT(H$14:H$43,--($D$14:$D$43=$D63),--($Q$14:$Q$43=TRUE),$S$14:$S$43,--($S$14:$S$43&gt;0))+SUMPRODUCT(H$14:H$43,--($D$14:$D$43=$D63),--($Q$14:$Q$43=TRUE),$S$14:$S$43,--($S$14:$S$43&gt;0),--($R$14:$R$43="Yes"))*0.1+SUMPRODUCT(H$14:H$43,--($D$14:$D$43=$D63),--($Q$14:$Q$43=TRUE),--($S14:$S43=0))+SUMPRODUCT(H$14:H$43,--($D$14:$D$43=$D63),--($Q$14:$Q$43=TRUE),--($R$14:$R$43="Yes"),--($S$14:$S$43=0))*0.1</f>
        <v>0</v>
      </c>
      <c r="I67" s="628" cm="1">
        <f t="array" ref="I67">SUMPRODUCT(I$14:I$43,--($D$14:$D$43=$D63),--($Q$14:$Q$43=TRUE),$S$14:$S$43,--($S$14:$S$43&gt;0))+SUMPRODUCT(I$14:I$43,--($D$14:$D$43=$D63),--($Q$14:$Q$43=TRUE),$S$14:$S$43,--($S$14:$S$43&gt;0),--($R$14:$R$43="Yes"))*0.1+SUMPRODUCT(I$14:I$43,--($D$14:$D$43=$D63),--($Q$14:$Q$43=TRUE),--($S14:$S43=0))+SUMPRODUCT(I$14:I$43,--($D$14:$D$43=$D63),--($Q$14:$Q$43=TRUE),--($R$14:$R$43="Yes"),--($S$14:$S$43=0))*0.1</f>
        <v>0</v>
      </c>
      <c r="J67" s="628" cm="1">
        <f t="array" ref="J67">SUMPRODUCT(J$14:J$43,--($D$14:$D$43=$D63),--($Q$14:$Q$43=TRUE),$S$14:$S$43,--($S$14:$S$43&gt;0))+SUMPRODUCT(J$14:J$43,--($D$14:$D$43=$D63),--($Q$14:$Q$43=TRUE),$S$14:$S$43,--($S$14:$S$43&gt;0),--($R$14:$R$43="Yes"))*0.1+SUMPRODUCT(J$14:J$43,--($D$14:$D$43=$D63),--($Q$14:$Q$43=TRUE),--($S14:$S43=0))+SUMPRODUCT(J$14:J$43,--($D$14:$D$43=$D63),--($Q$14:$Q$43=TRUE),--($R$14:$R$43="Yes"),--($S$14:$S$43=0))*0.1</f>
        <v>0</v>
      </c>
      <c r="K67" s="628" cm="1">
        <f t="array" ref="K67">SUMPRODUCT(K$14:K$43,--($D$14:$D$43=$D63),--($Q$14:$Q$43=TRUE),$S$14:$S$43,--($S$14:$S$43&gt;0))+SUMPRODUCT(K$14:K$43,--($D$14:$D$43=$D63),--($Q$14:$Q$43=TRUE),$S$14:$S$43,--($S$14:$S$43&gt;0),--($R$14:$R$43="Yes"))*0.1+SUMPRODUCT(K$14:K$43,--($D$14:$D$43=$D63),--($Q$14:$Q$43=TRUE),--($S14:$S43=0))+SUMPRODUCT(K$14:K$43,--($D$14:$D$43=$D63),--($Q$14:$Q$43=TRUE),--($R$14:$R$43="Yes"),--($S$14:$S$43=0))*0.1</f>
        <v>0</v>
      </c>
      <c r="L67" s="628" cm="1">
        <f t="array" ref="L67">SUMPRODUCT(L$14:L$43,--($D$14:$D$43=$D63),--($Q$14:$Q$43=TRUE),$S$14:$S$43,--($S$14:$S$43&gt;0))+SUMPRODUCT(L$14:L$43,--($D$14:$D$43=$D63),--($Q$14:$Q$43=TRUE),$S$14:$S$43,--($S$14:$S$43&gt;0),--($R$14:$R$43="Yes"))*0.1+SUMPRODUCT(L$14:L$43,--($D$14:$D$43=$D63),--($Q$14:$Q$43=TRUE),--($S14:$S43=0))+SUMPRODUCT(L$14:L$43,--($D$14:$D$43=$D63),--($Q$14:$Q$43=TRUE),--($R$14:$R$43="Yes"),--($S$14:$S$43=0))*0.1</f>
        <v>0</v>
      </c>
      <c r="M67" s="628" cm="1">
        <f t="array" ref="M67">SUMPRODUCT(M$14:M$43,--($D$14:$D$43=$D63),--($Q$14:$Q$43=TRUE),$S$14:$S$43,--($S$14:$S$43&gt;0))+SUMPRODUCT(M$14:M$43,--($D$14:$D$43=$D63),--($Q$14:$Q$43=TRUE),$S$14:$S$43,--($S$14:$S$43&gt;0),--($R$14:$R$43="Yes"))*0.1+SUMPRODUCT(M$14:M$43,--($D$14:$D$43=$D63),--($Q$14:$Q$43=TRUE),--($S14:$S43=0))+SUMPRODUCT(M$14:M$43,--($D$14:$D$43=$D63),--($Q$14:$Q$43=TRUE),--($R$14:$R$43="Yes"),--($S$14:$S$43=0))*0.1</f>
        <v>0</v>
      </c>
      <c r="N67" s="628" cm="1">
        <f t="array" ref="N67">SUMPRODUCT(N$14:N$43,--($D$14:$D$43=$D63),--($Q$14:$Q$43=TRUE),$S$14:$S$43,--($S$14:$S$43&gt;0))+SUMPRODUCT(N$14:N$43,--($D$14:$D$43=$D63),--($Q$14:$Q$43=TRUE),$S$14:$S$43,--($S$14:$S$43&gt;0),--($R$14:$R$43="Yes"))*0.1+SUMPRODUCT(N$14:N$43,--($D$14:$D$43=$D63),--($Q$14:$Q$43=TRUE),--($S14:$S43=0))+SUMPRODUCT(N$14:N$43,--($D$14:$D$43=$D63),--($Q$14:$Q$43=TRUE),--($R$14:$R$43="Yes"),--($S$14:$S$43=0))*0.1</f>
        <v>0</v>
      </c>
      <c r="O67" s="628" cm="1">
        <f t="array" ref="O67">SUMPRODUCT(O$14:O$43,--($D$14:$D$43=$D63),--($Q$14:$Q$43=TRUE),$S$14:$S$43,--($S$14:$S$43&gt;0))+SUMPRODUCT(O$14:O$43,--($D$14:$D$43=$D63),--($Q$14:$Q$43=TRUE),$S$14:$S$43,--($S$14:$S$43&gt;0),--($R$14:$R$43="Yes"))*0.1+SUMPRODUCT(O$14:O$43,--($D$14:$D$43=$D63),--($Q$14:$Q$43=TRUE),--($S14:$S43=0))+SUMPRODUCT(O$14:O$43,--($D$14:$D$43=$D63),--($Q$14:$Q$43=TRUE),--($R$14:$R$43="Yes"),--($S$14:$S$43=0))*0.1</f>
        <v>0</v>
      </c>
      <c r="P67" s="629">
        <f t="shared" si="12"/>
        <v>0</v>
      </c>
      <c r="Q67" s="575"/>
      <c r="R67" s="576"/>
      <c r="S67" s="576"/>
      <c r="T67" s="576"/>
      <c r="U67" s="577"/>
      <c r="V67" s="610"/>
      <c r="W67" s="610"/>
      <c r="X67" s="610"/>
      <c r="Y67" s="610"/>
      <c r="Z67" s="610"/>
      <c r="AA67" s="610"/>
      <c r="AB67" s="610"/>
      <c r="AC67" s="610"/>
      <c r="AD67" s="610"/>
      <c r="AE67" s="610"/>
      <c r="AF67" s="610"/>
      <c r="AG67" s="610"/>
      <c r="AH67" s="610"/>
      <c r="AI67" s="610"/>
      <c r="AJ67" s="610"/>
      <c r="AK67" s="610"/>
      <c r="AL67" s="610"/>
      <c r="AM67" s="610"/>
      <c r="AN67" s="610"/>
      <c r="AO67" s="610"/>
      <c r="AP67" s="610"/>
      <c r="AQ67" s="610"/>
      <c r="AR67" s="610"/>
      <c r="AS67" s="610"/>
      <c r="AT67" s="610"/>
      <c r="AU67" s="610"/>
      <c r="AV67" s="610"/>
      <c r="AW67" s="610"/>
      <c r="AX67" s="610"/>
      <c r="AY67" s="610"/>
      <c r="AZ67" s="610"/>
      <c r="BA67" s="610"/>
      <c r="BB67" s="610"/>
      <c r="BC67" s="610"/>
      <c r="BD67" s="610"/>
      <c r="BE67" s="610"/>
      <c r="BF67" s="610"/>
      <c r="BG67" s="610"/>
      <c r="BH67" s="610"/>
      <c r="BI67" s="610"/>
      <c r="BJ67" s="610"/>
      <c r="BK67" s="610"/>
      <c r="BL67" s="610"/>
      <c r="BM67" s="610"/>
      <c r="BN67" s="610"/>
      <c r="BO67" s="610"/>
      <c r="BP67" s="610"/>
      <c r="BQ67" s="610"/>
      <c r="BR67" s="610"/>
      <c r="BS67" s="610"/>
      <c r="BT67" s="610"/>
      <c r="BU67" s="610"/>
      <c r="BV67" s="610"/>
      <c r="BW67" s="610"/>
      <c r="BX67" s="610"/>
      <c r="BY67" s="610"/>
      <c r="BZ67" s="610"/>
      <c r="CA67" s="610"/>
      <c r="CB67" s="610"/>
      <c r="CC67" s="610"/>
      <c r="CD67" s="610"/>
      <c r="CE67" s="610"/>
      <c r="CF67" s="610"/>
      <c r="CG67" s="610"/>
      <c r="CH67" s="610"/>
      <c r="CI67" s="610"/>
      <c r="CJ67" s="610"/>
      <c r="CK67" s="610"/>
      <c r="CL67" s="610"/>
      <c r="CM67" s="610"/>
      <c r="CN67" s="610"/>
      <c r="CO67" s="610"/>
      <c r="CP67" s="610"/>
      <c r="CQ67" s="610"/>
      <c r="CR67" s="610"/>
      <c r="CS67" s="610"/>
      <c r="CT67" s="610"/>
      <c r="CU67" s="610"/>
      <c r="CV67" s="610"/>
      <c r="CW67" s="610"/>
      <c r="CX67" s="610"/>
      <c r="CY67" s="610"/>
      <c r="CZ67" s="610"/>
      <c r="DA67" s="610"/>
      <c r="DB67" s="610"/>
      <c r="DC67" s="610"/>
      <c r="DD67" s="610"/>
      <c r="DE67" s="610"/>
      <c r="DF67" s="610"/>
      <c r="DG67" s="610"/>
      <c r="DH67" s="610"/>
      <c r="DI67" s="610"/>
      <c r="DJ67" s="610"/>
      <c r="DK67" s="610"/>
      <c r="DL67" s="610"/>
      <c r="DM67" s="610"/>
      <c r="DN67" s="610"/>
      <c r="DO67" s="610"/>
      <c r="DP67" s="610"/>
      <c r="DQ67" s="610"/>
      <c r="DR67" s="610"/>
      <c r="DS67" s="610"/>
      <c r="DT67" s="610"/>
      <c r="DU67" s="610"/>
      <c r="DV67" s="610"/>
      <c r="DW67" s="610"/>
      <c r="DX67" s="610"/>
      <c r="DY67" s="610"/>
      <c r="DZ67" s="610"/>
      <c r="EA67" s="610"/>
      <c r="EB67" s="610"/>
      <c r="EC67" s="610"/>
      <c r="ED67" s="610"/>
      <c r="EE67" s="610"/>
      <c r="EF67" s="610"/>
      <c r="EG67" s="610"/>
      <c r="EH67" s="610"/>
      <c r="EI67" s="610"/>
      <c r="EJ67" s="610"/>
      <c r="EK67" s="610"/>
      <c r="EL67" s="610"/>
      <c r="EM67" s="610"/>
      <c r="EN67" s="610"/>
      <c r="EO67" s="610"/>
      <c r="EP67" s="610"/>
      <c r="EQ67" s="610"/>
      <c r="ER67" s="610"/>
      <c r="ES67" s="610"/>
      <c r="ET67" s="610"/>
      <c r="EU67" s="610"/>
      <c r="EV67" s="610"/>
      <c r="EW67" s="610"/>
      <c r="EX67" s="610"/>
      <c r="EY67" s="610"/>
      <c r="EZ67" s="610"/>
      <c r="FA67" s="610"/>
      <c r="FB67" s="610"/>
      <c r="FC67" s="610"/>
      <c r="FD67" s="610"/>
      <c r="FE67" s="610"/>
      <c r="FF67" s="610"/>
      <c r="FG67" s="610"/>
      <c r="FH67" s="610"/>
      <c r="FI67" s="610"/>
      <c r="FJ67" s="610"/>
      <c r="FK67" s="610"/>
      <c r="FL67" s="610"/>
      <c r="FM67" s="610"/>
      <c r="FN67" s="610"/>
      <c r="FO67" s="610"/>
      <c r="FP67" s="610"/>
      <c r="FQ67" s="610"/>
      <c r="FR67" s="610"/>
      <c r="FS67" s="610"/>
      <c r="FT67" s="610"/>
      <c r="FU67" s="610"/>
      <c r="FV67" s="610"/>
      <c r="FW67" s="610"/>
      <c r="FX67" s="610"/>
      <c r="FY67" s="610"/>
      <c r="FZ67" s="610"/>
      <c r="GA67" s="610"/>
      <c r="GB67" s="610"/>
      <c r="GC67" s="610"/>
      <c r="GD67" s="610"/>
      <c r="GE67" s="610"/>
      <c r="GF67" s="610"/>
      <c r="GG67" s="610"/>
      <c r="GH67" s="610"/>
      <c r="GI67" s="610"/>
      <c r="GJ67" s="610"/>
      <c r="GK67" s="610"/>
      <c r="GL67" s="610"/>
      <c r="GM67" s="610"/>
      <c r="GN67" s="610"/>
      <c r="GO67" s="610"/>
      <c r="GP67" s="610"/>
      <c r="GQ67" s="610"/>
      <c r="GR67" s="610"/>
      <c r="GS67" s="610"/>
      <c r="GT67" s="610"/>
      <c r="GU67" s="610"/>
      <c r="GV67" s="610"/>
      <c r="GW67" s="610"/>
      <c r="GX67" s="610"/>
      <c r="GY67" s="610"/>
      <c r="GZ67" s="610"/>
      <c r="HA67" s="610"/>
      <c r="HB67" s="610"/>
      <c r="HC67" s="610"/>
      <c r="HD67" s="610"/>
      <c r="HE67" s="610"/>
      <c r="HF67" s="610"/>
      <c r="HG67" s="610"/>
      <c r="HH67" s="610"/>
      <c r="HI67" s="610"/>
      <c r="HJ67" s="610"/>
      <c r="HK67" s="610"/>
      <c r="HL67" s="610"/>
      <c r="HM67" s="610"/>
      <c r="HN67" s="610"/>
      <c r="HO67" s="610"/>
      <c r="HP67" s="610"/>
      <c r="HQ67" s="610"/>
      <c r="HR67" s="610"/>
      <c r="HS67" s="610"/>
      <c r="HT67" s="610"/>
      <c r="HU67" s="610"/>
      <c r="HV67" s="610"/>
      <c r="HW67" s="610"/>
      <c r="HX67" s="610"/>
      <c r="HY67" s="610"/>
      <c r="HZ67" s="610"/>
      <c r="IA67" s="610"/>
      <c r="IB67" s="610"/>
      <c r="IC67" s="610"/>
      <c r="ID67" s="610"/>
      <c r="IE67" s="610"/>
      <c r="IF67" s="610"/>
      <c r="IG67" s="610"/>
      <c r="IH67" s="610"/>
      <c r="II67" s="610"/>
      <c r="IJ67" s="610"/>
      <c r="IK67" s="610"/>
      <c r="IL67" s="610"/>
      <c r="IM67" s="610"/>
      <c r="IN67" s="610"/>
      <c r="IO67" s="610"/>
      <c r="IP67" s="610"/>
      <c r="IQ67" s="610"/>
      <c r="IR67" s="610"/>
      <c r="IS67" s="610"/>
      <c r="IT67" s="610"/>
      <c r="IU67" s="610"/>
      <c r="IV67" s="610"/>
      <c r="IW67" s="610"/>
      <c r="IX67" s="610"/>
      <c r="IY67" s="610"/>
      <c r="IZ67" s="610"/>
      <c r="JA67" s="610"/>
      <c r="JB67" s="610"/>
      <c r="JC67" s="610"/>
      <c r="JD67" s="610"/>
      <c r="JE67" s="610"/>
      <c r="JF67" s="610"/>
      <c r="JG67" s="610"/>
      <c r="JH67" s="610"/>
      <c r="JI67" s="610"/>
      <c r="JJ67" s="610"/>
      <c r="JK67" s="610"/>
      <c r="JL67" s="610"/>
      <c r="JM67" s="610"/>
      <c r="JN67" s="610"/>
      <c r="JO67" s="610"/>
      <c r="JP67" s="610"/>
      <c r="JQ67" s="610"/>
      <c r="JR67" s="610"/>
      <c r="JS67" s="610"/>
      <c r="JT67" s="610"/>
      <c r="JU67" s="610"/>
      <c r="JV67" s="610"/>
      <c r="JW67" s="610"/>
      <c r="JX67" s="610"/>
      <c r="JY67" s="610"/>
      <c r="JZ67" s="610"/>
      <c r="KA67" s="610"/>
      <c r="KB67" s="610"/>
      <c r="KC67" s="610"/>
      <c r="KD67" s="610"/>
      <c r="KE67" s="610"/>
      <c r="KF67" s="610"/>
      <c r="KG67" s="610"/>
      <c r="KH67" s="610"/>
      <c r="KI67" s="610"/>
      <c r="KJ67" s="610"/>
      <c r="KK67" s="610"/>
      <c r="KL67" s="610"/>
      <c r="KM67" s="610"/>
      <c r="KN67" s="610"/>
      <c r="KO67" s="610"/>
      <c r="KP67" s="610"/>
      <c r="KQ67" s="610"/>
      <c r="KR67" s="610"/>
      <c r="KS67" s="610"/>
      <c r="KT67" s="610"/>
      <c r="KU67" s="610"/>
      <c r="KV67" s="610"/>
      <c r="KW67" s="610"/>
      <c r="KX67" s="610"/>
      <c r="KY67" s="610"/>
      <c r="KZ67" s="610"/>
      <c r="LA67" s="610"/>
      <c r="LB67" s="610"/>
      <c r="LC67" s="610"/>
      <c r="LD67" s="610"/>
      <c r="LE67" s="610"/>
      <c r="LF67" s="610"/>
      <c r="LG67" s="610"/>
      <c r="LH67" s="610"/>
      <c r="LI67" s="610"/>
      <c r="LJ67" s="610"/>
      <c r="LK67" s="610"/>
      <c r="LL67" s="610"/>
      <c r="LM67" s="610"/>
      <c r="LN67" s="610"/>
      <c r="LO67" s="610"/>
      <c r="LP67" s="610"/>
      <c r="LQ67" s="610"/>
      <c r="LR67" s="610"/>
      <c r="LS67" s="610"/>
      <c r="LT67" s="610"/>
      <c r="LU67" s="610"/>
      <c r="LV67" s="610"/>
      <c r="LW67" s="610"/>
      <c r="LX67" s="610"/>
      <c r="LY67" s="610"/>
      <c r="LZ67" s="610"/>
      <c r="MA67" s="610"/>
      <c r="MB67" s="610"/>
      <c r="MC67" s="610"/>
      <c r="MD67" s="610"/>
      <c r="ME67" s="610"/>
      <c r="MF67" s="610"/>
      <c r="MG67" s="610"/>
      <c r="MH67" s="610"/>
      <c r="MI67" s="610"/>
      <c r="MJ67" s="610"/>
      <c r="MK67" s="610"/>
      <c r="ML67" s="610"/>
      <c r="MM67" s="610"/>
      <c r="MN67" s="610"/>
      <c r="MO67" s="610"/>
      <c r="MP67" s="610"/>
      <c r="MQ67" s="610"/>
      <c r="MR67" s="610"/>
      <c r="MS67" s="610"/>
      <c r="MT67" s="610"/>
      <c r="MU67" s="610"/>
      <c r="MV67" s="610"/>
      <c r="MW67" s="610"/>
      <c r="MX67" s="610"/>
      <c r="MY67" s="610"/>
      <c r="MZ67" s="610"/>
      <c r="NA67" s="610"/>
      <c r="NB67" s="610"/>
      <c r="NC67" s="610"/>
      <c r="ND67" s="610"/>
      <c r="NE67" s="610"/>
      <c r="NF67" s="610"/>
      <c r="NG67" s="610"/>
      <c r="NH67" s="610"/>
      <c r="NI67" s="610"/>
      <c r="NJ67" s="610"/>
      <c r="NK67" s="610"/>
      <c r="NL67" s="610"/>
      <c r="NM67" s="610"/>
      <c r="NN67" s="610"/>
      <c r="NO67" s="610"/>
      <c r="NP67" s="610"/>
      <c r="NQ67" s="610"/>
      <c r="NR67" s="610"/>
      <c r="NS67" s="610"/>
      <c r="NT67" s="610"/>
      <c r="NU67" s="610"/>
      <c r="NV67" s="610"/>
      <c r="NW67" s="610"/>
      <c r="NX67" s="610"/>
      <c r="NY67" s="610"/>
      <c r="NZ67" s="610"/>
      <c r="OA67" s="610"/>
      <c r="OB67" s="610"/>
      <c r="OC67" s="610"/>
      <c r="OD67" s="610"/>
      <c r="OE67" s="610"/>
      <c r="OF67" s="610"/>
      <c r="OG67" s="610"/>
      <c r="OH67" s="610"/>
      <c r="OI67" s="610"/>
      <c r="OJ67" s="610"/>
      <c r="OK67" s="610"/>
      <c r="OL67" s="610"/>
      <c r="OM67" s="610"/>
      <c r="ON67" s="610"/>
      <c r="OO67" s="610"/>
      <c r="OP67" s="610"/>
      <c r="OQ67" s="610"/>
      <c r="OR67" s="610"/>
      <c r="OS67" s="610"/>
      <c r="OT67" s="610"/>
      <c r="OU67" s="610"/>
      <c r="OV67" s="610"/>
      <c r="OW67" s="610"/>
      <c r="OX67" s="610"/>
      <c r="OY67" s="610"/>
      <c r="OZ67" s="610"/>
      <c r="PA67" s="610"/>
      <c r="PB67" s="610"/>
      <c r="PC67" s="610"/>
      <c r="PD67" s="610"/>
      <c r="PE67" s="610"/>
      <c r="PF67" s="610"/>
      <c r="PG67" s="610"/>
      <c r="PH67" s="610"/>
      <c r="PI67" s="610"/>
      <c r="PJ67" s="610"/>
      <c r="PK67" s="610"/>
      <c r="PL67" s="610"/>
      <c r="PM67" s="610"/>
      <c r="PN67" s="610"/>
      <c r="PO67" s="610"/>
      <c r="PP67" s="610"/>
      <c r="PQ67" s="610"/>
      <c r="PR67" s="610"/>
      <c r="PS67" s="610"/>
      <c r="PT67" s="610"/>
      <c r="PU67" s="610"/>
      <c r="PV67" s="610"/>
      <c r="PW67" s="610"/>
      <c r="PX67" s="610"/>
      <c r="PY67" s="610"/>
      <c r="PZ67" s="610"/>
      <c r="QA67" s="610"/>
      <c r="QB67" s="610"/>
      <c r="QC67" s="610"/>
      <c r="QD67" s="610"/>
      <c r="QE67" s="610"/>
      <c r="QF67" s="610"/>
      <c r="QG67" s="610"/>
      <c r="QH67" s="610"/>
      <c r="QI67" s="610"/>
      <c r="QJ67" s="610"/>
    </row>
    <row r="68" spans="1:452" s="524" customFormat="1" ht="18" x14ac:dyDescent="0.35">
      <c r="A68" s="605"/>
      <c r="B68" s="558"/>
      <c r="C68" s="559"/>
      <c r="D68" s="559"/>
      <c r="E68" s="572" t="s">
        <v>86</v>
      </c>
      <c r="F68" s="571" cm="1">
        <f t="array" ref="F68">SUMPRODUCT(F$14:F$43,--($Q$14:$Q$43=TRUE),--($D$14:$D$43=$D63))</f>
        <v>0</v>
      </c>
      <c r="G68" s="571" cm="1">
        <f t="array" ref="G68">SUMPRODUCT(G$14:G$43,--($Q$14:$Q$43=TRUE),--($D$14:$D$43=$D63))</f>
        <v>0</v>
      </c>
      <c r="H68" s="571" cm="1">
        <f t="array" ref="H68">SUMPRODUCT(H$14:H$43,--($Q$14:$Q$43=TRUE),--($D$14:$D$43=$D63))</f>
        <v>0</v>
      </c>
      <c r="I68" s="571" cm="1">
        <f t="array" ref="I68">SUMPRODUCT(I$14:I$43,--($Q$14:$Q$43=TRUE),--($D$14:$D$43=$D63))</f>
        <v>0</v>
      </c>
      <c r="J68" s="571" cm="1">
        <f t="array" ref="J68">SUMPRODUCT(J$14:J$43,--($Q$14:$Q$43=TRUE),--($D$14:$D$43=$D63))</f>
        <v>0</v>
      </c>
      <c r="K68" s="571" cm="1">
        <f t="array" ref="K68">SUMPRODUCT(K$14:K$43,--($Q$14:$Q$43=TRUE),--($D$14:$D$43=$D63))</f>
        <v>0</v>
      </c>
      <c r="L68" s="571" cm="1">
        <f t="array" ref="L68">SUMPRODUCT(L$14:L$43,--($Q$14:$Q$43=TRUE),--($D$14:$D$43=$D63))</f>
        <v>0</v>
      </c>
      <c r="M68" s="571" cm="1">
        <f t="array" ref="M68">SUMPRODUCT(M$14:M$43,--($Q$14:$Q$43=TRUE),--($D$14:$D$43=$D63))</f>
        <v>0</v>
      </c>
      <c r="N68" s="571" cm="1">
        <f t="array" ref="N68">SUMPRODUCT(N$14:N$43,--($Q$14:$Q$43=TRUE),--($D$14:$D$43=$D63))</f>
        <v>0</v>
      </c>
      <c r="O68" s="571" cm="1">
        <f t="array" ref="O68">SUMPRODUCT(O$14:O$43,--($Q$14:$Q$43=TRUE),--($D$14:$D$43=$D63))</f>
        <v>0</v>
      </c>
      <c r="P68" s="607">
        <f t="shared" si="12"/>
        <v>0</v>
      </c>
      <c r="Q68" s="575"/>
      <c r="R68" s="576"/>
      <c r="S68" s="576"/>
      <c r="T68" s="576"/>
      <c r="U68" s="577"/>
    </row>
    <row r="69" spans="1:452" s="524" customFormat="1" ht="18" x14ac:dyDescent="0.35">
      <c r="A69" s="605"/>
      <c r="C69" s="559"/>
      <c r="D69" s="559"/>
      <c r="E69" s="572" t="s">
        <v>87</v>
      </c>
      <c r="F69" s="571" cm="1">
        <f t="array" ref="F69">SUMPRODUCT(F$14:F$43,--($Q$14:$Q$43=TRUE),--($D$14:$D$43=$D67),--($R$14:$R$43="Yes"))*0.1</f>
        <v>0</v>
      </c>
      <c r="G69" s="571" cm="1">
        <f t="array" ref="G69">SUMPRODUCT(G$14:G$43,--($Q$14:$Q$43=TRUE),--($D$14:$D$43=$D67),--($R$14:$R$43="Yes"))*0.1</f>
        <v>0</v>
      </c>
      <c r="H69" s="571" cm="1">
        <f t="array" ref="H69">SUMPRODUCT(H$14:H$43,--($Q$14:$Q$43=TRUE),--($D$14:$D$43=$D67),--($R$14:$R$43="Yes"))*0.1</f>
        <v>0</v>
      </c>
      <c r="I69" s="571" cm="1">
        <f t="array" ref="I69">SUMPRODUCT(I$14:I$43,--($Q$14:$Q$43=TRUE),--($D$14:$D$43=$D67),--($R$14:$R$43="Yes"))*0.1</f>
        <v>0</v>
      </c>
      <c r="J69" s="571" cm="1">
        <f t="array" ref="J69">SUMPRODUCT(J$14:J$43,--($Q$14:$Q$43=TRUE),--($D$14:$D$43=$D67),--($R$14:$R$43="Yes"))*0.1</f>
        <v>0</v>
      </c>
      <c r="K69" s="571" cm="1">
        <f t="array" ref="K69">SUMPRODUCT(K$14:K$43,--($Q$14:$Q$43=TRUE),--($D$14:$D$43=$D67),--($R$14:$R$43="Yes"))*0.1</f>
        <v>0</v>
      </c>
      <c r="L69" s="571" cm="1">
        <f t="array" ref="L69">SUMPRODUCT(L$14:L$43,--($Q$14:$Q$43=TRUE),--($D$14:$D$43=$D67),--($R$14:$R$43="Yes"))*0.1</f>
        <v>0</v>
      </c>
      <c r="M69" s="571" cm="1">
        <f t="array" ref="M69">SUMPRODUCT(M$14:M$43,--($Q$14:$Q$43=TRUE),--($D$14:$D$43=$D67),--($R$14:$R$43="Yes"))*0.1</f>
        <v>0</v>
      </c>
      <c r="N69" s="571" cm="1">
        <f t="array" ref="N69">SUMPRODUCT(N$14:N$43,--($Q$14:$Q$43=TRUE),--($D$14:$D$43=$D67),--($R$14:$R$43="Yes"))*0.1</f>
        <v>0</v>
      </c>
      <c r="O69" s="571" cm="1">
        <f t="array" ref="O69">SUMPRODUCT(O$14:O$43,--($Q$14:$Q$43=TRUE),--($D$14:$D$43=$D67),--($R$14:$R$43="Yes"))*0.1</f>
        <v>0</v>
      </c>
      <c r="P69" s="607">
        <f t="shared" si="12"/>
        <v>0</v>
      </c>
      <c r="Q69" s="575"/>
      <c r="R69" s="576"/>
      <c r="S69" s="576"/>
      <c r="T69" s="576"/>
      <c r="U69" s="577"/>
    </row>
    <row r="70" spans="1:452" s="524" customFormat="1" ht="18" x14ac:dyDescent="0.35">
      <c r="A70" s="605"/>
      <c r="B70" s="558"/>
      <c r="C70" s="559"/>
      <c r="D70" s="559"/>
      <c r="E70" s="572" t="s">
        <v>88</v>
      </c>
      <c r="F70" s="571">
        <f>F67-(F68+F69)</f>
        <v>0</v>
      </c>
      <c r="G70" s="571">
        <f t="shared" ref="G70:O70" si="14">G67-(G68+G69)</f>
        <v>0</v>
      </c>
      <c r="H70" s="571">
        <f t="shared" si="14"/>
        <v>0</v>
      </c>
      <c r="I70" s="571">
        <f t="shared" si="14"/>
        <v>0</v>
      </c>
      <c r="J70" s="571">
        <f t="shared" si="14"/>
        <v>0</v>
      </c>
      <c r="K70" s="571">
        <f t="shared" si="14"/>
        <v>0</v>
      </c>
      <c r="L70" s="571">
        <f t="shared" si="14"/>
        <v>0</v>
      </c>
      <c r="M70" s="571">
        <f t="shared" si="14"/>
        <v>0</v>
      </c>
      <c r="N70" s="571">
        <f t="shared" si="14"/>
        <v>0</v>
      </c>
      <c r="O70" s="571">
        <f t="shared" si="14"/>
        <v>0</v>
      </c>
      <c r="P70" s="607">
        <f t="shared" si="12"/>
        <v>0</v>
      </c>
      <c r="Q70" s="575"/>
      <c r="R70" s="576"/>
      <c r="S70" s="576"/>
      <c r="T70" s="576"/>
      <c r="U70" s="577"/>
    </row>
    <row r="71" spans="1:452" s="524" customFormat="1" ht="18" x14ac:dyDescent="0.35">
      <c r="A71" s="605"/>
      <c r="B71" s="558"/>
      <c r="C71" s="559"/>
      <c r="D71" s="559"/>
      <c r="E71" s="572"/>
      <c r="F71" s="571"/>
      <c r="G71" s="571"/>
      <c r="H71" s="571"/>
      <c r="I71" s="571"/>
      <c r="J71" s="571"/>
      <c r="K71" s="571"/>
      <c r="L71" s="571"/>
      <c r="M71" s="571"/>
      <c r="N71" s="571"/>
      <c r="O71" s="571"/>
      <c r="P71" s="607"/>
      <c r="Q71" s="575"/>
      <c r="R71" s="576"/>
      <c r="S71" s="576"/>
      <c r="T71" s="576"/>
      <c r="U71" s="577"/>
    </row>
    <row r="72" spans="1:452" s="591" customFormat="1" ht="18" x14ac:dyDescent="0.35">
      <c r="A72" s="597"/>
      <c r="B72" s="598" t="s">
        <v>90</v>
      </c>
      <c r="C72" s="599"/>
      <c r="D72" s="599"/>
      <c r="E72" s="589"/>
      <c r="F72" s="590">
        <f>F76+F84</f>
        <v>0</v>
      </c>
      <c r="G72" s="590">
        <f t="shared" ref="G72:O72" si="15">G76+G84</f>
        <v>0</v>
      </c>
      <c r="H72" s="590">
        <f t="shared" si="15"/>
        <v>0</v>
      </c>
      <c r="I72" s="590">
        <f t="shared" si="15"/>
        <v>0</v>
      </c>
      <c r="J72" s="590">
        <f t="shared" si="15"/>
        <v>0</v>
      </c>
      <c r="K72" s="590">
        <f t="shared" si="15"/>
        <v>0</v>
      </c>
      <c r="L72" s="590">
        <f t="shared" si="15"/>
        <v>0</v>
      </c>
      <c r="M72" s="590">
        <f t="shared" si="15"/>
        <v>0</v>
      </c>
      <c r="N72" s="590">
        <f t="shared" si="15"/>
        <v>0</v>
      </c>
      <c r="O72" s="590">
        <f t="shared" si="15"/>
        <v>0</v>
      </c>
      <c r="P72" s="600">
        <f>SUM(F72:O72)</f>
        <v>0</v>
      </c>
      <c r="Q72" s="575"/>
      <c r="R72" s="576"/>
      <c r="S72" s="576"/>
      <c r="T72" s="576"/>
      <c r="U72" s="577"/>
      <c r="V72" s="524"/>
      <c r="W72" s="524"/>
      <c r="X72" s="524"/>
      <c r="Y72" s="524"/>
      <c r="Z72" s="524"/>
      <c r="AA72" s="524"/>
      <c r="AB72" s="524"/>
      <c r="AC72" s="524"/>
      <c r="AD72" s="524"/>
      <c r="AE72" s="524"/>
      <c r="AF72" s="524"/>
      <c r="AG72" s="524"/>
      <c r="AH72" s="524"/>
      <c r="AI72" s="524"/>
      <c r="AJ72" s="524"/>
      <c r="AK72" s="524"/>
      <c r="AL72" s="524"/>
      <c r="AM72" s="524"/>
      <c r="AN72" s="524"/>
      <c r="AO72" s="524"/>
      <c r="AP72" s="524"/>
      <c r="AQ72" s="524"/>
      <c r="AR72" s="524"/>
      <c r="AS72" s="524"/>
      <c r="AT72" s="524"/>
      <c r="AU72" s="524"/>
      <c r="AV72" s="524"/>
      <c r="AW72" s="524"/>
      <c r="AX72" s="524"/>
      <c r="AY72" s="524"/>
      <c r="AZ72" s="524"/>
      <c r="BA72" s="524"/>
      <c r="BB72" s="524"/>
      <c r="BC72" s="524"/>
      <c r="BD72" s="524"/>
      <c r="BE72" s="524"/>
      <c r="BF72" s="524"/>
      <c r="BG72" s="524"/>
      <c r="BH72" s="524"/>
      <c r="BI72" s="524"/>
      <c r="BJ72" s="524"/>
      <c r="BK72" s="524"/>
      <c r="BL72" s="524"/>
      <c r="BM72" s="524"/>
      <c r="BN72" s="524"/>
      <c r="BO72" s="524"/>
      <c r="BP72" s="524"/>
      <c r="BQ72" s="524"/>
      <c r="BR72" s="524"/>
      <c r="BS72" s="524"/>
      <c r="BT72" s="524"/>
      <c r="BU72" s="524"/>
      <c r="BV72" s="524"/>
      <c r="BW72" s="524"/>
      <c r="BX72" s="524"/>
      <c r="BY72" s="524"/>
      <c r="BZ72" s="524"/>
      <c r="CA72" s="524"/>
      <c r="CB72" s="524"/>
      <c r="CC72" s="524"/>
      <c r="CD72" s="524"/>
      <c r="CE72" s="524"/>
      <c r="CF72" s="524"/>
      <c r="CG72" s="524"/>
      <c r="CH72" s="524"/>
      <c r="CI72" s="524"/>
      <c r="CJ72" s="524"/>
      <c r="CK72" s="524"/>
      <c r="CL72" s="524"/>
      <c r="CM72" s="524"/>
      <c r="CN72" s="524"/>
      <c r="CO72" s="524"/>
      <c r="CP72" s="524"/>
      <c r="CQ72" s="524"/>
      <c r="CR72" s="524"/>
      <c r="CS72" s="524"/>
      <c r="CT72" s="524"/>
      <c r="CU72" s="524"/>
      <c r="CV72" s="524"/>
      <c r="CW72" s="524"/>
      <c r="CX72" s="524"/>
      <c r="CY72" s="524"/>
      <c r="CZ72" s="524"/>
      <c r="DA72" s="524"/>
      <c r="DB72" s="524"/>
      <c r="DC72" s="524"/>
      <c r="DD72" s="524"/>
      <c r="DE72" s="524"/>
      <c r="DF72" s="524"/>
      <c r="DG72" s="524"/>
      <c r="DH72" s="524"/>
      <c r="DI72" s="524"/>
      <c r="DJ72" s="524"/>
      <c r="DK72" s="524"/>
      <c r="DL72" s="524"/>
      <c r="DM72" s="524"/>
      <c r="DN72" s="524"/>
      <c r="DO72" s="524"/>
      <c r="DP72" s="524"/>
      <c r="DQ72" s="524"/>
      <c r="DR72" s="524"/>
      <c r="DS72" s="524"/>
      <c r="DT72" s="524"/>
      <c r="DU72" s="524"/>
      <c r="DV72" s="524"/>
      <c r="DW72" s="524"/>
      <c r="DX72" s="524"/>
      <c r="DY72" s="524"/>
      <c r="DZ72" s="524"/>
      <c r="EA72" s="524"/>
      <c r="EB72" s="524"/>
      <c r="EC72" s="524"/>
      <c r="ED72" s="524"/>
      <c r="EE72" s="524"/>
      <c r="EF72" s="524"/>
      <c r="EG72" s="524"/>
      <c r="EH72" s="524"/>
      <c r="EI72" s="524"/>
      <c r="EJ72" s="524"/>
      <c r="EK72" s="524"/>
      <c r="EL72" s="524"/>
      <c r="EM72" s="524"/>
      <c r="EN72" s="524"/>
      <c r="EO72" s="524"/>
      <c r="EP72" s="524"/>
      <c r="EQ72" s="524"/>
      <c r="ER72" s="524"/>
      <c r="ES72" s="524"/>
      <c r="ET72" s="524"/>
      <c r="EU72" s="524"/>
      <c r="EV72" s="524"/>
      <c r="EW72" s="524"/>
      <c r="EX72" s="524"/>
      <c r="EY72" s="524"/>
      <c r="EZ72" s="524"/>
      <c r="FA72" s="524"/>
      <c r="FB72" s="524"/>
      <c r="FC72" s="524"/>
      <c r="FD72" s="524"/>
      <c r="FE72" s="524"/>
      <c r="FF72" s="524"/>
      <c r="FG72" s="524"/>
      <c r="FH72" s="524"/>
      <c r="FI72" s="524"/>
      <c r="FJ72" s="524"/>
      <c r="FK72" s="524"/>
      <c r="FL72" s="524"/>
      <c r="FM72" s="524"/>
      <c r="FN72" s="524"/>
      <c r="FO72" s="524"/>
      <c r="FP72" s="524"/>
      <c r="FQ72" s="524"/>
      <c r="FR72" s="524"/>
      <c r="FS72" s="524"/>
      <c r="FT72" s="524"/>
      <c r="FU72" s="524"/>
      <c r="FV72" s="524"/>
      <c r="FW72" s="524"/>
      <c r="FX72" s="524"/>
      <c r="FY72" s="524"/>
      <c r="FZ72" s="524"/>
      <c r="GA72" s="524"/>
      <c r="GB72" s="524"/>
      <c r="GC72" s="524"/>
      <c r="GD72" s="524"/>
      <c r="GE72" s="524"/>
      <c r="GF72" s="524"/>
      <c r="GG72" s="524"/>
      <c r="GH72" s="524"/>
      <c r="GI72" s="524"/>
      <c r="GJ72" s="524"/>
      <c r="GK72" s="524"/>
      <c r="GL72" s="524"/>
      <c r="GM72" s="524"/>
      <c r="GN72" s="524"/>
      <c r="GO72" s="524"/>
      <c r="GP72" s="524"/>
      <c r="GQ72" s="524"/>
      <c r="GR72" s="524"/>
      <c r="GS72" s="524"/>
      <c r="GT72" s="524"/>
      <c r="GU72" s="524"/>
      <c r="GV72" s="524"/>
      <c r="GW72" s="524"/>
      <c r="GX72" s="524"/>
      <c r="GY72" s="524"/>
      <c r="GZ72" s="524"/>
      <c r="HA72" s="524"/>
      <c r="HB72" s="524"/>
      <c r="HC72" s="524"/>
      <c r="HD72" s="524"/>
      <c r="HE72" s="524"/>
      <c r="HF72" s="524"/>
      <c r="HG72" s="524"/>
      <c r="HH72" s="524"/>
      <c r="HI72" s="524"/>
      <c r="HJ72" s="524"/>
      <c r="HK72" s="524"/>
      <c r="HL72" s="524"/>
      <c r="HM72" s="524"/>
      <c r="HN72" s="524"/>
      <c r="HO72" s="524"/>
      <c r="HP72" s="524"/>
      <c r="HQ72" s="524"/>
      <c r="HR72" s="524"/>
      <c r="HS72" s="524"/>
      <c r="HT72" s="524"/>
      <c r="HU72" s="524"/>
      <c r="HV72" s="524"/>
      <c r="HW72" s="524"/>
      <c r="HX72" s="524"/>
      <c r="HY72" s="524"/>
      <c r="HZ72" s="524"/>
      <c r="IA72" s="524"/>
      <c r="IB72" s="524"/>
      <c r="IC72" s="524"/>
      <c r="ID72" s="524"/>
      <c r="IE72" s="524"/>
      <c r="IF72" s="524"/>
      <c r="IG72" s="524"/>
      <c r="IH72" s="524"/>
      <c r="II72" s="524"/>
      <c r="IJ72" s="524"/>
      <c r="IK72" s="524"/>
      <c r="IL72" s="524"/>
      <c r="IM72" s="524"/>
      <c r="IN72" s="524"/>
      <c r="IO72" s="524"/>
      <c r="IP72" s="524"/>
      <c r="IQ72" s="524"/>
      <c r="IR72" s="524"/>
      <c r="IS72" s="524"/>
      <c r="IT72" s="524"/>
      <c r="IU72" s="524"/>
      <c r="IV72" s="524"/>
      <c r="IW72" s="524"/>
      <c r="IX72" s="524"/>
      <c r="IY72" s="524"/>
      <c r="IZ72" s="524"/>
      <c r="JA72" s="524"/>
      <c r="JB72" s="524"/>
      <c r="JC72" s="524"/>
      <c r="JD72" s="524"/>
      <c r="JE72" s="524"/>
      <c r="JF72" s="524"/>
      <c r="JG72" s="524"/>
      <c r="JH72" s="524"/>
      <c r="JI72" s="524"/>
      <c r="JJ72" s="524"/>
      <c r="JK72" s="524"/>
      <c r="JL72" s="524"/>
      <c r="JM72" s="524"/>
      <c r="JN72" s="524"/>
      <c r="JO72" s="524"/>
      <c r="JP72" s="524"/>
      <c r="JQ72" s="524"/>
      <c r="JR72" s="524"/>
      <c r="JS72" s="524"/>
      <c r="JT72" s="524"/>
      <c r="JU72" s="524"/>
      <c r="JV72" s="524"/>
      <c r="JW72" s="524"/>
      <c r="JX72" s="524"/>
      <c r="JY72" s="524"/>
      <c r="JZ72" s="524"/>
      <c r="KA72" s="524"/>
      <c r="KB72" s="524"/>
      <c r="KC72" s="524"/>
      <c r="KD72" s="524"/>
      <c r="KE72" s="524"/>
      <c r="KF72" s="524"/>
      <c r="KG72" s="524"/>
      <c r="KH72" s="524"/>
      <c r="KI72" s="524"/>
      <c r="KJ72" s="524"/>
      <c r="KK72" s="524"/>
      <c r="KL72" s="524"/>
      <c r="KM72" s="524"/>
      <c r="KN72" s="524"/>
      <c r="KO72" s="524"/>
      <c r="KP72" s="524"/>
      <c r="KQ72" s="524"/>
      <c r="KR72" s="524"/>
      <c r="KS72" s="524"/>
      <c r="KT72" s="524"/>
      <c r="KU72" s="524"/>
      <c r="KV72" s="524"/>
      <c r="KW72" s="524"/>
      <c r="KX72" s="524"/>
      <c r="KY72" s="524"/>
      <c r="KZ72" s="524"/>
      <c r="LA72" s="524"/>
      <c r="LB72" s="524"/>
      <c r="LC72" s="524"/>
      <c r="LD72" s="524"/>
      <c r="LE72" s="524"/>
      <c r="LF72" s="524"/>
      <c r="LG72" s="524"/>
      <c r="LH72" s="524"/>
      <c r="LI72" s="524"/>
      <c r="LJ72" s="524"/>
      <c r="LK72" s="524"/>
      <c r="LL72" s="524"/>
      <c r="LM72" s="524"/>
      <c r="LN72" s="524"/>
      <c r="LO72" s="524"/>
      <c r="LP72" s="524"/>
      <c r="LQ72" s="524"/>
      <c r="LR72" s="524"/>
      <c r="LS72" s="524"/>
      <c r="LT72" s="524"/>
      <c r="LU72" s="524"/>
      <c r="LV72" s="524"/>
      <c r="LW72" s="524"/>
      <c r="LX72" s="524"/>
      <c r="LY72" s="524"/>
      <c r="LZ72" s="524"/>
      <c r="MA72" s="524"/>
      <c r="MB72" s="524"/>
      <c r="MC72" s="524"/>
      <c r="MD72" s="524"/>
      <c r="ME72" s="524"/>
      <c r="MF72" s="524"/>
      <c r="MG72" s="524"/>
      <c r="MH72" s="524"/>
      <c r="MI72" s="524"/>
      <c r="MJ72" s="524"/>
      <c r="MK72" s="524"/>
      <c r="ML72" s="524"/>
      <c r="MM72" s="524"/>
      <c r="MN72" s="524"/>
      <c r="MO72" s="524"/>
      <c r="MP72" s="524"/>
      <c r="MQ72" s="524"/>
      <c r="MR72" s="524"/>
      <c r="MS72" s="524"/>
      <c r="MT72" s="524"/>
      <c r="MU72" s="524"/>
      <c r="MV72" s="524"/>
      <c r="MW72" s="524"/>
      <c r="MX72" s="524"/>
      <c r="MY72" s="524"/>
      <c r="MZ72" s="524"/>
      <c r="NA72" s="524"/>
      <c r="NB72" s="524"/>
      <c r="NC72" s="524"/>
      <c r="ND72" s="524"/>
      <c r="NE72" s="524"/>
      <c r="NF72" s="524"/>
      <c r="NG72" s="524"/>
      <c r="NH72" s="524"/>
      <c r="NI72" s="524"/>
      <c r="NJ72" s="524"/>
      <c r="NK72" s="524"/>
      <c r="NL72" s="524"/>
      <c r="NM72" s="524"/>
      <c r="NN72" s="524"/>
      <c r="NO72" s="524"/>
      <c r="NP72" s="524"/>
      <c r="NQ72" s="524"/>
      <c r="NR72" s="524"/>
      <c r="NS72" s="524"/>
      <c r="NT72" s="524"/>
      <c r="NU72" s="524"/>
      <c r="NV72" s="524"/>
      <c r="NW72" s="524"/>
      <c r="NX72" s="524"/>
      <c r="NY72" s="524"/>
      <c r="NZ72" s="524"/>
      <c r="OA72" s="524"/>
      <c r="OB72" s="524"/>
      <c r="OC72" s="524"/>
      <c r="OD72" s="524"/>
      <c r="OE72" s="524"/>
      <c r="OF72" s="524"/>
      <c r="OG72" s="524"/>
      <c r="OH72" s="524"/>
      <c r="OI72" s="524"/>
      <c r="OJ72" s="524"/>
      <c r="OK72" s="524"/>
      <c r="OL72" s="524"/>
      <c r="OM72" s="524"/>
      <c r="ON72" s="524"/>
      <c r="OO72" s="524"/>
      <c r="OP72" s="524"/>
      <c r="OQ72" s="524"/>
      <c r="OR72" s="524"/>
      <c r="OS72" s="524"/>
      <c r="OT72" s="524"/>
      <c r="OU72" s="524"/>
      <c r="OV72" s="524"/>
      <c r="OW72" s="524"/>
      <c r="OX72" s="524"/>
      <c r="OY72" s="524"/>
      <c r="OZ72" s="524"/>
      <c r="PA72" s="524"/>
      <c r="PB72" s="524"/>
      <c r="PC72" s="524"/>
      <c r="PD72" s="524"/>
      <c r="PE72" s="524"/>
      <c r="PF72" s="524"/>
      <c r="PG72" s="524"/>
      <c r="PH72" s="524"/>
      <c r="PI72" s="524"/>
      <c r="PJ72" s="524"/>
      <c r="PK72" s="524"/>
      <c r="PL72" s="524"/>
      <c r="PM72" s="524"/>
      <c r="PN72" s="524"/>
      <c r="PO72" s="524"/>
      <c r="PP72" s="524"/>
      <c r="PQ72" s="524"/>
      <c r="PR72" s="524"/>
      <c r="PS72" s="524"/>
      <c r="PT72" s="524"/>
      <c r="PU72" s="524"/>
      <c r="PV72" s="524"/>
      <c r="PW72" s="524"/>
      <c r="PX72" s="524"/>
      <c r="PY72" s="524"/>
      <c r="PZ72" s="524"/>
      <c r="QA72" s="524"/>
      <c r="QB72" s="524"/>
      <c r="QC72" s="524"/>
      <c r="QD72" s="524"/>
      <c r="QE72" s="524"/>
      <c r="QF72" s="524"/>
      <c r="QG72" s="524"/>
      <c r="QH72" s="524"/>
      <c r="QI72" s="524"/>
      <c r="QJ72" s="524"/>
    </row>
    <row r="73" spans="1:452" s="588" customFormat="1" ht="18" x14ac:dyDescent="0.35">
      <c r="A73" s="601"/>
      <c r="B73" s="602"/>
      <c r="C73" s="603"/>
      <c r="D73" s="603"/>
      <c r="E73" s="586"/>
      <c r="F73" s="587"/>
      <c r="G73" s="587"/>
      <c r="H73" s="587"/>
      <c r="I73" s="587"/>
      <c r="J73" s="587"/>
      <c r="K73" s="587"/>
      <c r="L73" s="587"/>
      <c r="M73" s="587"/>
      <c r="N73" s="587"/>
      <c r="O73" s="587"/>
      <c r="P73" s="604">
        <f t="shared" ref="P73:P74" si="16">SUM(F73:O73)</f>
        <v>0</v>
      </c>
      <c r="Q73" s="575"/>
      <c r="R73" s="576"/>
      <c r="S73" s="576"/>
      <c r="T73" s="576"/>
      <c r="U73" s="577"/>
      <c r="V73" s="524"/>
      <c r="W73" s="524"/>
      <c r="X73" s="524"/>
      <c r="Y73" s="524"/>
      <c r="Z73" s="524"/>
      <c r="AA73" s="524"/>
      <c r="AB73" s="524"/>
      <c r="AC73" s="524"/>
      <c r="AD73" s="524"/>
      <c r="AE73" s="524"/>
      <c r="AF73" s="524"/>
      <c r="AG73" s="524"/>
      <c r="AH73" s="524"/>
      <c r="AI73" s="524"/>
      <c r="AJ73" s="524"/>
      <c r="AK73" s="524"/>
      <c r="AL73" s="524"/>
      <c r="AM73" s="524"/>
      <c r="AN73" s="524"/>
      <c r="AO73" s="524"/>
      <c r="AP73" s="524"/>
      <c r="AQ73" s="524"/>
      <c r="AR73" s="524"/>
      <c r="AS73" s="524"/>
      <c r="AT73" s="524"/>
      <c r="AU73" s="524"/>
      <c r="AV73" s="524"/>
      <c r="AW73" s="524"/>
      <c r="AX73" s="524"/>
      <c r="AY73" s="524"/>
      <c r="AZ73" s="524"/>
      <c r="BA73" s="524"/>
      <c r="BB73" s="524"/>
      <c r="BC73" s="524"/>
      <c r="BD73" s="524"/>
      <c r="BE73" s="524"/>
      <c r="BF73" s="524"/>
      <c r="BG73" s="524"/>
      <c r="BH73" s="524"/>
      <c r="BI73" s="524"/>
      <c r="BJ73" s="524"/>
      <c r="BK73" s="524"/>
      <c r="BL73" s="524"/>
      <c r="BM73" s="524"/>
      <c r="BN73" s="524"/>
      <c r="BO73" s="524"/>
      <c r="BP73" s="524"/>
      <c r="BQ73" s="524"/>
      <c r="BR73" s="524"/>
      <c r="BS73" s="524"/>
      <c r="BT73" s="524"/>
      <c r="BU73" s="524"/>
      <c r="BV73" s="524"/>
      <c r="BW73" s="524"/>
      <c r="BX73" s="524"/>
      <c r="BY73" s="524"/>
      <c r="BZ73" s="524"/>
      <c r="CA73" s="524"/>
      <c r="CB73" s="524"/>
      <c r="CC73" s="524"/>
      <c r="CD73" s="524"/>
      <c r="CE73" s="524"/>
      <c r="CF73" s="524"/>
      <c r="CG73" s="524"/>
      <c r="CH73" s="524"/>
      <c r="CI73" s="524"/>
      <c r="CJ73" s="524"/>
      <c r="CK73" s="524"/>
      <c r="CL73" s="524"/>
      <c r="CM73" s="524"/>
      <c r="CN73" s="524"/>
      <c r="CO73" s="524"/>
      <c r="CP73" s="524"/>
      <c r="CQ73" s="524"/>
      <c r="CR73" s="524"/>
      <c r="CS73" s="524"/>
      <c r="CT73" s="524"/>
      <c r="CU73" s="524"/>
      <c r="CV73" s="524"/>
      <c r="CW73" s="524"/>
      <c r="CX73" s="524"/>
      <c r="CY73" s="524"/>
      <c r="CZ73" s="524"/>
      <c r="DA73" s="524"/>
      <c r="DB73" s="524"/>
      <c r="DC73" s="524"/>
      <c r="DD73" s="524"/>
      <c r="DE73" s="524"/>
      <c r="DF73" s="524"/>
      <c r="DG73" s="524"/>
      <c r="DH73" s="524"/>
      <c r="DI73" s="524"/>
      <c r="DJ73" s="524"/>
      <c r="DK73" s="524"/>
      <c r="DL73" s="524"/>
      <c r="DM73" s="524"/>
      <c r="DN73" s="524"/>
      <c r="DO73" s="524"/>
      <c r="DP73" s="524"/>
      <c r="DQ73" s="524"/>
      <c r="DR73" s="524"/>
      <c r="DS73" s="524"/>
      <c r="DT73" s="524"/>
      <c r="DU73" s="524"/>
      <c r="DV73" s="524"/>
      <c r="DW73" s="524"/>
      <c r="DX73" s="524"/>
      <c r="DY73" s="524"/>
      <c r="DZ73" s="524"/>
      <c r="EA73" s="524"/>
      <c r="EB73" s="524"/>
      <c r="EC73" s="524"/>
      <c r="ED73" s="524"/>
      <c r="EE73" s="524"/>
      <c r="EF73" s="524"/>
      <c r="EG73" s="524"/>
      <c r="EH73" s="524"/>
      <c r="EI73" s="524"/>
      <c r="EJ73" s="524"/>
      <c r="EK73" s="524"/>
      <c r="EL73" s="524"/>
      <c r="EM73" s="524"/>
      <c r="EN73" s="524"/>
      <c r="EO73" s="524"/>
      <c r="EP73" s="524"/>
      <c r="EQ73" s="524"/>
      <c r="ER73" s="524"/>
      <c r="ES73" s="524"/>
      <c r="ET73" s="524"/>
      <c r="EU73" s="524"/>
      <c r="EV73" s="524"/>
      <c r="EW73" s="524"/>
      <c r="EX73" s="524"/>
      <c r="EY73" s="524"/>
      <c r="EZ73" s="524"/>
      <c r="FA73" s="524"/>
      <c r="FB73" s="524"/>
      <c r="FC73" s="524"/>
      <c r="FD73" s="524"/>
      <c r="FE73" s="524"/>
      <c r="FF73" s="524"/>
      <c r="FG73" s="524"/>
      <c r="FH73" s="524"/>
      <c r="FI73" s="524"/>
      <c r="FJ73" s="524"/>
      <c r="FK73" s="524"/>
      <c r="FL73" s="524"/>
      <c r="FM73" s="524"/>
      <c r="FN73" s="524"/>
      <c r="FO73" s="524"/>
      <c r="FP73" s="524"/>
      <c r="FQ73" s="524"/>
      <c r="FR73" s="524"/>
      <c r="FS73" s="524"/>
      <c r="FT73" s="524"/>
      <c r="FU73" s="524"/>
      <c r="FV73" s="524"/>
      <c r="FW73" s="524"/>
      <c r="FX73" s="524"/>
      <c r="FY73" s="524"/>
      <c r="FZ73" s="524"/>
      <c r="GA73" s="524"/>
      <c r="GB73" s="524"/>
      <c r="GC73" s="524"/>
      <c r="GD73" s="524"/>
      <c r="GE73" s="524"/>
      <c r="GF73" s="524"/>
      <c r="GG73" s="524"/>
      <c r="GH73" s="524"/>
      <c r="GI73" s="524"/>
      <c r="GJ73" s="524"/>
      <c r="GK73" s="524"/>
      <c r="GL73" s="524"/>
      <c r="GM73" s="524"/>
      <c r="GN73" s="524"/>
      <c r="GO73" s="524"/>
      <c r="GP73" s="524"/>
      <c r="GQ73" s="524"/>
      <c r="GR73" s="524"/>
      <c r="GS73" s="524"/>
      <c r="GT73" s="524"/>
      <c r="GU73" s="524"/>
      <c r="GV73" s="524"/>
      <c r="GW73" s="524"/>
      <c r="GX73" s="524"/>
      <c r="GY73" s="524"/>
      <c r="GZ73" s="524"/>
      <c r="HA73" s="524"/>
      <c r="HB73" s="524"/>
      <c r="HC73" s="524"/>
      <c r="HD73" s="524"/>
      <c r="HE73" s="524"/>
      <c r="HF73" s="524"/>
      <c r="HG73" s="524"/>
      <c r="HH73" s="524"/>
      <c r="HI73" s="524"/>
      <c r="HJ73" s="524"/>
      <c r="HK73" s="524"/>
      <c r="HL73" s="524"/>
      <c r="HM73" s="524"/>
      <c r="HN73" s="524"/>
      <c r="HO73" s="524"/>
      <c r="HP73" s="524"/>
      <c r="HQ73" s="524"/>
      <c r="HR73" s="524"/>
      <c r="HS73" s="524"/>
      <c r="HT73" s="524"/>
      <c r="HU73" s="524"/>
      <c r="HV73" s="524"/>
      <c r="HW73" s="524"/>
      <c r="HX73" s="524"/>
      <c r="HY73" s="524"/>
      <c r="HZ73" s="524"/>
      <c r="IA73" s="524"/>
      <c r="IB73" s="524"/>
      <c r="IC73" s="524"/>
      <c r="ID73" s="524"/>
      <c r="IE73" s="524"/>
      <c r="IF73" s="524"/>
      <c r="IG73" s="524"/>
      <c r="IH73" s="524"/>
      <c r="II73" s="524"/>
      <c r="IJ73" s="524"/>
      <c r="IK73" s="524"/>
      <c r="IL73" s="524"/>
      <c r="IM73" s="524"/>
      <c r="IN73" s="524"/>
      <c r="IO73" s="524"/>
      <c r="IP73" s="524"/>
      <c r="IQ73" s="524"/>
      <c r="IR73" s="524"/>
      <c r="IS73" s="524"/>
      <c r="IT73" s="524"/>
      <c r="IU73" s="524"/>
      <c r="IV73" s="524"/>
      <c r="IW73" s="524"/>
      <c r="IX73" s="524"/>
      <c r="IY73" s="524"/>
      <c r="IZ73" s="524"/>
      <c r="JA73" s="524"/>
      <c r="JB73" s="524"/>
      <c r="JC73" s="524"/>
      <c r="JD73" s="524"/>
      <c r="JE73" s="524"/>
      <c r="JF73" s="524"/>
      <c r="JG73" s="524"/>
      <c r="JH73" s="524"/>
      <c r="JI73" s="524"/>
      <c r="JJ73" s="524"/>
      <c r="JK73" s="524"/>
      <c r="JL73" s="524"/>
      <c r="JM73" s="524"/>
      <c r="JN73" s="524"/>
      <c r="JO73" s="524"/>
      <c r="JP73" s="524"/>
      <c r="JQ73" s="524"/>
      <c r="JR73" s="524"/>
      <c r="JS73" s="524"/>
      <c r="JT73" s="524"/>
      <c r="JU73" s="524"/>
      <c r="JV73" s="524"/>
      <c r="JW73" s="524"/>
      <c r="JX73" s="524"/>
      <c r="JY73" s="524"/>
      <c r="JZ73" s="524"/>
      <c r="KA73" s="524"/>
      <c r="KB73" s="524"/>
      <c r="KC73" s="524"/>
      <c r="KD73" s="524"/>
      <c r="KE73" s="524"/>
      <c r="KF73" s="524"/>
      <c r="KG73" s="524"/>
      <c r="KH73" s="524"/>
      <c r="KI73" s="524"/>
      <c r="KJ73" s="524"/>
      <c r="KK73" s="524"/>
      <c r="KL73" s="524"/>
      <c r="KM73" s="524"/>
      <c r="KN73" s="524"/>
      <c r="KO73" s="524"/>
      <c r="KP73" s="524"/>
      <c r="KQ73" s="524"/>
      <c r="KR73" s="524"/>
      <c r="KS73" s="524"/>
      <c r="KT73" s="524"/>
      <c r="KU73" s="524"/>
      <c r="KV73" s="524"/>
      <c r="KW73" s="524"/>
      <c r="KX73" s="524"/>
      <c r="KY73" s="524"/>
      <c r="KZ73" s="524"/>
      <c r="LA73" s="524"/>
      <c r="LB73" s="524"/>
      <c r="LC73" s="524"/>
      <c r="LD73" s="524"/>
      <c r="LE73" s="524"/>
      <c r="LF73" s="524"/>
      <c r="LG73" s="524"/>
      <c r="LH73" s="524"/>
      <c r="LI73" s="524"/>
      <c r="LJ73" s="524"/>
      <c r="LK73" s="524"/>
      <c r="LL73" s="524"/>
      <c r="LM73" s="524"/>
      <c r="LN73" s="524"/>
      <c r="LO73" s="524"/>
      <c r="LP73" s="524"/>
      <c r="LQ73" s="524"/>
      <c r="LR73" s="524"/>
      <c r="LS73" s="524"/>
      <c r="LT73" s="524"/>
      <c r="LU73" s="524"/>
      <c r="LV73" s="524"/>
      <c r="LW73" s="524"/>
      <c r="LX73" s="524"/>
      <c r="LY73" s="524"/>
      <c r="LZ73" s="524"/>
      <c r="MA73" s="524"/>
      <c r="MB73" s="524"/>
      <c r="MC73" s="524"/>
      <c r="MD73" s="524"/>
      <c r="ME73" s="524"/>
      <c r="MF73" s="524"/>
      <c r="MG73" s="524"/>
      <c r="MH73" s="524"/>
      <c r="MI73" s="524"/>
      <c r="MJ73" s="524"/>
      <c r="MK73" s="524"/>
      <c r="ML73" s="524"/>
      <c r="MM73" s="524"/>
      <c r="MN73" s="524"/>
      <c r="MO73" s="524"/>
      <c r="MP73" s="524"/>
      <c r="MQ73" s="524"/>
      <c r="MR73" s="524"/>
      <c r="MS73" s="524"/>
      <c r="MT73" s="524"/>
      <c r="MU73" s="524"/>
      <c r="MV73" s="524"/>
      <c r="MW73" s="524"/>
      <c r="MX73" s="524"/>
      <c r="MY73" s="524"/>
      <c r="MZ73" s="524"/>
      <c r="NA73" s="524"/>
      <c r="NB73" s="524"/>
      <c r="NC73" s="524"/>
      <c r="ND73" s="524"/>
      <c r="NE73" s="524"/>
      <c r="NF73" s="524"/>
      <c r="NG73" s="524"/>
      <c r="NH73" s="524"/>
      <c r="NI73" s="524"/>
      <c r="NJ73" s="524"/>
      <c r="NK73" s="524"/>
      <c r="NL73" s="524"/>
      <c r="NM73" s="524"/>
      <c r="NN73" s="524"/>
      <c r="NO73" s="524"/>
      <c r="NP73" s="524"/>
      <c r="NQ73" s="524"/>
      <c r="NR73" s="524"/>
      <c r="NS73" s="524"/>
      <c r="NT73" s="524"/>
      <c r="NU73" s="524"/>
      <c r="NV73" s="524"/>
      <c r="NW73" s="524"/>
      <c r="NX73" s="524"/>
      <c r="NY73" s="524"/>
      <c r="NZ73" s="524"/>
      <c r="OA73" s="524"/>
      <c r="OB73" s="524"/>
      <c r="OC73" s="524"/>
      <c r="OD73" s="524"/>
      <c r="OE73" s="524"/>
      <c r="OF73" s="524"/>
      <c r="OG73" s="524"/>
      <c r="OH73" s="524"/>
      <c r="OI73" s="524"/>
      <c r="OJ73" s="524"/>
      <c r="OK73" s="524"/>
      <c r="OL73" s="524"/>
      <c r="OM73" s="524"/>
      <c r="ON73" s="524"/>
      <c r="OO73" s="524"/>
      <c r="OP73" s="524"/>
      <c r="OQ73" s="524"/>
      <c r="OR73" s="524"/>
      <c r="OS73" s="524"/>
      <c r="OT73" s="524"/>
      <c r="OU73" s="524"/>
      <c r="OV73" s="524"/>
      <c r="OW73" s="524"/>
      <c r="OX73" s="524"/>
      <c r="OY73" s="524"/>
      <c r="OZ73" s="524"/>
      <c r="PA73" s="524"/>
      <c r="PB73" s="524"/>
      <c r="PC73" s="524"/>
      <c r="PD73" s="524"/>
      <c r="PE73" s="524"/>
      <c r="PF73" s="524"/>
      <c r="PG73" s="524"/>
      <c r="PH73" s="524"/>
      <c r="PI73" s="524"/>
      <c r="PJ73" s="524"/>
      <c r="PK73" s="524"/>
      <c r="PL73" s="524"/>
      <c r="PM73" s="524"/>
      <c r="PN73" s="524"/>
      <c r="PO73" s="524"/>
      <c r="PP73" s="524"/>
      <c r="PQ73" s="524"/>
      <c r="PR73" s="524"/>
      <c r="PS73" s="524"/>
      <c r="PT73" s="524"/>
      <c r="PU73" s="524"/>
      <c r="PV73" s="524"/>
      <c r="PW73" s="524"/>
      <c r="PX73" s="524"/>
      <c r="PY73" s="524"/>
      <c r="PZ73" s="524"/>
      <c r="QA73" s="524"/>
      <c r="QB73" s="524"/>
      <c r="QC73" s="524"/>
      <c r="QD73" s="524"/>
      <c r="QE73" s="524"/>
      <c r="QF73" s="524"/>
      <c r="QG73" s="524"/>
      <c r="QH73" s="524"/>
      <c r="QI73" s="524"/>
      <c r="QJ73" s="524"/>
    </row>
    <row r="74" spans="1:452" s="617" customFormat="1" ht="18" x14ac:dyDescent="0.35">
      <c r="A74" s="611"/>
      <c r="B74" s="612" t="s">
        <v>91</v>
      </c>
      <c r="C74" s="613"/>
      <c r="D74" s="613"/>
      <c r="E74" s="614"/>
      <c r="F74" s="615">
        <f>F80+F88</f>
        <v>0</v>
      </c>
      <c r="G74" s="615">
        <f t="shared" ref="G74:O74" si="17">G80+G88</f>
        <v>0</v>
      </c>
      <c r="H74" s="615">
        <f t="shared" si="17"/>
        <v>0</v>
      </c>
      <c r="I74" s="615">
        <f t="shared" si="17"/>
        <v>0</v>
      </c>
      <c r="J74" s="615">
        <f t="shared" si="17"/>
        <v>0</v>
      </c>
      <c r="K74" s="615">
        <f t="shared" si="17"/>
        <v>0</v>
      </c>
      <c r="L74" s="615">
        <f t="shared" si="17"/>
        <v>0</v>
      </c>
      <c r="M74" s="615">
        <f t="shared" si="17"/>
        <v>0</v>
      </c>
      <c r="N74" s="615">
        <f t="shared" si="17"/>
        <v>0</v>
      </c>
      <c r="O74" s="615">
        <f t="shared" si="17"/>
        <v>0</v>
      </c>
      <c r="P74" s="616">
        <f t="shared" si="16"/>
        <v>0</v>
      </c>
      <c r="Q74" s="575"/>
      <c r="R74" s="576"/>
      <c r="S74" s="576"/>
      <c r="T74" s="576"/>
      <c r="U74" s="577"/>
    </row>
    <row r="75" spans="1:452" s="588" customFormat="1" ht="18" x14ac:dyDescent="0.35">
      <c r="A75" s="601"/>
      <c r="B75" s="602"/>
      <c r="C75" s="603"/>
      <c r="D75" s="603"/>
      <c r="E75" s="586"/>
      <c r="F75" s="587"/>
      <c r="G75" s="587"/>
      <c r="H75" s="587"/>
      <c r="I75" s="587"/>
      <c r="J75" s="587"/>
      <c r="K75" s="587"/>
      <c r="L75" s="587"/>
      <c r="M75" s="587"/>
      <c r="N75" s="587"/>
      <c r="O75" s="587"/>
      <c r="P75" s="604"/>
      <c r="Q75" s="575"/>
      <c r="R75" s="576"/>
      <c r="S75" s="576"/>
      <c r="T75" s="576"/>
      <c r="U75" s="577"/>
      <c r="V75" s="524"/>
      <c r="W75" s="524"/>
      <c r="X75" s="524"/>
      <c r="Y75" s="524"/>
      <c r="Z75" s="524"/>
      <c r="AA75" s="524"/>
      <c r="AB75" s="524"/>
      <c r="AC75" s="524"/>
      <c r="AD75" s="524"/>
      <c r="AE75" s="524"/>
      <c r="AF75" s="524"/>
      <c r="AG75" s="524"/>
      <c r="AH75" s="524"/>
      <c r="AI75" s="524"/>
      <c r="AJ75" s="524"/>
      <c r="AK75" s="524"/>
      <c r="AL75" s="524"/>
      <c r="AM75" s="524"/>
      <c r="AN75" s="524"/>
      <c r="AO75" s="524"/>
      <c r="AP75" s="524"/>
      <c r="AQ75" s="524"/>
      <c r="AR75" s="524"/>
      <c r="AS75" s="524"/>
      <c r="AT75" s="524"/>
      <c r="AU75" s="524"/>
      <c r="AV75" s="524"/>
      <c r="AW75" s="524"/>
      <c r="AX75" s="524"/>
      <c r="AY75" s="524"/>
      <c r="AZ75" s="524"/>
      <c r="BA75" s="524"/>
      <c r="BB75" s="524"/>
      <c r="BC75" s="524"/>
      <c r="BD75" s="524"/>
      <c r="BE75" s="524"/>
      <c r="BF75" s="524"/>
      <c r="BG75" s="524"/>
      <c r="BH75" s="524"/>
      <c r="BI75" s="524"/>
      <c r="BJ75" s="524"/>
      <c r="BK75" s="524"/>
      <c r="BL75" s="524"/>
      <c r="BM75" s="524"/>
      <c r="BN75" s="524"/>
      <c r="BO75" s="524"/>
      <c r="BP75" s="524"/>
      <c r="BQ75" s="524"/>
      <c r="BR75" s="524"/>
      <c r="BS75" s="524"/>
      <c r="BT75" s="524"/>
      <c r="BU75" s="524"/>
      <c r="BV75" s="524"/>
      <c r="BW75" s="524"/>
      <c r="BX75" s="524"/>
      <c r="BY75" s="524"/>
      <c r="BZ75" s="524"/>
      <c r="CA75" s="524"/>
      <c r="CB75" s="524"/>
      <c r="CC75" s="524"/>
      <c r="CD75" s="524"/>
      <c r="CE75" s="524"/>
      <c r="CF75" s="524"/>
      <c r="CG75" s="524"/>
      <c r="CH75" s="524"/>
      <c r="CI75" s="524"/>
      <c r="CJ75" s="524"/>
      <c r="CK75" s="524"/>
      <c r="CL75" s="524"/>
      <c r="CM75" s="524"/>
      <c r="CN75" s="524"/>
      <c r="CO75" s="524"/>
      <c r="CP75" s="524"/>
      <c r="CQ75" s="524"/>
      <c r="CR75" s="524"/>
      <c r="CS75" s="524"/>
      <c r="CT75" s="524"/>
      <c r="CU75" s="524"/>
      <c r="CV75" s="524"/>
      <c r="CW75" s="524"/>
      <c r="CX75" s="524"/>
      <c r="CY75" s="524"/>
      <c r="CZ75" s="524"/>
      <c r="DA75" s="524"/>
      <c r="DB75" s="524"/>
      <c r="DC75" s="524"/>
      <c r="DD75" s="524"/>
      <c r="DE75" s="524"/>
      <c r="DF75" s="524"/>
      <c r="DG75" s="524"/>
      <c r="DH75" s="524"/>
      <c r="DI75" s="524"/>
      <c r="DJ75" s="524"/>
      <c r="DK75" s="524"/>
      <c r="DL75" s="524"/>
      <c r="DM75" s="524"/>
      <c r="DN75" s="524"/>
      <c r="DO75" s="524"/>
      <c r="DP75" s="524"/>
      <c r="DQ75" s="524"/>
      <c r="DR75" s="524"/>
      <c r="DS75" s="524"/>
      <c r="DT75" s="524"/>
      <c r="DU75" s="524"/>
      <c r="DV75" s="524"/>
      <c r="DW75" s="524"/>
      <c r="DX75" s="524"/>
      <c r="DY75" s="524"/>
      <c r="DZ75" s="524"/>
      <c r="EA75" s="524"/>
      <c r="EB75" s="524"/>
      <c r="EC75" s="524"/>
      <c r="ED75" s="524"/>
      <c r="EE75" s="524"/>
      <c r="EF75" s="524"/>
      <c r="EG75" s="524"/>
      <c r="EH75" s="524"/>
      <c r="EI75" s="524"/>
      <c r="EJ75" s="524"/>
      <c r="EK75" s="524"/>
      <c r="EL75" s="524"/>
      <c r="EM75" s="524"/>
      <c r="EN75" s="524"/>
      <c r="EO75" s="524"/>
      <c r="EP75" s="524"/>
      <c r="EQ75" s="524"/>
      <c r="ER75" s="524"/>
      <c r="ES75" s="524"/>
      <c r="ET75" s="524"/>
      <c r="EU75" s="524"/>
      <c r="EV75" s="524"/>
      <c r="EW75" s="524"/>
      <c r="EX75" s="524"/>
      <c r="EY75" s="524"/>
      <c r="EZ75" s="524"/>
      <c r="FA75" s="524"/>
      <c r="FB75" s="524"/>
      <c r="FC75" s="524"/>
      <c r="FD75" s="524"/>
      <c r="FE75" s="524"/>
      <c r="FF75" s="524"/>
      <c r="FG75" s="524"/>
      <c r="FH75" s="524"/>
      <c r="FI75" s="524"/>
      <c r="FJ75" s="524"/>
      <c r="FK75" s="524"/>
      <c r="FL75" s="524"/>
      <c r="FM75" s="524"/>
      <c r="FN75" s="524"/>
      <c r="FO75" s="524"/>
      <c r="FP75" s="524"/>
      <c r="FQ75" s="524"/>
      <c r="FR75" s="524"/>
      <c r="FS75" s="524"/>
      <c r="FT75" s="524"/>
      <c r="FU75" s="524"/>
      <c r="FV75" s="524"/>
      <c r="FW75" s="524"/>
      <c r="FX75" s="524"/>
      <c r="FY75" s="524"/>
      <c r="FZ75" s="524"/>
      <c r="GA75" s="524"/>
      <c r="GB75" s="524"/>
      <c r="GC75" s="524"/>
      <c r="GD75" s="524"/>
      <c r="GE75" s="524"/>
      <c r="GF75" s="524"/>
      <c r="GG75" s="524"/>
      <c r="GH75" s="524"/>
      <c r="GI75" s="524"/>
      <c r="GJ75" s="524"/>
      <c r="GK75" s="524"/>
      <c r="GL75" s="524"/>
      <c r="GM75" s="524"/>
      <c r="GN75" s="524"/>
      <c r="GO75" s="524"/>
      <c r="GP75" s="524"/>
      <c r="GQ75" s="524"/>
      <c r="GR75" s="524"/>
      <c r="GS75" s="524"/>
      <c r="GT75" s="524"/>
      <c r="GU75" s="524"/>
      <c r="GV75" s="524"/>
      <c r="GW75" s="524"/>
      <c r="GX75" s="524"/>
      <c r="GY75" s="524"/>
      <c r="GZ75" s="524"/>
      <c r="HA75" s="524"/>
      <c r="HB75" s="524"/>
      <c r="HC75" s="524"/>
      <c r="HD75" s="524"/>
      <c r="HE75" s="524"/>
      <c r="HF75" s="524"/>
      <c r="HG75" s="524"/>
      <c r="HH75" s="524"/>
      <c r="HI75" s="524"/>
      <c r="HJ75" s="524"/>
      <c r="HK75" s="524"/>
      <c r="HL75" s="524"/>
      <c r="HM75" s="524"/>
      <c r="HN75" s="524"/>
      <c r="HO75" s="524"/>
      <c r="HP75" s="524"/>
      <c r="HQ75" s="524"/>
      <c r="HR75" s="524"/>
      <c r="HS75" s="524"/>
      <c r="HT75" s="524"/>
      <c r="HU75" s="524"/>
      <c r="HV75" s="524"/>
      <c r="HW75" s="524"/>
      <c r="HX75" s="524"/>
      <c r="HY75" s="524"/>
      <c r="HZ75" s="524"/>
      <c r="IA75" s="524"/>
      <c r="IB75" s="524"/>
      <c r="IC75" s="524"/>
      <c r="ID75" s="524"/>
      <c r="IE75" s="524"/>
      <c r="IF75" s="524"/>
      <c r="IG75" s="524"/>
      <c r="IH75" s="524"/>
      <c r="II75" s="524"/>
      <c r="IJ75" s="524"/>
      <c r="IK75" s="524"/>
      <c r="IL75" s="524"/>
      <c r="IM75" s="524"/>
      <c r="IN75" s="524"/>
      <c r="IO75" s="524"/>
      <c r="IP75" s="524"/>
      <c r="IQ75" s="524"/>
      <c r="IR75" s="524"/>
      <c r="IS75" s="524"/>
      <c r="IT75" s="524"/>
      <c r="IU75" s="524"/>
      <c r="IV75" s="524"/>
      <c r="IW75" s="524"/>
      <c r="IX75" s="524"/>
      <c r="IY75" s="524"/>
      <c r="IZ75" s="524"/>
      <c r="JA75" s="524"/>
      <c r="JB75" s="524"/>
      <c r="JC75" s="524"/>
      <c r="JD75" s="524"/>
      <c r="JE75" s="524"/>
      <c r="JF75" s="524"/>
      <c r="JG75" s="524"/>
      <c r="JH75" s="524"/>
      <c r="JI75" s="524"/>
      <c r="JJ75" s="524"/>
      <c r="JK75" s="524"/>
      <c r="JL75" s="524"/>
      <c r="JM75" s="524"/>
      <c r="JN75" s="524"/>
      <c r="JO75" s="524"/>
      <c r="JP75" s="524"/>
      <c r="JQ75" s="524"/>
      <c r="JR75" s="524"/>
      <c r="JS75" s="524"/>
      <c r="JT75" s="524"/>
      <c r="JU75" s="524"/>
      <c r="JV75" s="524"/>
      <c r="JW75" s="524"/>
      <c r="JX75" s="524"/>
      <c r="JY75" s="524"/>
      <c r="JZ75" s="524"/>
      <c r="KA75" s="524"/>
      <c r="KB75" s="524"/>
      <c r="KC75" s="524"/>
      <c r="KD75" s="524"/>
      <c r="KE75" s="524"/>
      <c r="KF75" s="524"/>
      <c r="KG75" s="524"/>
      <c r="KH75" s="524"/>
      <c r="KI75" s="524"/>
      <c r="KJ75" s="524"/>
      <c r="KK75" s="524"/>
      <c r="KL75" s="524"/>
      <c r="KM75" s="524"/>
      <c r="KN75" s="524"/>
      <c r="KO75" s="524"/>
      <c r="KP75" s="524"/>
      <c r="KQ75" s="524"/>
      <c r="KR75" s="524"/>
      <c r="KS75" s="524"/>
      <c r="KT75" s="524"/>
      <c r="KU75" s="524"/>
      <c r="KV75" s="524"/>
      <c r="KW75" s="524"/>
      <c r="KX75" s="524"/>
      <c r="KY75" s="524"/>
      <c r="KZ75" s="524"/>
      <c r="LA75" s="524"/>
      <c r="LB75" s="524"/>
      <c r="LC75" s="524"/>
      <c r="LD75" s="524"/>
      <c r="LE75" s="524"/>
      <c r="LF75" s="524"/>
      <c r="LG75" s="524"/>
      <c r="LH75" s="524"/>
      <c r="LI75" s="524"/>
      <c r="LJ75" s="524"/>
      <c r="LK75" s="524"/>
      <c r="LL75" s="524"/>
      <c r="LM75" s="524"/>
      <c r="LN75" s="524"/>
      <c r="LO75" s="524"/>
      <c r="LP75" s="524"/>
      <c r="LQ75" s="524"/>
      <c r="LR75" s="524"/>
      <c r="LS75" s="524"/>
      <c r="LT75" s="524"/>
      <c r="LU75" s="524"/>
      <c r="LV75" s="524"/>
      <c r="LW75" s="524"/>
      <c r="LX75" s="524"/>
      <c r="LY75" s="524"/>
      <c r="LZ75" s="524"/>
      <c r="MA75" s="524"/>
      <c r="MB75" s="524"/>
      <c r="MC75" s="524"/>
      <c r="MD75" s="524"/>
      <c r="ME75" s="524"/>
      <c r="MF75" s="524"/>
      <c r="MG75" s="524"/>
      <c r="MH75" s="524"/>
      <c r="MI75" s="524"/>
      <c r="MJ75" s="524"/>
      <c r="MK75" s="524"/>
      <c r="ML75" s="524"/>
      <c r="MM75" s="524"/>
      <c r="MN75" s="524"/>
      <c r="MO75" s="524"/>
      <c r="MP75" s="524"/>
      <c r="MQ75" s="524"/>
      <c r="MR75" s="524"/>
      <c r="MS75" s="524"/>
      <c r="MT75" s="524"/>
      <c r="MU75" s="524"/>
      <c r="MV75" s="524"/>
      <c r="MW75" s="524"/>
      <c r="MX75" s="524"/>
      <c r="MY75" s="524"/>
      <c r="MZ75" s="524"/>
      <c r="NA75" s="524"/>
      <c r="NB75" s="524"/>
      <c r="NC75" s="524"/>
      <c r="ND75" s="524"/>
      <c r="NE75" s="524"/>
      <c r="NF75" s="524"/>
      <c r="NG75" s="524"/>
      <c r="NH75" s="524"/>
      <c r="NI75" s="524"/>
      <c r="NJ75" s="524"/>
      <c r="NK75" s="524"/>
      <c r="NL75" s="524"/>
      <c r="NM75" s="524"/>
      <c r="NN75" s="524"/>
      <c r="NO75" s="524"/>
      <c r="NP75" s="524"/>
      <c r="NQ75" s="524"/>
      <c r="NR75" s="524"/>
      <c r="NS75" s="524"/>
      <c r="NT75" s="524"/>
      <c r="NU75" s="524"/>
      <c r="NV75" s="524"/>
      <c r="NW75" s="524"/>
      <c r="NX75" s="524"/>
      <c r="NY75" s="524"/>
      <c r="NZ75" s="524"/>
      <c r="OA75" s="524"/>
      <c r="OB75" s="524"/>
      <c r="OC75" s="524"/>
      <c r="OD75" s="524"/>
      <c r="OE75" s="524"/>
      <c r="OF75" s="524"/>
      <c r="OG75" s="524"/>
      <c r="OH75" s="524"/>
      <c r="OI75" s="524"/>
      <c r="OJ75" s="524"/>
      <c r="OK75" s="524"/>
      <c r="OL75" s="524"/>
      <c r="OM75" s="524"/>
      <c r="ON75" s="524"/>
      <c r="OO75" s="524"/>
      <c r="OP75" s="524"/>
      <c r="OQ75" s="524"/>
      <c r="OR75" s="524"/>
      <c r="OS75" s="524"/>
      <c r="OT75" s="524"/>
      <c r="OU75" s="524"/>
      <c r="OV75" s="524"/>
      <c r="OW75" s="524"/>
      <c r="OX75" s="524"/>
      <c r="OY75" s="524"/>
      <c r="OZ75" s="524"/>
      <c r="PA75" s="524"/>
      <c r="PB75" s="524"/>
      <c r="PC75" s="524"/>
      <c r="PD75" s="524"/>
      <c r="PE75" s="524"/>
      <c r="PF75" s="524"/>
      <c r="PG75" s="524"/>
      <c r="PH75" s="524"/>
      <c r="PI75" s="524"/>
      <c r="PJ75" s="524"/>
      <c r="PK75" s="524"/>
      <c r="PL75" s="524"/>
      <c r="PM75" s="524"/>
      <c r="PN75" s="524"/>
      <c r="PO75" s="524"/>
      <c r="PP75" s="524"/>
      <c r="PQ75" s="524"/>
      <c r="PR75" s="524"/>
      <c r="PS75" s="524"/>
      <c r="PT75" s="524"/>
      <c r="PU75" s="524"/>
      <c r="PV75" s="524"/>
      <c r="PW75" s="524"/>
      <c r="PX75" s="524"/>
      <c r="PY75" s="524"/>
      <c r="PZ75" s="524"/>
      <c r="QA75" s="524"/>
      <c r="QB75" s="524"/>
      <c r="QC75" s="524"/>
      <c r="QD75" s="524"/>
      <c r="QE75" s="524"/>
      <c r="QF75" s="524"/>
      <c r="QG75" s="524"/>
      <c r="QH75" s="524"/>
      <c r="QI75" s="524"/>
      <c r="QJ75" s="524"/>
    </row>
    <row r="76" spans="1:452" s="592" customFormat="1" ht="18" x14ac:dyDescent="0.35">
      <c r="A76" s="618"/>
      <c r="B76" s="619"/>
      <c r="C76" s="620"/>
      <c r="D76" s="619" t="s">
        <v>92</v>
      </c>
      <c r="E76" s="621"/>
      <c r="F76" s="622" cm="1">
        <f t="array" ref="F76">SUMPRODUCT(F$14:F$43,--($D$14:$D$43=$D76),--($Q$14:$Q$43=FALSE),$S$14:$S$43,--($S$14:$S$43&gt;0))+SUMPRODUCT(F$14:F$43,--($D$14:$D$43=$D76),--($Q$14:$Q$43=FALSE),$S$14:$S$43,--($S$14:$S$43&gt;0),--($R$14:$R$43="Yes"))*0.1+SUMPRODUCT(F$14:F$43,--($D$14:$D$43=$D76),--($Q$14:$Q$43=FALSE),--($S$14:$S$43=0))+SUMPRODUCT(F$14:F$43,--($D$14:$D$43=$D76),--($Q$14:$Q$43=FALSE),--($R$14:$R$43="Yes"),--($S$14:$S$43=0))*0.1</f>
        <v>0</v>
      </c>
      <c r="G76" s="622" cm="1">
        <f t="array" ref="G76">SUMPRODUCT(G$14:G$43,--($D$14:$D$43=$D76),--($Q$14:$Q$43=FALSE),$S$14:$S$43,--($S$14:$S$43&gt;0))+SUMPRODUCT(G$14:G$43,--($D$14:$D$43=$D76),--($Q$14:$Q$43=FALSE),$S$14:$S$43,--($S$14:$S$43&gt;0),--($R$14:$R$43="Yes"))*0.1+SUMPRODUCT(G$14:G$43,--($D$14:$D$43=$D76),--($Q$14:$Q$43=FALSE),--($S$14:$S$43=0))+SUMPRODUCT(G$14:G$43,--($D$14:$D$43=$D76),--($Q$14:$Q$43=FALSE),--($R$14:$R$43="Yes"),--($S$14:$S$43=0))*0.1</f>
        <v>0</v>
      </c>
      <c r="H76" s="622" cm="1">
        <f t="array" ref="H76">SUMPRODUCT(H$14:H$43,--($D$14:$D$43=$D76),--($Q$14:$Q$43=FALSE),$S$14:$S$43,--($S$14:$S$43&gt;0))+SUMPRODUCT(H$14:H$43,--($D$14:$D$43=$D76),--($Q$14:$Q$43=FALSE),$S$14:$S$43,--($S$14:$S$43&gt;0),--($R$14:$R$43="Yes"))*0.1+SUMPRODUCT(H$14:H$43,--($D$14:$D$43=$D76),--($Q$14:$Q$43=FALSE),--($S$14:$S$43=0))+SUMPRODUCT(H$14:H$43,--($D$14:$D$43=$D76),--($Q$14:$Q$43=FALSE),--($R$14:$R$43="Yes"),--($S$14:$S$43=0))*0.1</f>
        <v>0</v>
      </c>
      <c r="I76" s="622" cm="1">
        <f t="array" ref="I76">SUMPRODUCT(I$14:I$43,--($D$14:$D$43=$D76),--($Q$14:$Q$43=FALSE),$S$14:$S$43,--($S$14:$S$43&gt;0))+SUMPRODUCT(I$14:I$43,--($D$14:$D$43=$D76),--($Q$14:$Q$43=FALSE),$S$14:$S$43,--($S$14:$S$43&gt;0),--($R$14:$R$43="Yes"))*0.1+SUMPRODUCT(I$14:I$43,--($D$14:$D$43=$D76),--($Q$14:$Q$43=FALSE),--($S$14:$S$43=0))+SUMPRODUCT(I$14:I$43,--($D$14:$D$43=$D76),--($Q$14:$Q$43=FALSE),--($R$14:$R$43="Yes"),--($S$14:$S$43=0))*0.1</f>
        <v>0</v>
      </c>
      <c r="J76" s="622" cm="1">
        <f t="array" ref="J76">SUMPRODUCT(J$14:J$43,--($D$14:$D$43=$D76),--($Q$14:$Q$43=FALSE),$S$14:$S$43,--($S$14:$S$43&gt;0))+SUMPRODUCT(J$14:J$43,--($D$14:$D$43=$D76),--($Q$14:$Q$43=FALSE),$S$14:$S$43,--($S$14:$S$43&gt;0),--($R$14:$R$43="Yes"))*0.1+SUMPRODUCT(J$14:J$43,--($D$14:$D$43=$D76),--($Q$14:$Q$43=FALSE),--($S$14:$S$43=0))+SUMPRODUCT(J$14:J$43,--($D$14:$D$43=$D76),--($Q$14:$Q$43=FALSE),--($R$14:$R$43="Yes"),--($S$14:$S$43=0))*0.1</f>
        <v>0</v>
      </c>
      <c r="K76" s="622" cm="1">
        <f t="array" ref="K76">SUMPRODUCT(K$14:K$43,--($D$14:$D$43=$D76),--($Q$14:$Q$43=FALSE),$S$14:$S$43,--($S$14:$S$43&gt;0))+SUMPRODUCT(K$14:K$43,--($D$14:$D$43=$D76),--($Q$14:$Q$43=FALSE),$S$14:$S$43,--($S$14:$S$43&gt;0),--($R$14:$R$43="Yes"))*0.1+SUMPRODUCT(K$14:K$43,--($D$14:$D$43=$D76),--($Q$14:$Q$43=FALSE),--($S$14:$S$43=0))+SUMPRODUCT(K$14:K$43,--($D$14:$D$43=$D76),--($Q$14:$Q$43=FALSE),--($R$14:$R$43="Yes"),--($S$14:$S$43=0))*0.1</f>
        <v>0</v>
      </c>
      <c r="L76" s="622" cm="1">
        <f t="array" ref="L76">SUMPRODUCT(L$14:L$43,--($D$14:$D$43=$D76),--($Q$14:$Q$43=FALSE),$S$14:$S$43,--($S$14:$S$43&gt;0))+SUMPRODUCT(L$14:L$43,--($D$14:$D$43=$D76),--($Q$14:$Q$43=FALSE),$S$14:$S$43,--($S$14:$S$43&gt;0),--($R$14:$R$43="Yes"))*0.1+SUMPRODUCT(L$14:L$43,--($D$14:$D$43=$D76),--($Q$14:$Q$43=FALSE),--($S$14:$S$43=0))+SUMPRODUCT(L$14:L$43,--($D$14:$D$43=$D76),--($Q$14:$Q$43=FALSE),--($R$14:$R$43="Yes"),--($S$14:$S$43=0))*0.1</f>
        <v>0</v>
      </c>
      <c r="M76" s="622" cm="1">
        <f t="array" ref="M76">SUMPRODUCT(M$14:M$43,--($D$14:$D$43=$D76),--($Q$14:$Q$43=FALSE),$S$14:$S$43,--($S$14:$S$43&gt;0))+SUMPRODUCT(M$14:M$43,--($D$14:$D$43=$D76),--($Q$14:$Q$43=FALSE),$S$14:$S$43,--($S$14:$S$43&gt;0),--($R$14:$R$43="Yes"))*0.1+SUMPRODUCT(M$14:M$43,--($D$14:$D$43=$D76),--($Q$14:$Q$43=FALSE),--($S$14:$S$43=0))+SUMPRODUCT(M$14:M$43,--($D$14:$D$43=$D76),--($Q$14:$Q$43=FALSE),--($R$14:$R$43="Yes"),--($S$14:$S$43=0))*0.1</f>
        <v>0</v>
      </c>
      <c r="N76" s="622" cm="1">
        <f t="array" ref="N76">SUMPRODUCT(N$14:N$43,--($D$14:$D$43=$D76),--($Q$14:$Q$43=FALSE),$S$14:$S$43,--($S$14:$S$43&gt;0))+SUMPRODUCT(N$14:N$43,--($D$14:$D$43=$D76),--($Q$14:$Q$43=FALSE),$S$14:$S$43,--($S$14:$S$43&gt;0),--($R$14:$R$43="Yes"))*0.1+SUMPRODUCT(N$14:N$43,--($D$14:$D$43=$D76),--($Q$14:$Q$43=FALSE),--($S$14:$S$43=0))+SUMPRODUCT(N$14:N$43,--($D$14:$D$43=$D76),--($Q$14:$Q$43=FALSE),--($R$14:$R$43="Yes"),--($S$14:$S$43=0))*0.1</f>
        <v>0</v>
      </c>
      <c r="O76" s="622" cm="1">
        <f t="array" ref="O76">SUMPRODUCT(O$14:O$43,--($D$14:$D$43=$D76),--($Q$14:$Q$43=FALSE),$S$14:$S$43,--($S$14:$S$43&gt;0))+SUMPRODUCT(O$14:O$43,--($D$14:$D$43=$D76),--($Q$14:$Q$43=FALSE),$S$14:$S$43,--($S$14:$S$43&gt;0),--($R$14:$R$43="Yes"))*0.1+SUMPRODUCT(O$14:O$43,--($D$14:$D$43=$D76),--($Q$14:$Q$43=FALSE),--($S$14:$S$43=0))+SUMPRODUCT(O$14:O$43,--($D$14:$D$43=$D76),--($Q$14:$Q$43=FALSE),--($R$14:$R$43="Yes"),--($S$14:$S$43=0))*0.1</f>
        <v>0</v>
      </c>
      <c r="P76" s="623">
        <f t="shared" ref="P76:P92" si="18">SUM(F76:O76)</f>
        <v>0</v>
      </c>
      <c r="Q76" s="575"/>
      <c r="R76" s="576"/>
      <c r="S76" s="576"/>
      <c r="T76" s="576"/>
      <c r="U76" s="577"/>
      <c r="V76" s="610"/>
      <c r="W76" s="610"/>
      <c r="X76" s="610"/>
      <c r="Y76" s="610"/>
      <c r="Z76" s="610"/>
      <c r="AA76" s="610"/>
      <c r="AB76" s="610"/>
      <c r="AC76" s="610"/>
      <c r="AD76" s="610"/>
      <c r="AE76" s="610"/>
      <c r="AF76" s="610"/>
      <c r="AG76" s="610"/>
      <c r="AH76" s="610"/>
      <c r="AI76" s="610"/>
      <c r="AJ76" s="610"/>
      <c r="AK76" s="610"/>
      <c r="AL76" s="610"/>
      <c r="AM76" s="610"/>
      <c r="AN76" s="610"/>
      <c r="AO76" s="610"/>
      <c r="AP76" s="610"/>
      <c r="AQ76" s="610"/>
      <c r="AR76" s="610"/>
      <c r="AS76" s="610"/>
      <c r="AT76" s="610"/>
      <c r="AU76" s="610"/>
      <c r="AV76" s="610"/>
      <c r="AW76" s="610"/>
      <c r="AX76" s="610"/>
      <c r="AY76" s="610"/>
      <c r="AZ76" s="610"/>
      <c r="BA76" s="610"/>
      <c r="BB76" s="610"/>
      <c r="BC76" s="610"/>
      <c r="BD76" s="610"/>
      <c r="BE76" s="610"/>
      <c r="BF76" s="610"/>
      <c r="BG76" s="610"/>
      <c r="BH76" s="610"/>
      <c r="BI76" s="610"/>
      <c r="BJ76" s="610"/>
      <c r="BK76" s="610"/>
      <c r="BL76" s="610"/>
      <c r="BM76" s="610"/>
      <c r="BN76" s="610"/>
      <c r="BO76" s="610"/>
      <c r="BP76" s="610"/>
      <c r="BQ76" s="610"/>
      <c r="BR76" s="610"/>
      <c r="BS76" s="610"/>
      <c r="BT76" s="610"/>
      <c r="BU76" s="610"/>
      <c r="BV76" s="610"/>
      <c r="BW76" s="610"/>
      <c r="BX76" s="610"/>
      <c r="BY76" s="610"/>
      <c r="BZ76" s="610"/>
      <c r="CA76" s="610"/>
      <c r="CB76" s="610"/>
      <c r="CC76" s="610"/>
      <c r="CD76" s="610"/>
      <c r="CE76" s="610"/>
      <c r="CF76" s="610"/>
      <c r="CG76" s="610"/>
      <c r="CH76" s="610"/>
      <c r="CI76" s="610"/>
      <c r="CJ76" s="610"/>
      <c r="CK76" s="610"/>
      <c r="CL76" s="610"/>
      <c r="CM76" s="610"/>
      <c r="CN76" s="610"/>
      <c r="CO76" s="610"/>
      <c r="CP76" s="610"/>
      <c r="CQ76" s="610"/>
      <c r="CR76" s="610"/>
      <c r="CS76" s="610"/>
      <c r="CT76" s="610"/>
      <c r="CU76" s="610"/>
      <c r="CV76" s="610"/>
      <c r="CW76" s="610"/>
      <c r="CX76" s="610"/>
      <c r="CY76" s="610"/>
      <c r="CZ76" s="610"/>
      <c r="DA76" s="610"/>
      <c r="DB76" s="610"/>
      <c r="DC76" s="610"/>
      <c r="DD76" s="610"/>
      <c r="DE76" s="610"/>
      <c r="DF76" s="610"/>
      <c r="DG76" s="610"/>
      <c r="DH76" s="610"/>
      <c r="DI76" s="610"/>
      <c r="DJ76" s="610"/>
      <c r="DK76" s="610"/>
      <c r="DL76" s="610"/>
      <c r="DM76" s="610"/>
      <c r="DN76" s="610"/>
      <c r="DO76" s="610"/>
      <c r="DP76" s="610"/>
      <c r="DQ76" s="610"/>
      <c r="DR76" s="610"/>
      <c r="DS76" s="610"/>
      <c r="DT76" s="610"/>
      <c r="DU76" s="610"/>
      <c r="DV76" s="610"/>
      <c r="DW76" s="610"/>
      <c r="DX76" s="610"/>
      <c r="DY76" s="610"/>
      <c r="DZ76" s="610"/>
      <c r="EA76" s="610"/>
      <c r="EB76" s="610"/>
      <c r="EC76" s="610"/>
      <c r="ED76" s="610"/>
      <c r="EE76" s="610"/>
      <c r="EF76" s="610"/>
      <c r="EG76" s="610"/>
      <c r="EH76" s="610"/>
      <c r="EI76" s="610"/>
      <c r="EJ76" s="610"/>
      <c r="EK76" s="610"/>
      <c r="EL76" s="610"/>
      <c r="EM76" s="610"/>
      <c r="EN76" s="610"/>
      <c r="EO76" s="610"/>
      <c r="EP76" s="610"/>
      <c r="EQ76" s="610"/>
      <c r="ER76" s="610"/>
      <c r="ES76" s="610"/>
      <c r="ET76" s="610"/>
      <c r="EU76" s="610"/>
      <c r="EV76" s="610"/>
      <c r="EW76" s="610"/>
      <c r="EX76" s="610"/>
      <c r="EY76" s="610"/>
      <c r="EZ76" s="610"/>
      <c r="FA76" s="610"/>
      <c r="FB76" s="610"/>
      <c r="FC76" s="610"/>
      <c r="FD76" s="610"/>
      <c r="FE76" s="610"/>
      <c r="FF76" s="610"/>
      <c r="FG76" s="610"/>
      <c r="FH76" s="610"/>
      <c r="FI76" s="610"/>
      <c r="FJ76" s="610"/>
      <c r="FK76" s="610"/>
      <c r="FL76" s="610"/>
      <c r="FM76" s="610"/>
      <c r="FN76" s="610"/>
      <c r="FO76" s="610"/>
      <c r="FP76" s="610"/>
      <c r="FQ76" s="610"/>
      <c r="FR76" s="610"/>
      <c r="FS76" s="610"/>
      <c r="FT76" s="610"/>
      <c r="FU76" s="610"/>
      <c r="FV76" s="610"/>
      <c r="FW76" s="610"/>
      <c r="FX76" s="610"/>
      <c r="FY76" s="610"/>
      <c r="FZ76" s="610"/>
      <c r="GA76" s="610"/>
      <c r="GB76" s="610"/>
      <c r="GC76" s="610"/>
      <c r="GD76" s="610"/>
      <c r="GE76" s="610"/>
      <c r="GF76" s="610"/>
      <c r="GG76" s="610"/>
      <c r="GH76" s="610"/>
      <c r="GI76" s="610"/>
      <c r="GJ76" s="610"/>
      <c r="GK76" s="610"/>
      <c r="GL76" s="610"/>
      <c r="GM76" s="610"/>
      <c r="GN76" s="610"/>
      <c r="GO76" s="610"/>
      <c r="GP76" s="610"/>
      <c r="GQ76" s="610"/>
      <c r="GR76" s="610"/>
      <c r="GS76" s="610"/>
      <c r="GT76" s="610"/>
      <c r="GU76" s="610"/>
      <c r="GV76" s="610"/>
      <c r="GW76" s="610"/>
      <c r="GX76" s="610"/>
      <c r="GY76" s="610"/>
      <c r="GZ76" s="610"/>
      <c r="HA76" s="610"/>
      <c r="HB76" s="610"/>
      <c r="HC76" s="610"/>
      <c r="HD76" s="610"/>
      <c r="HE76" s="610"/>
      <c r="HF76" s="610"/>
      <c r="HG76" s="610"/>
      <c r="HH76" s="610"/>
      <c r="HI76" s="610"/>
      <c r="HJ76" s="610"/>
      <c r="HK76" s="610"/>
      <c r="HL76" s="610"/>
      <c r="HM76" s="610"/>
      <c r="HN76" s="610"/>
      <c r="HO76" s="610"/>
      <c r="HP76" s="610"/>
      <c r="HQ76" s="610"/>
      <c r="HR76" s="610"/>
      <c r="HS76" s="610"/>
      <c r="HT76" s="610"/>
      <c r="HU76" s="610"/>
      <c r="HV76" s="610"/>
      <c r="HW76" s="610"/>
      <c r="HX76" s="610"/>
      <c r="HY76" s="610"/>
      <c r="HZ76" s="610"/>
      <c r="IA76" s="610"/>
      <c r="IB76" s="610"/>
      <c r="IC76" s="610"/>
      <c r="ID76" s="610"/>
      <c r="IE76" s="610"/>
      <c r="IF76" s="610"/>
      <c r="IG76" s="610"/>
      <c r="IH76" s="610"/>
      <c r="II76" s="610"/>
      <c r="IJ76" s="610"/>
      <c r="IK76" s="610"/>
      <c r="IL76" s="610"/>
      <c r="IM76" s="610"/>
      <c r="IN76" s="610"/>
      <c r="IO76" s="610"/>
      <c r="IP76" s="610"/>
      <c r="IQ76" s="610"/>
      <c r="IR76" s="610"/>
      <c r="IS76" s="610"/>
      <c r="IT76" s="610"/>
      <c r="IU76" s="610"/>
      <c r="IV76" s="610"/>
      <c r="IW76" s="610"/>
      <c r="IX76" s="610"/>
      <c r="IY76" s="610"/>
      <c r="IZ76" s="610"/>
      <c r="JA76" s="610"/>
      <c r="JB76" s="610"/>
      <c r="JC76" s="610"/>
      <c r="JD76" s="610"/>
      <c r="JE76" s="610"/>
      <c r="JF76" s="610"/>
      <c r="JG76" s="610"/>
      <c r="JH76" s="610"/>
      <c r="JI76" s="610"/>
      <c r="JJ76" s="610"/>
      <c r="JK76" s="610"/>
      <c r="JL76" s="610"/>
      <c r="JM76" s="610"/>
      <c r="JN76" s="610"/>
      <c r="JO76" s="610"/>
      <c r="JP76" s="610"/>
      <c r="JQ76" s="610"/>
      <c r="JR76" s="610"/>
      <c r="JS76" s="610"/>
      <c r="JT76" s="610"/>
      <c r="JU76" s="610"/>
      <c r="JV76" s="610"/>
      <c r="JW76" s="610"/>
      <c r="JX76" s="610"/>
      <c r="JY76" s="610"/>
      <c r="JZ76" s="610"/>
      <c r="KA76" s="610"/>
      <c r="KB76" s="610"/>
      <c r="KC76" s="610"/>
      <c r="KD76" s="610"/>
      <c r="KE76" s="610"/>
      <c r="KF76" s="610"/>
      <c r="KG76" s="610"/>
      <c r="KH76" s="610"/>
      <c r="KI76" s="610"/>
      <c r="KJ76" s="610"/>
      <c r="KK76" s="610"/>
      <c r="KL76" s="610"/>
      <c r="KM76" s="610"/>
      <c r="KN76" s="610"/>
      <c r="KO76" s="610"/>
      <c r="KP76" s="610"/>
      <c r="KQ76" s="610"/>
      <c r="KR76" s="610"/>
      <c r="KS76" s="610"/>
      <c r="KT76" s="610"/>
      <c r="KU76" s="610"/>
      <c r="KV76" s="610"/>
      <c r="KW76" s="610"/>
      <c r="KX76" s="610"/>
      <c r="KY76" s="610"/>
      <c r="KZ76" s="610"/>
      <c r="LA76" s="610"/>
      <c r="LB76" s="610"/>
      <c r="LC76" s="610"/>
      <c r="LD76" s="610"/>
      <c r="LE76" s="610"/>
      <c r="LF76" s="610"/>
      <c r="LG76" s="610"/>
      <c r="LH76" s="610"/>
      <c r="LI76" s="610"/>
      <c r="LJ76" s="610"/>
      <c r="LK76" s="610"/>
      <c r="LL76" s="610"/>
      <c r="LM76" s="610"/>
      <c r="LN76" s="610"/>
      <c r="LO76" s="610"/>
      <c r="LP76" s="610"/>
      <c r="LQ76" s="610"/>
      <c r="LR76" s="610"/>
      <c r="LS76" s="610"/>
      <c r="LT76" s="610"/>
      <c r="LU76" s="610"/>
      <c r="LV76" s="610"/>
      <c r="LW76" s="610"/>
      <c r="LX76" s="610"/>
      <c r="LY76" s="610"/>
      <c r="LZ76" s="610"/>
      <c r="MA76" s="610"/>
      <c r="MB76" s="610"/>
      <c r="MC76" s="610"/>
      <c r="MD76" s="610"/>
      <c r="ME76" s="610"/>
      <c r="MF76" s="610"/>
      <c r="MG76" s="610"/>
      <c r="MH76" s="610"/>
      <c r="MI76" s="610"/>
      <c r="MJ76" s="610"/>
      <c r="MK76" s="610"/>
      <c r="ML76" s="610"/>
      <c r="MM76" s="610"/>
      <c r="MN76" s="610"/>
      <c r="MO76" s="610"/>
      <c r="MP76" s="610"/>
      <c r="MQ76" s="610"/>
      <c r="MR76" s="610"/>
      <c r="MS76" s="610"/>
      <c r="MT76" s="610"/>
      <c r="MU76" s="610"/>
      <c r="MV76" s="610"/>
      <c r="MW76" s="610"/>
      <c r="MX76" s="610"/>
      <c r="MY76" s="610"/>
      <c r="MZ76" s="610"/>
      <c r="NA76" s="610"/>
      <c r="NB76" s="610"/>
      <c r="NC76" s="610"/>
      <c r="ND76" s="610"/>
      <c r="NE76" s="610"/>
      <c r="NF76" s="610"/>
      <c r="NG76" s="610"/>
      <c r="NH76" s="610"/>
      <c r="NI76" s="610"/>
      <c r="NJ76" s="610"/>
      <c r="NK76" s="610"/>
      <c r="NL76" s="610"/>
      <c r="NM76" s="610"/>
      <c r="NN76" s="610"/>
      <c r="NO76" s="610"/>
      <c r="NP76" s="610"/>
      <c r="NQ76" s="610"/>
      <c r="NR76" s="610"/>
      <c r="NS76" s="610"/>
      <c r="NT76" s="610"/>
      <c r="NU76" s="610"/>
      <c r="NV76" s="610"/>
      <c r="NW76" s="610"/>
      <c r="NX76" s="610"/>
      <c r="NY76" s="610"/>
      <c r="NZ76" s="610"/>
      <c r="OA76" s="610"/>
      <c r="OB76" s="610"/>
      <c r="OC76" s="610"/>
      <c r="OD76" s="610"/>
      <c r="OE76" s="610"/>
      <c r="OF76" s="610"/>
      <c r="OG76" s="610"/>
      <c r="OH76" s="610"/>
      <c r="OI76" s="610"/>
      <c r="OJ76" s="610"/>
      <c r="OK76" s="610"/>
      <c r="OL76" s="610"/>
      <c r="OM76" s="610"/>
      <c r="ON76" s="610"/>
      <c r="OO76" s="610"/>
      <c r="OP76" s="610"/>
      <c r="OQ76" s="610"/>
      <c r="OR76" s="610"/>
      <c r="OS76" s="610"/>
      <c r="OT76" s="610"/>
      <c r="OU76" s="610"/>
      <c r="OV76" s="610"/>
      <c r="OW76" s="610"/>
      <c r="OX76" s="610"/>
      <c r="OY76" s="610"/>
      <c r="OZ76" s="610"/>
      <c r="PA76" s="610"/>
      <c r="PB76" s="610"/>
      <c r="PC76" s="610"/>
      <c r="PD76" s="610"/>
      <c r="PE76" s="610"/>
      <c r="PF76" s="610"/>
      <c r="PG76" s="610"/>
      <c r="PH76" s="610"/>
      <c r="PI76" s="610"/>
      <c r="PJ76" s="610"/>
      <c r="PK76" s="610"/>
      <c r="PL76" s="610"/>
      <c r="PM76" s="610"/>
      <c r="PN76" s="610"/>
      <c r="PO76" s="610"/>
      <c r="PP76" s="610"/>
      <c r="PQ76" s="610"/>
      <c r="PR76" s="610"/>
      <c r="PS76" s="610"/>
      <c r="PT76" s="610"/>
      <c r="PU76" s="610"/>
      <c r="PV76" s="610"/>
      <c r="PW76" s="610"/>
      <c r="PX76" s="610"/>
      <c r="PY76" s="610"/>
      <c r="PZ76" s="610"/>
      <c r="QA76" s="610"/>
      <c r="QB76" s="610"/>
      <c r="QC76" s="610"/>
      <c r="QD76" s="610"/>
      <c r="QE76" s="610"/>
      <c r="QF76" s="610"/>
      <c r="QG76" s="610"/>
      <c r="QH76" s="610"/>
      <c r="QI76" s="610"/>
      <c r="QJ76" s="610"/>
    </row>
    <row r="77" spans="1:452" s="524" customFormat="1" ht="18" x14ac:dyDescent="0.35">
      <c r="A77" s="605"/>
      <c r="B77" s="558"/>
      <c r="C77" s="559"/>
      <c r="D77" s="606"/>
      <c r="E77" s="572" t="s">
        <v>86</v>
      </c>
      <c r="F77" s="571" cm="1">
        <f t="array" ref="F77">SUMPRODUCT(F$14:F$43,--($Q$14:$Q$43=FALSE),--($D$14:$D$43=$D76))</f>
        <v>0</v>
      </c>
      <c r="G77" s="571" cm="1">
        <f t="array" ref="G77">SUMPRODUCT(G$14:G$43,--($Q$14:$Q$43=FALSE),--($D$14:$D$43=$D76))</f>
        <v>0</v>
      </c>
      <c r="H77" s="571" cm="1">
        <f t="array" ref="H77">SUMPRODUCT(H$14:H$43,--($Q$14:$Q$43=FALSE),--($D$14:$D$43=$D76))</f>
        <v>0</v>
      </c>
      <c r="I77" s="571" cm="1">
        <f t="array" ref="I77">SUMPRODUCT(I$14:I$43,--($Q$14:$Q$43=FALSE),--($D$14:$D$43=$D76))</f>
        <v>0</v>
      </c>
      <c r="J77" s="571" cm="1">
        <f t="array" ref="J77">SUMPRODUCT(J$14:J$43,--($Q$14:$Q$43=FALSE),--($D$14:$D$43=$D76))</f>
        <v>0</v>
      </c>
      <c r="K77" s="571" cm="1">
        <f t="array" ref="K77">SUMPRODUCT(K$14:K$43,--($Q$14:$Q$43=FALSE),--($D$14:$D$43=$D76))</f>
        <v>0</v>
      </c>
      <c r="L77" s="571" cm="1">
        <f t="array" ref="L77">SUMPRODUCT(L$14:L$43,--($Q$14:$Q$43=FALSE),--($D$14:$D$43=$D76))</f>
        <v>0</v>
      </c>
      <c r="M77" s="571" cm="1">
        <f t="array" ref="M77">SUMPRODUCT(M$14:M$43,--($Q$14:$Q$43=FALSE),--($D$14:$D$43=$D76))</f>
        <v>0</v>
      </c>
      <c r="N77" s="571" cm="1">
        <f t="array" ref="N77">SUMPRODUCT(N$14:N$43,--($Q$14:$Q$43=FALSE),--($D$14:$D$43=$D76))</f>
        <v>0</v>
      </c>
      <c r="O77" s="571" cm="1">
        <f t="array" ref="O77">SUMPRODUCT(O$14:O$43,--($Q$14:$Q$43=FALSE),--($D$14:$D$43=$D76))</f>
        <v>0</v>
      </c>
      <c r="P77" s="607">
        <f t="shared" si="18"/>
        <v>0</v>
      </c>
      <c r="Q77" s="575"/>
      <c r="R77" s="576"/>
      <c r="S77" s="576"/>
      <c r="T77" s="576"/>
      <c r="U77" s="577"/>
    </row>
    <row r="78" spans="1:452" s="524" customFormat="1" ht="18" x14ac:dyDescent="0.35">
      <c r="A78" s="605"/>
      <c r="B78" s="558"/>
      <c r="C78" s="559"/>
      <c r="D78" s="606"/>
      <c r="E78" s="572" t="s">
        <v>87</v>
      </c>
      <c r="F78" s="571" cm="1">
        <f t="array" ref="F78">SUMPRODUCT(F$14:F$43,--($Q$14:$Q$43=FALSE),--($D$14:$D$43=$D76),--($R$14:$R$43="Yes"))*0.1</f>
        <v>0</v>
      </c>
      <c r="G78" s="571" cm="1">
        <f t="array" ref="G78">SUMPRODUCT(G$14:G$43,--($Q$14:$Q$43=FALSE),--($D$14:$D$43=$D76),--($R$14:$R$43="Yes"))*0.1</f>
        <v>0</v>
      </c>
      <c r="H78" s="571" cm="1">
        <f t="array" ref="H78">SUMPRODUCT(H$14:H$43,--($Q$14:$Q$43=FALSE),--($D$14:$D$43=$D76),--($R$14:$R$43="Yes"))*0.1</f>
        <v>0</v>
      </c>
      <c r="I78" s="571" cm="1">
        <f t="array" ref="I78">SUMPRODUCT(I$14:I$43,--($Q$14:$Q$43=FALSE),--($D$14:$D$43=$D76),--($R$14:$R$43="Yes"))*0.1</f>
        <v>0</v>
      </c>
      <c r="J78" s="571" cm="1">
        <f t="array" ref="J78">SUMPRODUCT(J$14:J$43,--($Q$14:$Q$43=FALSE),--($D$14:$D$43=$D76),--($R$14:$R$43="Yes"))*0.1</f>
        <v>0</v>
      </c>
      <c r="K78" s="571" cm="1">
        <f t="array" ref="K78">SUMPRODUCT(K$14:K$43,--($Q$14:$Q$43=FALSE),--($D$14:$D$43=$D76),--($R$14:$R$43="Yes"))*0.1</f>
        <v>0</v>
      </c>
      <c r="L78" s="571" cm="1">
        <f t="array" ref="L78">SUMPRODUCT(L$14:L$43,--($Q$14:$Q$43=FALSE),--($D$14:$D$43=$D76),--($R$14:$R$43="Yes"))*0.1</f>
        <v>0</v>
      </c>
      <c r="M78" s="571" cm="1">
        <f t="array" ref="M78">SUMPRODUCT(M$14:M$43,--($Q$14:$Q$43=FALSE),--($D$14:$D$43=$D76),--($R$14:$R$43="Yes"))*0.1</f>
        <v>0</v>
      </c>
      <c r="N78" s="571" cm="1">
        <f t="array" ref="N78">SUMPRODUCT(N$14:N$43,--($Q$14:$Q$43=FALSE),--($D$14:$D$43=$D76),--($R$14:$R$43="Yes"))*0.1</f>
        <v>0</v>
      </c>
      <c r="O78" s="571" cm="1">
        <f t="array" ref="O78">SUMPRODUCT(O$14:O$43,--($Q$14:$Q$43=FALSE),--($D$14:$D$43=$D76),--($R$14:$R$43="Yes"))*0.1</f>
        <v>0</v>
      </c>
      <c r="P78" s="607">
        <f t="shared" si="18"/>
        <v>0</v>
      </c>
      <c r="Q78" s="575"/>
      <c r="R78" s="576"/>
      <c r="S78" s="576"/>
      <c r="T78" s="576"/>
      <c r="U78" s="577"/>
    </row>
    <row r="79" spans="1:452" s="524" customFormat="1" ht="18" x14ac:dyDescent="0.35">
      <c r="A79" s="605"/>
      <c r="B79" s="558"/>
      <c r="C79" s="559"/>
      <c r="D79" s="606"/>
      <c r="E79" s="572" t="s">
        <v>88</v>
      </c>
      <c r="F79" s="571">
        <f t="shared" ref="F79:O79" si="19">F76-(F77+F78)</f>
        <v>0</v>
      </c>
      <c r="G79" s="571">
        <f t="shared" si="19"/>
        <v>0</v>
      </c>
      <c r="H79" s="571">
        <f t="shared" si="19"/>
        <v>0</v>
      </c>
      <c r="I79" s="571">
        <f t="shared" si="19"/>
        <v>0</v>
      </c>
      <c r="J79" s="571">
        <f t="shared" si="19"/>
        <v>0</v>
      </c>
      <c r="K79" s="571">
        <f t="shared" si="19"/>
        <v>0</v>
      </c>
      <c r="L79" s="571">
        <f t="shared" si="19"/>
        <v>0</v>
      </c>
      <c r="M79" s="571">
        <f t="shared" si="19"/>
        <v>0</v>
      </c>
      <c r="N79" s="571">
        <f t="shared" si="19"/>
        <v>0</v>
      </c>
      <c r="O79" s="571">
        <f t="shared" si="19"/>
        <v>0</v>
      </c>
      <c r="P79" s="607">
        <f t="shared" si="18"/>
        <v>0</v>
      </c>
      <c r="Q79" s="575"/>
      <c r="R79" s="576"/>
      <c r="S79" s="576"/>
      <c r="T79" s="576"/>
      <c r="U79" s="577"/>
    </row>
    <row r="80" spans="1:452" s="578" customFormat="1" ht="18" x14ac:dyDescent="0.35">
      <c r="A80" s="624"/>
      <c r="B80" s="625"/>
      <c r="C80" s="626"/>
      <c r="D80" s="625" t="s">
        <v>93</v>
      </c>
      <c r="E80" s="627"/>
      <c r="F80" s="628" cm="1">
        <f t="array" ref="F80">SUMPRODUCT(F$14:F$43,--($D$14:$D$43=$D76),--($Q$14:$Q$43=TRUE),$S$14:$S$43,--($S$14:$S$43&gt;0))+SUMPRODUCT(F$14:F$43,--($D$14:$D$43=$D76),--($Q$14:$Q$43=TRUE),$S$14:$S$43,--($S$14:$S$43&gt;0),--($R$14:$R$43="Yes"))*0.1+SUMPRODUCT(F$14:F$43,--($D$14:$D$43=$D76),--($Q$14:$Q$43=TRUE),--($S27:$S56=0))+SUMPRODUCT(F$14:F$43,--($D$14:$D$43=$D76),--($Q$14:$Q$43=TRUE),--($R$14:$R$43="Yes"),--($S$14:$S$43=0))*0.1</f>
        <v>0</v>
      </c>
      <c r="G80" s="628" cm="1">
        <f t="array" ref="G80">SUMPRODUCT(G$14:G$43,--($D$14:$D$43=$D76),--($Q$14:$Q$43=TRUE),$S$14:$S$43,--($S$14:$S$43&gt;0))+SUMPRODUCT(G$14:G$43,--($D$14:$D$43=$D76),--($Q$14:$Q$43=TRUE),$S$14:$S$43,--($S$14:$S$43&gt;0),--($R$14:$R$43="Yes"))*0.1+SUMPRODUCT(G$14:G$43,--($D$14:$D$43=$D76),--($Q$14:$Q$43=TRUE),--($S27:$S56=0))+SUMPRODUCT(G$14:G$43,--($D$14:$D$43=$D76),--($Q$14:$Q$43=TRUE),--($R$14:$R$43="Yes"),--($S$14:$S$43=0))*0.1</f>
        <v>0</v>
      </c>
      <c r="H80" s="628" cm="1">
        <f t="array" ref="H80">SUMPRODUCT(H$14:H$43,--($D$14:$D$43=$D76),--($Q$14:$Q$43=TRUE),$S$14:$S$43,--($S$14:$S$43&gt;0))+SUMPRODUCT(H$14:H$43,--($D$14:$D$43=$D76),--($Q$14:$Q$43=TRUE),$S$14:$S$43,--($S$14:$S$43&gt;0),--($R$14:$R$43="Yes"))*0.1+SUMPRODUCT(H$14:H$43,--($D$14:$D$43=$D76),--($Q$14:$Q$43=TRUE),--($S27:$S56=0))+SUMPRODUCT(H$14:H$43,--($D$14:$D$43=$D76),--($Q$14:$Q$43=TRUE),--($R$14:$R$43="Yes"),--($S$14:$S$43=0))*0.1</f>
        <v>0</v>
      </c>
      <c r="I80" s="628" cm="1">
        <f t="array" ref="I80">SUMPRODUCT(I$14:I$43,--($D$14:$D$43=$D76),--($Q$14:$Q$43=TRUE),$S$14:$S$43,--($S$14:$S$43&gt;0))+SUMPRODUCT(I$14:I$43,--($D$14:$D$43=$D76),--($Q$14:$Q$43=TRUE),$S$14:$S$43,--($S$14:$S$43&gt;0),--($R$14:$R$43="Yes"))*0.1+SUMPRODUCT(I$14:I$43,--($D$14:$D$43=$D76),--($Q$14:$Q$43=TRUE),--($S27:$S56=0))+SUMPRODUCT(I$14:I$43,--($D$14:$D$43=$D76),--($Q$14:$Q$43=TRUE),--($R$14:$R$43="Yes"),--($S$14:$S$43=0))*0.1</f>
        <v>0</v>
      </c>
      <c r="J80" s="628" cm="1">
        <f t="array" ref="J80">SUMPRODUCT(J$14:J$43,--($D$14:$D$43=$D76),--($Q$14:$Q$43=TRUE),$S$14:$S$43,--($S$14:$S$43&gt;0))+SUMPRODUCT(J$14:J$43,--($D$14:$D$43=$D76),--($Q$14:$Q$43=TRUE),$S$14:$S$43,--($S$14:$S$43&gt;0),--($R$14:$R$43="Yes"))*0.1+SUMPRODUCT(J$14:J$43,--($D$14:$D$43=$D76),--($Q$14:$Q$43=TRUE),--($S27:$S56=0))+SUMPRODUCT(J$14:J$43,--($D$14:$D$43=$D76),--($Q$14:$Q$43=TRUE),--($R$14:$R$43="Yes"),--($S$14:$S$43=0))*0.1</f>
        <v>0</v>
      </c>
      <c r="K80" s="628" cm="1">
        <f t="array" ref="K80">SUMPRODUCT(K$14:K$43,--($D$14:$D$43=$D76),--($Q$14:$Q$43=TRUE),$S$14:$S$43,--($S$14:$S$43&gt;0))+SUMPRODUCT(K$14:K$43,--($D$14:$D$43=$D76),--($Q$14:$Q$43=TRUE),$S$14:$S$43,--($S$14:$S$43&gt;0),--($R$14:$R$43="Yes"))*0.1+SUMPRODUCT(K$14:K$43,--($D$14:$D$43=$D76),--($Q$14:$Q$43=TRUE),--($S27:$S56=0))+SUMPRODUCT(K$14:K$43,--($D$14:$D$43=$D76),--($Q$14:$Q$43=TRUE),--($R$14:$R$43="Yes"),--($S$14:$S$43=0))*0.1</f>
        <v>0</v>
      </c>
      <c r="L80" s="628" cm="1">
        <f t="array" ref="L80">SUMPRODUCT(L$14:L$43,--($D$14:$D$43=$D76),--($Q$14:$Q$43=TRUE),$S$14:$S$43,--($S$14:$S$43&gt;0))+SUMPRODUCT(L$14:L$43,--($D$14:$D$43=$D76),--($Q$14:$Q$43=TRUE),$S$14:$S$43,--($S$14:$S$43&gt;0),--($R$14:$R$43="Yes"))*0.1+SUMPRODUCT(L$14:L$43,--($D$14:$D$43=$D76),--($Q$14:$Q$43=TRUE),--($S27:$S56=0))+SUMPRODUCT(L$14:L$43,--($D$14:$D$43=$D76),--($Q$14:$Q$43=TRUE),--($R$14:$R$43="Yes"),--($S$14:$S$43=0))*0.1</f>
        <v>0</v>
      </c>
      <c r="M80" s="628" cm="1">
        <f t="array" ref="M80">SUMPRODUCT(M$14:M$43,--($D$14:$D$43=$D76),--($Q$14:$Q$43=TRUE),$S$14:$S$43,--($S$14:$S$43&gt;0))+SUMPRODUCT(M$14:M$43,--($D$14:$D$43=$D76),--($Q$14:$Q$43=TRUE),$S$14:$S$43,--($S$14:$S$43&gt;0),--($R$14:$R$43="Yes"))*0.1+SUMPRODUCT(M$14:M$43,--($D$14:$D$43=$D76),--($Q$14:$Q$43=TRUE),--($S27:$S56=0))+SUMPRODUCT(M$14:M$43,--($D$14:$D$43=$D76),--($Q$14:$Q$43=TRUE),--($R$14:$R$43="Yes"),--($S$14:$S$43=0))*0.1</f>
        <v>0</v>
      </c>
      <c r="N80" s="628" cm="1">
        <f t="array" ref="N80">SUMPRODUCT(N$14:N$43,--($D$14:$D$43=$D76),--($Q$14:$Q$43=TRUE),$S$14:$S$43,--($S$14:$S$43&gt;0))+SUMPRODUCT(N$14:N$43,--($D$14:$D$43=$D76),--($Q$14:$Q$43=TRUE),$S$14:$S$43,--($S$14:$S$43&gt;0),--($R$14:$R$43="Yes"))*0.1+SUMPRODUCT(N$14:N$43,--($D$14:$D$43=$D76),--($Q$14:$Q$43=TRUE),--($S27:$S56=0))+SUMPRODUCT(N$14:N$43,--($D$14:$D$43=$D76),--($Q$14:$Q$43=TRUE),--($R$14:$R$43="Yes"),--($S$14:$S$43=0))*0.1</f>
        <v>0</v>
      </c>
      <c r="O80" s="628" cm="1">
        <f t="array" ref="O80">SUMPRODUCT(O$14:O$43,--($D$14:$D$43=$D76),--($Q$14:$Q$43=TRUE),$S$14:$S$43,--($S$14:$S$43&gt;0))+SUMPRODUCT(O$14:O$43,--($D$14:$D$43=$D76),--($Q$14:$Q$43=TRUE),$S$14:$S$43,--($S$14:$S$43&gt;0),--($R$14:$R$43="Yes"))*0.1+SUMPRODUCT(O$14:O$43,--($D$14:$D$43=$D76),--($Q$14:$Q$43=TRUE),--($S27:$S56=0))+SUMPRODUCT(O$14:O$43,--($D$14:$D$43=$D76),--($Q$14:$Q$43=TRUE),--($R$14:$R$43="Yes"),--($S$14:$S$43=0))*0.1</f>
        <v>0</v>
      </c>
      <c r="P80" s="629">
        <f t="shared" si="18"/>
        <v>0</v>
      </c>
      <c r="Q80" s="575"/>
      <c r="R80" s="576"/>
      <c r="S80" s="576"/>
      <c r="T80" s="576"/>
      <c r="U80" s="577"/>
      <c r="V80" s="610"/>
      <c r="W80" s="610"/>
      <c r="X80" s="610"/>
      <c r="Y80" s="610"/>
      <c r="Z80" s="610"/>
      <c r="AA80" s="610"/>
      <c r="AB80" s="610"/>
      <c r="AC80" s="610"/>
      <c r="AD80" s="610"/>
      <c r="AE80" s="610"/>
      <c r="AF80" s="610"/>
      <c r="AG80" s="610"/>
      <c r="AH80" s="610"/>
      <c r="AI80" s="610"/>
      <c r="AJ80" s="610"/>
      <c r="AK80" s="610"/>
      <c r="AL80" s="610"/>
      <c r="AM80" s="610"/>
      <c r="AN80" s="610"/>
      <c r="AO80" s="610"/>
      <c r="AP80" s="610"/>
      <c r="AQ80" s="610"/>
      <c r="AR80" s="610"/>
      <c r="AS80" s="610"/>
      <c r="AT80" s="610"/>
      <c r="AU80" s="610"/>
      <c r="AV80" s="610"/>
      <c r="AW80" s="610"/>
      <c r="AX80" s="610"/>
      <c r="AY80" s="610"/>
      <c r="AZ80" s="610"/>
      <c r="BA80" s="610"/>
      <c r="BB80" s="610"/>
      <c r="BC80" s="610"/>
      <c r="BD80" s="610"/>
      <c r="BE80" s="610"/>
      <c r="BF80" s="610"/>
      <c r="BG80" s="610"/>
      <c r="BH80" s="610"/>
      <c r="BI80" s="610"/>
      <c r="BJ80" s="610"/>
      <c r="BK80" s="610"/>
      <c r="BL80" s="610"/>
      <c r="BM80" s="610"/>
      <c r="BN80" s="610"/>
      <c r="BO80" s="610"/>
      <c r="BP80" s="610"/>
      <c r="BQ80" s="610"/>
      <c r="BR80" s="610"/>
      <c r="BS80" s="610"/>
      <c r="BT80" s="610"/>
      <c r="BU80" s="610"/>
      <c r="BV80" s="610"/>
      <c r="BW80" s="610"/>
      <c r="BX80" s="610"/>
      <c r="BY80" s="610"/>
      <c r="BZ80" s="610"/>
      <c r="CA80" s="610"/>
      <c r="CB80" s="610"/>
      <c r="CC80" s="610"/>
      <c r="CD80" s="610"/>
      <c r="CE80" s="610"/>
      <c r="CF80" s="610"/>
      <c r="CG80" s="610"/>
      <c r="CH80" s="610"/>
      <c r="CI80" s="610"/>
      <c r="CJ80" s="610"/>
      <c r="CK80" s="610"/>
      <c r="CL80" s="610"/>
      <c r="CM80" s="610"/>
      <c r="CN80" s="610"/>
      <c r="CO80" s="610"/>
      <c r="CP80" s="610"/>
      <c r="CQ80" s="610"/>
      <c r="CR80" s="610"/>
      <c r="CS80" s="610"/>
      <c r="CT80" s="610"/>
      <c r="CU80" s="610"/>
      <c r="CV80" s="610"/>
      <c r="CW80" s="610"/>
      <c r="CX80" s="610"/>
      <c r="CY80" s="610"/>
      <c r="CZ80" s="610"/>
      <c r="DA80" s="610"/>
      <c r="DB80" s="610"/>
      <c r="DC80" s="610"/>
      <c r="DD80" s="610"/>
      <c r="DE80" s="610"/>
      <c r="DF80" s="610"/>
      <c r="DG80" s="610"/>
      <c r="DH80" s="610"/>
      <c r="DI80" s="610"/>
      <c r="DJ80" s="610"/>
      <c r="DK80" s="610"/>
      <c r="DL80" s="610"/>
      <c r="DM80" s="610"/>
      <c r="DN80" s="610"/>
      <c r="DO80" s="610"/>
      <c r="DP80" s="610"/>
      <c r="DQ80" s="610"/>
      <c r="DR80" s="610"/>
      <c r="DS80" s="610"/>
      <c r="DT80" s="610"/>
      <c r="DU80" s="610"/>
      <c r="DV80" s="610"/>
      <c r="DW80" s="610"/>
      <c r="DX80" s="610"/>
      <c r="DY80" s="610"/>
      <c r="DZ80" s="610"/>
      <c r="EA80" s="610"/>
      <c r="EB80" s="610"/>
      <c r="EC80" s="610"/>
      <c r="ED80" s="610"/>
      <c r="EE80" s="610"/>
      <c r="EF80" s="610"/>
      <c r="EG80" s="610"/>
      <c r="EH80" s="610"/>
      <c r="EI80" s="610"/>
      <c r="EJ80" s="610"/>
      <c r="EK80" s="610"/>
      <c r="EL80" s="610"/>
      <c r="EM80" s="610"/>
      <c r="EN80" s="610"/>
      <c r="EO80" s="610"/>
      <c r="EP80" s="610"/>
      <c r="EQ80" s="610"/>
      <c r="ER80" s="610"/>
      <c r="ES80" s="610"/>
      <c r="ET80" s="610"/>
      <c r="EU80" s="610"/>
      <c r="EV80" s="610"/>
      <c r="EW80" s="610"/>
      <c r="EX80" s="610"/>
      <c r="EY80" s="610"/>
      <c r="EZ80" s="610"/>
      <c r="FA80" s="610"/>
      <c r="FB80" s="610"/>
      <c r="FC80" s="610"/>
      <c r="FD80" s="610"/>
      <c r="FE80" s="610"/>
      <c r="FF80" s="610"/>
      <c r="FG80" s="610"/>
      <c r="FH80" s="610"/>
      <c r="FI80" s="610"/>
      <c r="FJ80" s="610"/>
      <c r="FK80" s="610"/>
      <c r="FL80" s="610"/>
      <c r="FM80" s="610"/>
      <c r="FN80" s="610"/>
      <c r="FO80" s="610"/>
      <c r="FP80" s="610"/>
      <c r="FQ80" s="610"/>
      <c r="FR80" s="610"/>
      <c r="FS80" s="610"/>
      <c r="FT80" s="610"/>
      <c r="FU80" s="610"/>
      <c r="FV80" s="610"/>
      <c r="FW80" s="610"/>
      <c r="FX80" s="610"/>
      <c r="FY80" s="610"/>
      <c r="FZ80" s="610"/>
      <c r="GA80" s="610"/>
      <c r="GB80" s="610"/>
      <c r="GC80" s="610"/>
      <c r="GD80" s="610"/>
      <c r="GE80" s="610"/>
      <c r="GF80" s="610"/>
      <c r="GG80" s="610"/>
      <c r="GH80" s="610"/>
      <c r="GI80" s="610"/>
      <c r="GJ80" s="610"/>
      <c r="GK80" s="610"/>
      <c r="GL80" s="610"/>
      <c r="GM80" s="610"/>
      <c r="GN80" s="610"/>
      <c r="GO80" s="610"/>
      <c r="GP80" s="610"/>
      <c r="GQ80" s="610"/>
      <c r="GR80" s="610"/>
      <c r="GS80" s="610"/>
      <c r="GT80" s="610"/>
      <c r="GU80" s="610"/>
      <c r="GV80" s="610"/>
      <c r="GW80" s="610"/>
      <c r="GX80" s="610"/>
      <c r="GY80" s="610"/>
      <c r="GZ80" s="610"/>
      <c r="HA80" s="610"/>
      <c r="HB80" s="610"/>
      <c r="HC80" s="610"/>
      <c r="HD80" s="610"/>
      <c r="HE80" s="610"/>
      <c r="HF80" s="610"/>
      <c r="HG80" s="610"/>
      <c r="HH80" s="610"/>
      <c r="HI80" s="610"/>
      <c r="HJ80" s="610"/>
      <c r="HK80" s="610"/>
      <c r="HL80" s="610"/>
      <c r="HM80" s="610"/>
      <c r="HN80" s="610"/>
      <c r="HO80" s="610"/>
      <c r="HP80" s="610"/>
      <c r="HQ80" s="610"/>
      <c r="HR80" s="610"/>
      <c r="HS80" s="610"/>
      <c r="HT80" s="610"/>
      <c r="HU80" s="610"/>
      <c r="HV80" s="610"/>
      <c r="HW80" s="610"/>
      <c r="HX80" s="610"/>
      <c r="HY80" s="610"/>
      <c r="HZ80" s="610"/>
      <c r="IA80" s="610"/>
      <c r="IB80" s="610"/>
      <c r="IC80" s="610"/>
      <c r="ID80" s="610"/>
      <c r="IE80" s="610"/>
      <c r="IF80" s="610"/>
      <c r="IG80" s="610"/>
      <c r="IH80" s="610"/>
      <c r="II80" s="610"/>
      <c r="IJ80" s="610"/>
      <c r="IK80" s="610"/>
      <c r="IL80" s="610"/>
      <c r="IM80" s="610"/>
      <c r="IN80" s="610"/>
      <c r="IO80" s="610"/>
      <c r="IP80" s="610"/>
      <c r="IQ80" s="610"/>
      <c r="IR80" s="610"/>
      <c r="IS80" s="610"/>
      <c r="IT80" s="610"/>
      <c r="IU80" s="610"/>
      <c r="IV80" s="610"/>
      <c r="IW80" s="610"/>
      <c r="IX80" s="610"/>
      <c r="IY80" s="610"/>
      <c r="IZ80" s="610"/>
      <c r="JA80" s="610"/>
      <c r="JB80" s="610"/>
      <c r="JC80" s="610"/>
      <c r="JD80" s="610"/>
      <c r="JE80" s="610"/>
      <c r="JF80" s="610"/>
      <c r="JG80" s="610"/>
      <c r="JH80" s="610"/>
      <c r="JI80" s="610"/>
      <c r="JJ80" s="610"/>
      <c r="JK80" s="610"/>
      <c r="JL80" s="610"/>
      <c r="JM80" s="610"/>
      <c r="JN80" s="610"/>
      <c r="JO80" s="610"/>
      <c r="JP80" s="610"/>
      <c r="JQ80" s="610"/>
      <c r="JR80" s="610"/>
      <c r="JS80" s="610"/>
      <c r="JT80" s="610"/>
      <c r="JU80" s="610"/>
      <c r="JV80" s="610"/>
      <c r="JW80" s="610"/>
      <c r="JX80" s="610"/>
      <c r="JY80" s="610"/>
      <c r="JZ80" s="610"/>
      <c r="KA80" s="610"/>
      <c r="KB80" s="610"/>
      <c r="KC80" s="610"/>
      <c r="KD80" s="610"/>
      <c r="KE80" s="610"/>
      <c r="KF80" s="610"/>
      <c r="KG80" s="610"/>
      <c r="KH80" s="610"/>
      <c r="KI80" s="610"/>
      <c r="KJ80" s="610"/>
      <c r="KK80" s="610"/>
      <c r="KL80" s="610"/>
      <c r="KM80" s="610"/>
      <c r="KN80" s="610"/>
      <c r="KO80" s="610"/>
      <c r="KP80" s="610"/>
      <c r="KQ80" s="610"/>
      <c r="KR80" s="610"/>
      <c r="KS80" s="610"/>
      <c r="KT80" s="610"/>
      <c r="KU80" s="610"/>
      <c r="KV80" s="610"/>
      <c r="KW80" s="610"/>
      <c r="KX80" s="610"/>
      <c r="KY80" s="610"/>
      <c r="KZ80" s="610"/>
      <c r="LA80" s="610"/>
      <c r="LB80" s="610"/>
      <c r="LC80" s="610"/>
      <c r="LD80" s="610"/>
      <c r="LE80" s="610"/>
      <c r="LF80" s="610"/>
      <c r="LG80" s="610"/>
      <c r="LH80" s="610"/>
      <c r="LI80" s="610"/>
      <c r="LJ80" s="610"/>
      <c r="LK80" s="610"/>
      <c r="LL80" s="610"/>
      <c r="LM80" s="610"/>
      <c r="LN80" s="610"/>
      <c r="LO80" s="610"/>
      <c r="LP80" s="610"/>
      <c r="LQ80" s="610"/>
      <c r="LR80" s="610"/>
      <c r="LS80" s="610"/>
      <c r="LT80" s="610"/>
      <c r="LU80" s="610"/>
      <c r="LV80" s="610"/>
      <c r="LW80" s="610"/>
      <c r="LX80" s="610"/>
      <c r="LY80" s="610"/>
      <c r="LZ80" s="610"/>
      <c r="MA80" s="610"/>
      <c r="MB80" s="610"/>
      <c r="MC80" s="610"/>
      <c r="MD80" s="610"/>
      <c r="ME80" s="610"/>
      <c r="MF80" s="610"/>
      <c r="MG80" s="610"/>
      <c r="MH80" s="610"/>
      <c r="MI80" s="610"/>
      <c r="MJ80" s="610"/>
      <c r="MK80" s="610"/>
      <c r="ML80" s="610"/>
      <c r="MM80" s="610"/>
      <c r="MN80" s="610"/>
      <c r="MO80" s="610"/>
      <c r="MP80" s="610"/>
      <c r="MQ80" s="610"/>
      <c r="MR80" s="610"/>
      <c r="MS80" s="610"/>
      <c r="MT80" s="610"/>
      <c r="MU80" s="610"/>
      <c r="MV80" s="610"/>
      <c r="MW80" s="610"/>
      <c r="MX80" s="610"/>
      <c r="MY80" s="610"/>
      <c r="MZ80" s="610"/>
      <c r="NA80" s="610"/>
      <c r="NB80" s="610"/>
      <c r="NC80" s="610"/>
      <c r="ND80" s="610"/>
      <c r="NE80" s="610"/>
      <c r="NF80" s="610"/>
      <c r="NG80" s="610"/>
      <c r="NH80" s="610"/>
      <c r="NI80" s="610"/>
      <c r="NJ80" s="610"/>
      <c r="NK80" s="610"/>
      <c r="NL80" s="610"/>
      <c r="NM80" s="610"/>
      <c r="NN80" s="610"/>
      <c r="NO80" s="610"/>
      <c r="NP80" s="610"/>
      <c r="NQ80" s="610"/>
      <c r="NR80" s="610"/>
      <c r="NS80" s="610"/>
      <c r="NT80" s="610"/>
      <c r="NU80" s="610"/>
      <c r="NV80" s="610"/>
      <c r="NW80" s="610"/>
      <c r="NX80" s="610"/>
      <c r="NY80" s="610"/>
      <c r="NZ80" s="610"/>
      <c r="OA80" s="610"/>
      <c r="OB80" s="610"/>
      <c r="OC80" s="610"/>
      <c r="OD80" s="610"/>
      <c r="OE80" s="610"/>
      <c r="OF80" s="610"/>
      <c r="OG80" s="610"/>
      <c r="OH80" s="610"/>
      <c r="OI80" s="610"/>
      <c r="OJ80" s="610"/>
      <c r="OK80" s="610"/>
      <c r="OL80" s="610"/>
      <c r="OM80" s="610"/>
      <c r="ON80" s="610"/>
      <c r="OO80" s="610"/>
      <c r="OP80" s="610"/>
      <c r="OQ80" s="610"/>
      <c r="OR80" s="610"/>
      <c r="OS80" s="610"/>
      <c r="OT80" s="610"/>
      <c r="OU80" s="610"/>
      <c r="OV80" s="610"/>
      <c r="OW80" s="610"/>
      <c r="OX80" s="610"/>
      <c r="OY80" s="610"/>
      <c r="OZ80" s="610"/>
      <c r="PA80" s="610"/>
      <c r="PB80" s="610"/>
      <c r="PC80" s="610"/>
      <c r="PD80" s="610"/>
      <c r="PE80" s="610"/>
      <c r="PF80" s="610"/>
      <c r="PG80" s="610"/>
      <c r="PH80" s="610"/>
      <c r="PI80" s="610"/>
      <c r="PJ80" s="610"/>
      <c r="PK80" s="610"/>
      <c r="PL80" s="610"/>
      <c r="PM80" s="610"/>
      <c r="PN80" s="610"/>
      <c r="PO80" s="610"/>
      <c r="PP80" s="610"/>
      <c r="PQ80" s="610"/>
      <c r="PR80" s="610"/>
      <c r="PS80" s="610"/>
      <c r="PT80" s="610"/>
      <c r="PU80" s="610"/>
      <c r="PV80" s="610"/>
      <c r="PW80" s="610"/>
      <c r="PX80" s="610"/>
      <c r="PY80" s="610"/>
      <c r="PZ80" s="610"/>
      <c r="QA80" s="610"/>
      <c r="QB80" s="610"/>
      <c r="QC80" s="610"/>
      <c r="QD80" s="610"/>
      <c r="QE80" s="610"/>
      <c r="QF80" s="610"/>
      <c r="QG80" s="610"/>
      <c r="QH80" s="610"/>
      <c r="QI80" s="610"/>
      <c r="QJ80" s="610"/>
    </row>
    <row r="81" spans="1:452" s="524" customFormat="1" ht="18" x14ac:dyDescent="0.35">
      <c r="A81" s="605"/>
      <c r="B81" s="558"/>
      <c r="C81" s="559"/>
      <c r="D81" s="559"/>
      <c r="E81" s="572" t="s">
        <v>86</v>
      </c>
      <c r="F81" s="571" cm="1">
        <f t="array" ref="F81">SUMPRODUCT(F$14:F$43,--($Q$14:$Q$43=TRUE),--($D$14:$D$43=$D76))</f>
        <v>0</v>
      </c>
      <c r="G81" s="571" cm="1">
        <f t="array" ref="G81">SUMPRODUCT(G$14:G$43,--($Q$14:$Q$43=TRUE),--($D$14:$D$43=$D76))</f>
        <v>0</v>
      </c>
      <c r="H81" s="571" cm="1">
        <f t="array" ref="H81">SUMPRODUCT(H$14:H$43,--($Q$14:$Q$43=TRUE),--($D$14:$D$43=$D76))</f>
        <v>0</v>
      </c>
      <c r="I81" s="571" cm="1">
        <f t="array" ref="I81">SUMPRODUCT(I$14:I$43,--($Q$14:$Q$43=TRUE),--($D$14:$D$43=$D76))</f>
        <v>0</v>
      </c>
      <c r="J81" s="571" cm="1">
        <f t="array" ref="J81">SUMPRODUCT(J$14:J$43,--($Q$14:$Q$43=TRUE),--($D$14:$D$43=$D76))</f>
        <v>0</v>
      </c>
      <c r="K81" s="571" cm="1">
        <f t="array" ref="K81">SUMPRODUCT(K$14:K$43,--($Q$14:$Q$43=TRUE),--($D$14:$D$43=$D76))</f>
        <v>0</v>
      </c>
      <c r="L81" s="571" cm="1">
        <f t="array" ref="L81">SUMPRODUCT(L$14:L$43,--($Q$14:$Q$43=TRUE),--($D$14:$D$43=$D76))</f>
        <v>0</v>
      </c>
      <c r="M81" s="571" cm="1">
        <f t="array" ref="M81">SUMPRODUCT(M$14:M$43,--($Q$14:$Q$43=TRUE),--($D$14:$D$43=$D76))</f>
        <v>0</v>
      </c>
      <c r="N81" s="571" cm="1">
        <f t="array" ref="N81">SUMPRODUCT(N$14:N$43,--($Q$14:$Q$43=TRUE),--($D$14:$D$43=$D76))</f>
        <v>0</v>
      </c>
      <c r="O81" s="571" cm="1">
        <f t="array" ref="O81">SUMPRODUCT(O$14:O$43,--($Q$14:$Q$43=TRUE),--($D$14:$D$43=$D76))</f>
        <v>0</v>
      </c>
      <c r="P81" s="607">
        <f t="shared" si="18"/>
        <v>0</v>
      </c>
      <c r="Q81" s="575"/>
      <c r="R81" s="576"/>
      <c r="S81" s="576"/>
      <c r="T81" s="576"/>
      <c r="U81" s="577"/>
    </row>
    <row r="82" spans="1:452" s="524" customFormat="1" ht="18" x14ac:dyDescent="0.35">
      <c r="A82" s="605"/>
      <c r="C82" s="559"/>
      <c r="D82" s="559"/>
      <c r="E82" s="572" t="s">
        <v>87</v>
      </c>
      <c r="F82" s="571" cm="1">
        <f t="array" ref="F82">SUMPRODUCT(F$14:F$43,--($Q$14:$Q$43=TRUE),--($D$14:$D$43=$D80),--($R$14:$R$43="Yes"))*0.1</f>
        <v>0</v>
      </c>
      <c r="G82" s="571" cm="1">
        <f t="array" ref="G82">SUMPRODUCT(G$14:G$43,--($Q$14:$Q$43=TRUE),--($D$14:$D$43=$D80),--($R$14:$R$43="Yes"))*0.1</f>
        <v>0</v>
      </c>
      <c r="H82" s="571" cm="1">
        <f t="array" ref="H82">SUMPRODUCT(H$14:H$43,--($Q$14:$Q$43=TRUE),--($D$14:$D$43=$D80),--($R$14:$R$43="Yes"))*0.1</f>
        <v>0</v>
      </c>
      <c r="I82" s="571" cm="1">
        <f t="array" ref="I82">SUMPRODUCT(I$14:I$43,--($Q$14:$Q$43=TRUE),--($D$14:$D$43=$D80),--($R$14:$R$43="Yes"))*0.1</f>
        <v>0</v>
      </c>
      <c r="J82" s="571" cm="1">
        <f t="array" ref="J82">SUMPRODUCT(J$14:J$43,--($Q$14:$Q$43=TRUE),--($D$14:$D$43=$D80),--($R$14:$R$43="Yes"))*0.1</f>
        <v>0</v>
      </c>
      <c r="K82" s="571" cm="1">
        <f t="array" ref="K82">SUMPRODUCT(K$14:K$43,--($Q$14:$Q$43=TRUE),--($D$14:$D$43=$D80),--($R$14:$R$43="Yes"))*0.1</f>
        <v>0</v>
      </c>
      <c r="L82" s="571" cm="1">
        <f t="array" ref="L82">SUMPRODUCT(L$14:L$43,--($Q$14:$Q$43=TRUE),--($D$14:$D$43=$D80),--($R$14:$R$43="Yes"))*0.1</f>
        <v>0</v>
      </c>
      <c r="M82" s="571" cm="1">
        <f t="array" ref="M82">SUMPRODUCT(M$14:M$43,--($Q$14:$Q$43=TRUE),--($D$14:$D$43=$D80),--($R$14:$R$43="Yes"))*0.1</f>
        <v>0</v>
      </c>
      <c r="N82" s="571" cm="1">
        <f t="array" ref="N82">SUMPRODUCT(N$14:N$43,--($Q$14:$Q$43=TRUE),--($D$14:$D$43=$D80),--($R$14:$R$43="Yes"))*0.1</f>
        <v>0</v>
      </c>
      <c r="O82" s="571" cm="1">
        <f t="array" ref="O82">SUMPRODUCT(O$14:O$43,--($Q$14:$Q$43=TRUE),--($D$14:$D$43=$D80),--($R$14:$R$43="Yes"))*0.1</f>
        <v>0</v>
      </c>
      <c r="P82" s="607">
        <f t="shared" si="18"/>
        <v>0</v>
      </c>
      <c r="Q82" s="575"/>
      <c r="R82" s="576"/>
      <c r="S82" s="576"/>
      <c r="T82" s="576"/>
      <c r="U82" s="577"/>
    </row>
    <row r="83" spans="1:452" s="524" customFormat="1" ht="18" x14ac:dyDescent="0.35">
      <c r="A83" s="605"/>
      <c r="B83" s="558"/>
      <c r="C83" s="559"/>
      <c r="D83" s="559"/>
      <c r="E83" s="572" t="s">
        <v>88</v>
      </c>
      <c r="F83" s="571">
        <f>F80-(F81+F82)</f>
        <v>0</v>
      </c>
      <c r="G83" s="571">
        <f t="shared" ref="G83:O83" si="20">G80-(G81+G82)</f>
        <v>0</v>
      </c>
      <c r="H83" s="571">
        <f t="shared" si="20"/>
        <v>0</v>
      </c>
      <c r="I83" s="571">
        <f t="shared" si="20"/>
        <v>0</v>
      </c>
      <c r="J83" s="571">
        <f t="shared" si="20"/>
        <v>0</v>
      </c>
      <c r="K83" s="571">
        <f t="shared" si="20"/>
        <v>0</v>
      </c>
      <c r="L83" s="571">
        <f t="shared" si="20"/>
        <v>0</v>
      </c>
      <c r="M83" s="571">
        <f t="shared" si="20"/>
        <v>0</v>
      </c>
      <c r="N83" s="571">
        <f t="shared" si="20"/>
        <v>0</v>
      </c>
      <c r="O83" s="571">
        <f t="shared" si="20"/>
        <v>0</v>
      </c>
      <c r="P83" s="607">
        <f t="shared" si="18"/>
        <v>0</v>
      </c>
      <c r="Q83" s="575"/>
      <c r="R83" s="576"/>
      <c r="S83" s="576"/>
      <c r="T83" s="576"/>
      <c r="U83" s="577"/>
    </row>
    <row r="84" spans="1:452" s="592" customFormat="1" ht="18" x14ac:dyDescent="0.35">
      <c r="A84" s="618"/>
      <c r="B84" s="619"/>
      <c r="C84" s="620"/>
      <c r="D84" s="619" t="s">
        <v>94</v>
      </c>
      <c r="E84" s="621"/>
      <c r="F84" s="622" cm="1">
        <f t="array" ref="F84">SUMPRODUCT(F$14:F$43,--($D$14:$D$43=$D84),--($Q$14:$Q$43=FALSE),$S$14:$S$43,--($S$14:$S$43&gt;0))+SUMPRODUCT(F$14:F$43,--($D$14:$D$43=$D84),--($Q$14:$Q$43=FALSE),$S$14:$S$43,--($S$14:$S$43&gt;0),--($R$14:$R$43="Yes"))*0.1+SUMPRODUCT(F$14:F$43,--($D$14:$D$43=$D84),--($Q$14:$Q$43=FALSE),--($S$14:$S$43=0))+SUMPRODUCT(F$14:F$43,--($D$14:$D$43=$D84),--($Q$14:$Q$43=FALSE),--($R$14:$R$43="Yes"),--($S$14:$S$43=0))*0.1</f>
        <v>0</v>
      </c>
      <c r="G84" s="622" cm="1">
        <f t="array" ref="G84">SUMPRODUCT(G$14:G$43,--($D$14:$D$43=$D84),--($Q$14:$Q$43=FALSE),$S$14:$S$43,--($S$14:$S$43&gt;0))+SUMPRODUCT(G$14:G$43,--($D$14:$D$43=$D84),--($Q$14:$Q$43=FALSE),$S$14:$S$43,--($S$14:$S$43&gt;0),--($R$14:$R$43="Yes"))*0.1+SUMPRODUCT(G$14:G$43,--($D$14:$D$43=$D84),--($Q$14:$Q$43=FALSE),--($S$14:$S$43=0))+SUMPRODUCT(G$14:G$43,--($D$14:$D$43=$D84),--($Q$14:$Q$43=FALSE),--($R$14:$R$43="Yes"),--($S$14:$S$43=0))*0.1</f>
        <v>0</v>
      </c>
      <c r="H84" s="622" cm="1">
        <f t="array" ref="H84">SUMPRODUCT(H$14:H$43,--($D$14:$D$43=$D84),--($Q$14:$Q$43=FALSE),$S$14:$S$43,--($S$14:$S$43&gt;0))+SUMPRODUCT(H$14:H$43,--($D$14:$D$43=$D84),--($Q$14:$Q$43=FALSE),$S$14:$S$43,--($S$14:$S$43&gt;0),--($R$14:$R$43="Yes"))*0.1+SUMPRODUCT(H$14:H$43,--($D$14:$D$43=$D84),--($Q$14:$Q$43=FALSE),--($S$14:$S$43=0))+SUMPRODUCT(H$14:H$43,--($D$14:$D$43=$D84),--($Q$14:$Q$43=FALSE),--($R$14:$R$43="Yes"),--($S$14:$S$43=0))*0.1</f>
        <v>0</v>
      </c>
      <c r="I84" s="622" cm="1">
        <f t="array" ref="I84">SUMPRODUCT(I$14:I$43,--($D$14:$D$43=$D84),--($Q$14:$Q$43=FALSE),$S$14:$S$43,--($S$14:$S$43&gt;0))+SUMPRODUCT(I$14:I$43,--($D$14:$D$43=$D84),--($Q$14:$Q$43=FALSE),$S$14:$S$43,--($S$14:$S$43&gt;0),--($R$14:$R$43="Yes"))*0.1+SUMPRODUCT(I$14:I$43,--($D$14:$D$43=$D84),--($Q$14:$Q$43=FALSE),--($S$14:$S$43=0))+SUMPRODUCT(I$14:I$43,--($D$14:$D$43=$D84),--($Q$14:$Q$43=FALSE),--($R$14:$R$43="Yes"),--($S$14:$S$43=0))*0.1</f>
        <v>0</v>
      </c>
      <c r="J84" s="622" cm="1">
        <f t="array" ref="J84">SUMPRODUCT(J$14:J$43,--($D$14:$D$43=$D84),--($Q$14:$Q$43=FALSE),$S$14:$S$43,--($S$14:$S$43&gt;0))+SUMPRODUCT(J$14:J$43,--($D$14:$D$43=$D84),--($Q$14:$Q$43=FALSE),$S$14:$S$43,--($S$14:$S$43&gt;0),--($R$14:$R$43="Yes"))*0.1+SUMPRODUCT(J$14:J$43,--($D$14:$D$43=$D84),--($Q$14:$Q$43=FALSE),--($S$14:$S$43=0))+SUMPRODUCT(J$14:J$43,--($D$14:$D$43=$D84),--($Q$14:$Q$43=FALSE),--($R$14:$R$43="Yes"),--($S$14:$S$43=0))*0.1</f>
        <v>0</v>
      </c>
      <c r="K84" s="622" cm="1">
        <f t="array" ref="K84">SUMPRODUCT(K$14:K$43,--($D$14:$D$43=$D84),--($Q$14:$Q$43=FALSE),$S$14:$S$43,--($S$14:$S$43&gt;0))+SUMPRODUCT(K$14:K$43,--($D$14:$D$43=$D84),--($Q$14:$Q$43=FALSE),$S$14:$S$43,--($S$14:$S$43&gt;0),--($R$14:$R$43="Yes"))*0.1+SUMPRODUCT(K$14:K$43,--($D$14:$D$43=$D84),--($Q$14:$Q$43=FALSE),--($S$14:$S$43=0))+SUMPRODUCT(K$14:K$43,--($D$14:$D$43=$D84),--($Q$14:$Q$43=FALSE),--($R$14:$R$43="Yes"),--($S$14:$S$43=0))*0.1</f>
        <v>0</v>
      </c>
      <c r="L84" s="622" cm="1">
        <f t="array" ref="L84">SUMPRODUCT(L$14:L$43,--($D$14:$D$43=$D84),--($Q$14:$Q$43=FALSE),$S$14:$S$43,--($S$14:$S$43&gt;0))+SUMPRODUCT(L$14:L$43,--($D$14:$D$43=$D84),--($Q$14:$Q$43=FALSE),$S$14:$S$43,--($S$14:$S$43&gt;0),--($R$14:$R$43="Yes"))*0.1+SUMPRODUCT(L$14:L$43,--($D$14:$D$43=$D84),--($Q$14:$Q$43=FALSE),--($S$14:$S$43=0))+SUMPRODUCT(L$14:L$43,--($D$14:$D$43=$D84),--($Q$14:$Q$43=FALSE),--($R$14:$R$43="Yes"),--($S$14:$S$43=0))*0.1</f>
        <v>0</v>
      </c>
      <c r="M84" s="622" cm="1">
        <f t="array" ref="M84">SUMPRODUCT(M$14:M$43,--($D$14:$D$43=$D84),--($Q$14:$Q$43=FALSE),$S$14:$S$43,--($S$14:$S$43&gt;0))+SUMPRODUCT(M$14:M$43,--($D$14:$D$43=$D84),--($Q$14:$Q$43=FALSE),$S$14:$S$43,--($S$14:$S$43&gt;0),--($R$14:$R$43="Yes"))*0.1+SUMPRODUCT(M$14:M$43,--($D$14:$D$43=$D84),--($Q$14:$Q$43=FALSE),--($S$14:$S$43=0))+SUMPRODUCT(M$14:M$43,--($D$14:$D$43=$D84),--($Q$14:$Q$43=FALSE),--($R$14:$R$43="Yes"),--($S$14:$S$43=0))*0.1</f>
        <v>0</v>
      </c>
      <c r="N84" s="622" cm="1">
        <f t="array" ref="N84">SUMPRODUCT(N$14:N$43,--($D$14:$D$43=$D84),--($Q$14:$Q$43=FALSE),$S$14:$S$43,--($S$14:$S$43&gt;0))+SUMPRODUCT(N$14:N$43,--($D$14:$D$43=$D84),--($Q$14:$Q$43=FALSE),$S$14:$S$43,--($S$14:$S$43&gt;0),--($R$14:$R$43="Yes"))*0.1+SUMPRODUCT(N$14:N$43,--($D$14:$D$43=$D84),--($Q$14:$Q$43=FALSE),--($S$14:$S$43=0))+SUMPRODUCT(N$14:N$43,--($D$14:$D$43=$D84),--($Q$14:$Q$43=FALSE),--($R$14:$R$43="Yes"),--($S$14:$S$43=0))*0.1</f>
        <v>0</v>
      </c>
      <c r="O84" s="622" cm="1">
        <f t="array" ref="O84">SUMPRODUCT(O$14:O$43,--($D$14:$D$43=$D84),--($Q$14:$Q$43=FALSE),$S$14:$S$43,--($S$14:$S$43&gt;0))+SUMPRODUCT(O$14:O$43,--($D$14:$D$43=$D84),--($Q$14:$Q$43=FALSE),$S$14:$S$43,--($S$14:$S$43&gt;0),--($R$14:$R$43="Yes"))*0.1+SUMPRODUCT(O$14:O$43,--($D$14:$D$43=$D84),--($Q$14:$Q$43=FALSE),--($S$14:$S$43=0))+SUMPRODUCT(O$14:O$43,--($D$14:$D$43=$D84),--($Q$14:$Q$43=FALSE),--($R$14:$R$43="Yes"),--($S$14:$S$43=0))*0.1</f>
        <v>0</v>
      </c>
      <c r="P84" s="623">
        <f t="shared" si="18"/>
        <v>0</v>
      </c>
      <c r="Q84" s="575"/>
      <c r="R84" s="576"/>
      <c r="S84" s="576"/>
      <c r="T84" s="576"/>
      <c r="U84" s="577"/>
      <c r="V84" s="610"/>
      <c r="W84" s="610"/>
      <c r="X84" s="610"/>
      <c r="Y84" s="610"/>
      <c r="Z84" s="610"/>
      <c r="AA84" s="610"/>
      <c r="AB84" s="610"/>
      <c r="AC84" s="610"/>
      <c r="AD84" s="610"/>
      <c r="AE84" s="610"/>
      <c r="AF84" s="610"/>
      <c r="AG84" s="610"/>
      <c r="AH84" s="610"/>
      <c r="AI84" s="610"/>
      <c r="AJ84" s="610"/>
      <c r="AK84" s="610"/>
      <c r="AL84" s="610"/>
      <c r="AM84" s="610"/>
      <c r="AN84" s="610"/>
      <c r="AO84" s="610"/>
      <c r="AP84" s="610"/>
      <c r="AQ84" s="610"/>
      <c r="AR84" s="610"/>
      <c r="AS84" s="610"/>
      <c r="AT84" s="610"/>
      <c r="AU84" s="610"/>
      <c r="AV84" s="610"/>
      <c r="AW84" s="610"/>
      <c r="AX84" s="610"/>
      <c r="AY84" s="610"/>
      <c r="AZ84" s="610"/>
      <c r="BA84" s="610"/>
      <c r="BB84" s="610"/>
      <c r="BC84" s="610"/>
      <c r="BD84" s="610"/>
      <c r="BE84" s="610"/>
      <c r="BF84" s="610"/>
      <c r="BG84" s="610"/>
      <c r="BH84" s="610"/>
      <c r="BI84" s="610"/>
      <c r="BJ84" s="610"/>
      <c r="BK84" s="610"/>
      <c r="BL84" s="610"/>
      <c r="BM84" s="610"/>
      <c r="BN84" s="610"/>
      <c r="BO84" s="610"/>
      <c r="BP84" s="610"/>
      <c r="BQ84" s="610"/>
      <c r="BR84" s="610"/>
      <c r="BS84" s="610"/>
      <c r="BT84" s="610"/>
      <c r="BU84" s="610"/>
      <c r="BV84" s="610"/>
      <c r="BW84" s="610"/>
      <c r="BX84" s="610"/>
      <c r="BY84" s="610"/>
      <c r="BZ84" s="610"/>
      <c r="CA84" s="610"/>
      <c r="CB84" s="610"/>
      <c r="CC84" s="610"/>
      <c r="CD84" s="610"/>
      <c r="CE84" s="610"/>
      <c r="CF84" s="610"/>
      <c r="CG84" s="610"/>
      <c r="CH84" s="610"/>
      <c r="CI84" s="610"/>
      <c r="CJ84" s="610"/>
      <c r="CK84" s="610"/>
      <c r="CL84" s="610"/>
      <c r="CM84" s="610"/>
      <c r="CN84" s="610"/>
      <c r="CO84" s="610"/>
      <c r="CP84" s="610"/>
      <c r="CQ84" s="610"/>
      <c r="CR84" s="610"/>
      <c r="CS84" s="610"/>
      <c r="CT84" s="610"/>
      <c r="CU84" s="610"/>
      <c r="CV84" s="610"/>
      <c r="CW84" s="610"/>
      <c r="CX84" s="610"/>
      <c r="CY84" s="610"/>
      <c r="CZ84" s="610"/>
      <c r="DA84" s="610"/>
      <c r="DB84" s="610"/>
      <c r="DC84" s="610"/>
      <c r="DD84" s="610"/>
      <c r="DE84" s="610"/>
      <c r="DF84" s="610"/>
      <c r="DG84" s="610"/>
      <c r="DH84" s="610"/>
      <c r="DI84" s="610"/>
      <c r="DJ84" s="610"/>
      <c r="DK84" s="610"/>
      <c r="DL84" s="610"/>
      <c r="DM84" s="610"/>
      <c r="DN84" s="610"/>
      <c r="DO84" s="610"/>
      <c r="DP84" s="610"/>
      <c r="DQ84" s="610"/>
      <c r="DR84" s="610"/>
      <c r="DS84" s="610"/>
      <c r="DT84" s="610"/>
      <c r="DU84" s="610"/>
      <c r="DV84" s="610"/>
      <c r="DW84" s="610"/>
      <c r="DX84" s="610"/>
      <c r="DY84" s="610"/>
      <c r="DZ84" s="610"/>
      <c r="EA84" s="610"/>
      <c r="EB84" s="610"/>
      <c r="EC84" s="610"/>
      <c r="ED84" s="610"/>
      <c r="EE84" s="610"/>
      <c r="EF84" s="610"/>
      <c r="EG84" s="610"/>
      <c r="EH84" s="610"/>
      <c r="EI84" s="610"/>
      <c r="EJ84" s="610"/>
      <c r="EK84" s="610"/>
      <c r="EL84" s="610"/>
      <c r="EM84" s="610"/>
      <c r="EN84" s="610"/>
      <c r="EO84" s="610"/>
      <c r="EP84" s="610"/>
      <c r="EQ84" s="610"/>
      <c r="ER84" s="610"/>
      <c r="ES84" s="610"/>
      <c r="ET84" s="610"/>
      <c r="EU84" s="610"/>
      <c r="EV84" s="610"/>
      <c r="EW84" s="610"/>
      <c r="EX84" s="610"/>
      <c r="EY84" s="610"/>
      <c r="EZ84" s="610"/>
      <c r="FA84" s="610"/>
      <c r="FB84" s="610"/>
      <c r="FC84" s="610"/>
      <c r="FD84" s="610"/>
      <c r="FE84" s="610"/>
      <c r="FF84" s="610"/>
      <c r="FG84" s="610"/>
      <c r="FH84" s="610"/>
      <c r="FI84" s="610"/>
      <c r="FJ84" s="610"/>
      <c r="FK84" s="610"/>
      <c r="FL84" s="610"/>
      <c r="FM84" s="610"/>
      <c r="FN84" s="610"/>
      <c r="FO84" s="610"/>
      <c r="FP84" s="610"/>
      <c r="FQ84" s="610"/>
      <c r="FR84" s="610"/>
      <c r="FS84" s="610"/>
      <c r="FT84" s="610"/>
      <c r="FU84" s="610"/>
      <c r="FV84" s="610"/>
      <c r="FW84" s="610"/>
      <c r="FX84" s="610"/>
      <c r="FY84" s="610"/>
      <c r="FZ84" s="610"/>
      <c r="GA84" s="610"/>
      <c r="GB84" s="610"/>
      <c r="GC84" s="610"/>
      <c r="GD84" s="610"/>
      <c r="GE84" s="610"/>
      <c r="GF84" s="610"/>
      <c r="GG84" s="610"/>
      <c r="GH84" s="610"/>
      <c r="GI84" s="610"/>
      <c r="GJ84" s="610"/>
      <c r="GK84" s="610"/>
      <c r="GL84" s="610"/>
      <c r="GM84" s="610"/>
      <c r="GN84" s="610"/>
      <c r="GO84" s="610"/>
      <c r="GP84" s="610"/>
      <c r="GQ84" s="610"/>
      <c r="GR84" s="610"/>
      <c r="GS84" s="610"/>
      <c r="GT84" s="610"/>
      <c r="GU84" s="610"/>
      <c r="GV84" s="610"/>
      <c r="GW84" s="610"/>
      <c r="GX84" s="610"/>
      <c r="GY84" s="610"/>
      <c r="GZ84" s="610"/>
      <c r="HA84" s="610"/>
      <c r="HB84" s="610"/>
      <c r="HC84" s="610"/>
      <c r="HD84" s="610"/>
      <c r="HE84" s="610"/>
      <c r="HF84" s="610"/>
      <c r="HG84" s="610"/>
      <c r="HH84" s="610"/>
      <c r="HI84" s="610"/>
      <c r="HJ84" s="610"/>
      <c r="HK84" s="610"/>
      <c r="HL84" s="610"/>
      <c r="HM84" s="610"/>
      <c r="HN84" s="610"/>
      <c r="HO84" s="610"/>
      <c r="HP84" s="610"/>
      <c r="HQ84" s="610"/>
      <c r="HR84" s="610"/>
      <c r="HS84" s="610"/>
      <c r="HT84" s="610"/>
      <c r="HU84" s="610"/>
      <c r="HV84" s="610"/>
      <c r="HW84" s="610"/>
      <c r="HX84" s="610"/>
      <c r="HY84" s="610"/>
      <c r="HZ84" s="610"/>
      <c r="IA84" s="610"/>
      <c r="IB84" s="610"/>
      <c r="IC84" s="610"/>
      <c r="ID84" s="610"/>
      <c r="IE84" s="610"/>
      <c r="IF84" s="610"/>
      <c r="IG84" s="610"/>
      <c r="IH84" s="610"/>
      <c r="II84" s="610"/>
      <c r="IJ84" s="610"/>
      <c r="IK84" s="610"/>
      <c r="IL84" s="610"/>
      <c r="IM84" s="610"/>
      <c r="IN84" s="610"/>
      <c r="IO84" s="610"/>
      <c r="IP84" s="610"/>
      <c r="IQ84" s="610"/>
      <c r="IR84" s="610"/>
      <c r="IS84" s="610"/>
      <c r="IT84" s="610"/>
      <c r="IU84" s="610"/>
      <c r="IV84" s="610"/>
      <c r="IW84" s="610"/>
      <c r="IX84" s="610"/>
      <c r="IY84" s="610"/>
      <c r="IZ84" s="610"/>
      <c r="JA84" s="610"/>
      <c r="JB84" s="610"/>
      <c r="JC84" s="610"/>
      <c r="JD84" s="610"/>
      <c r="JE84" s="610"/>
      <c r="JF84" s="610"/>
      <c r="JG84" s="610"/>
      <c r="JH84" s="610"/>
      <c r="JI84" s="610"/>
      <c r="JJ84" s="610"/>
      <c r="JK84" s="610"/>
      <c r="JL84" s="610"/>
      <c r="JM84" s="610"/>
      <c r="JN84" s="610"/>
      <c r="JO84" s="610"/>
      <c r="JP84" s="610"/>
      <c r="JQ84" s="610"/>
      <c r="JR84" s="610"/>
      <c r="JS84" s="610"/>
      <c r="JT84" s="610"/>
      <c r="JU84" s="610"/>
      <c r="JV84" s="610"/>
      <c r="JW84" s="610"/>
      <c r="JX84" s="610"/>
      <c r="JY84" s="610"/>
      <c r="JZ84" s="610"/>
      <c r="KA84" s="610"/>
      <c r="KB84" s="610"/>
      <c r="KC84" s="610"/>
      <c r="KD84" s="610"/>
      <c r="KE84" s="610"/>
      <c r="KF84" s="610"/>
      <c r="KG84" s="610"/>
      <c r="KH84" s="610"/>
      <c r="KI84" s="610"/>
      <c r="KJ84" s="610"/>
      <c r="KK84" s="610"/>
      <c r="KL84" s="610"/>
      <c r="KM84" s="610"/>
      <c r="KN84" s="610"/>
      <c r="KO84" s="610"/>
      <c r="KP84" s="610"/>
      <c r="KQ84" s="610"/>
      <c r="KR84" s="610"/>
      <c r="KS84" s="610"/>
      <c r="KT84" s="610"/>
      <c r="KU84" s="610"/>
      <c r="KV84" s="610"/>
      <c r="KW84" s="610"/>
      <c r="KX84" s="610"/>
      <c r="KY84" s="610"/>
      <c r="KZ84" s="610"/>
      <c r="LA84" s="610"/>
      <c r="LB84" s="610"/>
      <c r="LC84" s="610"/>
      <c r="LD84" s="610"/>
      <c r="LE84" s="610"/>
      <c r="LF84" s="610"/>
      <c r="LG84" s="610"/>
      <c r="LH84" s="610"/>
      <c r="LI84" s="610"/>
      <c r="LJ84" s="610"/>
      <c r="LK84" s="610"/>
      <c r="LL84" s="610"/>
      <c r="LM84" s="610"/>
      <c r="LN84" s="610"/>
      <c r="LO84" s="610"/>
      <c r="LP84" s="610"/>
      <c r="LQ84" s="610"/>
      <c r="LR84" s="610"/>
      <c r="LS84" s="610"/>
      <c r="LT84" s="610"/>
      <c r="LU84" s="610"/>
      <c r="LV84" s="610"/>
      <c r="LW84" s="610"/>
      <c r="LX84" s="610"/>
      <c r="LY84" s="610"/>
      <c r="LZ84" s="610"/>
      <c r="MA84" s="610"/>
      <c r="MB84" s="610"/>
      <c r="MC84" s="610"/>
      <c r="MD84" s="610"/>
      <c r="ME84" s="610"/>
      <c r="MF84" s="610"/>
      <c r="MG84" s="610"/>
      <c r="MH84" s="610"/>
      <c r="MI84" s="610"/>
      <c r="MJ84" s="610"/>
      <c r="MK84" s="610"/>
      <c r="ML84" s="610"/>
      <c r="MM84" s="610"/>
      <c r="MN84" s="610"/>
      <c r="MO84" s="610"/>
      <c r="MP84" s="610"/>
      <c r="MQ84" s="610"/>
      <c r="MR84" s="610"/>
      <c r="MS84" s="610"/>
      <c r="MT84" s="610"/>
      <c r="MU84" s="610"/>
      <c r="MV84" s="610"/>
      <c r="MW84" s="610"/>
      <c r="MX84" s="610"/>
      <c r="MY84" s="610"/>
      <c r="MZ84" s="610"/>
      <c r="NA84" s="610"/>
      <c r="NB84" s="610"/>
      <c r="NC84" s="610"/>
      <c r="ND84" s="610"/>
      <c r="NE84" s="610"/>
      <c r="NF84" s="610"/>
      <c r="NG84" s="610"/>
      <c r="NH84" s="610"/>
      <c r="NI84" s="610"/>
      <c r="NJ84" s="610"/>
      <c r="NK84" s="610"/>
      <c r="NL84" s="610"/>
      <c r="NM84" s="610"/>
      <c r="NN84" s="610"/>
      <c r="NO84" s="610"/>
      <c r="NP84" s="610"/>
      <c r="NQ84" s="610"/>
      <c r="NR84" s="610"/>
      <c r="NS84" s="610"/>
      <c r="NT84" s="610"/>
      <c r="NU84" s="610"/>
      <c r="NV84" s="610"/>
      <c r="NW84" s="610"/>
      <c r="NX84" s="610"/>
      <c r="NY84" s="610"/>
      <c r="NZ84" s="610"/>
      <c r="OA84" s="610"/>
      <c r="OB84" s="610"/>
      <c r="OC84" s="610"/>
      <c r="OD84" s="610"/>
      <c r="OE84" s="610"/>
      <c r="OF84" s="610"/>
      <c r="OG84" s="610"/>
      <c r="OH84" s="610"/>
      <c r="OI84" s="610"/>
      <c r="OJ84" s="610"/>
      <c r="OK84" s="610"/>
      <c r="OL84" s="610"/>
      <c r="OM84" s="610"/>
      <c r="ON84" s="610"/>
      <c r="OO84" s="610"/>
      <c r="OP84" s="610"/>
      <c r="OQ84" s="610"/>
      <c r="OR84" s="610"/>
      <c r="OS84" s="610"/>
      <c r="OT84" s="610"/>
      <c r="OU84" s="610"/>
      <c r="OV84" s="610"/>
      <c r="OW84" s="610"/>
      <c r="OX84" s="610"/>
      <c r="OY84" s="610"/>
      <c r="OZ84" s="610"/>
      <c r="PA84" s="610"/>
      <c r="PB84" s="610"/>
      <c r="PC84" s="610"/>
      <c r="PD84" s="610"/>
      <c r="PE84" s="610"/>
      <c r="PF84" s="610"/>
      <c r="PG84" s="610"/>
      <c r="PH84" s="610"/>
      <c r="PI84" s="610"/>
      <c r="PJ84" s="610"/>
      <c r="PK84" s="610"/>
      <c r="PL84" s="610"/>
      <c r="PM84" s="610"/>
      <c r="PN84" s="610"/>
      <c r="PO84" s="610"/>
      <c r="PP84" s="610"/>
      <c r="PQ84" s="610"/>
      <c r="PR84" s="610"/>
      <c r="PS84" s="610"/>
      <c r="PT84" s="610"/>
      <c r="PU84" s="610"/>
      <c r="PV84" s="610"/>
      <c r="PW84" s="610"/>
      <c r="PX84" s="610"/>
      <c r="PY84" s="610"/>
      <c r="PZ84" s="610"/>
      <c r="QA84" s="610"/>
      <c r="QB84" s="610"/>
      <c r="QC84" s="610"/>
      <c r="QD84" s="610"/>
      <c r="QE84" s="610"/>
      <c r="QF84" s="610"/>
      <c r="QG84" s="610"/>
      <c r="QH84" s="610"/>
      <c r="QI84" s="610"/>
      <c r="QJ84" s="610"/>
    </row>
    <row r="85" spans="1:452" s="524" customFormat="1" ht="18" x14ac:dyDescent="0.35">
      <c r="A85" s="605"/>
      <c r="B85" s="558"/>
      <c r="C85" s="559"/>
      <c r="D85" s="606"/>
      <c r="E85" s="572" t="s">
        <v>86</v>
      </c>
      <c r="F85" s="571" cm="1">
        <f t="array" ref="F85">SUMPRODUCT(F$14:F$43,--($Q$14:$Q$43=FALSE),--($D$14:$D$43=$D84))</f>
        <v>0</v>
      </c>
      <c r="G85" s="571" cm="1">
        <f t="array" ref="G85">SUMPRODUCT(G$14:G$43,--($Q$14:$Q$43=FALSE),--($D$14:$D$43=$D84))</f>
        <v>0</v>
      </c>
      <c r="H85" s="571" cm="1">
        <f t="array" ref="H85">SUMPRODUCT(H$14:H$43,--($Q$14:$Q$43=FALSE),--($D$14:$D$43=$D84))</f>
        <v>0</v>
      </c>
      <c r="I85" s="571" cm="1">
        <f t="array" ref="I85">SUMPRODUCT(I$14:I$43,--($Q$14:$Q$43=FALSE),--($D$14:$D$43=$D84))</f>
        <v>0</v>
      </c>
      <c r="J85" s="571" cm="1">
        <f t="array" ref="J85">SUMPRODUCT(J$14:J$43,--($Q$14:$Q$43=FALSE),--($D$14:$D$43=$D84))</f>
        <v>0</v>
      </c>
      <c r="K85" s="571" cm="1">
        <f t="array" ref="K85">SUMPRODUCT(K$14:K$43,--($Q$14:$Q$43=FALSE),--($D$14:$D$43=$D84))</f>
        <v>0</v>
      </c>
      <c r="L85" s="571" cm="1">
        <f t="array" ref="L85">SUMPRODUCT(L$14:L$43,--($Q$14:$Q$43=FALSE),--($D$14:$D$43=$D84))</f>
        <v>0</v>
      </c>
      <c r="M85" s="571" cm="1">
        <f t="array" ref="M85">SUMPRODUCT(M$14:M$43,--($Q$14:$Q$43=FALSE),--($D$14:$D$43=$D84))</f>
        <v>0</v>
      </c>
      <c r="N85" s="571" cm="1">
        <f t="array" ref="N85">SUMPRODUCT(N$14:N$43,--($Q$14:$Q$43=FALSE),--($D$14:$D$43=$D84))</f>
        <v>0</v>
      </c>
      <c r="O85" s="571" cm="1">
        <f t="array" ref="O85">SUMPRODUCT(O$14:O$43,--($Q$14:$Q$43=FALSE),--($D$14:$D$43=$D84))</f>
        <v>0</v>
      </c>
      <c r="P85" s="607">
        <f t="shared" si="18"/>
        <v>0</v>
      </c>
      <c r="Q85" s="575"/>
      <c r="R85" s="576"/>
      <c r="S85" s="576"/>
      <c r="T85" s="576"/>
      <c r="U85" s="577"/>
    </row>
    <row r="86" spans="1:452" s="524" customFormat="1" ht="18" x14ac:dyDescent="0.35">
      <c r="A86" s="605"/>
      <c r="B86" s="558"/>
      <c r="C86" s="559"/>
      <c r="D86" s="606"/>
      <c r="E86" s="572" t="s">
        <v>87</v>
      </c>
      <c r="F86" s="571" cm="1">
        <f t="array" ref="F86">SUMPRODUCT(F$14:F$43,--($Q$14:$Q$43=FALSE),--($D$14:$D$43=$D84),--($R$14:$R$43="Yes"))*0.1</f>
        <v>0</v>
      </c>
      <c r="G86" s="571" cm="1">
        <f t="array" ref="G86">SUMPRODUCT(G$14:G$43,--($Q$14:$Q$43=FALSE),--($D$14:$D$43=$D84),--($R$14:$R$43="Yes"))*0.1</f>
        <v>0</v>
      </c>
      <c r="H86" s="571" cm="1">
        <f t="array" ref="H86">SUMPRODUCT(H$14:H$43,--($Q$14:$Q$43=FALSE),--($D$14:$D$43=$D84),--($R$14:$R$43="Yes"))*0.1</f>
        <v>0</v>
      </c>
      <c r="I86" s="571" cm="1">
        <f t="array" ref="I86">SUMPRODUCT(I$14:I$43,--($Q$14:$Q$43=FALSE),--($D$14:$D$43=$D84),--($R$14:$R$43="Yes"))*0.1</f>
        <v>0</v>
      </c>
      <c r="J86" s="571" cm="1">
        <f t="array" ref="J86">SUMPRODUCT(J$14:J$43,--($Q$14:$Q$43=FALSE),--($D$14:$D$43=$D84),--($R$14:$R$43="Yes"))*0.1</f>
        <v>0</v>
      </c>
      <c r="K86" s="571" cm="1">
        <f t="array" ref="K86">SUMPRODUCT(K$14:K$43,--($Q$14:$Q$43=FALSE),--($D$14:$D$43=$D84),--($R$14:$R$43="Yes"))*0.1</f>
        <v>0</v>
      </c>
      <c r="L86" s="571" cm="1">
        <f t="array" ref="L86">SUMPRODUCT(L$14:L$43,--($Q$14:$Q$43=FALSE),--($D$14:$D$43=$D84),--($R$14:$R$43="Yes"))*0.1</f>
        <v>0</v>
      </c>
      <c r="M86" s="571" cm="1">
        <f t="array" ref="M86">SUMPRODUCT(M$14:M$43,--($Q$14:$Q$43=FALSE),--($D$14:$D$43=$D84),--($R$14:$R$43="Yes"))*0.1</f>
        <v>0</v>
      </c>
      <c r="N86" s="571" cm="1">
        <f t="array" ref="N86">SUMPRODUCT(N$14:N$43,--($Q$14:$Q$43=FALSE),--($D$14:$D$43=$D84),--($R$14:$R$43="Yes"))*0.1</f>
        <v>0</v>
      </c>
      <c r="O86" s="571" cm="1">
        <f t="array" ref="O86">SUMPRODUCT(O$14:O$43,--($Q$14:$Q$43=FALSE),--($D$14:$D$43=$D84),--($R$14:$R$43="Yes"))*0.1</f>
        <v>0</v>
      </c>
      <c r="P86" s="607">
        <f t="shared" si="18"/>
        <v>0</v>
      </c>
      <c r="Q86" s="575"/>
      <c r="R86" s="576"/>
      <c r="S86" s="576"/>
      <c r="T86" s="576"/>
      <c r="U86" s="577"/>
    </row>
    <row r="87" spans="1:452" s="524" customFormat="1" ht="18" x14ac:dyDescent="0.35">
      <c r="A87" s="605"/>
      <c r="B87" s="558"/>
      <c r="C87" s="559"/>
      <c r="D87" s="606"/>
      <c r="E87" s="572" t="s">
        <v>88</v>
      </c>
      <c r="F87" s="571">
        <f t="shared" ref="F87:O87" si="21">F84-(F85+F86)</f>
        <v>0</v>
      </c>
      <c r="G87" s="571">
        <f t="shared" si="21"/>
        <v>0</v>
      </c>
      <c r="H87" s="571">
        <f t="shared" si="21"/>
        <v>0</v>
      </c>
      <c r="I87" s="571">
        <f t="shared" si="21"/>
        <v>0</v>
      </c>
      <c r="J87" s="571">
        <f t="shared" si="21"/>
        <v>0</v>
      </c>
      <c r="K87" s="571">
        <f t="shared" si="21"/>
        <v>0</v>
      </c>
      <c r="L87" s="571">
        <f t="shared" si="21"/>
        <v>0</v>
      </c>
      <c r="M87" s="571">
        <f t="shared" si="21"/>
        <v>0</v>
      </c>
      <c r="N87" s="571">
        <f t="shared" si="21"/>
        <v>0</v>
      </c>
      <c r="O87" s="571">
        <f t="shared" si="21"/>
        <v>0</v>
      </c>
      <c r="P87" s="607">
        <f t="shared" si="18"/>
        <v>0</v>
      </c>
      <c r="Q87" s="575"/>
      <c r="R87" s="576"/>
      <c r="S87" s="576"/>
      <c r="T87" s="576"/>
      <c r="U87" s="577"/>
    </row>
    <row r="88" spans="1:452" s="578" customFormat="1" ht="18" x14ac:dyDescent="0.35">
      <c r="A88" s="624"/>
      <c r="B88" s="625"/>
      <c r="C88" s="626"/>
      <c r="D88" s="625" t="s">
        <v>95</v>
      </c>
      <c r="E88" s="627"/>
      <c r="F88" s="628" cm="1">
        <f t="array" ref="F88">SUMPRODUCT(F$14:F$43,--($D$14:$D$43=$D84),--($Q$14:$Q$43=TRUE),$S$14:$S$43,--($S$14:$S$43&gt;0))+SUMPRODUCT(F$14:F$43,--($D$14:$D$43=$D84),--($Q$14:$Q$43=TRUE),$S$14:$S$43,--($S$14:$S$43&gt;0),--($R$14:$R$43="Yes"))*0.1+SUMPRODUCT(F$14:F$43,--($D$14:$D$43=$D84),--($Q$14:$Q$43=TRUE),--($S35:$S64=0))+SUMPRODUCT(F$14:F$43,--($D$14:$D$43=$D84),--($Q$14:$Q$43=TRUE),--($R$14:$R$43="Yes"),--($S$14:$S$43=0))*0.1</f>
        <v>0</v>
      </c>
      <c r="G88" s="628" cm="1">
        <f t="array" ref="G88">SUMPRODUCT(G$14:G$43,--($D$14:$D$43=$D84),--($Q$14:$Q$43=TRUE),$S$14:$S$43,--($S$14:$S$43&gt;0))+SUMPRODUCT(G$14:G$43,--($D$14:$D$43=$D84),--($Q$14:$Q$43=TRUE),$S$14:$S$43,--($S$14:$S$43&gt;0),--($R$14:$R$43="Yes"))*0.1+SUMPRODUCT(G$14:G$43,--($D$14:$D$43=$D84),--($Q$14:$Q$43=TRUE),--($S35:$S64=0))+SUMPRODUCT(G$14:G$43,--($D$14:$D$43=$D84),--($Q$14:$Q$43=TRUE),--($R$14:$R$43="Yes"),--($S$14:$S$43=0))*0.1</f>
        <v>0</v>
      </c>
      <c r="H88" s="628" cm="1">
        <f t="array" ref="H88">SUMPRODUCT(H$14:H$43,--($D$14:$D$43=$D84),--($Q$14:$Q$43=TRUE),$S$14:$S$43,--($S$14:$S$43&gt;0))+SUMPRODUCT(H$14:H$43,--($D$14:$D$43=$D84),--($Q$14:$Q$43=TRUE),$S$14:$S$43,--($S$14:$S$43&gt;0),--($R$14:$R$43="Yes"))*0.1+SUMPRODUCT(H$14:H$43,--($D$14:$D$43=$D84),--($Q$14:$Q$43=TRUE),--($S35:$S64=0))+SUMPRODUCT(H$14:H$43,--($D$14:$D$43=$D84),--($Q$14:$Q$43=TRUE),--($R$14:$R$43="Yes"),--($S$14:$S$43=0))*0.1</f>
        <v>0</v>
      </c>
      <c r="I88" s="628" cm="1">
        <f t="array" ref="I88">SUMPRODUCT(I$14:I$43,--($D$14:$D$43=$D84),--($Q$14:$Q$43=TRUE),$S$14:$S$43,--($S$14:$S$43&gt;0))+SUMPRODUCT(I$14:I$43,--($D$14:$D$43=$D84),--($Q$14:$Q$43=TRUE),$S$14:$S$43,--($S$14:$S$43&gt;0),--($R$14:$R$43="Yes"))*0.1+SUMPRODUCT(I$14:I$43,--($D$14:$D$43=$D84),--($Q$14:$Q$43=TRUE),--($S35:$S64=0))+SUMPRODUCT(I$14:I$43,--($D$14:$D$43=$D84),--($Q$14:$Q$43=TRUE),--($R$14:$R$43="Yes"),--($S$14:$S$43=0))*0.1</f>
        <v>0</v>
      </c>
      <c r="J88" s="628" cm="1">
        <f t="array" ref="J88">SUMPRODUCT(J$14:J$43,--($D$14:$D$43=$D84),--($Q$14:$Q$43=TRUE),$S$14:$S$43,--($S$14:$S$43&gt;0))+SUMPRODUCT(J$14:J$43,--($D$14:$D$43=$D84),--($Q$14:$Q$43=TRUE),$S$14:$S$43,--($S$14:$S$43&gt;0),--($R$14:$R$43="Yes"))*0.1+SUMPRODUCT(J$14:J$43,--($D$14:$D$43=$D84),--($Q$14:$Q$43=TRUE),--($S35:$S64=0))+SUMPRODUCT(J$14:J$43,--($D$14:$D$43=$D84),--($Q$14:$Q$43=TRUE),--($R$14:$R$43="Yes"),--($S$14:$S$43=0))*0.1</f>
        <v>0</v>
      </c>
      <c r="K88" s="628" cm="1">
        <f t="array" ref="K88">SUMPRODUCT(K$14:K$43,--($D$14:$D$43=$D84),--($Q$14:$Q$43=TRUE),$S$14:$S$43,--($S$14:$S$43&gt;0))+SUMPRODUCT(K$14:K$43,--($D$14:$D$43=$D84),--($Q$14:$Q$43=TRUE),$S$14:$S$43,--($S$14:$S$43&gt;0),--($R$14:$R$43="Yes"))*0.1+SUMPRODUCT(K$14:K$43,--($D$14:$D$43=$D84),--($Q$14:$Q$43=TRUE),--($S35:$S64=0))+SUMPRODUCT(K$14:K$43,--($D$14:$D$43=$D84),--($Q$14:$Q$43=TRUE),--($R$14:$R$43="Yes"),--($S$14:$S$43=0))*0.1</f>
        <v>0</v>
      </c>
      <c r="L88" s="628" cm="1">
        <f t="array" ref="L88">SUMPRODUCT(L$14:L$43,--($D$14:$D$43=$D84),--($Q$14:$Q$43=TRUE),$S$14:$S$43,--($S$14:$S$43&gt;0))+SUMPRODUCT(L$14:L$43,--($D$14:$D$43=$D84),--($Q$14:$Q$43=TRUE),$S$14:$S$43,--($S$14:$S$43&gt;0),--($R$14:$R$43="Yes"))*0.1+SUMPRODUCT(L$14:L$43,--($D$14:$D$43=$D84),--($Q$14:$Q$43=TRUE),--($S35:$S64=0))+SUMPRODUCT(L$14:L$43,--($D$14:$D$43=$D84),--($Q$14:$Q$43=TRUE),--($R$14:$R$43="Yes"),--($S$14:$S$43=0))*0.1</f>
        <v>0</v>
      </c>
      <c r="M88" s="628" cm="1">
        <f t="array" ref="M88">SUMPRODUCT(M$14:M$43,--($D$14:$D$43=$D84),--($Q$14:$Q$43=TRUE),$S$14:$S$43,--($S$14:$S$43&gt;0))+SUMPRODUCT(M$14:M$43,--($D$14:$D$43=$D84),--($Q$14:$Q$43=TRUE),$S$14:$S$43,--($S$14:$S$43&gt;0),--($R$14:$R$43="Yes"))*0.1+SUMPRODUCT(M$14:M$43,--($D$14:$D$43=$D84),--($Q$14:$Q$43=TRUE),--($S35:$S64=0))+SUMPRODUCT(M$14:M$43,--($D$14:$D$43=$D84),--($Q$14:$Q$43=TRUE),--($R$14:$R$43="Yes"),--($S$14:$S$43=0))*0.1</f>
        <v>0</v>
      </c>
      <c r="N88" s="628" cm="1">
        <f t="array" ref="N88">SUMPRODUCT(N$14:N$43,--($D$14:$D$43=$D84),--($Q$14:$Q$43=TRUE),$S$14:$S$43,--($S$14:$S$43&gt;0))+SUMPRODUCT(N$14:N$43,--($D$14:$D$43=$D84),--($Q$14:$Q$43=TRUE),$S$14:$S$43,--($S$14:$S$43&gt;0),--($R$14:$R$43="Yes"))*0.1+SUMPRODUCT(N$14:N$43,--($D$14:$D$43=$D84),--($Q$14:$Q$43=TRUE),--($S35:$S64=0))+SUMPRODUCT(N$14:N$43,--($D$14:$D$43=$D84),--($Q$14:$Q$43=TRUE),--($R$14:$R$43="Yes"),--($S$14:$S$43=0))*0.1</f>
        <v>0</v>
      </c>
      <c r="O88" s="628" cm="1">
        <f t="array" ref="O88">SUMPRODUCT(O$14:O$43,--($D$14:$D$43=$D84),--($Q$14:$Q$43=TRUE),$S$14:$S$43,--($S$14:$S$43&gt;0))+SUMPRODUCT(O$14:O$43,--($D$14:$D$43=$D84),--($Q$14:$Q$43=TRUE),$S$14:$S$43,--($S$14:$S$43&gt;0),--($R$14:$R$43="Yes"))*0.1+SUMPRODUCT(O$14:O$43,--($D$14:$D$43=$D84),--($Q$14:$Q$43=TRUE),--($S35:$S64=0))+SUMPRODUCT(O$14:O$43,--($D$14:$D$43=$D84),--($Q$14:$Q$43=TRUE),--($R$14:$R$43="Yes"),--($S$14:$S$43=0))*0.1</f>
        <v>0</v>
      </c>
      <c r="P88" s="629">
        <f t="shared" si="18"/>
        <v>0</v>
      </c>
      <c r="Q88" s="575"/>
      <c r="R88" s="576"/>
      <c r="S88" s="576"/>
      <c r="T88" s="576"/>
      <c r="U88" s="577"/>
      <c r="V88" s="610"/>
      <c r="W88" s="610"/>
      <c r="X88" s="610"/>
      <c r="Y88" s="610"/>
      <c r="Z88" s="610"/>
      <c r="AA88" s="610"/>
      <c r="AB88" s="610"/>
      <c r="AC88" s="610"/>
      <c r="AD88" s="610"/>
      <c r="AE88" s="610"/>
      <c r="AF88" s="610"/>
      <c r="AG88" s="610"/>
      <c r="AH88" s="610"/>
      <c r="AI88" s="610"/>
      <c r="AJ88" s="610"/>
      <c r="AK88" s="610"/>
      <c r="AL88" s="610"/>
      <c r="AM88" s="610"/>
      <c r="AN88" s="610"/>
      <c r="AO88" s="610"/>
      <c r="AP88" s="610"/>
      <c r="AQ88" s="610"/>
      <c r="AR88" s="610"/>
      <c r="AS88" s="610"/>
      <c r="AT88" s="610"/>
      <c r="AU88" s="610"/>
      <c r="AV88" s="610"/>
      <c r="AW88" s="610"/>
      <c r="AX88" s="610"/>
      <c r="AY88" s="610"/>
      <c r="AZ88" s="610"/>
      <c r="BA88" s="610"/>
      <c r="BB88" s="610"/>
      <c r="BC88" s="610"/>
      <c r="BD88" s="610"/>
      <c r="BE88" s="610"/>
      <c r="BF88" s="610"/>
      <c r="BG88" s="610"/>
      <c r="BH88" s="610"/>
      <c r="BI88" s="610"/>
      <c r="BJ88" s="610"/>
      <c r="BK88" s="610"/>
      <c r="BL88" s="610"/>
      <c r="BM88" s="610"/>
      <c r="BN88" s="610"/>
      <c r="BO88" s="610"/>
      <c r="BP88" s="610"/>
      <c r="BQ88" s="610"/>
      <c r="BR88" s="610"/>
      <c r="BS88" s="610"/>
      <c r="BT88" s="610"/>
      <c r="BU88" s="610"/>
      <c r="BV88" s="610"/>
      <c r="BW88" s="610"/>
      <c r="BX88" s="610"/>
      <c r="BY88" s="610"/>
      <c r="BZ88" s="610"/>
      <c r="CA88" s="610"/>
      <c r="CB88" s="610"/>
      <c r="CC88" s="610"/>
      <c r="CD88" s="610"/>
      <c r="CE88" s="610"/>
      <c r="CF88" s="610"/>
      <c r="CG88" s="610"/>
      <c r="CH88" s="610"/>
      <c r="CI88" s="610"/>
      <c r="CJ88" s="610"/>
      <c r="CK88" s="610"/>
      <c r="CL88" s="610"/>
      <c r="CM88" s="610"/>
      <c r="CN88" s="610"/>
      <c r="CO88" s="610"/>
      <c r="CP88" s="610"/>
      <c r="CQ88" s="610"/>
      <c r="CR88" s="610"/>
      <c r="CS88" s="610"/>
      <c r="CT88" s="610"/>
      <c r="CU88" s="610"/>
      <c r="CV88" s="610"/>
      <c r="CW88" s="610"/>
      <c r="CX88" s="610"/>
      <c r="CY88" s="610"/>
      <c r="CZ88" s="610"/>
      <c r="DA88" s="610"/>
      <c r="DB88" s="610"/>
      <c r="DC88" s="610"/>
      <c r="DD88" s="610"/>
      <c r="DE88" s="610"/>
      <c r="DF88" s="610"/>
      <c r="DG88" s="610"/>
      <c r="DH88" s="610"/>
      <c r="DI88" s="610"/>
      <c r="DJ88" s="610"/>
      <c r="DK88" s="610"/>
      <c r="DL88" s="610"/>
      <c r="DM88" s="610"/>
      <c r="DN88" s="610"/>
      <c r="DO88" s="610"/>
      <c r="DP88" s="610"/>
      <c r="DQ88" s="610"/>
      <c r="DR88" s="610"/>
      <c r="DS88" s="610"/>
      <c r="DT88" s="610"/>
      <c r="DU88" s="610"/>
      <c r="DV88" s="610"/>
      <c r="DW88" s="610"/>
      <c r="DX88" s="610"/>
      <c r="DY88" s="610"/>
      <c r="DZ88" s="610"/>
      <c r="EA88" s="610"/>
      <c r="EB88" s="610"/>
      <c r="EC88" s="610"/>
      <c r="ED88" s="610"/>
      <c r="EE88" s="610"/>
      <c r="EF88" s="610"/>
      <c r="EG88" s="610"/>
      <c r="EH88" s="610"/>
      <c r="EI88" s="610"/>
      <c r="EJ88" s="610"/>
      <c r="EK88" s="610"/>
      <c r="EL88" s="610"/>
      <c r="EM88" s="610"/>
      <c r="EN88" s="610"/>
      <c r="EO88" s="610"/>
      <c r="EP88" s="610"/>
      <c r="EQ88" s="610"/>
      <c r="ER88" s="610"/>
      <c r="ES88" s="610"/>
      <c r="ET88" s="610"/>
      <c r="EU88" s="610"/>
      <c r="EV88" s="610"/>
      <c r="EW88" s="610"/>
      <c r="EX88" s="610"/>
      <c r="EY88" s="610"/>
      <c r="EZ88" s="610"/>
      <c r="FA88" s="610"/>
      <c r="FB88" s="610"/>
      <c r="FC88" s="610"/>
      <c r="FD88" s="610"/>
      <c r="FE88" s="610"/>
      <c r="FF88" s="610"/>
      <c r="FG88" s="610"/>
      <c r="FH88" s="610"/>
      <c r="FI88" s="610"/>
      <c r="FJ88" s="610"/>
      <c r="FK88" s="610"/>
      <c r="FL88" s="610"/>
      <c r="FM88" s="610"/>
      <c r="FN88" s="610"/>
      <c r="FO88" s="610"/>
      <c r="FP88" s="610"/>
      <c r="FQ88" s="610"/>
      <c r="FR88" s="610"/>
      <c r="FS88" s="610"/>
      <c r="FT88" s="610"/>
      <c r="FU88" s="610"/>
      <c r="FV88" s="610"/>
      <c r="FW88" s="610"/>
      <c r="FX88" s="610"/>
      <c r="FY88" s="610"/>
      <c r="FZ88" s="610"/>
      <c r="GA88" s="610"/>
      <c r="GB88" s="610"/>
      <c r="GC88" s="610"/>
      <c r="GD88" s="610"/>
      <c r="GE88" s="610"/>
      <c r="GF88" s="610"/>
      <c r="GG88" s="610"/>
      <c r="GH88" s="610"/>
      <c r="GI88" s="610"/>
      <c r="GJ88" s="610"/>
      <c r="GK88" s="610"/>
      <c r="GL88" s="610"/>
      <c r="GM88" s="610"/>
      <c r="GN88" s="610"/>
      <c r="GO88" s="610"/>
      <c r="GP88" s="610"/>
      <c r="GQ88" s="610"/>
      <c r="GR88" s="610"/>
      <c r="GS88" s="610"/>
      <c r="GT88" s="610"/>
      <c r="GU88" s="610"/>
      <c r="GV88" s="610"/>
      <c r="GW88" s="610"/>
      <c r="GX88" s="610"/>
      <c r="GY88" s="610"/>
      <c r="GZ88" s="610"/>
      <c r="HA88" s="610"/>
      <c r="HB88" s="610"/>
      <c r="HC88" s="610"/>
      <c r="HD88" s="610"/>
      <c r="HE88" s="610"/>
      <c r="HF88" s="610"/>
      <c r="HG88" s="610"/>
      <c r="HH88" s="610"/>
      <c r="HI88" s="610"/>
      <c r="HJ88" s="610"/>
      <c r="HK88" s="610"/>
      <c r="HL88" s="610"/>
      <c r="HM88" s="610"/>
      <c r="HN88" s="610"/>
      <c r="HO88" s="610"/>
      <c r="HP88" s="610"/>
      <c r="HQ88" s="610"/>
      <c r="HR88" s="610"/>
      <c r="HS88" s="610"/>
      <c r="HT88" s="610"/>
      <c r="HU88" s="610"/>
      <c r="HV88" s="610"/>
      <c r="HW88" s="610"/>
      <c r="HX88" s="610"/>
      <c r="HY88" s="610"/>
      <c r="HZ88" s="610"/>
      <c r="IA88" s="610"/>
      <c r="IB88" s="610"/>
      <c r="IC88" s="610"/>
      <c r="ID88" s="610"/>
      <c r="IE88" s="610"/>
      <c r="IF88" s="610"/>
      <c r="IG88" s="610"/>
      <c r="IH88" s="610"/>
      <c r="II88" s="610"/>
      <c r="IJ88" s="610"/>
      <c r="IK88" s="610"/>
      <c r="IL88" s="610"/>
      <c r="IM88" s="610"/>
      <c r="IN88" s="610"/>
      <c r="IO88" s="610"/>
      <c r="IP88" s="610"/>
      <c r="IQ88" s="610"/>
      <c r="IR88" s="610"/>
      <c r="IS88" s="610"/>
      <c r="IT88" s="610"/>
      <c r="IU88" s="610"/>
      <c r="IV88" s="610"/>
      <c r="IW88" s="610"/>
      <c r="IX88" s="610"/>
      <c r="IY88" s="610"/>
      <c r="IZ88" s="610"/>
      <c r="JA88" s="610"/>
      <c r="JB88" s="610"/>
      <c r="JC88" s="610"/>
      <c r="JD88" s="610"/>
      <c r="JE88" s="610"/>
      <c r="JF88" s="610"/>
      <c r="JG88" s="610"/>
      <c r="JH88" s="610"/>
      <c r="JI88" s="610"/>
      <c r="JJ88" s="610"/>
      <c r="JK88" s="610"/>
      <c r="JL88" s="610"/>
      <c r="JM88" s="610"/>
      <c r="JN88" s="610"/>
      <c r="JO88" s="610"/>
      <c r="JP88" s="610"/>
      <c r="JQ88" s="610"/>
      <c r="JR88" s="610"/>
      <c r="JS88" s="610"/>
      <c r="JT88" s="610"/>
      <c r="JU88" s="610"/>
      <c r="JV88" s="610"/>
      <c r="JW88" s="610"/>
      <c r="JX88" s="610"/>
      <c r="JY88" s="610"/>
      <c r="JZ88" s="610"/>
      <c r="KA88" s="610"/>
      <c r="KB88" s="610"/>
      <c r="KC88" s="610"/>
      <c r="KD88" s="610"/>
      <c r="KE88" s="610"/>
      <c r="KF88" s="610"/>
      <c r="KG88" s="610"/>
      <c r="KH88" s="610"/>
      <c r="KI88" s="610"/>
      <c r="KJ88" s="610"/>
      <c r="KK88" s="610"/>
      <c r="KL88" s="610"/>
      <c r="KM88" s="610"/>
      <c r="KN88" s="610"/>
      <c r="KO88" s="610"/>
      <c r="KP88" s="610"/>
      <c r="KQ88" s="610"/>
      <c r="KR88" s="610"/>
      <c r="KS88" s="610"/>
      <c r="KT88" s="610"/>
      <c r="KU88" s="610"/>
      <c r="KV88" s="610"/>
      <c r="KW88" s="610"/>
      <c r="KX88" s="610"/>
      <c r="KY88" s="610"/>
      <c r="KZ88" s="610"/>
      <c r="LA88" s="610"/>
      <c r="LB88" s="610"/>
      <c r="LC88" s="610"/>
      <c r="LD88" s="610"/>
      <c r="LE88" s="610"/>
      <c r="LF88" s="610"/>
      <c r="LG88" s="610"/>
      <c r="LH88" s="610"/>
      <c r="LI88" s="610"/>
      <c r="LJ88" s="610"/>
      <c r="LK88" s="610"/>
      <c r="LL88" s="610"/>
      <c r="LM88" s="610"/>
      <c r="LN88" s="610"/>
      <c r="LO88" s="610"/>
      <c r="LP88" s="610"/>
      <c r="LQ88" s="610"/>
      <c r="LR88" s="610"/>
      <c r="LS88" s="610"/>
      <c r="LT88" s="610"/>
      <c r="LU88" s="610"/>
      <c r="LV88" s="610"/>
      <c r="LW88" s="610"/>
      <c r="LX88" s="610"/>
      <c r="LY88" s="610"/>
      <c r="LZ88" s="610"/>
      <c r="MA88" s="610"/>
      <c r="MB88" s="610"/>
      <c r="MC88" s="610"/>
      <c r="MD88" s="610"/>
      <c r="ME88" s="610"/>
      <c r="MF88" s="610"/>
      <c r="MG88" s="610"/>
      <c r="MH88" s="610"/>
      <c r="MI88" s="610"/>
      <c r="MJ88" s="610"/>
      <c r="MK88" s="610"/>
      <c r="ML88" s="610"/>
      <c r="MM88" s="610"/>
      <c r="MN88" s="610"/>
      <c r="MO88" s="610"/>
      <c r="MP88" s="610"/>
      <c r="MQ88" s="610"/>
      <c r="MR88" s="610"/>
      <c r="MS88" s="610"/>
      <c r="MT88" s="610"/>
      <c r="MU88" s="610"/>
      <c r="MV88" s="610"/>
      <c r="MW88" s="610"/>
      <c r="MX88" s="610"/>
      <c r="MY88" s="610"/>
      <c r="MZ88" s="610"/>
      <c r="NA88" s="610"/>
      <c r="NB88" s="610"/>
      <c r="NC88" s="610"/>
      <c r="ND88" s="610"/>
      <c r="NE88" s="610"/>
      <c r="NF88" s="610"/>
      <c r="NG88" s="610"/>
      <c r="NH88" s="610"/>
      <c r="NI88" s="610"/>
      <c r="NJ88" s="610"/>
      <c r="NK88" s="610"/>
      <c r="NL88" s="610"/>
      <c r="NM88" s="610"/>
      <c r="NN88" s="610"/>
      <c r="NO88" s="610"/>
      <c r="NP88" s="610"/>
      <c r="NQ88" s="610"/>
      <c r="NR88" s="610"/>
      <c r="NS88" s="610"/>
      <c r="NT88" s="610"/>
      <c r="NU88" s="610"/>
      <c r="NV88" s="610"/>
      <c r="NW88" s="610"/>
      <c r="NX88" s="610"/>
      <c r="NY88" s="610"/>
      <c r="NZ88" s="610"/>
      <c r="OA88" s="610"/>
      <c r="OB88" s="610"/>
      <c r="OC88" s="610"/>
      <c r="OD88" s="610"/>
      <c r="OE88" s="610"/>
      <c r="OF88" s="610"/>
      <c r="OG88" s="610"/>
      <c r="OH88" s="610"/>
      <c r="OI88" s="610"/>
      <c r="OJ88" s="610"/>
      <c r="OK88" s="610"/>
      <c r="OL88" s="610"/>
      <c r="OM88" s="610"/>
      <c r="ON88" s="610"/>
      <c r="OO88" s="610"/>
      <c r="OP88" s="610"/>
      <c r="OQ88" s="610"/>
      <c r="OR88" s="610"/>
      <c r="OS88" s="610"/>
      <c r="OT88" s="610"/>
      <c r="OU88" s="610"/>
      <c r="OV88" s="610"/>
      <c r="OW88" s="610"/>
      <c r="OX88" s="610"/>
      <c r="OY88" s="610"/>
      <c r="OZ88" s="610"/>
      <c r="PA88" s="610"/>
      <c r="PB88" s="610"/>
      <c r="PC88" s="610"/>
      <c r="PD88" s="610"/>
      <c r="PE88" s="610"/>
      <c r="PF88" s="610"/>
      <c r="PG88" s="610"/>
      <c r="PH88" s="610"/>
      <c r="PI88" s="610"/>
      <c r="PJ88" s="610"/>
      <c r="PK88" s="610"/>
      <c r="PL88" s="610"/>
      <c r="PM88" s="610"/>
      <c r="PN88" s="610"/>
      <c r="PO88" s="610"/>
      <c r="PP88" s="610"/>
      <c r="PQ88" s="610"/>
      <c r="PR88" s="610"/>
      <c r="PS88" s="610"/>
      <c r="PT88" s="610"/>
      <c r="PU88" s="610"/>
      <c r="PV88" s="610"/>
      <c r="PW88" s="610"/>
      <c r="PX88" s="610"/>
      <c r="PY88" s="610"/>
      <c r="PZ88" s="610"/>
      <c r="QA88" s="610"/>
      <c r="QB88" s="610"/>
      <c r="QC88" s="610"/>
      <c r="QD88" s="610"/>
      <c r="QE88" s="610"/>
      <c r="QF88" s="610"/>
      <c r="QG88" s="610"/>
      <c r="QH88" s="610"/>
      <c r="QI88" s="610"/>
      <c r="QJ88" s="610"/>
    </row>
    <row r="89" spans="1:452" s="524" customFormat="1" ht="18" x14ac:dyDescent="0.35">
      <c r="A89" s="605"/>
      <c r="B89" s="558"/>
      <c r="C89" s="559"/>
      <c r="D89" s="559"/>
      <c r="E89" s="572" t="s">
        <v>86</v>
      </c>
      <c r="F89" s="571" cm="1">
        <f t="array" ref="F89">SUMPRODUCT(F$14:F$43,--($Q$14:$Q$43=TRUE),--($D$14:$D$43=$D84))</f>
        <v>0</v>
      </c>
      <c r="G89" s="571" cm="1">
        <f t="array" ref="G89">SUMPRODUCT(G$14:G$43,--($Q$14:$Q$43=TRUE),--($D$14:$D$43=$D84))</f>
        <v>0</v>
      </c>
      <c r="H89" s="571" cm="1">
        <f t="array" ref="H89">SUMPRODUCT(H$14:H$43,--($Q$14:$Q$43=TRUE),--($D$14:$D$43=$D84))</f>
        <v>0</v>
      </c>
      <c r="I89" s="571" cm="1">
        <f t="array" ref="I89">SUMPRODUCT(I$14:I$43,--($Q$14:$Q$43=TRUE),--($D$14:$D$43=$D84))</f>
        <v>0</v>
      </c>
      <c r="J89" s="571" cm="1">
        <f t="array" ref="J89">SUMPRODUCT(J$14:J$43,--($Q$14:$Q$43=TRUE),--($D$14:$D$43=$D84))</f>
        <v>0</v>
      </c>
      <c r="K89" s="571" cm="1">
        <f t="array" ref="K89">SUMPRODUCT(K$14:K$43,--($Q$14:$Q$43=TRUE),--($D$14:$D$43=$D84))</f>
        <v>0</v>
      </c>
      <c r="L89" s="571" cm="1">
        <f t="array" ref="L89">SUMPRODUCT(L$14:L$43,--($Q$14:$Q$43=TRUE),--($D$14:$D$43=$D84))</f>
        <v>0</v>
      </c>
      <c r="M89" s="571" cm="1">
        <f t="array" ref="M89">SUMPRODUCT(M$14:M$43,--($Q$14:$Q$43=TRUE),--($D$14:$D$43=$D84))</f>
        <v>0</v>
      </c>
      <c r="N89" s="571" cm="1">
        <f t="array" ref="N89">SUMPRODUCT(N$14:N$43,--($Q$14:$Q$43=TRUE),--($D$14:$D$43=$D84))</f>
        <v>0</v>
      </c>
      <c r="O89" s="571" cm="1">
        <f t="array" ref="O89">SUMPRODUCT(O$14:O$43,--($Q$14:$Q$43=TRUE),--($D$14:$D$43=$D84))</f>
        <v>0</v>
      </c>
      <c r="P89" s="607">
        <f t="shared" si="18"/>
        <v>0</v>
      </c>
      <c r="Q89" s="575"/>
      <c r="R89" s="576"/>
      <c r="S89" s="576"/>
      <c r="T89" s="576"/>
      <c r="U89" s="577"/>
    </row>
    <row r="90" spans="1:452" s="524" customFormat="1" ht="18" x14ac:dyDescent="0.35">
      <c r="A90" s="605"/>
      <c r="C90" s="559"/>
      <c r="D90" s="559"/>
      <c r="E90" s="572" t="s">
        <v>87</v>
      </c>
      <c r="F90" s="571" cm="1">
        <f t="array" ref="F90">SUMPRODUCT(F$14:F$43,--($Q$14:$Q$43=TRUE),--($D$14:$D$43=$D88),--($R$14:$R$43="Yes"))*0.1</f>
        <v>0</v>
      </c>
      <c r="G90" s="571" cm="1">
        <f t="array" ref="G90">SUMPRODUCT(G$14:G$43,--($Q$14:$Q$43=TRUE),--($D$14:$D$43=$D88),--($R$14:$R$43="Yes"))*0.1</f>
        <v>0</v>
      </c>
      <c r="H90" s="571" cm="1">
        <f t="array" ref="H90">SUMPRODUCT(H$14:H$43,--($Q$14:$Q$43=TRUE),--($D$14:$D$43=$D88),--($R$14:$R$43="Yes"))*0.1</f>
        <v>0</v>
      </c>
      <c r="I90" s="571" cm="1">
        <f t="array" ref="I90">SUMPRODUCT(I$14:I$43,--($Q$14:$Q$43=TRUE),--($D$14:$D$43=$D88),--($R$14:$R$43="Yes"))*0.1</f>
        <v>0</v>
      </c>
      <c r="J90" s="571" cm="1">
        <f t="array" ref="J90">SUMPRODUCT(J$14:J$43,--($Q$14:$Q$43=TRUE),--($D$14:$D$43=$D88),--($R$14:$R$43="Yes"))*0.1</f>
        <v>0</v>
      </c>
      <c r="K90" s="571" cm="1">
        <f t="array" ref="K90">SUMPRODUCT(K$14:K$43,--($Q$14:$Q$43=TRUE),--($D$14:$D$43=$D88),--($R$14:$R$43="Yes"))*0.1</f>
        <v>0</v>
      </c>
      <c r="L90" s="571" cm="1">
        <f t="array" ref="L90">SUMPRODUCT(L$14:L$43,--($Q$14:$Q$43=TRUE),--($D$14:$D$43=$D88),--($R$14:$R$43="Yes"))*0.1</f>
        <v>0</v>
      </c>
      <c r="M90" s="571" cm="1">
        <f t="array" ref="M90">SUMPRODUCT(M$14:M$43,--($Q$14:$Q$43=TRUE),--($D$14:$D$43=$D88),--($R$14:$R$43="Yes"))*0.1</f>
        <v>0</v>
      </c>
      <c r="N90" s="571" cm="1">
        <f t="array" ref="N90">SUMPRODUCT(N$14:N$43,--($Q$14:$Q$43=TRUE),--($D$14:$D$43=$D88),--($R$14:$R$43="Yes"))*0.1</f>
        <v>0</v>
      </c>
      <c r="O90" s="571" cm="1">
        <f t="array" ref="O90">SUMPRODUCT(O$14:O$43,--($Q$14:$Q$43=TRUE),--($D$14:$D$43=$D88),--($R$14:$R$43="Yes"))*0.1</f>
        <v>0</v>
      </c>
      <c r="P90" s="607">
        <f t="shared" si="18"/>
        <v>0</v>
      </c>
      <c r="Q90" s="575"/>
      <c r="R90" s="576"/>
      <c r="S90" s="576"/>
      <c r="T90" s="576"/>
      <c r="U90" s="577"/>
    </row>
    <row r="91" spans="1:452" s="524" customFormat="1" ht="18" x14ac:dyDescent="0.35">
      <c r="A91" s="605"/>
      <c r="B91" s="558"/>
      <c r="C91" s="559"/>
      <c r="D91" s="559"/>
      <c r="E91" s="572" t="s">
        <v>88</v>
      </c>
      <c r="F91" s="571">
        <f>F88-(F89+F90)</f>
        <v>0</v>
      </c>
      <c r="G91" s="571">
        <f t="shared" ref="G91:O91" si="22">G88-(G89+G90)</f>
        <v>0</v>
      </c>
      <c r="H91" s="571">
        <f t="shared" si="22"/>
        <v>0</v>
      </c>
      <c r="I91" s="571">
        <f t="shared" si="22"/>
        <v>0</v>
      </c>
      <c r="J91" s="571">
        <f t="shared" si="22"/>
        <v>0</v>
      </c>
      <c r="K91" s="571">
        <f t="shared" si="22"/>
        <v>0</v>
      </c>
      <c r="L91" s="571">
        <f t="shared" si="22"/>
        <v>0</v>
      </c>
      <c r="M91" s="571">
        <f t="shared" si="22"/>
        <v>0</v>
      </c>
      <c r="N91" s="571">
        <f t="shared" si="22"/>
        <v>0</v>
      </c>
      <c r="O91" s="571">
        <f t="shared" si="22"/>
        <v>0</v>
      </c>
      <c r="P91" s="607">
        <f t="shared" si="18"/>
        <v>0</v>
      </c>
      <c r="Q91" s="575"/>
      <c r="R91" s="576"/>
      <c r="S91" s="576"/>
      <c r="T91" s="576"/>
      <c r="U91" s="577"/>
    </row>
    <row r="92" spans="1:452" s="524" customFormat="1" ht="18" x14ac:dyDescent="0.35">
      <c r="A92" s="605"/>
      <c r="B92" s="558"/>
      <c r="C92" s="559"/>
      <c r="D92" s="559"/>
      <c r="E92" s="572"/>
      <c r="F92" s="571"/>
      <c r="G92" s="571"/>
      <c r="H92" s="571"/>
      <c r="I92" s="571"/>
      <c r="J92" s="571"/>
      <c r="K92" s="571"/>
      <c r="L92" s="571"/>
      <c r="M92" s="571"/>
      <c r="N92" s="571"/>
      <c r="O92" s="571"/>
      <c r="P92" s="607">
        <f t="shared" si="18"/>
        <v>0</v>
      </c>
      <c r="Q92" s="575"/>
      <c r="R92" s="576"/>
      <c r="S92" s="576"/>
      <c r="T92" s="576"/>
      <c r="U92" s="577"/>
    </row>
    <row r="93" spans="1:452" s="524" customFormat="1" ht="18" x14ac:dyDescent="0.35">
      <c r="A93" s="605"/>
      <c r="B93" s="558"/>
      <c r="C93" s="559"/>
      <c r="D93" s="559"/>
      <c r="E93" s="572"/>
      <c r="F93" s="571"/>
      <c r="G93" s="571"/>
      <c r="H93" s="571"/>
      <c r="I93" s="571"/>
      <c r="J93" s="571"/>
      <c r="K93" s="571"/>
      <c r="L93" s="571"/>
      <c r="M93" s="571"/>
      <c r="N93" s="571"/>
      <c r="O93" s="571"/>
      <c r="P93" s="607"/>
      <c r="Q93" s="575"/>
      <c r="R93" s="576"/>
      <c r="S93" s="576"/>
      <c r="T93" s="576"/>
      <c r="U93" s="577"/>
    </row>
    <row r="94" spans="1:452" s="591" customFormat="1" ht="18" x14ac:dyDescent="0.35">
      <c r="A94" s="597"/>
      <c r="B94" s="598" t="s">
        <v>96</v>
      </c>
      <c r="C94" s="599"/>
      <c r="D94" s="599"/>
      <c r="E94" s="589"/>
      <c r="F94" s="590">
        <f>F98</f>
        <v>0</v>
      </c>
      <c r="G94" s="590">
        <f t="shared" ref="G94:O94" si="23">G98</f>
        <v>0</v>
      </c>
      <c r="H94" s="590">
        <f t="shared" si="23"/>
        <v>0</v>
      </c>
      <c r="I94" s="590">
        <f t="shared" si="23"/>
        <v>0</v>
      </c>
      <c r="J94" s="590">
        <f t="shared" si="23"/>
        <v>0</v>
      </c>
      <c r="K94" s="590">
        <f t="shared" si="23"/>
        <v>0</v>
      </c>
      <c r="L94" s="590">
        <f t="shared" si="23"/>
        <v>0</v>
      </c>
      <c r="M94" s="590">
        <f t="shared" si="23"/>
        <v>0</v>
      </c>
      <c r="N94" s="590">
        <f t="shared" si="23"/>
        <v>0</v>
      </c>
      <c r="O94" s="590">
        <f t="shared" si="23"/>
        <v>0</v>
      </c>
      <c r="P94" s="600">
        <f>SUM(F94:O94)</f>
        <v>0</v>
      </c>
      <c r="Q94" s="575"/>
      <c r="R94" s="576"/>
      <c r="S94" s="576"/>
      <c r="T94" s="576"/>
      <c r="U94" s="577"/>
      <c r="V94" s="524"/>
      <c r="W94" s="524"/>
      <c r="X94" s="524"/>
      <c r="Y94" s="524"/>
      <c r="Z94" s="524"/>
      <c r="AA94" s="524"/>
      <c r="AB94" s="524"/>
      <c r="AC94" s="524"/>
      <c r="AD94" s="524"/>
      <c r="AE94" s="524"/>
      <c r="AF94" s="524"/>
      <c r="AG94" s="524"/>
      <c r="AH94" s="524"/>
      <c r="AI94" s="524"/>
      <c r="AJ94" s="524"/>
      <c r="AK94" s="524"/>
      <c r="AL94" s="524"/>
      <c r="AM94" s="524"/>
      <c r="AN94" s="524"/>
      <c r="AO94" s="524"/>
      <c r="AP94" s="524"/>
      <c r="AQ94" s="524"/>
      <c r="AR94" s="524"/>
      <c r="AS94" s="524"/>
      <c r="AT94" s="524"/>
      <c r="AU94" s="524"/>
      <c r="AV94" s="524"/>
      <c r="AW94" s="524"/>
      <c r="AX94" s="524"/>
      <c r="AY94" s="524"/>
      <c r="AZ94" s="524"/>
      <c r="BA94" s="524"/>
      <c r="BB94" s="524"/>
      <c r="BC94" s="524"/>
      <c r="BD94" s="524"/>
      <c r="BE94" s="524"/>
      <c r="BF94" s="524"/>
      <c r="BG94" s="524"/>
      <c r="BH94" s="524"/>
      <c r="BI94" s="524"/>
      <c r="BJ94" s="524"/>
      <c r="BK94" s="524"/>
      <c r="BL94" s="524"/>
      <c r="BM94" s="524"/>
      <c r="BN94" s="524"/>
      <c r="BO94" s="524"/>
      <c r="BP94" s="524"/>
      <c r="BQ94" s="524"/>
      <c r="BR94" s="524"/>
      <c r="BS94" s="524"/>
      <c r="BT94" s="524"/>
      <c r="BU94" s="524"/>
      <c r="BV94" s="524"/>
      <c r="BW94" s="524"/>
      <c r="BX94" s="524"/>
      <c r="BY94" s="524"/>
      <c r="BZ94" s="524"/>
      <c r="CA94" s="524"/>
      <c r="CB94" s="524"/>
      <c r="CC94" s="524"/>
      <c r="CD94" s="524"/>
      <c r="CE94" s="524"/>
      <c r="CF94" s="524"/>
      <c r="CG94" s="524"/>
      <c r="CH94" s="524"/>
      <c r="CI94" s="524"/>
      <c r="CJ94" s="524"/>
      <c r="CK94" s="524"/>
      <c r="CL94" s="524"/>
      <c r="CM94" s="524"/>
      <c r="CN94" s="524"/>
      <c r="CO94" s="524"/>
      <c r="CP94" s="524"/>
      <c r="CQ94" s="524"/>
      <c r="CR94" s="524"/>
      <c r="CS94" s="524"/>
      <c r="CT94" s="524"/>
      <c r="CU94" s="524"/>
      <c r="CV94" s="524"/>
      <c r="CW94" s="524"/>
      <c r="CX94" s="524"/>
      <c r="CY94" s="524"/>
      <c r="CZ94" s="524"/>
      <c r="DA94" s="524"/>
      <c r="DB94" s="524"/>
      <c r="DC94" s="524"/>
      <c r="DD94" s="524"/>
      <c r="DE94" s="524"/>
      <c r="DF94" s="524"/>
      <c r="DG94" s="524"/>
      <c r="DH94" s="524"/>
      <c r="DI94" s="524"/>
      <c r="DJ94" s="524"/>
      <c r="DK94" s="524"/>
      <c r="DL94" s="524"/>
      <c r="DM94" s="524"/>
      <c r="DN94" s="524"/>
      <c r="DO94" s="524"/>
      <c r="DP94" s="524"/>
      <c r="DQ94" s="524"/>
      <c r="DR94" s="524"/>
      <c r="DS94" s="524"/>
      <c r="DT94" s="524"/>
      <c r="DU94" s="524"/>
      <c r="DV94" s="524"/>
      <c r="DW94" s="524"/>
      <c r="DX94" s="524"/>
      <c r="DY94" s="524"/>
      <c r="DZ94" s="524"/>
      <c r="EA94" s="524"/>
      <c r="EB94" s="524"/>
      <c r="EC94" s="524"/>
      <c r="ED94" s="524"/>
      <c r="EE94" s="524"/>
      <c r="EF94" s="524"/>
      <c r="EG94" s="524"/>
      <c r="EH94" s="524"/>
      <c r="EI94" s="524"/>
      <c r="EJ94" s="524"/>
      <c r="EK94" s="524"/>
      <c r="EL94" s="524"/>
      <c r="EM94" s="524"/>
      <c r="EN94" s="524"/>
      <c r="EO94" s="524"/>
      <c r="EP94" s="524"/>
      <c r="EQ94" s="524"/>
      <c r="ER94" s="524"/>
      <c r="ES94" s="524"/>
      <c r="ET94" s="524"/>
      <c r="EU94" s="524"/>
      <c r="EV94" s="524"/>
      <c r="EW94" s="524"/>
      <c r="EX94" s="524"/>
      <c r="EY94" s="524"/>
      <c r="EZ94" s="524"/>
      <c r="FA94" s="524"/>
      <c r="FB94" s="524"/>
      <c r="FC94" s="524"/>
      <c r="FD94" s="524"/>
      <c r="FE94" s="524"/>
      <c r="FF94" s="524"/>
      <c r="FG94" s="524"/>
      <c r="FH94" s="524"/>
      <c r="FI94" s="524"/>
      <c r="FJ94" s="524"/>
      <c r="FK94" s="524"/>
      <c r="FL94" s="524"/>
      <c r="FM94" s="524"/>
      <c r="FN94" s="524"/>
      <c r="FO94" s="524"/>
      <c r="FP94" s="524"/>
      <c r="FQ94" s="524"/>
      <c r="FR94" s="524"/>
      <c r="FS94" s="524"/>
      <c r="FT94" s="524"/>
      <c r="FU94" s="524"/>
      <c r="FV94" s="524"/>
      <c r="FW94" s="524"/>
      <c r="FX94" s="524"/>
      <c r="FY94" s="524"/>
      <c r="FZ94" s="524"/>
      <c r="GA94" s="524"/>
      <c r="GB94" s="524"/>
      <c r="GC94" s="524"/>
      <c r="GD94" s="524"/>
      <c r="GE94" s="524"/>
      <c r="GF94" s="524"/>
      <c r="GG94" s="524"/>
      <c r="GH94" s="524"/>
      <c r="GI94" s="524"/>
      <c r="GJ94" s="524"/>
      <c r="GK94" s="524"/>
      <c r="GL94" s="524"/>
      <c r="GM94" s="524"/>
      <c r="GN94" s="524"/>
      <c r="GO94" s="524"/>
      <c r="GP94" s="524"/>
      <c r="GQ94" s="524"/>
      <c r="GR94" s="524"/>
      <c r="GS94" s="524"/>
      <c r="GT94" s="524"/>
      <c r="GU94" s="524"/>
      <c r="GV94" s="524"/>
      <c r="GW94" s="524"/>
      <c r="GX94" s="524"/>
      <c r="GY94" s="524"/>
      <c r="GZ94" s="524"/>
      <c r="HA94" s="524"/>
      <c r="HB94" s="524"/>
      <c r="HC94" s="524"/>
      <c r="HD94" s="524"/>
      <c r="HE94" s="524"/>
      <c r="HF94" s="524"/>
      <c r="HG94" s="524"/>
      <c r="HH94" s="524"/>
      <c r="HI94" s="524"/>
      <c r="HJ94" s="524"/>
      <c r="HK94" s="524"/>
      <c r="HL94" s="524"/>
      <c r="HM94" s="524"/>
      <c r="HN94" s="524"/>
      <c r="HO94" s="524"/>
      <c r="HP94" s="524"/>
      <c r="HQ94" s="524"/>
      <c r="HR94" s="524"/>
      <c r="HS94" s="524"/>
      <c r="HT94" s="524"/>
      <c r="HU94" s="524"/>
      <c r="HV94" s="524"/>
      <c r="HW94" s="524"/>
      <c r="HX94" s="524"/>
      <c r="HY94" s="524"/>
      <c r="HZ94" s="524"/>
      <c r="IA94" s="524"/>
      <c r="IB94" s="524"/>
      <c r="IC94" s="524"/>
      <c r="ID94" s="524"/>
      <c r="IE94" s="524"/>
      <c r="IF94" s="524"/>
      <c r="IG94" s="524"/>
      <c r="IH94" s="524"/>
      <c r="II94" s="524"/>
      <c r="IJ94" s="524"/>
      <c r="IK94" s="524"/>
      <c r="IL94" s="524"/>
      <c r="IM94" s="524"/>
      <c r="IN94" s="524"/>
      <c r="IO94" s="524"/>
      <c r="IP94" s="524"/>
      <c r="IQ94" s="524"/>
      <c r="IR94" s="524"/>
      <c r="IS94" s="524"/>
      <c r="IT94" s="524"/>
      <c r="IU94" s="524"/>
      <c r="IV94" s="524"/>
      <c r="IW94" s="524"/>
      <c r="IX94" s="524"/>
      <c r="IY94" s="524"/>
      <c r="IZ94" s="524"/>
      <c r="JA94" s="524"/>
      <c r="JB94" s="524"/>
      <c r="JC94" s="524"/>
      <c r="JD94" s="524"/>
      <c r="JE94" s="524"/>
      <c r="JF94" s="524"/>
      <c r="JG94" s="524"/>
      <c r="JH94" s="524"/>
      <c r="JI94" s="524"/>
      <c r="JJ94" s="524"/>
      <c r="JK94" s="524"/>
      <c r="JL94" s="524"/>
      <c r="JM94" s="524"/>
      <c r="JN94" s="524"/>
      <c r="JO94" s="524"/>
      <c r="JP94" s="524"/>
      <c r="JQ94" s="524"/>
      <c r="JR94" s="524"/>
      <c r="JS94" s="524"/>
      <c r="JT94" s="524"/>
      <c r="JU94" s="524"/>
      <c r="JV94" s="524"/>
      <c r="JW94" s="524"/>
      <c r="JX94" s="524"/>
      <c r="JY94" s="524"/>
      <c r="JZ94" s="524"/>
      <c r="KA94" s="524"/>
      <c r="KB94" s="524"/>
      <c r="KC94" s="524"/>
      <c r="KD94" s="524"/>
      <c r="KE94" s="524"/>
      <c r="KF94" s="524"/>
      <c r="KG94" s="524"/>
      <c r="KH94" s="524"/>
      <c r="KI94" s="524"/>
      <c r="KJ94" s="524"/>
      <c r="KK94" s="524"/>
      <c r="KL94" s="524"/>
      <c r="KM94" s="524"/>
      <c r="KN94" s="524"/>
      <c r="KO94" s="524"/>
      <c r="KP94" s="524"/>
      <c r="KQ94" s="524"/>
      <c r="KR94" s="524"/>
      <c r="KS94" s="524"/>
      <c r="KT94" s="524"/>
      <c r="KU94" s="524"/>
      <c r="KV94" s="524"/>
      <c r="KW94" s="524"/>
      <c r="KX94" s="524"/>
      <c r="KY94" s="524"/>
      <c r="KZ94" s="524"/>
      <c r="LA94" s="524"/>
      <c r="LB94" s="524"/>
      <c r="LC94" s="524"/>
      <c r="LD94" s="524"/>
      <c r="LE94" s="524"/>
      <c r="LF94" s="524"/>
      <c r="LG94" s="524"/>
      <c r="LH94" s="524"/>
      <c r="LI94" s="524"/>
      <c r="LJ94" s="524"/>
      <c r="LK94" s="524"/>
      <c r="LL94" s="524"/>
      <c r="LM94" s="524"/>
      <c r="LN94" s="524"/>
      <c r="LO94" s="524"/>
      <c r="LP94" s="524"/>
      <c r="LQ94" s="524"/>
      <c r="LR94" s="524"/>
      <c r="LS94" s="524"/>
      <c r="LT94" s="524"/>
      <c r="LU94" s="524"/>
      <c r="LV94" s="524"/>
      <c r="LW94" s="524"/>
      <c r="LX94" s="524"/>
      <c r="LY94" s="524"/>
      <c r="LZ94" s="524"/>
      <c r="MA94" s="524"/>
      <c r="MB94" s="524"/>
      <c r="MC94" s="524"/>
      <c r="MD94" s="524"/>
      <c r="ME94" s="524"/>
      <c r="MF94" s="524"/>
      <c r="MG94" s="524"/>
      <c r="MH94" s="524"/>
      <c r="MI94" s="524"/>
      <c r="MJ94" s="524"/>
      <c r="MK94" s="524"/>
      <c r="ML94" s="524"/>
      <c r="MM94" s="524"/>
      <c r="MN94" s="524"/>
      <c r="MO94" s="524"/>
      <c r="MP94" s="524"/>
      <c r="MQ94" s="524"/>
      <c r="MR94" s="524"/>
      <c r="MS94" s="524"/>
      <c r="MT94" s="524"/>
      <c r="MU94" s="524"/>
      <c r="MV94" s="524"/>
      <c r="MW94" s="524"/>
      <c r="MX94" s="524"/>
      <c r="MY94" s="524"/>
      <c r="MZ94" s="524"/>
      <c r="NA94" s="524"/>
      <c r="NB94" s="524"/>
      <c r="NC94" s="524"/>
      <c r="ND94" s="524"/>
      <c r="NE94" s="524"/>
      <c r="NF94" s="524"/>
      <c r="NG94" s="524"/>
      <c r="NH94" s="524"/>
      <c r="NI94" s="524"/>
      <c r="NJ94" s="524"/>
      <c r="NK94" s="524"/>
      <c r="NL94" s="524"/>
      <c r="NM94" s="524"/>
      <c r="NN94" s="524"/>
      <c r="NO94" s="524"/>
      <c r="NP94" s="524"/>
      <c r="NQ94" s="524"/>
      <c r="NR94" s="524"/>
      <c r="NS94" s="524"/>
      <c r="NT94" s="524"/>
      <c r="NU94" s="524"/>
      <c r="NV94" s="524"/>
      <c r="NW94" s="524"/>
      <c r="NX94" s="524"/>
      <c r="NY94" s="524"/>
      <c r="NZ94" s="524"/>
      <c r="OA94" s="524"/>
      <c r="OB94" s="524"/>
      <c r="OC94" s="524"/>
      <c r="OD94" s="524"/>
      <c r="OE94" s="524"/>
      <c r="OF94" s="524"/>
      <c r="OG94" s="524"/>
      <c r="OH94" s="524"/>
      <c r="OI94" s="524"/>
      <c r="OJ94" s="524"/>
      <c r="OK94" s="524"/>
      <c r="OL94" s="524"/>
      <c r="OM94" s="524"/>
      <c r="ON94" s="524"/>
      <c r="OO94" s="524"/>
      <c r="OP94" s="524"/>
      <c r="OQ94" s="524"/>
      <c r="OR94" s="524"/>
      <c r="OS94" s="524"/>
      <c r="OT94" s="524"/>
      <c r="OU94" s="524"/>
      <c r="OV94" s="524"/>
      <c r="OW94" s="524"/>
      <c r="OX94" s="524"/>
      <c r="OY94" s="524"/>
      <c r="OZ94" s="524"/>
      <c r="PA94" s="524"/>
      <c r="PB94" s="524"/>
      <c r="PC94" s="524"/>
      <c r="PD94" s="524"/>
      <c r="PE94" s="524"/>
      <c r="PF94" s="524"/>
      <c r="PG94" s="524"/>
      <c r="PH94" s="524"/>
      <c r="PI94" s="524"/>
      <c r="PJ94" s="524"/>
      <c r="PK94" s="524"/>
      <c r="PL94" s="524"/>
      <c r="PM94" s="524"/>
      <c r="PN94" s="524"/>
      <c r="PO94" s="524"/>
      <c r="PP94" s="524"/>
      <c r="PQ94" s="524"/>
      <c r="PR94" s="524"/>
      <c r="PS94" s="524"/>
      <c r="PT94" s="524"/>
      <c r="PU94" s="524"/>
      <c r="PV94" s="524"/>
      <c r="PW94" s="524"/>
      <c r="PX94" s="524"/>
      <c r="PY94" s="524"/>
      <c r="PZ94" s="524"/>
      <c r="QA94" s="524"/>
      <c r="QB94" s="524"/>
      <c r="QC94" s="524"/>
      <c r="QD94" s="524"/>
      <c r="QE94" s="524"/>
      <c r="QF94" s="524"/>
      <c r="QG94" s="524"/>
      <c r="QH94" s="524"/>
      <c r="QI94" s="524"/>
      <c r="QJ94" s="524"/>
    </row>
    <row r="95" spans="1:452" s="588" customFormat="1" ht="18" x14ac:dyDescent="0.35">
      <c r="A95" s="601"/>
      <c r="B95" s="602"/>
      <c r="C95" s="603"/>
      <c r="D95" s="603"/>
      <c r="E95" s="586"/>
      <c r="F95" s="587"/>
      <c r="G95" s="587"/>
      <c r="H95" s="587"/>
      <c r="I95" s="587"/>
      <c r="J95" s="587"/>
      <c r="K95" s="587"/>
      <c r="L95" s="587"/>
      <c r="M95" s="587"/>
      <c r="N95" s="587"/>
      <c r="O95" s="587"/>
      <c r="P95" s="604">
        <f t="shared" ref="P95:P105" si="24">SUM(F95:O95)</f>
        <v>0</v>
      </c>
      <c r="Q95" s="575"/>
      <c r="R95" s="576"/>
      <c r="S95" s="576"/>
      <c r="T95" s="576"/>
      <c r="U95" s="577"/>
      <c r="V95" s="524"/>
      <c r="W95" s="524"/>
      <c r="X95" s="524"/>
      <c r="Y95" s="524"/>
      <c r="Z95" s="524"/>
      <c r="AA95" s="524"/>
      <c r="AB95" s="524"/>
      <c r="AC95" s="524"/>
      <c r="AD95" s="524"/>
      <c r="AE95" s="524"/>
      <c r="AF95" s="524"/>
      <c r="AG95" s="524"/>
      <c r="AH95" s="524"/>
      <c r="AI95" s="524"/>
      <c r="AJ95" s="524"/>
      <c r="AK95" s="524"/>
      <c r="AL95" s="524"/>
      <c r="AM95" s="524"/>
      <c r="AN95" s="524"/>
      <c r="AO95" s="524"/>
      <c r="AP95" s="524"/>
      <c r="AQ95" s="524"/>
      <c r="AR95" s="524"/>
      <c r="AS95" s="524"/>
      <c r="AT95" s="524"/>
      <c r="AU95" s="524"/>
      <c r="AV95" s="524"/>
      <c r="AW95" s="524"/>
      <c r="AX95" s="524"/>
      <c r="AY95" s="524"/>
      <c r="AZ95" s="524"/>
      <c r="BA95" s="524"/>
      <c r="BB95" s="524"/>
      <c r="BC95" s="524"/>
      <c r="BD95" s="524"/>
      <c r="BE95" s="524"/>
      <c r="BF95" s="524"/>
      <c r="BG95" s="524"/>
      <c r="BH95" s="524"/>
      <c r="BI95" s="524"/>
      <c r="BJ95" s="524"/>
      <c r="BK95" s="524"/>
      <c r="BL95" s="524"/>
      <c r="BM95" s="524"/>
      <c r="BN95" s="524"/>
      <c r="BO95" s="524"/>
      <c r="BP95" s="524"/>
      <c r="BQ95" s="524"/>
      <c r="BR95" s="524"/>
      <c r="BS95" s="524"/>
      <c r="BT95" s="524"/>
      <c r="BU95" s="524"/>
      <c r="BV95" s="524"/>
      <c r="BW95" s="524"/>
      <c r="BX95" s="524"/>
      <c r="BY95" s="524"/>
      <c r="BZ95" s="524"/>
      <c r="CA95" s="524"/>
      <c r="CB95" s="524"/>
      <c r="CC95" s="524"/>
      <c r="CD95" s="524"/>
      <c r="CE95" s="524"/>
      <c r="CF95" s="524"/>
      <c r="CG95" s="524"/>
      <c r="CH95" s="524"/>
      <c r="CI95" s="524"/>
      <c r="CJ95" s="524"/>
      <c r="CK95" s="524"/>
      <c r="CL95" s="524"/>
      <c r="CM95" s="524"/>
      <c r="CN95" s="524"/>
      <c r="CO95" s="524"/>
      <c r="CP95" s="524"/>
      <c r="CQ95" s="524"/>
      <c r="CR95" s="524"/>
      <c r="CS95" s="524"/>
      <c r="CT95" s="524"/>
      <c r="CU95" s="524"/>
      <c r="CV95" s="524"/>
      <c r="CW95" s="524"/>
      <c r="CX95" s="524"/>
      <c r="CY95" s="524"/>
      <c r="CZ95" s="524"/>
      <c r="DA95" s="524"/>
      <c r="DB95" s="524"/>
      <c r="DC95" s="524"/>
      <c r="DD95" s="524"/>
      <c r="DE95" s="524"/>
      <c r="DF95" s="524"/>
      <c r="DG95" s="524"/>
      <c r="DH95" s="524"/>
      <c r="DI95" s="524"/>
      <c r="DJ95" s="524"/>
      <c r="DK95" s="524"/>
      <c r="DL95" s="524"/>
      <c r="DM95" s="524"/>
      <c r="DN95" s="524"/>
      <c r="DO95" s="524"/>
      <c r="DP95" s="524"/>
      <c r="DQ95" s="524"/>
      <c r="DR95" s="524"/>
      <c r="DS95" s="524"/>
      <c r="DT95" s="524"/>
      <c r="DU95" s="524"/>
      <c r="DV95" s="524"/>
      <c r="DW95" s="524"/>
      <c r="DX95" s="524"/>
      <c r="DY95" s="524"/>
      <c r="DZ95" s="524"/>
      <c r="EA95" s="524"/>
      <c r="EB95" s="524"/>
      <c r="EC95" s="524"/>
      <c r="ED95" s="524"/>
      <c r="EE95" s="524"/>
      <c r="EF95" s="524"/>
      <c r="EG95" s="524"/>
      <c r="EH95" s="524"/>
      <c r="EI95" s="524"/>
      <c r="EJ95" s="524"/>
      <c r="EK95" s="524"/>
      <c r="EL95" s="524"/>
      <c r="EM95" s="524"/>
      <c r="EN95" s="524"/>
      <c r="EO95" s="524"/>
      <c r="EP95" s="524"/>
      <c r="EQ95" s="524"/>
      <c r="ER95" s="524"/>
      <c r="ES95" s="524"/>
      <c r="ET95" s="524"/>
      <c r="EU95" s="524"/>
      <c r="EV95" s="524"/>
      <c r="EW95" s="524"/>
      <c r="EX95" s="524"/>
      <c r="EY95" s="524"/>
      <c r="EZ95" s="524"/>
      <c r="FA95" s="524"/>
      <c r="FB95" s="524"/>
      <c r="FC95" s="524"/>
      <c r="FD95" s="524"/>
      <c r="FE95" s="524"/>
      <c r="FF95" s="524"/>
      <c r="FG95" s="524"/>
      <c r="FH95" s="524"/>
      <c r="FI95" s="524"/>
      <c r="FJ95" s="524"/>
      <c r="FK95" s="524"/>
      <c r="FL95" s="524"/>
      <c r="FM95" s="524"/>
      <c r="FN95" s="524"/>
      <c r="FO95" s="524"/>
      <c r="FP95" s="524"/>
      <c r="FQ95" s="524"/>
      <c r="FR95" s="524"/>
      <c r="FS95" s="524"/>
      <c r="FT95" s="524"/>
      <c r="FU95" s="524"/>
      <c r="FV95" s="524"/>
      <c r="FW95" s="524"/>
      <c r="FX95" s="524"/>
      <c r="FY95" s="524"/>
      <c r="FZ95" s="524"/>
      <c r="GA95" s="524"/>
      <c r="GB95" s="524"/>
      <c r="GC95" s="524"/>
      <c r="GD95" s="524"/>
      <c r="GE95" s="524"/>
      <c r="GF95" s="524"/>
      <c r="GG95" s="524"/>
      <c r="GH95" s="524"/>
      <c r="GI95" s="524"/>
      <c r="GJ95" s="524"/>
      <c r="GK95" s="524"/>
      <c r="GL95" s="524"/>
      <c r="GM95" s="524"/>
      <c r="GN95" s="524"/>
      <c r="GO95" s="524"/>
      <c r="GP95" s="524"/>
      <c r="GQ95" s="524"/>
      <c r="GR95" s="524"/>
      <c r="GS95" s="524"/>
      <c r="GT95" s="524"/>
      <c r="GU95" s="524"/>
      <c r="GV95" s="524"/>
      <c r="GW95" s="524"/>
      <c r="GX95" s="524"/>
      <c r="GY95" s="524"/>
      <c r="GZ95" s="524"/>
      <c r="HA95" s="524"/>
      <c r="HB95" s="524"/>
      <c r="HC95" s="524"/>
      <c r="HD95" s="524"/>
      <c r="HE95" s="524"/>
      <c r="HF95" s="524"/>
      <c r="HG95" s="524"/>
      <c r="HH95" s="524"/>
      <c r="HI95" s="524"/>
      <c r="HJ95" s="524"/>
      <c r="HK95" s="524"/>
      <c r="HL95" s="524"/>
      <c r="HM95" s="524"/>
      <c r="HN95" s="524"/>
      <c r="HO95" s="524"/>
      <c r="HP95" s="524"/>
      <c r="HQ95" s="524"/>
      <c r="HR95" s="524"/>
      <c r="HS95" s="524"/>
      <c r="HT95" s="524"/>
      <c r="HU95" s="524"/>
      <c r="HV95" s="524"/>
      <c r="HW95" s="524"/>
      <c r="HX95" s="524"/>
      <c r="HY95" s="524"/>
      <c r="HZ95" s="524"/>
      <c r="IA95" s="524"/>
      <c r="IB95" s="524"/>
      <c r="IC95" s="524"/>
      <c r="ID95" s="524"/>
      <c r="IE95" s="524"/>
      <c r="IF95" s="524"/>
      <c r="IG95" s="524"/>
      <c r="IH95" s="524"/>
      <c r="II95" s="524"/>
      <c r="IJ95" s="524"/>
      <c r="IK95" s="524"/>
      <c r="IL95" s="524"/>
      <c r="IM95" s="524"/>
      <c r="IN95" s="524"/>
      <c r="IO95" s="524"/>
      <c r="IP95" s="524"/>
      <c r="IQ95" s="524"/>
      <c r="IR95" s="524"/>
      <c r="IS95" s="524"/>
      <c r="IT95" s="524"/>
      <c r="IU95" s="524"/>
      <c r="IV95" s="524"/>
      <c r="IW95" s="524"/>
      <c r="IX95" s="524"/>
      <c r="IY95" s="524"/>
      <c r="IZ95" s="524"/>
      <c r="JA95" s="524"/>
      <c r="JB95" s="524"/>
      <c r="JC95" s="524"/>
      <c r="JD95" s="524"/>
      <c r="JE95" s="524"/>
      <c r="JF95" s="524"/>
      <c r="JG95" s="524"/>
      <c r="JH95" s="524"/>
      <c r="JI95" s="524"/>
      <c r="JJ95" s="524"/>
      <c r="JK95" s="524"/>
      <c r="JL95" s="524"/>
      <c r="JM95" s="524"/>
      <c r="JN95" s="524"/>
      <c r="JO95" s="524"/>
      <c r="JP95" s="524"/>
      <c r="JQ95" s="524"/>
      <c r="JR95" s="524"/>
      <c r="JS95" s="524"/>
      <c r="JT95" s="524"/>
      <c r="JU95" s="524"/>
      <c r="JV95" s="524"/>
      <c r="JW95" s="524"/>
      <c r="JX95" s="524"/>
      <c r="JY95" s="524"/>
      <c r="JZ95" s="524"/>
      <c r="KA95" s="524"/>
      <c r="KB95" s="524"/>
      <c r="KC95" s="524"/>
      <c r="KD95" s="524"/>
      <c r="KE95" s="524"/>
      <c r="KF95" s="524"/>
      <c r="KG95" s="524"/>
      <c r="KH95" s="524"/>
      <c r="KI95" s="524"/>
      <c r="KJ95" s="524"/>
      <c r="KK95" s="524"/>
      <c r="KL95" s="524"/>
      <c r="KM95" s="524"/>
      <c r="KN95" s="524"/>
      <c r="KO95" s="524"/>
      <c r="KP95" s="524"/>
      <c r="KQ95" s="524"/>
      <c r="KR95" s="524"/>
      <c r="KS95" s="524"/>
      <c r="KT95" s="524"/>
      <c r="KU95" s="524"/>
      <c r="KV95" s="524"/>
      <c r="KW95" s="524"/>
      <c r="KX95" s="524"/>
      <c r="KY95" s="524"/>
      <c r="KZ95" s="524"/>
      <c r="LA95" s="524"/>
      <c r="LB95" s="524"/>
      <c r="LC95" s="524"/>
      <c r="LD95" s="524"/>
      <c r="LE95" s="524"/>
      <c r="LF95" s="524"/>
      <c r="LG95" s="524"/>
      <c r="LH95" s="524"/>
      <c r="LI95" s="524"/>
      <c r="LJ95" s="524"/>
      <c r="LK95" s="524"/>
      <c r="LL95" s="524"/>
      <c r="LM95" s="524"/>
      <c r="LN95" s="524"/>
      <c r="LO95" s="524"/>
      <c r="LP95" s="524"/>
      <c r="LQ95" s="524"/>
      <c r="LR95" s="524"/>
      <c r="LS95" s="524"/>
      <c r="LT95" s="524"/>
      <c r="LU95" s="524"/>
      <c r="LV95" s="524"/>
      <c r="LW95" s="524"/>
      <c r="LX95" s="524"/>
      <c r="LY95" s="524"/>
      <c r="LZ95" s="524"/>
      <c r="MA95" s="524"/>
      <c r="MB95" s="524"/>
      <c r="MC95" s="524"/>
      <c r="MD95" s="524"/>
      <c r="ME95" s="524"/>
      <c r="MF95" s="524"/>
      <c r="MG95" s="524"/>
      <c r="MH95" s="524"/>
      <c r="MI95" s="524"/>
      <c r="MJ95" s="524"/>
      <c r="MK95" s="524"/>
      <c r="ML95" s="524"/>
      <c r="MM95" s="524"/>
      <c r="MN95" s="524"/>
      <c r="MO95" s="524"/>
      <c r="MP95" s="524"/>
      <c r="MQ95" s="524"/>
      <c r="MR95" s="524"/>
      <c r="MS95" s="524"/>
      <c r="MT95" s="524"/>
      <c r="MU95" s="524"/>
      <c r="MV95" s="524"/>
      <c r="MW95" s="524"/>
      <c r="MX95" s="524"/>
      <c r="MY95" s="524"/>
      <c r="MZ95" s="524"/>
      <c r="NA95" s="524"/>
      <c r="NB95" s="524"/>
      <c r="NC95" s="524"/>
      <c r="ND95" s="524"/>
      <c r="NE95" s="524"/>
      <c r="NF95" s="524"/>
      <c r="NG95" s="524"/>
      <c r="NH95" s="524"/>
      <c r="NI95" s="524"/>
      <c r="NJ95" s="524"/>
      <c r="NK95" s="524"/>
      <c r="NL95" s="524"/>
      <c r="NM95" s="524"/>
      <c r="NN95" s="524"/>
      <c r="NO95" s="524"/>
      <c r="NP95" s="524"/>
      <c r="NQ95" s="524"/>
      <c r="NR95" s="524"/>
      <c r="NS95" s="524"/>
      <c r="NT95" s="524"/>
      <c r="NU95" s="524"/>
      <c r="NV95" s="524"/>
      <c r="NW95" s="524"/>
      <c r="NX95" s="524"/>
      <c r="NY95" s="524"/>
      <c r="NZ95" s="524"/>
      <c r="OA95" s="524"/>
      <c r="OB95" s="524"/>
      <c r="OC95" s="524"/>
      <c r="OD95" s="524"/>
      <c r="OE95" s="524"/>
      <c r="OF95" s="524"/>
      <c r="OG95" s="524"/>
      <c r="OH95" s="524"/>
      <c r="OI95" s="524"/>
      <c r="OJ95" s="524"/>
      <c r="OK95" s="524"/>
      <c r="OL95" s="524"/>
      <c r="OM95" s="524"/>
      <c r="ON95" s="524"/>
      <c r="OO95" s="524"/>
      <c r="OP95" s="524"/>
      <c r="OQ95" s="524"/>
      <c r="OR95" s="524"/>
      <c r="OS95" s="524"/>
      <c r="OT95" s="524"/>
      <c r="OU95" s="524"/>
      <c r="OV95" s="524"/>
      <c r="OW95" s="524"/>
      <c r="OX95" s="524"/>
      <c r="OY95" s="524"/>
      <c r="OZ95" s="524"/>
      <c r="PA95" s="524"/>
      <c r="PB95" s="524"/>
      <c r="PC95" s="524"/>
      <c r="PD95" s="524"/>
      <c r="PE95" s="524"/>
      <c r="PF95" s="524"/>
      <c r="PG95" s="524"/>
      <c r="PH95" s="524"/>
      <c r="PI95" s="524"/>
      <c r="PJ95" s="524"/>
      <c r="PK95" s="524"/>
      <c r="PL95" s="524"/>
      <c r="PM95" s="524"/>
      <c r="PN95" s="524"/>
      <c r="PO95" s="524"/>
      <c r="PP95" s="524"/>
      <c r="PQ95" s="524"/>
      <c r="PR95" s="524"/>
      <c r="PS95" s="524"/>
      <c r="PT95" s="524"/>
      <c r="PU95" s="524"/>
      <c r="PV95" s="524"/>
      <c r="PW95" s="524"/>
      <c r="PX95" s="524"/>
      <c r="PY95" s="524"/>
      <c r="PZ95" s="524"/>
      <c r="QA95" s="524"/>
      <c r="QB95" s="524"/>
      <c r="QC95" s="524"/>
      <c r="QD95" s="524"/>
      <c r="QE95" s="524"/>
      <c r="QF95" s="524"/>
      <c r="QG95" s="524"/>
      <c r="QH95" s="524"/>
      <c r="QI95" s="524"/>
      <c r="QJ95" s="524"/>
    </row>
    <row r="96" spans="1:452" s="617" customFormat="1" ht="18" x14ac:dyDescent="0.35">
      <c r="A96" s="611"/>
      <c r="B96" s="612" t="s">
        <v>97</v>
      </c>
      <c r="C96" s="613"/>
      <c r="D96" s="613"/>
      <c r="E96" s="614"/>
      <c r="F96" s="615">
        <f>F102</f>
        <v>0</v>
      </c>
      <c r="G96" s="615">
        <f t="shared" ref="G96:O96" si="25">G102</f>
        <v>0</v>
      </c>
      <c r="H96" s="615">
        <f t="shared" si="25"/>
        <v>0</v>
      </c>
      <c r="I96" s="615">
        <f t="shared" si="25"/>
        <v>0</v>
      </c>
      <c r="J96" s="615">
        <f t="shared" si="25"/>
        <v>0</v>
      </c>
      <c r="K96" s="615">
        <f t="shared" si="25"/>
        <v>0</v>
      </c>
      <c r="L96" s="615">
        <f t="shared" si="25"/>
        <v>0</v>
      </c>
      <c r="M96" s="615">
        <f t="shared" si="25"/>
        <v>0</v>
      </c>
      <c r="N96" s="615">
        <f t="shared" si="25"/>
        <v>0</v>
      </c>
      <c r="O96" s="615">
        <f t="shared" si="25"/>
        <v>0</v>
      </c>
      <c r="P96" s="616">
        <f t="shared" si="24"/>
        <v>0</v>
      </c>
      <c r="Q96" s="575"/>
      <c r="R96" s="576"/>
      <c r="S96" s="576"/>
      <c r="T96" s="576"/>
      <c r="U96" s="577"/>
    </row>
    <row r="97" spans="1:452" s="588" customFormat="1" ht="18" x14ac:dyDescent="0.35">
      <c r="A97" s="601"/>
      <c r="B97" s="602"/>
      <c r="C97" s="603"/>
      <c r="D97" s="603"/>
      <c r="E97" s="586"/>
      <c r="F97" s="587"/>
      <c r="G97" s="587"/>
      <c r="H97" s="587"/>
      <c r="I97" s="587"/>
      <c r="J97" s="587"/>
      <c r="K97" s="587"/>
      <c r="L97" s="587"/>
      <c r="M97" s="587"/>
      <c r="N97" s="587"/>
      <c r="O97" s="587"/>
      <c r="P97" s="604">
        <f t="shared" si="24"/>
        <v>0</v>
      </c>
      <c r="Q97" s="575"/>
      <c r="R97" s="576"/>
      <c r="S97" s="576"/>
      <c r="T97" s="576"/>
      <c r="U97" s="577"/>
      <c r="V97" s="524"/>
      <c r="W97" s="524"/>
      <c r="X97" s="524"/>
      <c r="Y97" s="524"/>
      <c r="Z97" s="524"/>
      <c r="AA97" s="524"/>
      <c r="AB97" s="524"/>
      <c r="AC97" s="524"/>
      <c r="AD97" s="524"/>
      <c r="AE97" s="524"/>
      <c r="AF97" s="524"/>
      <c r="AG97" s="524"/>
      <c r="AH97" s="524"/>
      <c r="AI97" s="524"/>
      <c r="AJ97" s="524"/>
      <c r="AK97" s="524"/>
      <c r="AL97" s="524"/>
      <c r="AM97" s="524"/>
      <c r="AN97" s="524"/>
      <c r="AO97" s="524"/>
      <c r="AP97" s="524"/>
      <c r="AQ97" s="524"/>
      <c r="AR97" s="524"/>
      <c r="AS97" s="524"/>
      <c r="AT97" s="524"/>
      <c r="AU97" s="524"/>
      <c r="AV97" s="524"/>
      <c r="AW97" s="524"/>
      <c r="AX97" s="524"/>
      <c r="AY97" s="524"/>
      <c r="AZ97" s="524"/>
      <c r="BA97" s="524"/>
      <c r="BB97" s="524"/>
      <c r="BC97" s="524"/>
      <c r="BD97" s="524"/>
      <c r="BE97" s="524"/>
      <c r="BF97" s="524"/>
      <c r="BG97" s="524"/>
      <c r="BH97" s="524"/>
      <c r="BI97" s="524"/>
      <c r="BJ97" s="524"/>
      <c r="BK97" s="524"/>
      <c r="BL97" s="524"/>
      <c r="BM97" s="524"/>
      <c r="BN97" s="524"/>
      <c r="BO97" s="524"/>
      <c r="BP97" s="524"/>
      <c r="BQ97" s="524"/>
      <c r="BR97" s="524"/>
      <c r="BS97" s="524"/>
      <c r="BT97" s="524"/>
      <c r="BU97" s="524"/>
      <c r="BV97" s="524"/>
      <c r="BW97" s="524"/>
      <c r="BX97" s="524"/>
      <c r="BY97" s="524"/>
      <c r="BZ97" s="524"/>
      <c r="CA97" s="524"/>
      <c r="CB97" s="524"/>
      <c r="CC97" s="524"/>
      <c r="CD97" s="524"/>
      <c r="CE97" s="524"/>
      <c r="CF97" s="524"/>
      <c r="CG97" s="524"/>
      <c r="CH97" s="524"/>
      <c r="CI97" s="524"/>
      <c r="CJ97" s="524"/>
      <c r="CK97" s="524"/>
      <c r="CL97" s="524"/>
      <c r="CM97" s="524"/>
      <c r="CN97" s="524"/>
      <c r="CO97" s="524"/>
      <c r="CP97" s="524"/>
      <c r="CQ97" s="524"/>
      <c r="CR97" s="524"/>
      <c r="CS97" s="524"/>
      <c r="CT97" s="524"/>
      <c r="CU97" s="524"/>
      <c r="CV97" s="524"/>
      <c r="CW97" s="524"/>
      <c r="CX97" s="524"/>
      <c r="CY97" s="524"/>
      <c r="CZ97" s="524"/>
      <c r="DA97" s="524"/>
      <c r="DB97" s="524"/>
      <c r="DC97" s="524"/>
      <c r="DD97" s="524"/>
      <c r="DE97" s="524"/>
      <c r="DF97" s="524"/>
      <c r="DG97" s="524"/>
      <c r="DH97" s="524"/>
      <c r="DI97" s="524"/>
      <c r="DJ97" s="524"/>
      <c r="DK97" s="524"/>
      <c r="DL97" s="524"/>
      <c r="DM97" s="524"/>
      <c r="DN97" s="524"/>
      <c r="DO97" s="524"/>
      <c r="DP97" s="524"/>
      <c r="DQ97" s="524"/>
      <c r="DR97" s="524"/>
      <c r="DS97" s="524"/>
      <c r="DT97" s="524"/>
      <c r="DU97" s="524"/>
      <c r="DV97" s="524"/>
      <c r="DW97" s="524"/>
      <c r="DX97" s="524"/>
      <c r="DY97" s="524"/>
      <c r="DZ97" s="524"/>
      <c r="EA97" s="524"/>
      <c r="EB97" s="524"/>
      <c r="EC97" s="524"/>
      <c r="ED97" s="524"/>
      <c r="EE97" s="524"/>
      <c r="EF97" s="524"/>
      <c r="EG97" s="524"/>
      <c r="EH97" s="524"/>
      <c r="EI97" s="524"/>
      <c r="EJ97" s="524"/>
      <c r="EK97" s="524"/>
      <c r="EL97" s="524"/>
      <c r="EM97" s="524"/>
      <c r="EN97" s="524"/>
      <c r="EO97" s="524"/>
      <c r="EP97" s="524"/>
      <c r="EQ97" s="524"/>
      <c r="ER97" s="524"/>
      <c r="ES97" s="524"/>
      <c r="ET97" s="524"/>
      <c r="EU97" s="524"/>
      <c r="EV97" s="524"/>
      <c r="EW97" s="524"/>
      <c r="EX97" s="524"/>
      <c r="EY97" s="524"/>
      <c r="EZ97" s="524"/>
      <c r="FA97" s="524"/>
      <c r="FB97" s="524"/>
      <c r="FC97" s="524"/>
      <c r="FD97" s="524"/>
      <c r="FE97" s="524"/>
      <c r="FF97" s="524"/>
      <c r="FG97" s="524"/>
      <c r="FH97" s="524"/>
      <c r="FI97" s="524"/>
      <c r="FJ97" s="524"/>
      <c r="FK97" s="524"/>
      <c r="FL97" s="524"/>
      <c r="FM97" s="524"/>
      <c r="FN97" s="524"/>
      <c r="FO97" s="524"/>
      <c r="FP97" s="524"/>
      <c r="FQ97" s="524"/>
      <c r="FR97" s="524"/>
      <c r="FS97" s="524"/>
      <c r="FT97" s="524"/>
      <c r="FU97" s="524"/>
      <c r="FV97" s="524"/>
      <c r="FW97" s="524"/>
      <c r="FX97" s="524"/>
      <c r="FY97" s="524"/>
      <c r="FZ97" s="524"/>
      <c r="GA97" s="524"/>
      <c r="GB97" s="524"/>
      <c r="GC97" s="524"/>
      <c r="GD97" s="524"/>
      <c r="GE97" s="524"/>
      <c r="GF97" s="524"/>
      <c r="GG97" s="524"/>
      <c r="GH97" s="524"/>
      <c r="GI97" s="524"/>
      <c r="GJ97" s="524"/>
      <c r="GK97" s="524"/>
      <c r="GL97" s="524"/>
      <c r="GM97" s="524"/>
      <c r="GN97" s="524"/>
      <c r="GO97" s="524"/>
      <c r="GP97" s="524"/>
      <c r="GQ97" s="524"/>
      <c r="GR97" s="524"/>
      <c r="GS97" s="524"/>
      <c r="GT97" s="524"/>
      <c r="GU97" s="524"/>
      <c r="GV97" s="524"/>
      <c r="GW97" s="524"/>
      <c r="GX97" s="524"/>
      <c r="GY97" s="524"/>
      <c r="GZ97" s="524"/>
      <c r="HA97" s="524"/>
      <c r="HB97" s="524"/>
      <c r="HC97" s="524"/>
      <c r="HD97" s="524"/>
      <c r="HE97" s="524"/>
      <c r="HF97" s="524"/>
      <c r="HG97" s="524"/>
      <c r="HH97" s="524"/>
      <c r="HI97" s="524"/>
      <c r="HJ97" s="524"/>
      <c r="HK97" s="524"/>
      <c r="HL97" s="524"/>
      <c r="HM97" s="524"/>
      <c r="HN97" s="524"/>
      <c r="HO97" s="524"/>
      <c r="HP97" s="524"/>
      <c r="HQ97" s="524"/>
      <c r="HR97" s="524"/>
      <c r="HS97" s="524"/>
      <c r="HT97" s="524"/>
      <c r="HU97" s="524"/>
      <c r="HV97" s="524"/>
      <c r="HW97" s="524"/>
      <c r="HX97" s="524"/>
      <c r="HY97" s="524"/>
      <c r="HZ97" s="524"/>
      <c r="IA97" s="524"/>
      <c r="IB97" s="524"/>
      <c r="IC97" s="524"/>
      <c r="ID97" s="524"/>
      <c r="IE97" s="524"/>
      <c r="IF97" s="524"/>
      <c r="IG97" s="524"/>
      <c r="IH97" s="524"/>
      <c r="II97" s="524"/>
      <c r="IJ97" s="524"/>
      <c r="IK97" s="524"/>
      <c r="IL97" s="524"/>
      <c r="IM97" s="524"/>
      <c r="IN97" s="524"/>
      <c r="IO97" s="524"/>
      <c r="IP97" s="524"/>
      <c r="IQ97" s="524"/>
      <c r="IR97" s="524"/>
      <c r="IS97" s="524"/>
      <c r="IT97" s="524"/>
      <c r="IU97" s="524"/>
      <c r="IV97" s="524"/>
      <c r="IW97" s="524"/>
      <c r="IX97" s="524"/>
      <c r="IY97" s="524"/>
      <c r="IZ97" s="524"/>
      <c r="JA97" s="524"/>
      <c r="JB97" s="524"/>
      <c r="JC97" s="524"/>
      <c r="JD97" s="524"/>
      <c r="JE97" s="524"/>
      <c r="JF97" s="524"/>
      <c r="JG97" s="524"/>
      <c r="JH97" s="524"/>
      <c r="JI97" s="524"/>
      <c r="JJ97" s="524"/>
      <c r="JK97" s="524"/>
      <c r="JL97" s="524"/>
      <c r="JM97" s="524"/>
      <c r="JN97" s="524"/>
      <c r="JO97" s="524"/>
      <c r="JP97" s="524"/>
      <c r="JQ97" s="524"/>
      <c r="JR97" s="524"/>
      <c r="JS97" s="524"/>
      <c r="JT97" s="524"/>
      <c r="JU97" s="524"/>
      <c r="JV97" s="524"/>
      <c r="JW97" s="524"/>
      <c r="JX97" s="524"/>
      <c r="JY97" s="524"/>
      <c r="JZ97" s="524"/>
      <c r="KA97" s="524"/>
      <c r="KB97" s="524"/>
      <c r="KC97" s="524"/>
      <c r="KD97" s="524"/>
      <c r="KE97" s="524"/>
      <c r="KF97" s="524"/>
      <c r="KG97" s="524"/>
      <c r="KH97" s="524"/>
      <c r="KI97" s="524"/>
      <c r="KJ97" s="524"/>
      <c r="KK97" s="524"/>
      <c r="KL97" s="524"/>
      <c r="KM97" s="524"/>
      <c r="KN97" s="524"/>
      <c r="KO97" s="524"/>
      <c r="KP97" s="524"/>
      <c r="KQ97" s="524"/>
      <c r="KR97" s="524"/>
      <c r="KS97" s="524"/>
      <c r="KT97" s="524"/>
      <c r="KU97" s="524"/>
      <c r="KV97" s="524"/>
      <c r="KW97" s="524"/>
      <c r="KX97" s="524"/>
      <c r="KY97" s="524"/>
      <c r="KZ97" s="524"/>
      <c r="LA97" s="524"/>
      <c r="LB97" s="524"/>
      <c r="LC97" s="524"/>
      <c r="LD97" s="524"/>
      <c r="LE97" s="524"/>
      <c r="LF97" s="524"/>
      <c r="LG97" s="524"/>
      <c r="LH97" s="524"/>
      <c r="LI97" s="524"/>
      <c r="LJ97" s="524"/>
      <c r="LK97" s="524"/>
      <c r="LL97" s="524"/>
      <c r="LM97" s="524"/>
      <c r="LN97" s="524"/>
      <c r="LO97" s="524"/>
      <c r="LP97" s="524"/>
      <c r="LQ97" s="524"/>
      <c r="LR97" s="524"/>
      <c r="LS97" s="524"/>
      <c r="LT97" s="524"/>
      <c r="LU97" s="524"/>
      <c r="LV97" s="524"/>
      <c r="LW97" s="524"/>
      <c r="LX97" s="524"/>
      <c r="LY97" s="524"/>
      <c r="LZ97" s="524"/>
      <c r="MA97" s="524"/>
      <c r="MB97" s="524"/>
      <c r="MC97" s="524"/>
      <c r="MD97" s="524"/>
      <c r="ME97" s="524"/>
      <c r="MF97" s="524"/>
      <c r="MG97" s="524"/>
      <c r="MH97" s="524"/>
      <c r="MI97" s="524"/>
      <c r="MJ97" s="524"/>
      <c r="MK97" s="524"/>
      <c r="ML97" s="524"/>
      <c r="MM97" s="524"/>
      <c r="MN97" s="524"/>
      <c r="MO97" s="524"/>
      <c r="MP97" s="524"/>
      <c r="MQ97" s="524"/>
      <c r="MR97" s="524"/>
      <c r="MS97" s="524"/>
      <c r="MT97" s="524"/>
      <c r="MU97" s="524"/>
      <c r="MV97" s="524"/>
      <c r="MW97" s="524"/>
      <c r="MX97" s="524"/>
      <c r="MY97" s="524"/>
      <c r="MZ97" s="524"/>
      <c r="NA97" s="524"/>
      <c r="NB97" s="524"/>
      <c r="NC97" s="524"/>
      <c r="ND97" s="524"/>
      <c r="NE97" s="524"/>
      <c r="NF97" s="524"/>
      <c r="NG97" s="524"/>
      <c r="NH97" s="524"/>
      <c r="NI97" s="524"/>
      <c r="NJ97" s="524"/>
      <c r="NK97" s="524"/>
      <c r="NL97" s="524"/>
      <c r="NM97" s="524"/>
      <c r="NN97" s="524"/>
      <c r="NO97" s="524"/>
      <c r="NP97" s="524"/>
      <c r="NQ97" s="524"/>
      <c r="NR97" s="524"/>
      <c r="NS97" s="524"/>
      <c r="NT97" s="524"/>
      <c r="NU97" s="524"/>
      <c r="NV97" s="524"/>
      <c r="NW97" s="524"/>
      <c r="NX97" s="524"/>
      <c r="NY97" s="524"/>
      <c r="NZ97" s="524"/>
      <c r="OA97" s="524"/>
      <c r="OB97" s="524"/>
      <c r="OC97" s="524"/>
      <c r="OD97" s="524"/>
      <c r="OE97" s="524"/>
      <c r="OF97" s="524"/>
      <c r="OG97" s="524"/>
      <c r="OH97" s="524"/>
      <c r="OI97" s="524"/>
      <c r="OJ97" s="524"/>
      <c r="OK97" s="524"/>
      <c r="OL97" s="524"/>
      <c r="OM97" s="524"/>
      <c r="ON97" s="524"/>
      <c r="OO97" s="524"/>
      <c r="OP97" s="524"/>
      <c r="OQ97" s="524"/>
      <c r="OR97" s="524"/>
      <c r="OS97" s="524"/>
      <c r="OT97" s="524"/>
      <c r="OU97" s="524"/>
      <c r="OV97" s="524"/>
      <c r="OW97" s="524"/>
      <c r="OX97" s="524"/>
      <c r="OY97" s="524"/>
      <c r="OZ97" s="524"/>
      <c r="PA97" s="524"/>
      <c r="PB97" s="524"/>
      <c r="PC97" s="524"/>
      <c r="PD97" s="524"/>
      <c r="PE97" s="524"/>
      <c r="PF97" s="524"/>
      <c r="PG97" s="524"/>
      <c r="PH97" s="524"/>
      <c r="PI97" s="524"/>
      <c r="PJ97" s="524"/>
      <c r="PK97" s="524"/>
      <c r="PL97" s="524"/>
      <c r="PM97" s="524"/>
      <c r="PN97" s="524"/>
      <c r="PO97" s="524"/>
      <c r="PP97" s="524"/>
      <c r="PQ97" s="524"/>
      <c r="PR97" s="524"/>
      <c r="PS97" s="524"/>
      <c r="PT97" s="524"/>
      <c r="PU97" s="524"/>
      <c r="PV97" s="524"/>
      <c r="PW97" s="524"/>
      <c r="PX97" s="524"/>
      <c r="PY97" s="524"/>
      <c r="PZ97" s="524"/>
      <c r="QA97" s="524"/>
      <c r="QB97" s="524"/>
      <c r="QC97" s="524"/>
      <c r="QD97" s="524"/>
      <c r="QE97" s="524"/>
      <c r="QF97" s="524"/>
      <c r="QG97" s="524"/>
      <c r="QH97" s="524"/>
      <c r="QI97" s="524"/>
      <c r="QJ97" s="524"/>
    </row>
    <row r="98" spans="1:452" s="592" customFormat="1" ht="18" x14ac:dyDescent="0.35">
      <c r="A98" s="618"/>
      <c r="B98" s="619"/>
      <c r="C98" s="620"/>
      <c r="D98" s="619" t="s">
        <v>98</v>
      </c>
      <c r="E98" s="621"/>
      <c r="F98" s="622" cm="1">
        <f t="array" ref="F98">SUMPRODUCT(F$14:F$43,--($D$14:$D$43=$D98),--($Q$14:$Q$43=FALSE),$S$14:$S$43,--($S$14:$S$43&gt;0))+SUMPRODUCT(F$14:F$43,--($D$14:$D$43=$D98),--($Q$14:$Q$43=FALSE),$S$14:$S$43,--($S$14:$S$43&gt;0),--($R$14:$R$43="Yes"))*0.1+SUMPRODUCT(F$14:F$43,--($D$14:$D$43=$D98),--($Q$14:$Q$43=FALSE),--($S$14:$S$43=0))+SUMPRODUCT(F$14:F$43,--($D$14:$D$43=$D98),--($Q$14:$Q$43=FALSE),--($R$14:$R$43="Yes"),--($S$14:$S$43=0))*0.1</f>
        <v>0</v>
      </c>
      <c r="G98" s="622" cm="1">
        <f t="array" ref="G98">SUMPRODUCT(G$14:G$43,--($D$14:$D$43=$D98),--($Q$14:$Q$43=FALSE),$S$14:$S$43,--($S$14:$S$43&gt;0))+SUMPRODUCT(G$14:G$43,--($D$14:$D$43=$D98),--($Q$14:$Q$43=FALSE),$S$14:$S$43,--($S$14:$S$43&gt;0),--($R$14:$R$43="Yes"))*0.1+SUMPRODUCT(G$14:G$43,--($D$14:$D$43=$D98),--($Q$14:$Q$43=FALSE),--($S$14:$S$43=0))+SUMPRODUCT(G$14:G$43,--($D$14:$D$43=$D98),--($Q$14:$Q$43=FALSE),--($R$14:$R$43="Yes"),--($S$14:$S$43=0))*0.1</f>
        <v>0</v>
      </c>
      <c r="H98" s="622" cm="1">
        <f t="array" ref="H98">SUMPRODUCT(H$14:H$43,--($D$14:$D$43=$D98),--($Q$14:$Q$43=FALSE),$S$14:$S$43,--($S$14:$S$43&gt;0))+SUMPRODUCT(H$14:H$43,--($D$14:$D$43=$D98),--($Q$14:$Q$43=FALSE),$S$14:$S$43,--($S$14:$S$43&gt;0),--($R$14:$R$43="Yes"))*0.1+SUMPRODUCT(H$14:H$43,--($D$14:$D$43=$D98),--($Q$14:$Q$43=FALSE),--($S$14:$S$43=0))+SUMPRODUCT(H$14:H$43,--($D$14:$D$43=$D98),--($Q$14:$Q$43=FALSE),--($R$14:$R$43="Yes"),--($S$14:$S$43=0))*0.1</f>
        <v>0</v>
      </c>
      <c r="I98" s="622" cm="1">
        <f t="array" ref="I98">SUMPRODUCT(I$14:I$43,--($D$14:$D$43=$D98),--($Q$14:$Q$43=FALSE),$S$14:$S$43,--($S$14:$S$43&gt;0))+SUMPRODUCT(I$14:I$43,--($D$14:$D$43=$D98),--($Q$14:$Q$43=FALSE),$S$14:$S$43,--($S$14:$S$43&gt;0),--($R$14:$R$43="Yes"))*0.1+SUMPRODUCT(I$14:I$43,--($D$14:$D$43=$D98),--($Q$14:$Q$43=FALSE),--($S$14:$S$43=0))+SUMPRODUCT(I$14:I$43,--($D$14:$D$43=$D98),--($Q$14:$Q$43=FALSE),--($R$14:$R$43="Yes"),--($S$14:$S$43=0))*0.1</f>
        <v>0</v>
      </c>
      <c r="J98" s="622" cm="1">
        <f t="array" ref="J98">SUMPRODUCT(J$14:J$43,--($D$14:$D$43=$D98),--($Q$14:$Q$43=FALSE),$S$14:$S$43,--($S$14:$S$43&gt;0))+SUMPRODUCT(J$14:J$43,--($D$14:$D$43=$D98),--($Q$14:$Q$43=FALSE),$S$14:$S$43,--($S$14:$S$43&gt;0),--($R$14:$R$43="Yes"))*0.1+SUMPRODUCT(J$14:J$43,--($D$14:$D$43=$D98),--($Q$14:$Q$43=FALSE),--($S$14:$S$43=0))+SUMPRODUCT(J$14:J$43,--($D$14:$D$43=$D98),--($Q$14:$Q$43=FALSE),--($R$14:$R$43="Yes"),--($S$14:$S$43=0))*0.1</f>
        <v>0</v>
      </c>
      <c r="K98" s="622" cm="1">
        <f t="array" ref="K98">SUMPRODUCT(K$14:K$43,--($D$14:$D$43=$D98),--($Q$14:$Q$43=FALSE),$S$14:$S$43,--($S$14:$S$43&gt;0))+SUMPRODUCT(K$14:K$43,--($D$14:$D$43=$D98),--($Q$14:$Q$43=FALSE),$S$14:$S$43,--($S$14:$S$43&gt;0),--($R$14:$R$43="Yes"))*0.1+SUMPRODUCT(K$14:K$43,--($D$14:$D$43=$D98),--($Q$14:$Q$43=FALSE),--($S$14:$S$43=0))+SUMPRODUCT(K$14:K$43,--($D$14:$D$43=$D98),--($Q$14:$Q$43=FALSE),--($R$14:$R$43="Yes"),--($S$14:$S$43=0))*0.1</f>
        <v>0</v>
      </c>
      <c r="L98" s="622" cm="1">
        <f t="array" ref="L98">SUMPRODUCT(L$14:L$43,--($D$14:$D$43=$D98),--($Q$14:$Q$43=FALSE),$S$14:$S$43,--($S$14:$S$43&gt;0))+SUMPRODUCT(L$14:L$43,--($D$14:$D$43=$D98),--($Q$14:$Q$43=FALSE),$S$14:$S$43,--($S$14:$S$43&gt;0),--($R$14:$R$43="Yes"))*0.1+SUMPRODUCT(L$14:L$43,--($D$14:$D$43=$D98),--($Q$14:$Q$43=FALSE),--($S$14:$S$43=0))+SUMPRODUCT(L$14:L$43,--($D$14:$D$43=$D98),--($Q$14:$Q$43=FALSE),--($R$14:$R$43="Yes"),--($S$14:$S$43=0))*0.1</f>
        <v>0</v>
      </c>
      <c r="M98" s="622" cm="1">
        <f t="array" ref="M98">SUMPRODUCT(M$14:M$43,--($D$14:$D$43=$D98),--($Q$14:$Q$43=FALSE),$S$14:$S$43,--($S$14:$S$43&gt;0))+SUMPRODUCT(M$14:M$43,--($D$14:$D$43=$D98),--($Q$14:$Q$43=FALSE),$S$14:$S$43,--($S$14:$S$43&gt;0),--($R$14:$R$43="Yes"))*0.1+SUMPRODUCT(M$14:M$43,--($D$14:$D$43=$D98),--($Q$14:$Q$43=FALSE),--($S$14:$S$43=0))+SUMPRODUCT(M$14:M$43,--($D$14:$D$43=$D98),--($Q$14:$Q$43=FALSE),--($R$14:$R$43="Yes"),--($S$14:$S$43=0))*0.1</f>
        <v>0</v>
      </c>
      <c r="N98" s="622" cm="1">
        <f t="array" ref="N98">SUMPRODUCT(N$14:N$43,--($D$14:$D$43=$D98),--($Q$14:$Q$43=FALSE),$S$14:$S$43,--($S$14:$S$43&gt;0))+SUMPRODUCT(N$14:N$43,--($D$14:$D$43=$D98),--($Q$14:$Q$43=FALSE),$S$14:$S$43,--($S$14:$S$43&gt;0),--($R$14:$R$43="Yes"))*0.1+SUMPRODUCT(N$14:N$43,--($D$14:$D$43=$D98),--($Q$14:$Q$43=FALSE),--($S$14:$S$43=0))+SUMPRODUCT(N$14:N$43,--($D$14:$D$43=$D98),--($Q$14:$Q$43=FALSE),--($R$14:$R$43="Yes"),--($S$14:$S$43=0))*0.1</f>
        <v>0</v>
      </c>
      <c r="O98" s="622" cm="1">
        <f t="array" ref="O98">SUMPRODUCT(O$14:O$43,--($D$14:$D$43=$D98),--($Q$14:$Q$43=FALSE),$S$14:$S$43,--($S$14:$S$43&gt;0))+SUMPRODUCT(O$14:O$43,--($D$14:$D$43=$D98),--($Q$14:$Q$43=FALSE),$S$14:$S$43,--($S$14:$S$43&gt;0),--($R$14:$R$43="Yes"))*0.1+SUMPRODUCT(O$14:O$43,--($D$14:$D$43=$D98),--($Q$14:$Q$43=FALSE),--($S$14:$S$43=0))+SUMPRODUCT(O$14:O$43,--($D$14:$D$43=$D98),--($Q$14:$Q$43=FALSE),--($R$14:$R$43="Yes"),--($S$14:$S$43=0))*0.1</f>
        <v>0</v>
      </c>
      <c r="P98" s="623">
        <f t="shared" si="24"/>
        <v>0</v>
      </c>
      <c r="Q98" s="575"/>
      <c r="R98" s="576"/>
      <c r="S98" s="576"/>
      <c r="T98" s="576"/>
      <c r="U98" s="577"/>
      <c r="V98" s="610"/>
      <c r="W98" s="610"/>
      <c r="X98" s="610"/>
      <c r="Y98" s="610"/>
      <c r="Z98" s="610"/>
      <c r="AA98" s="610"/>
      <c r="AB98" s="610"/>
      <c r="AC98" s="610"/>
      <c r="AD98" s="610"/>
      <c r="AE98" s="610"/>
      <c r="AF98" s="610"/>
      <c r="AG98" s="610"/>
      <c r="AH98" s="610"/>
      <c r="AI98" s="610"/>
      <c r="AJ98" s="610"/>
      <c r="AK98" s="610"/>
      <c r="AL98" s="610"/>
      <c r="AM98" s="610"/>
      <c r="AN98" s="610"/>
      <c r="AO98" s="610"/>
      <c r="AP98" s="610"/>
      <c r="AQ98" s="610"/>
      <c r="AR98" s="610"/>
      <c r="AS98" s="610"/>
      <c r="AT98" s="610"/>
      <c r="AU98" s="610"/>
      <c r="AV98" s="610"/>
      <c r="AW98" s="610"/>
      <c r="AX98" s="610"/>
      <c r="AY98" s="610"/>
      <c r="AZ98" s="610"/>
      <c r="BA98" s="610"/>
      <c r="BB98" s="610"/>
      <c r="BC98" s="610"/>
      <c r="BD98" s="610"/>
      <c r="BE98" s="610"/>
      <c r="BF98" s="610"/>
      <c r="BG98" s="610"/>
      <c r="BH98" s="610"/>
      <c r="BI98" s="610"/>
      <c r="BJ98" s="610"/>
      <c r="BK98" s="610"/>
      <c r="BL98" s="610"/>
      <c r="BM98" s="610"/>
      <c r="BN98" s="610"/>
      <c r="BO98" s="610"/>
      <c r="BP98" s="610"/>
      <c r="BQ98" s="610"/>
      <c r="BR98" s="610"/>
      <c r="BS98" s="610"/>
      <c r="BT98" s="610"/>
      <c r="BU98" s="610"/>
      <c r="BV98" s="610"/>
      <c r="BW98" s="610"/>
      <c r="BX98" s="610"/>
      <c r="BY98" s="610"/>
      <c r="BZ98" s="610"/>
      <c r="CA98" s="610"/>
      <c r="CB98" s="610"/>
      <c r="CC98" s="610"/>
      <c r="CD98" s="610"/>
      <c r="CE98" s="610"/>
      <c r="CF98" s="610"/>
      <c r="CG98" s="610"/>
      <c r="CH98" s="610"/>
      <c r="CI98" s="610"/>
      <c r="CJ98" s="610"/>
      <c r="CK98" s="610"/>
      <c r="CL98" s="610"/>
      <c r="CM98" s="610"/>
      <c r="CN98" s="610"/>
      <c r="CO98" s="610"/>
      <c r="CP98" s="610"/>
      <c r="CQ98" s="610"/>
      <c r="CR98" s="610"/>
      <c r="CS98" s="610"/>
      <c r="CT98" s="610"/>
      <c r="CU98" s="610"/>
      <c r="CV98" s="610"/>
      <c r="CW98" s="610"/>
      <c r="CX98" s="610"/>
      <c r="CY98" s="610"/>
      <c r="CZ98" s="610"/>
      <c r="DA98" s="610"/>
      <c r="DB98" s="610"/>
      <c r="DC98" s="610"/>
      <c r="DD98" s="610"/>
      <c r="DE98" s="610"/>
      <c r="DF98" s="610"/>
      <c r="DG98" s="610"/>
      <c r="DH98" s="610"/>
      <c r="DI98" s="610"/>
      <c r="DJ98" s="610"/>
      <c r="DK98" s="610"/>
      <c r="DL98" s="610"/>
      <c r="DM98" s="610"/>
      <c r="DN98" s="610"/>
      <c r="DO98" s="610"/>
      <c r="DP98" s="610"/>
      <c r="DQ98" s="610"/>
      <c r="DR98" s="610"/>
      <c r="DS98" s="610"/>
      <c r="DT98" s="610"/>
      <c r="DU98" s="610"/>
      <c r="DV98" s="610"/>
      <c r="DW98" s="610"/>
      <c r="DX98" s="610"/>
      <c r="DY98" s="610"/>
      <c r="DZ98" s="610"/>
      <c r="EA98" s="610"/>
      <c r="EB98" s="610"/>
      <c r="EC98" s="610"/>
      <c r="ED98" s="610"/>
      <c r="EE98" s="610"/>
      <c r="EF98" s="610"/>
      <c r="EG98" s="610"/>
      <c r="EH98" s="610"/>
      <c r="EI98" s="610"/>
      <c r="EJ98" s="610"/>
      <c r="EK98" s="610"/>
      <c r="EL98" s="610"/>
      <c r="EM98" s="610"/>
      <c r="EN98" s="610"/>
      <c r="EO98" s="610"/>
      <c r="EP98" s="610"/>
      <c r="EQ98" s="610"/>
      <c r="ER98" s="610"/>
      <c r="ES98" s="610"/>
      <c r="ET98" s="610"/>
      <c r="EU98" s="610"/>
      <c r="EV98" s="610"/>
      <c r="EW98" s="610"/>
      <c r="EX98" s="610"/>
      <c r="EY98" s="610"/>
      <c r="EZ98" s="610"/>
      <c r="FA98" s="610"/>
      <c r="FB98" s="610"/>
      <c r="FC98" s="610"/>
      <c r="FD98" s="610"/>
      <c r="FE98" s="610"/>
      <c r="FF98" s="610"/>
      <c r="FG98" s="610"/>
      <c r="FH98" s="610"/>
      <c r="FI98" s="610"/>
      <c r="FJ98" s="610"/>
      <c r="FK98" s="610"/>
      <c r="FL98" s="610"/>
      <c r="FM98" s="610"/>
      <c r="FN98" s="610"/>
      <c r="FO98" s="610"/>
      <c r="FP98" s="610"/>
      <c r="FQ98" s="610"/>
      <c r="FR98" s="610"/>
      <c r="FS98" s="610"/>
      <c r="FT98" s="610"/>
      <c r="FU98" s="610"/>
      <c r="FV98" s="610"/>
      <c r="FW98" s="610"/>
      <c r="FX98" s="610"/>
      <c r="FY98" s="610"/>
      <c r="FZ98" s="610"/>
      <c r="GA98" s="610"/>
      <c r="GB98" s="610"/>
      <c r="GC98" s="610"/>
      <c r="GD98" s="610"/>
      <c r="GE98" s="610"/>
      <c r="GF98" s="610"/>
      <c r="GG98" s="610"/>
      <c r="GH98" s="610"/>
      <c r="GI98" s="610"/>
      <c r="GJ98" s="610"/>
      <c r="GK98" s="610"/>
      <c r="GL98" s="610"/>
      <c r="GM98" s="610"/>
      <c r="GN98" s="610"/>
      <c r="GO98" s="610"/>
      <c r="GP98" s="610"/>
      <c r="GQ98" s="610"/>
      <c r="GR98" s="610"/>
      <c r="GS98" s="610"/>
      <c r="GT98" s="610"/>
      <c r="GU98" s="610"/>
      <c r="GV98" s="610"/>
      <c r="GW98" s="610"/>
      <c r="GX98" s="610"/>
      <c r="GY98" s="610"/>
      <c r="GZ98" s="610"/>
      <c r="HA98" s="610"/>
      <c r="HB98" s="610"/>
      <c r="HC98" s="610"/>
      <c r="HD98" s="610"/>
      <c r="HE98" s="610"/>
      <c r="HF98" s="610"/>
      <c r="HG98" s="610"/>
      <c r="HH98" s="610"/>
      <c r="HI98" s="610"/>
      <c r="HJ98" s="610"/>
      <c r="HK98" s="610"/>
      <c r="HL98" s="610"/>
      <c r="HM98" s="610"/>
      <c r="HN98" s="610"/>
      <c r="HO98" s="610"/>
      <c r="HP98" s="610"/>
      <c r="HQ98" s="610"/>
      <c r="HR98" s="610"/>
      <c r="HS98" s="610"/>
      <c r="HT98" s="610"/>
      <c r="HU98" s="610"/>
      <c r="HV98" s="610"/>
      <c r="HW98" s="610"/>
      <c r="HX98" s="610"/>
      <c r="HY98" s="610"/>
      <c r="HZ98" s="610"/>
      <c r="IA98" s="610"/>
      <c r="IB98" s="610"/>
      <c r="IC98" s="610"/>
      <c r="ID98" s="610"/>
      <c r="IE98" s="610"/>
      <c r="IF98" s="610"/>
      <c r="IG98" s="610"/>
      <c r="IH98" s="610"/>
      <c r="II98" s="610"/>
      <c r="IJ98" s="610"/>
      <c r="IK98" s="610"/>
      <c r="IL98" s="610"/>
      <c r="IM98" s="610"/>
      <c r="IN98" s="610"/>
      <c r="IO98" s="610"/>
      <c r="IP98" s="610"/>
      <c r="IQ98" s="610"/>
      <c r="IR98" s="610"/>
      <c r="IS98" s="610"/>
      <c r="IT98" s="610"/>
      <c r="IU98" s="610"/>
      <c r="IV98" s="610"/>
      <c r="IW98" s="610"/>
      <c r="IX98" s="610"/>
      <c r="IY98" s="610"/>
      <c r="IZ98" s="610"/>
      <c r="JA98" s="610"/>
      <c r="JB98" s="610"/>
      <c r="JC98" s="610"/>
      <c r="JD98" s="610"/>
      <c r="JE98" s="610"/>
      <c r="JF98" s="610"/>
      <c r="JG98" s="610"/>
      <c r="JH98" s="610"/>
      <c r="JI98" s="610"/>
      <c r="JJ98" s="610"/>
      <c r="JK98" s="610"/>
      <c r="JL98" s="610"/>
      <c r="JM98" s="610"/>
      <c r="JN98" s="610"/>
      <c r="JO98" s="610"/>
      <c r="JP98" s="610"/>
      <c r="JQ98" s="610"/>
      <c r="JR98" s="610"/>
      <c r="JS98" s="610"/>
      <c r="JT98" s="610"/>
      <c r="JU98" s="610"/>
      <c r="JV98" s="610"/>
      <c r="JW98" s="610"/>
      <c r="JX98" s="610"/>
      <c r="JY98" s="610"/>
      <c r="JZ98" s="610"/>
      <c r="KA98" s="610"/>
      <c r="KB98" s="610"/>
      <c r="KC98" s="610"/>
      <c r="KD98" s="610"/>
      <c r="KE98" s="610"/>
      <c r="KF98" s="610"/>
      <c r="KG98" s="610"/>
      <c r="KH98" s="610"/>
      <c r="KI98" s="610"/>
      <c r="KJ98" s="610"/>
      <c r="KK98" s="610"/>
      <c r="KL98" s="610"/>
      <c r="KM98" s="610"/>
      <c r="KN98" s="610"/>
      <c r="KO98" s="610"/>
      <c r="KP98" s="610"/>
      <c r="KQ98" s="610"/>
      <c r="KR98" s="610"/>
      <c r="KS98" s="610"/>
      <c r="KT98" s="610"/>
      <c r="KU98" s="610"/>
      <c r="KV98" s="610"/>
      <c r="KW98" s="610"/>
      <c r="KX98" s="610"/>
      <c r="KY98" s="610"/>
      <c r="KZ98" s="610"/>
      <c r="LA98" s="610"/>
      <c r="LB98" s="610"/>
      <c r="LC98" s="610"/>
      <c r="LD98" s="610"/>
      <c r="LE98" s="610"/>
      <c r="LF98" s="610"/>
      <c r="LG98" s="610"/>
      <c r="LH98" s="610"/>
      <c r="LI98" s="610"/>
      <c r="LJ98" s="610"/>
      <c r="LK98" s="610"/>
      <c r="LL98" s="610"/>
      <c r="LM98" s="610"/>
      <c r="LN98" s="610"/>
      <c r="LO98" s="610"/>
      <c r="LP98" s="610"/>
      <c r="LQ98" s="610"/>
      <c r="LR98" s="610"/>
      <c r="LS98" s="610"/>
      <c r="LT98" s="610"/>
      <c r="LU98" s="610"/>
      <c r="LV98" s="610"/>
      <c r="LW98" s="610"/>
      <c r="LX98" s="610"/>
      <c r="LY98" s="610"/>
      <c r="LZ98" s="610"/>
      <c r="MA98" s="610"/>
      <c r="MB98" s="610"/>
      <c r="MC98" s="610"/>
      <c r="MD98" s="610"/>
      <c r="ME98" s="610"/>
      <c r="MF98" s="610"/>
      <c r="MG98" s="610"/>
      <c r="MH98" s="610"/>
      <c r="MI98" s="610"/>
      <c r="MJ98" s="610"/>
      <c r="MK98" s="610"/>
      <c r="ML98" s="610"/>
      <c r="MM98" s="610"/>
      <c r="MN98" s="610"/>
      <c r="MO98" s="610"/>
      <c r="MP98" s="610"/>
      <c r="MQ98" s="610"/>
      <c r="MR98" s="610"/>
      <c r="MS98" s="610"/>
      <c r="MT98" s="610"/>
      <c r="MU98" s="610"/>
      <c r="MV98" s="610"/>
      <c r="MW98" s="610"/>
      <c r="MX98" s="610"/>
      <c r="MY98" s="610"/>
      <c r="MZ98" s="610"/>
      <c r="NA98" s="610"/>
      <c r="NB98" s="610"/>
      <c r="NC98" s="610"/>
      <c r="ND98" s="610"/>
      <c r="NE98" s="610"/>
      <c r="NF98" s="610"/>
      <c r="NG98" s="610"/>
      <c r="NH98" s="610"/>
      <c r="NI98" s="610"/>
      <c r="NJ98" s="610"/>
      <c r="NK98" s="610"/>
      <c r="NL98" s="610"/>
      <c r="NM98" s="610"/>
      <c r="NN98" s="610"/>
      <c r="NO98" s="610"/>
      <c r="NP98" s="610"/>
      <c r="NQ98" s="610"/>
      <c r="NR98" s="610"/>
      <c r="NS98" s="610"/>
      <c r="NT98" s="610"/>
      <c r="NU98" s="610"/>
      <c r="NV98" s="610"/>
      <c r="NW98" s="610"/>
      <c r="NX98" s="610"/>
      <c r="NY98" s="610"/>
      <c r="NZ98" s="610"/>
      <c r="OA98" s="610"/>
      <c r="OB98" s="610"/>
      <c r="OC98" s="610"/>
      <c r="OD98" s="610"/>
      <c r="OE98" s="610"/>
      <c r="OF98" s="610"/>
      <c r="OG98" s="610"/>
      <c r="OH98" s="610"/>
      <c r="OI98" s="610"/>
      <c r="OJ98" s="610"/>
      <c r="OK98" s="610"/>
      <c r="OL98" s="610"/>
      <c r="OM98" s="610"/>
      <c r="ON98" s="610"/>
      <c r="OO98" s="610"/>
      <c r="OP98" s="610"/>
      <c r="OQ98" s="610"/>
      <c r="OR98" s="610"/>
      <c r="OS98" s="610"/>
      <c r="OT98" s="610"/>
      <c r="OU98" s="610"/>
      <c r="OV98" s="610"/>
      <c r="OW98" s="610"/>
      <c r="OX98" s="610"/>
      <c r="OY98" s="610"/>
      <c r="OZ98" s="610"/>
      <c r="PA98" s="610"/>
      <c r="PB98" s="610"/>
      <c r="PC98" s="610"/>
      <c r="PD98" s="610"/>
      <c r="PE98" s="610"/>
      <c r="PF98" s="610"/>
      <c r="PG98" s="610"/>
      <c r="PH98" s="610"/>
      <c r="PI98" s="610"/>
      <c r="PJ98" s="610"/>
      <c r="PK98" s="610"/>
      <c r="PL98" s="610"/>
      <c r="PM98" s="610"/>
      <c r="PN98" s="610"/>
      <c r="PO98" s="610"/>
      <c r="PP98" s="610"/>
      <c r="PQ98" s="610"/>
      <c r="PR98" s="610"/>
      <c r="PS98" s="610"/>
      <c r="PT98" s="610"/>
      <c r="PU98" s="610"/>
      <c r="PV98" s="610"/>
      <c r="PW98" s="610"/>
      <c r="PX98" s="610"/>
      <c r="PY98" s="610"/>
      <c r="PZ98" s="610"/>
      <c r="QA98" s="610"/>
      <c r="QB98" s="610"/>
      <c r="QC98" s="610"/>
      <c r="QD98" s="610"/>
      <c r="QE98" s="610"/>
      <c r="QF98" s="610"/>
      <c r="QG98" s="610"/>
      <c r="QH98" s="610"/>
      <c r="QI98" s="610"/>
      <c r="QJ98" s="610"/>
    </row>
    <row r="99" spans="1:452" s="524" customFormat="1" ht="18" x14ac:dyDescent="0.35">
      <c r="A99" s="605"/>
      <c r="B99" s="558"/>
      <c r="C99" s="559"/>
      <c r="D99" s="606"/>
      <c r="E99" s="572" t="s">
        <v>86</v>
      </c>
      <c r="F99" s="571" cm="1">
        <f t="array" ref="F99">SUMPRODUCT(F$14:F$43,--($Q$14:$Q$43=FALSE),--($D$14:$D$43=$D98))</f>
        <v>0</v>
      </c>
      <c r="G99" s="571" cm="1">
        <f t="array" ref="G99">SUMPRODUCT(G$14:G$43,--($Q$14:$Q$43=FALSE),--($D$14:$D$43=$D98))</f>
        <v>0</v>
      </c>
      <c r="H99" s="571" cm="1">
        <f t="array" ref="H99">SUMPRODUCT(H$14:H$43,--($Q$14:$Q$43=FALSE),--($D$14:$D$43=$D98))</f>
        <v>0</v>
      </c>
      <c r="I99" s="571" cm="1">
        <f t="array" ref="I99">SUMPRODUCT(I$14:I$43,--($Q$14:$Q$43=FALSE),--($D$14:$D$43=$D98))</f>
        <v>0</v>
      </c>
      <c r="J99" s="571" cm="1">
        <f t="array" ref="J99">SUMPRODUCT(J$14:J$43,--($Q$14:$Q$43=FALSE),--($D$14:$D$43=$D98))</f>
        <v>0</v>
      </c>
      <c r="K99" s="571" cm="1">
        <f t="array" ref="K99">SUMPRODUCT(K$14:K$43,--($Q$14:$Q$43=FALSE),--($D$14:$D$43=$D98))</f>
        <v>0</v>
      </c>
      <c r="L99" s="571" cm="1">
        <f t="array" ref="L99">SUMPRODUCT(L$14:L$43,--($Q$14:$Q$43=FALSE),--($D$14:$D$43=$D98))</f>
        <v>0</v>
      </c>
      <c r="M99" s="571" cm="1">
        <f t="array" ref="M99">SUMPRODUCT(M$14:M$43,--($Q$14:$Q$43=FALSE),--($D$14:$D$43=$D98))</f>
        <v>0</v>
      </c>
      <c r="N99" s="571" cm="1">
        <f t="array" ref="N99">SUMPRODUCT(N$14:N$43,--($Q$14:$Q$43=FALSE),--($D$14:$D$43=$D98))</f>
        <v>0</v>
      </c>
      <c r="O99" s="571" cm="1">
        <f t="array" ref="O99">SUMPRODUCT(O$14:O$43,--($Q$14:$Q$43=FALSE),--($D$14:$D$43=$D98))</f>
        <v>0</v>
      </c>
      <c r="P99" s="607">
        <f t="shared" si="24"/>
        <v>0</v>
      </c>
      <c r="Q99" s="575"/>
      <c r="R99" s="576"/>
      <c r="S99" s="576"/>
      <c r="T99" s="576"/>
      <c r="U99" s="577"/>
    </row>
    <row r="100" spans="1:452" s="524" customFormat="1" ht="18" x14ac:dyDescent="0.35">
      <c r="A100" s="605"/>
      <c r="B100" s="558"/>
      <c r="C100" s="559"/>
      <c r="D100" s="606"/>
      <c r="E100" s="572" t="s">
        <v>87</v>
      </c>
      <c r="F100" s="571" cm="1">
        <f t="array" ref="F100">SUMPRODUCT(F$14:F$43,--($Q$14:$Q$43=FALSE),--($D$14:$D$43=$D98),--($R$14:$R$43="Yes"))*0.1</f>
        <v>0</v>
      </c>
      <c r="G100" s="571" cm="1">
        <f t="array" ref="G100">SUMPRODUCT(G$14:G$43,--($Q$14:$Q$43=FALSE),--($D$14:$D$43=$D98),--($R$14:$R$43="Yes"))*0.1</f>
        <v>0</v>
      </c>
      <c r="H100" s="571" cm="1">
        <f t="array" ref="H100">SUMPRODUCT(H$14:H$43,--($Q$14:$Q$43=FALSE),--($D$14:$D$43=$D98),--($R$14:$R$43="Yes"))*0.1</f>
        <v>0</v>
      </c>
      <c r="I100" s="571" cm="1">
        <f t="array" ref="I100">SUMPRODUCT(I$14:I$43,--($Q$14:$Q$43=FALSE),--($D$14:$D$43=$D98),--($R$14:$R$43="Yes"))*0.1</f>
        <v>0</v>
      </c>
      <c r="J100" s="571" cm="1">
        <f t="array" ref="J100">SUMPRODUCT(J$14:J$43,--($Q$14:$Q$43=FALSE),--($D$14:$D$43=$D98),--($R$14:$R$43="Yes"))*0.1</f>
        <v>0</v>
      </c>
      <c r="K100" s="571" cm="1">
        <f t="array" ref="K100">SUMPRODUCT(K$14:K$43,--($Q$14:$Q$43=FALSE),--($D$14:$D$43=$D98),--($R$14:$R$43="Yes"))*0.1</f>
        <v>0</v>
      </c>
      <c r="L100" s="571" cm="1">
        <f t="array" ref="L100">SUMPRODUCT(L$14:L$43,--($Q$14:$Q$43=FALSE),--($D$14:$D$43=$D98),--($R$14:$R$43="Yes"))*0.1</f>
        <v>0</v>
      </c>
      <c r="M100" s="571" cm="1">
        <f t="array" ref="M100">SUMPRODUCT(M$14:M$43,--($Q$14:$Q$43=FALSE),--($D$14:$D$43=$D98),--($R$14:$R$43="Yes"))*0.1</f>
        <v>0</v>
      </c>
      <c r="N100" s="571" cm="1">
        <f t="array" ref="N100">SUMPRODUCT(N$14:N$43,--($Q$14:$Q$43=FALSE),--($D$14:$D$43=$D98),--($R$14:$R$43="Yes"))*0.1</f>
        <v>0</v>
      </c>
      <c r="O100" s="571" cm="1">
        <f t="array" ref="O100">SUMPRODUCT(O$14:O$43,--($Q$14:$Q$43=FALSE),--($D$14:$D$43=$D98),--($R$14:$R$43="Yes"))*0.1</f>
        <v>0</v>
      </c>
      <c r="P100" s="607">
        <f t="shared" si="24"/>
        <v>0</v>
      </c>
      <c r="Q100" s="575"/>
      <c r="R100" s="576"/>
      <c r="S100" s="576"/>
      <c r="T100" s="576"/>
      <c r="U100" s="577"/>
    </row>
    <row r="101" spans="1:452" s="524" customFormat="1" ht="18" x14ac:dyDescent="0.35">
      <c r="A101" s="605"/>
      <c r="B101" s="558"/>
      <c r="C101" s="559"/>
      <c r="D101" s="606"/>
      <c r="E101" s="572" t="s">
        <v>88</v>
      </c>
      <c r="F101" s="571">
        <f t="shared" ref="F101:O101" si="26">F98-(F99+F100)</f>
        <v>0</v>
      </c>
      <c r="G101" s="571">
        <f t="shared" si="26"/>
        <v>0</v>
      </c>
      <c r="H101" s="571">
        <f t="shared" si="26"/>
        <v>0</v>
      </c>
      <c r="I101" s="571">
        <f t="shared" si="26"/>
        <v>0</v>
      </c>
      <c r="J101" s="571">
        <f t="shared" si="26"/>
        <v>0</v>
      </c>
      <c r="K101" s="571">
        <f t="shared" si="26"/>
        <v>0</v>
      </c>
      <c r="L101" s="571">
        <f t="shared" si="26"/>
        <v>0</v>
      </c>
      <c r="M101" s="571">
        <f t="shared" si="26"/>
        <v>0</v>
      </c>
      <c r="N101" s="571">
        <f t="shared" si="26"/>
        <v>0</v>
      </c>
      <c r="O101" s="571">
        <f t="shared" si="26"/>
        <v>0</v>
      </c>
      <c r="P101" s="607">
        <f t="shared" si="24"/>
        <v>0</v>
      </c>
      <c r="Q101" s="575"/>
      <c r="R101" s="576"/>
      <c r="S101" s="576"/>
      <c r="T101" s="576"/>
      <c r="U101" s="577"/>
    </row>
    <row r="102" spans="1:452" s="578" customFormat="1" ht="18" x14ac:dyDescent="0.35">
      <c r="A102" s="624"/>
      <c r="B102" s="625"/>
      <c r="C102" s="626"/>
      <c r="D102" s="625" t="s">
        <v>99</v>
      </c>
      <c r="E102" s="627"/>
      <c r="F102" s="628" cm="1">
        <f t="array" ref="F102">SUMPRODUCT(F$14:F$43,--($D$14:$D$43=$D98),--($Q$14:$Q$43=TRUE),$S$14:$S$43,--($S$14:$S$43&gt;0))+SUMPRODUCT(F$14:F$43,--($D$14:$D$43=$D98),--($Q$14:$Q$43=TRUE),$S$14:$S$43,--($S$14:$S$43&gt;0),--($R$14:$R$43="Yes"))*0.1+SUMPRODUCT(F$14:F$43,--($D$14:$D$43=$D98),--($Q$14:$Q$43=TRUE),--($S49:$S78=0))+SUMPRODUCT(F$14:F$43,--($D$14:$D$43=$D98),--($Q$14:$Q$43=TRUE),--($R$14:$R$43="Yes"),--($S$14:$S$43=0))*0.1</f>
        <v>0</v>
      </c>
      <c r="G102" s="628" cm="1">
        <f t="array" ref="G102">SUMPRODUCT(G$14:G$43,--($D$14:$D$43=$D98),--($Q$14:$Q$43=TRUE),$S$14:$S$43,--($S$14:$S$43&gt;0))+SUMPRODUCT(G$14:G$43,--($D$14:$D$43=$D98),--($Q$14:$Q$43=TRUE),$S$14:$S$43,--($S$14:$S$43&gt;0),--($R$14:$R$43="Yes"))*0.1+SUMPRODUCT(G$14:G$43,--($D$14:$D$43=$D98),--($Q$14:$Q$43=TRUE),--($S49:$S78=0))+SUMPRODUCT(G$14:G$43,--($D$14:$D$43=$D98),--($Q$14:$Q$43=TRUE),--($R$14:$R$43="Yes"),--($S$14:$S$43=0))*0.1</f>
        <v>0</v>
      </c>
      <c r="H102" s="628" cm="1">
        <f t="array" ref="H102">SUMPRODUCT(H$14:H$43,--($D$14:$D$43=$D98),--($Q$14:$Q$43=TRUE),$S$14:$S$43,--($S$14:$S$43&gt;0))+SUMPRODUCT(H$14:H$43,--($D$14:$D$43=$D98),--($Q$14:$Q$43=TRUE),$S$14:$S$43,--($S$14:$S$43&gt;0),--($R$14:$R$43="Yes"))*0.1+SUMPRODUCT(H$14:H$43,--($D$14:$D$43=$D98),--($Q$14:$Q$43=TRUE),--($S49:$S78=0))+SUMPRODUCT(H$14:H$43,--($D$14:$D$43=$D98),--($Q$14:$Q$43=TRUE),--($R$14:$R$43="Yes"),--($S$14:$S$43=0))*0.1</f>
        <v>0</v>
      </c>
      <c r="I102" s="628" cm="1">
        <f t="array" ref="I102">SUMPRODUCT(I$14:I$43,--($D$14:$D$43=$D98),--($Q$14:$Q$43=TRUE),$S$14:$S$43,--($S$14:$S$43&gt;0))+SUMPRODUCT(I$14:I$43,--($D$14:$D$43=$D98),--($Q$14:$Q$43=TRUE),$S$14:$S$43,--($S$14:$S$43&gt;0),--($R$14:$R$43="Yes"))*0.1+SUMPRODUCT(I$14:I$43,--($D$14:$D$43=$D98),--($Q$14:$Q$43=TRUE),--($S49:$S78=0))+SUMPRODUCT(I$14:I$43,--($D$14:$D$43=$D98),--($Q$14:$Q$43=TRUE),--($R$14:$R$43="Yes"),--($S$14:$S$43=0))*0.1</f>
        <v>0</v>
      </c>
      <c r="J102" s="628" cm="1">
        <f t="array" ref="J102">SUMPRODUCT(J$14:J$43,--($D$14:$D$43=$D98),--($Q$14:$Q$43=TRUE),$S$14:$S$43,--($S$14:$S$43&gt;0))+SUMPRODUCT(J$14:J$43,--($D$14:$D$43=$D98),--($Q$14:$Q$43=TRUE),$S$14:$S$43,--($S$14:$S$43&gt;0),--($R$14:$R$43="Yes"))*0.1+SUMPRODUCT(J$14:J$43,--($D$14:$D$43=$D98),--($Q$14:$Q$43=TRUE),--($S49:$S78=0))+SUMPRODUCT(J$14:J$43,--($D$14:$D$43=$D98),--($Q$14:$Q$43=TRUE),--($R$14:$R$43="Yes"),--($S$14:$S$43=0))*0.1</f>
        <v>0</v>
      </c>
      <c r="K102" s="628" cm="1">
        <f t="array" ref="K102">SUMPRODUCT(K$14:K$43,--($D$14:$D$43=$D98),--($Q$14:$Q$43=TRUE),$S$14:$S$43,--($S$14:$S$43&gt;0))+SUMPRODUCT(K$14:K$43,--($D$14:$D$43=$D98),--($Q$14:$Q$43=TRUE),$S$14:$S$43,--($S$14:$S$43&gt;0),--($R$14:$R$43="Yes"))*0.1+SUMPRODUCT(K$14:K$43,--($D$14:$D$43=$D98),--($Q$14:$Q$43=TRUE),--($S49:$S78=0))+SUMPRODUCT(K$14:K$43,--($D$14:$D$43=$D98),--($Q$14:$Q$43=TRUE),--($R$14:$R$43="Yes"),--($S$14:$S$43=0))*0.1</f>
        <v>0</v>
      </c>
      <c r="L102" s="628" cm="1">
        <f t="array" ref="L102">SUMPRODUCT(L$14:L$43,--($D$14:$D$43=$D98),--($Q$14:$Q$43=TRUE),$S$14:$S$43,--($S$14:$S$43&gt;0))+SUMPRODUCT(L$14:L$43,--($D$14:$D$43=$D98),--($Q$14:$Q$43=TRUE),$S$14:$S$43,--($S$14:$S$43&gt;0),--($R$14:$R$43="Yes"))*0.1+SUMPRODUCT(L$14:L$43,--($D$14:$D$43=$D98),--($Q$14:$Q$43=TRUE),--($S49:$S78=0))+SUMPRODUCT(L$14:L$43,--($D$14:$D$43=$D98),--($Q$14:$Q$43=TRUE),--($R$14:$R$43="Yes"),--($S$14:$S$43=0))*0.1</f>
        <v>0</v>
      </c>
      <c r="M102" s="628" cm="1">
        <f t="array" ref="M102">SUMPRODUCT(M$14:M$43,--($D$14:$D$43=$D98),--($Q$14:$Q$43=TRUE),$S$14:$S$43,--($S$14:$S$43&gt;0))+SUMPRODUCT(M$14:M$43,--($D$14:$D$43=$D98),--($Q$14:$Q$43=TRUE),$S$14:$S$43,--($S$14:$S$43&gt;0),--($R$14:$R$43="Yes"))*0.1+SUMPRODUCT(M$14:M$43,--($D$14:$D$43=$D98),--($Q$14:$Q$43=TRUE),--($S49:$S78=0))+SUMPRODUCT(M$14:M$43,--($D$14:$D$43=$D98),--($Q$14:$Q$43=TRUE),--($R$14:$R$43="Yes"),--($S$14:$S$43=0))*0.1</f>
        <v>0</v>
      </c>
      <c r="N102" s="628" cm="1">
        <f t="array" ref="N102">SUMPRODUCT(N$14:N$43,--($D$14:$D$43=$D98),--($Q$14:$Q$43=TRUE),$S$14:$S$43,--($S$14:$S$43&gt;0))+SUMPRODUCT(N$14:N$43,--($D$14:$D$43=$D98),--($Q$14:$Q$43=TRUE),$S$14:$S$43,--($S$14:$S$43&gt;0),--($R$14:$R$43="Yes"))*0.1+SUMPRODUCT(N$14:N$43,--($D$14:$D$43=$D98),--($Q$14:$Q$43=TRUE),--($S49:$S78=0))+SUMPRODUCT(N$14:N$43,--($D$14:$D$43=$D98),--($Q$14:$Q$43=TRUE),--($R$14:$R$43="Yes"),--($S$14:$S$43=0))*0.1</f>
        <v>0</v>
      </c>
      <c r="O102" s="628" cm="1">
        <f t="array" ref="O102">SUMPRODUCT(O$14:O$43,--($D$14:$D$43=$D98),--($Q$14:$Q$43=TRUE),$S$14:$S$43,--($S$14:$S$43&gt;0))+SUMPRODUCT(O$14:O$43,--($D$14:$D$43=$D98),--($Q$14:$Q$43=TRUE),$S$14:$S$43,--($S$14:$S$43&gt;0),--($R$14:$R$43="Yes"))*0.1+SUMPRODUCT(O$14:O$43,--($D$14:$D$43=$D98),--($Q$14:$Q$43=TRUE),--($S49:$S78=0))+SUMPRODUCT(O$14:O$43,--($D$14:$D$43=$D98),--($Q$14:$Q$43=TRUE),--($R$14:$R$43="Yes"),--($S$14:$S$43=0))*0.1</f>
        <v>0</v>
      </c>
      <c r="P102" s="629">
        <f t="shared" si="24"/>
        <v>0</v>
      </c>
      <c r="Q102" s="575"/>
      <c r="R102" s="576"/>
      <c r="S102" s="576"/>
      <c r="T102" s="576"/>
      <c r="U102" s="577"/>
      <c r="V102" s="610"/>
      <c r="W102" s="610"/>
      <c r="X102" s="610"/>
      <c r="Y102" s="610"/>
      <c r="Z102" s="610"/>
      <c r="AA102" s="610"/>
      <c r="AB102" s="610"/>
      <c r="AC102" s="610"/>
      <c r="AD102" s="610"/>
      <c r="AE102" s="610"/>
      <c r="AF102" s="610"/>
      <c r="AG102" s="610"/>
      <c r="AH102" s="610"/>
      <c r="AI102" s="610"/>
      <c r="AJ102" s="610"/>
      <c r="AK102" s="610"/>
      <c r="AL102" s="610"/>
      <c r="AM102" s="610"/>
      <c r="AN102" s="610"/>
      <c r="AO102" s="610"/>
      <c r="AP102" s="610"/>
      <c r="AQ102" s="610"/>
      <c r="AR102" s="610"/>
      <c r="AS102" s="610"/>
      <c r="AT102" s="610"/>
      <c r="AU102" s="610"/>
      <c r="AV102" s="610"/>
      <c r="AW102" s="610"/>
      <c r="AX102" s="610"/>
      <c r="AY102" s="610"/>
      <c r="AZ102" s="610"/>
      <c r="BA102" s="610"/>
      <c r="BB102" s="610"/>
      <c r="BC102" s="610"/>
      <c r="BD102" s="610"/>
      <c r="BE102" s="610"/>
      <c r="BF102" s="610"/>
      <c r="BG102" s="610"/>
      <c r="BH102" s="610"/>
      <c r="BI102" s="610"/>
      <c r="BJ102" s="610"/>
      <c r="BK102" s="610"/>
      <c r="BL102" s="610"/>
      <c r="BM102" s="610"/>
      <c r="BN102" s="610"/>
      <c r="BO102" s="610"/>
      <c r="BP102" s="610"/>
      <c r="BQ102" s="610"/>
      <c r="BR102" s="610"/>
      <c r="BS102" s="610"/>
      <c r="BT102" s="610"/>
      <c r="BU102" s="610"/>
      <c r="BV102" s="610"/>
      <c r="BW102" s="610"/>
      <c r="BX102" s="610"/>
      <c r="BY102" s="610"/>
      <c r="BZ102" s="610"/>
      <c r="CA102" s="610"/>
      <c r="CB102" s="610"/>
      <c r="CC102" s="610"/>
      <c r="CD102" s="610"/>
      <c r="CE102" s="610"/>
      <c r="CF102" s="610"/>
      <c r="CG102" s="610"/>
      <c r="CH102" s="610"/>
      <c r="CI102" s="610"/>
      <c r="CJ102" s="610"/>
      <c r="CK102" s="610"/>
      <c r="CL102" s="610"/>
      <c r="CM102" s="610"/>
      <c r="CN102" s="610"/>
      <c r="CO102" s="610"/>
      <c r="CP102" s="610"/>
      <c r="CQ102" s="610"/>
      <c r="CR102" s="610"/>
      <c r="CS102" s="610"/>
      <c r="CT102" s="610"/>
      <c r="CU102" s="610"/>
      <c r="CV102" s="610"/>
      <c r="CW102" s="610"/>
      <c r="CX102" s="610"/>
      <c r="CY102" s="610"/>
      <c r="CZ102" s="610"/>
      <c r="DA102" s="610"/>
      <c r="DB102" s="610"/>
      <c r="DC102" s="610"/>
      <c r="DD102" s="610"/>
      <c r="DE102" s="610"/>
      <c r="DF102" s="610"/>
      <c r="DG102" s="610"/>
      <c r="DH102" s="610"/>
      <c r="DI102" s="610"/>
      <c r="DJ102" s="610"/>
      <c r="DK102" s="610"/>
      <c r="DL102" s="610"/>
      <c r="DM102" s="610"/>
      <c r="DN102" s="610"/>
      <c r="DO102" s="610"/>
      <c r="DP102" s="610"/>
      <c r="DQ102" s="610"/>
      <c r="DR102" s="610"/>
      <c r="DS102" s="610"/>
      <c r="DT102" s="610"/>
      <c r="DU102" s="610"/>
      <c r="DV102" s="610"/>
      <c r="DW102" s="610"/>
      <c r="DX102" s="610"/>
      <c r="DY102" s="610"/>
      <c r="DZ102" s="610"/>
      <c r="EA102" s="610"/>
      <c r="EB102" s="610"/>
      <c r="EC102" s="610"/>
      <c r="ED102" s="610"/>
      <c r="EE102" s="610"/>
      <c r="EF102" s="610"/>
      <c r="EG102" s="610"/>
      <c r="EH102" s="610"/>
      <c r="EI102" s="610"/>
      <c r="EJ102" s="610"/>
      <c r="EK102" s="610"/>
      <c r="EL102" s="610"/>
      <c r="EM102" s="610"/>
      <c r="EN102" s="610"/>
      <c r="EO102" s="610"/>
      <c r="EP102" s="610"/>
      <c r="EQ102" s="610"/>
      <c r="ER102" s="610"/>
      <c r="ES102" s="610"/>
      <c r="ET102" s="610"/>
      <c r="EU102" s="610"/>
      <c r="EV102" s="610"/>
      <c r="EW102" s="610"/>
      <c r="EX102" s="610"/>
      <c r="EY102" s="610"/>
      <c r="EZ102" s="610"/>
      <c r="FA102" s="610"/>
      <c r="FB102" s="610"/>
      <c r="FC102" s="610"/>
      <c r="FD102" s="610"/>
      <c r="FE102" s="610"/>
      <c r="FF102" s="610"/>
      <c r="FG102" s="610"/>
      <c r="FH102" s="610"/>
      <c r="FI102" s="610"/>
      <c r="FJ102" s="610"/>
      <c r="FK102" s="610"/>
      <c r="FL102" s="610"/>
      <c r="FM102" s="610"/>
      <c r="FN102" s="610"/>
      <c r="FO102" s="610"/>
      <c r="FP102" s="610"/>
      <c r="FQ102" s="610"/>
      <c r="FR102" s="610"/>
      <c r="FS102" s="610"/>
      <c r="FT102" s="610"/>
      <c r="FU102" s="610"/>
      <c r="FV102" s="610"/>
      <c r="FW102" s="610"/>
      <c r="FX102" s="610"/>
      <c r="FY102" s="610"/>
      <c r="FZ102" s="610"/>
      <c r="GA102" s="610"/>
      <c r="GB102" s="610"/>
      <c r="GC102" s="610"/>
      <c r="GD102" s="610"/>
      <c r="GE102" s="610"/>
      <c r="GF102" s="610"/>
      <c r="GG102" s="610"/>
      <c r="GH102" s="610"/>
      <c r="GI102" s="610"/>
      <c r="GJ102" s="610"/>
      <c r="GK102" s="610"/>
      <c r="GL102" s="610"/>
      <c r="GM102" s="610"/>
      <c r="GN102" s="610"/>
      <c r="GO102" s="610"/>
      <c r="GP102" s="610"/>
      <c r="GQ102" s="610"/>
      <c r="GR102" s="610"/>
      <c r="GS102" s="610"/>
      <c r="GT102" s="610"/>
      <c r="GU102" s="610"/>
      <c r="GV102" s="610"/>
      <c r="GW102" s="610"/>
      <c r="GX102" s="610"/>
      <c r="GY102" s="610"/>
      <c r="GZ102" s="610"/>
      <c r="HA102" s="610"/>
      <c r="HB102" s="610"/>
      <c r="HC102" s="610"/>
      <c r="HD102" s="610"/>
      <c r="HE102" s="610"/>
      <c r="HF102" s="610"/>
      <c r="HG102" s="610"/>
      <c r="HH102" s="610"/>
      <c r="HI102" s="610"/>
      <c r="HJ102" s="610"/>
      <c r="HK102" s="610"/>
      <c r="HL102" s="610"/>
      <c r="HM102" s="610"/>
      <c r="HN102" s="610"/>
      <c r="HO102" s="610"/>
      <c r="HP102" s="610"/>
      <c r="HQ102" s="610"/>
      <c r="HR102" s="610"/>
      <c r="HS102" s="610"/>
      <c r="HT102" s="610"/>
      <c r="HU102" s="610"/>
      <c r="HV102" s="610"/>
      <c r="HW102" s="610"/>
      <c r="HX102" s="610"/>
      <c r="HY102" s="610"/>
      <c r="HZ102" s="610"/>
      <c r="IA102" s="610"/>
      <c r="IB102" s="610"/>
      <c r="IC102" s="610"/>
      <c r="ID102" s="610"/>
      <c r="IE102" s="610"/>
      <c r="IF102" s="610"/>
      <c r="IG102" s="610"/>
      <c r="IH102" s="610"/>
      <c r="II102" s="610"/>
      <c r="IJ102" s="610"/>
      <c r="IK102" s="610"/>
      <c r="IL102" s="610"/>
      <c r="IM102" s="610"/>
      <c r="IN102" s="610"/>
      <c r="IO102" s="610"/>
      <c r="IP102" s="610"/>
      <c r="IQ102" s="610"/>
      <c r="IR102" s="610"/>
      <c r="IS102" s="610"/>
      <c r="IT102" s="610"/>
      <c r="IU102" s="610"/>
      <c r="IV102" s="610"/>
      <c r="IW102" s="610"/>
      <c r="IX102" s="610"/>
      <c r="IY102" s="610"/>
      <c r="IZ102" s="610"/>
      <c r="JA102" s="610"/>
      <c r="JB102" s="610"/>
      <c r="JC102" s="610"/>
      <c r="JD102" s="610"/>
      <c r="JE102" s="610"/>
      <c r="JF102" s="610"/>
      <c r="JG102" s="610"/>
      <c r="JH102" s="610"/>
      <c r="JI102" s="610"/>
      <c r="JJ102" s="610"/>
      <c r="JK102" s="610"/>
      <c r="JL102" s="610"/>
      <c r="JM102" s="610"/>
      <c r="JN102" s="610"/>
      <c r="JO102" s="610"/>
      <c r="JP102" s="610"/>
      <c r="JQ102" s="610"/>
      <c r="JR102" s="610"/>
      <c r="JS102" s="610"/>
      <c r="JT102" s="610"/>
      <c r="JU102" s="610"/>
      <c r="JV102" s="610"/>
      <c r="JW102" s="610"/>
      <c r="JX102" s="610"/>
      <c r="JY102" s="610"/>
      <c r="JZ102" s="610"/>
      <c r="KA102" s="610"/>
      <c r="KB102" s="610"/>
      <c r="KC102" s="610"/>
      <c r="KD102" s="610"/>
      <c r="KE102" s="610"/>
      <c r="KF102" s="610"/>
      <c r="KG102" s="610"/>
      <c r="KH102" s="610"/>
      <c r="KI102" s="610"/>
      <c r="KJ102" s="610"/>
      <c r="KK102" s="610"/>
      <c r="KL102" s="610"/>
      <c r="KM102" s="610"/>
      <c r="KN102" s="610"/>
      <c r="KO102" s="610"/>
      <c r="KP102" s="610"/>
      <c r="KQ102" s="610"/>
      <c r="KR102" s="610"/>
      <c r="KS102" s="610"/>
      <c r="KT102" s="610"/>
      <c r="KU102" s="610"/>
      <c r="KV102" s="610"/>
      <c r="KW102" s="610"/>
      <c r="KX102" s="610"/>
      <c r="KY102" s="610"/>
      <c r="KZ102" s="610"/>
      <c r="LA102" s="610"/>
      <c r="LB102" s="610"/>
      <c r="LC102" s="610"/>
      <c r="LD102" s="610"/>
      <c r="LE102" s="610"/>
      <c r="LF102" s="610"/>
      <c r="LG102" s="610"/>
      <c r="LH102" s="610"/>
      <c r="LI102" s="610"/>
      <c r="LJ102" s="610"/>
      <c r="LK102" s="610"/>
      <c r="LL102" s="610"/>
      <c r="LM102" s="610"/>
      <c r="LN102" s="610"/>
      <c r="LO102" s="610"/>
      <c r="LP102" s="610"/>
      <c r="LQ102" s="610"/>
      <c r="LR102" s="610"/>
      <c r="LS102" s="610"/>
      <c r="LT102" s="610"/>
      <c r="LU102" s="610"/>
      <c r="LV102" s="610"/>
      <c r="LW102" s="610"/>
      <c r="LX102" s="610"/>
      <c r="LY102" s="610"/>
      <c r="LZ102" s="610"/>
      <c r="MA102" s="610"/>
      <c r="MB102" s="610"/>
      <c r="MC102" s="610"/>
      <c r="MD102" s="610"/>
      <c r="ME102" s="610"/>
      <c r="MF102" s="610"/>
      <c r="MG102" s="610"/>
      <c r="MH102" s="610"/>
      <c r="MI102" s="610"/>
      <c r="MJ102" s="610"/>
      <c r="MK102" s="610"/>
      <c r="ML102" s="610"/>
      <c r="MM102" s="610"/>
      <c r="MN102" s="610"/>
      <c r="MO102" s="610"/>
      <c r="MP102" s="610"/>
      <c r="MQ102" s="610"/>
      <c r="MR102" s="610"/>
      <c r="MS102" s="610"/>
      <c r="MT102" s="610"/>
      <c r="MU102" s="610"/>
      <c r="MV102" s="610"/>
      <c r="MW102" s="610"/>
      <c r="MX102" s="610"/>
      <c r="MY102" s="610"/>
      <c r="MZ102" s="610"/>
      <c r="NA102" s="610"/>
      <c r="NB102" s="610"/>
      <c r="NC102" s="610"/>
      <c r="ND102" s="610"/>
      <c r="NE102" s="610"/>
      <c r="NF102" s="610"/>
      <c r="NG102" s="610"/>
      <c r="NH102" s="610"/>
      <c r="NI102" s="610"/>
      <c r="NJ102" s="610"/>
      <c r="NK102" s="610"/>
      <c r="NL102" s="610"/>
      <c r="NM102" s="610"/>
      <c r="NN102" s="610"/>
      <c r="NO102" s="610"/>
      <c r="NP102" s="610"/>
      <c r="NQ102" s="610"/>
      <c r="NR102" s="610"/>
      <c r="NS102" s="610"/>
      <c r="NT102" s="610"/>
      <c r="NU102" s="610"/>
      <c r="NV102" s="610"/>
      <c r="NW102" s="610"/>
      <c r="NX102" s="610"/>
      <c r="NY102" s="610"/>
      <c r="NZ102" s="610"/>
      <c r="OA102" s="610"/>
      <c r="OB102" s="610"/>
      <c r="OC102" s="610"/>
      <c r="OD102" s="610"/>
      <c r="OE102" s="610"/>
      <c r="OF102" s="610"/>
      <c r="OG102" s="610"/>
      <c r="OH102" s="610"/>
      <c r="OI102" s="610"/>
      <c r="OJ102" s="610"/>
      <c r="OK102" s="610"/>
      <c r="OL102" s="610"/>
      <c r="OM102" s="610"/>
      <c r="ON102" s="610"/>
      <c r="OO102" s="610"/>
      <c r="OP102" s="610"/>
      <c r="OQ102" s="610"/>
      <c r="OR102" s="610"/>
      <c r="OS102" s="610"/>
      <c r="OT102" s="610"/>
      <c r="OU102" s="610"/>
      <c r="OV102" s="610"/>
      <c r="OW102" s="610"/>
      <c r="OX102" s="610"/>
      <c r="OY102" s="610"/>
      <c r="OZ102" s="610"/>
      <c r="PA102" s="610"/>
      <c r="PB102" s="610"/>
      <c r="PC102" s="610"/>
      <c r="PD102" s="610"/>
      <c r="PE102" s="610"/>
      <c r="PF102" s="610"/>
      <c r="PG102" s="610"/>
      <c r="PH102" s="610"/>
      <c r="PI102" s="610"/>
      <c r="PJ102" s="610"/>
      <c r="PK102" s="610"/>
      <c r="PL102" s="610"/>
      <c r="PM102" s="610"/>
      <c r="PN102" s="610"/>
      <c r="PO102" s="610"/>
      <c r="PP102" s="610"/>
      <c r="PQ102" s="610"/>
      <c r="PR102" s="610"/>
      <c r="PS102" s="610"/>
      <c r="PT102" s="610"/>
      <c r="PU102" s="610"/>
      <c r="PV102" s="610"/>
      <c r="PW102" s="610"/>
      <c r="PX102" s="610"/>
      <c r="PY102" s="610"/>
      <c r="PZ102" s="610"/>
      <c r="QA102" s="610"/>
      <c r="QB102" s="610"/>
      <c r="QC102" s="610"/>
      <c r="QD102" s="610"/>
      <c r="QE102" s="610"/>
      <c r="QF102" s="610"/>
      <c r="QG102" s="610"/>
      <c r="QH102" s="610"/>
      <c r="QI102" s="610"/>
      <c r="QJ102" s="610"/>
    </row>
    <row r="103" spans="1:452" s="524" customFormat="1" ht="18" x14ac:dyDescent="0.35">
      <c r="A103" s="605"/>
      <c r="B103" s="558"/>
      <c r="C103" s="559"/>
      <c r="D103" s="559"/>
      <c r="E103" s="572" t="s">
        <v>86</v>
      </c>
      <c r="F103" s="571" cm="1">
        <f t="array" ref="F103">SUMPRODUCT(F$14:F$43,--($Q$14:$Q$43=TRUE),--($D$14:$D$43=$D98))</f>
        <v>0</v>
      </c>
      <c r="G103" s="571" cm="1">
        <f t="array" ref="G103">SUMPRODUCT(G$14:G$43,--($Q$14:$Q$43=TRUE),--($D$14:$D$43=$D98))</f>
        <v>0</v>
      </c>
      <c r="H103" s="571" cm="1">
        <f t="array" ref="H103">SUMPRODUCT(H$14:H$43,--($Q$14:$Q$43=TRUE),--($D$14:$D$43=$D98))</f>
        <v>0</v>
      </c>
      <c r="I103" s="571" cm="1">
        <f t="array" ref="I103">SUMPRODUCT(I$14:I$43,--($Q$14:$Q$43=TRUE),--($D$14:$D$43=$D98))</f>
        <v>0</v>
      </c>
      <c r="J103" s="571" cm="1">
        <f t="array" ref="J103">SUMPRODUCT(J$14:J$43,--($Q$14:$Q$43=TRUE),--($D$14:$D$43=$D98))</f>
        <v>0</v>
      </c>
      <c r="K103" s="571" cm="1">
        <f t="array" ref="K103">SUMPRODUCT(K$14:K$43,--($Q$14:$Q$43=TRUE),--($D$14:$D$43=$D98))</f>
        <v>0</v>
      </c>
      <c r="L103" s="571" cm="1">
        <f t="array" ref="L103">SUMPRODUCT(L$14:L$43,--($Q$14:$Q$43=TRUE),--($D$14:$D$43=$D98))</f>
        <v>0</v>
      </c>
      <c r="M103" s="571" cm="1">
        <f t="array" ref="M103">SUMPRODUCT(M$14:M$43,--($Q$14:$Q$43=TRUE),--($D$14:$D$43=$D98))</f>
        <v>0</v>
      </c>
      <c r="N103" s="571" cm="1">
        <f t="array" ref="N103">SUMPRODUCT(N$14:N$43,--($Q$14:$Q$43=TRUE),--($D$14:$D$43=$D98))</f>
        <v>0</v>
      </c>
      <c r="O103" s="571" cm="1">
        <f t="array" ref="O103">SUMPRODUCT(O$14:O$43,--($Q$14:$Q$43=TRUE),--($D$14:$D$43=$D98))</f>
        <v>0</v>
      </c>
      <c r="P103" s="607">
        <f t="shared" si="24"/>
        <v>0</v>
      </c>
      <c r="Q103" s="575"/>
      <c r="R103" s="576"/>
      <c r="S103" s="576"/>
      <c r="T103" s="576"/>
      <c r="U103" s="577"/>
    </row>
    <row r="104" spans="1:452" s="524" customFormat="1" ht="18" x14ac:dyDescent="0.35">
      <c r="A104" s="605"/>
      <c r="C104" s="559"/>
      <c r="D104" s="559"/>
      <c r="E104" s="572" t="s">
        <v>87</v>
      </c>
      <c r="F104" s="571" cm="1">
        <f t="array" ref="F104">SUMPRODUCT(F$14:F$43,--($Q$14:$Q$43=TRUE),--($D$14:$D$43=$D102),--($R$14:$R$43="Yes"))*0.1</f>
        <v>0</v>
      </c>
      <c r="G104" s="571" cm="1">
        <f t="array" ref="G104">SUMPRODUCT(G$14:G$43,--($Q$14:$Q$43=TRUE),--($D$14:$D$43=$D102),--($R$14:$R$43="Yes"))*0.1</f>
        <v>0</v>
      </c>
      <c r="H104" s="571" cm="1">
        <f t="array" ref="H104">SUMPRODUCT(H$14:H$43,--($Q$14:$Q$43=TRUE),--($D$14:$D$43=$D102),--($R$14:$R$43="Yes"))*0.1</f>
        <v>0</v>
      </c>
      <c r="I104" s="571" cm="1">
        <f t="array" ref="I104">SUMPRODUCT(I$14:I$43,--($Q$14:$Q$43=TRUE),--($D$14:$D$43=$D102),--($R$14:$R$43="Yes"))*0.1</f>
        <v>0</v>
      </c>
      <c r="J104" s="571" cm="1">
        <f t="array" ref="J104">SUMPRODUCT(J$14:J$43,--($Q$14:$Q$43=TRUE),--($D$14:$D$43=$D102),--($R$14:$R$43="Yes"))*0.1</f>
        <v>0</v>
      </c>
      <c r="K104" s="571" cm="1">
        <f t="array" ref="K104">SUMPRODUCT(K$14:K$43,--($Q$14:$Q$43=TRUE),--($D$14:$D$43=$D102),--($R$14:$R$43="Yes"))*0.1</f>
        <v>0</v>
      </c>
      <c r="L104" s="571" cm="1">
        <f t="array" ref="L104">SUMPRODUCT(L$14:L$43,--($Q$14:$Q$43=TRUE),--($D$14:$D$43=$D102),--($R$14:$R$43="Yes"))*0.1</f>
        <v>0</v>
      </c>
      <c r="M104" s="571" cm="1">
        <f t="array" ref="M104">SUMPRODUCT(M$14:M$43,--($Q$14:$Q$43=TRUE),--($D$14:$D$43=$D102),--($R$14:$R$43="Yes"))*0.1</f>
        <v>0</v>
      </c>
      <c r="N104" s="571" cm="1">
        <f t="array" ref="N104">SUMPRODUCT(N$14:N$43,--($Q$14:$Q$43=TRUE),--($D$14:$D$43=$D102),--($R$14:$R$43="Yes"))*0.1</f>
        <v>0</v>
      </c>
      <c r="O104" s="571" cm="1">
        <f t="array" ref="O104">SUMPRODUCT(O$14:O$43,--($Q$14:$Q$43=TRUE),--($D$14:$D$43=$D102),--($R$14:$R$43="Yes"))*0.1</f>
        <v>0</v>
      </c>
      <c r="P104" s="607">
        <f t="shared" si="24"/>
        <v>0</v>
      </c>
      <c r="Q104" s="575"/>
      <c r="R104" s="576"/>
      <c r="S104" s="576"/>
      <c r="T104" s="576"/>
      <c r="U104" s="577"/>
    </row>
    <row r="105" spans="1:452" s="524" customFormat="1" ht="18" x14ac:dyDescent="0.35">
      <c r="A105" s="605"/>
      <c r="B105" s="558"/>
      <c r="C105" s="559"/>
      <c r="D105" s="559"/>
      <c r="E105" s="572" t="s">
        <v>88</v>
      </c>
      <c r="F105" s="571">
        <f>F102-(F103+F104)</f>
        <v>0</v>
      </c>
      <c r="G105" s="571">
        <f t="shared" ref="G105:O105" si="27">G102-(G103+G104)</f>
        <v>0</v>
      </c>
      <c r="H105" s="571">
        <f t="shared" si="27"/>
        <v>0</v>
      </c>
      <c r="I105" s="571">
        <f t="shared" si="27"/>
        <v>0</v>
      </c>
      <c r="J105" s="571">
        <f t="shared" si="27"/>
        <v>0</v>
      </c>
      <c r="K105" s="571">
        <f t="shared" si="27"/>
        <v>0</v>
      </c>
      <c r="L105" s="571">
        <f t="shared" si="27"/>
        <v>0</v>
      </c>
      <c r="M105" s="571">
        <f t="shared" si="27"/>
        <v>0</v>
      </c>
      <c r="N105" s="571">
        <f t="shared" si="27"/>
        <v>0</v>
      </c>
      <c r="O105" s="571">
        <f t="shared" si="27"/>
        <v>0</v>
      </c>
      <c r="P105" s="607">
        <f t="shared" si="24"/>
        <v>0</v>
      </c>
      <c r="Q105" s="575"/>
      <c r="R105" s="576"/>
      <c r="S105" s="576"/>
      <c r="T105" s="576"/>
      <c r="U105" s="577"/>
    </row>
    <row r="106" spans="1:452" s="524" customFormat="1" ht="18" x14ac:dyDescent="0.35">
      <c r="A106" s="605"/>
      <c r="B106" s="558"/>
      <c r="C106" s="559"/>
      <c r="D106" s="559"/>
      <c r="E106" s="572"/>
      <c r="F106" s="571"/>
      <c r="G106" s="571"/>
      <c r="H106" s="571"/>
      <c r="I106" s="571"/>
      <c r="J106" s="571"/>
      <c r="K106" s="571"/>
      <c r="L106" s="571"/>
      <c r="M106" s="571"/>
      <c r="N106" s="571"/>
      <c r="O106" s="571"/>
      <c r="P106" s="607"/>
      <c r="Q106" s="575"/>
      <c r="R106" s="576"/>
      <c r="S106" s="576"/>
      <c r="T106" s="576"/>
      <c r="U106" s="577"/>
    </row>
    <row r="107" spans="1:452" s="591" customFormat="1" ht="18" x14ac:dyDescent="0.35">
      <c r="A107" s="597"/>
      <c r="B107" s="598" t="s">
        <v>100</v>
      </c>
      <c r="C107" s="599"/>
      <c r="D107" s="599"/>
      <c r="E107" s="589"/>
      <c r="F107" s="590">
        <f t="shared" ref="F107:O107" si="28">F111+F119+F127+F135+F143</f>
        <v>0</v>
      </c>
      <c r="G107" s="590">
        <f t="shared" si="28"/>
        <v>0</v>
      </c>
      <c r="H107" s="590">
        <f t="shared" si="28"/>
        <v>0</v>
      </c>
      <c r="I107" s="590">
        <f t="shared" si="28"/>
        <v>0</v>
      </c>
      <c r="J107" s="590">
        <f t="shared" si="28"/>
        <v>0</v>
      </c>
      <c r="K107" s="590">
        <f t="shared" si="28"/>
        <v>0</v>
      </c>
      <c r="L107" s="590">
        <f t="shared" si="28"/>
        <v>0</v>
      </c>
      <c r="M107" s="590">
        <f t="shared" si="28"/>
        <v>0</v>
      </c>
      <c r="N107" s="590">
        <f t="shared" si="28"/>
        <v>0</v>
      </c>
      <c r="O107" s="590">
        <f t="shared" si="28"/>
        <v>0</v>
      </c>
      <c r="P107" s="600">
        <f>SUM(F107:O107)</f>
        <v>0</v>
      </c>
      <c r="Q107" s="575"/>
      <c r="R107" s="576"/>
      <c r="S107" s="576"/>
      <c r="T107" s="576"/>
      <c r="U107" s="577"/>
      <c r="V107" s="524"/>
      <c r="W107" s="524"/>
      <c r="X107" s="524"/>
      <c r="Y107" s="524"/>
      <c r="Z107" s="524"/>
      <c r="AA107" s="524"/>
      <c r="AB107" s="524"/>
      <c r="AC107" s="524"/>
      <c r="AD107" s="524"/>
      <c r="AE107" s="524"/>
      <c r="AF107" s="524"/>
      <c r="AG107" s="524"/>
      <c r="AH107" s="524"/>
      <c r="AI107" s="524"/>
      <c r="AJ107" s="524"/>
      <c r="AK107" s="524"/>
      <c r="AL107" s="524"/>
      <c r="AM107" s="524"/>
      <c r="AN107" s="524"/>
      <c r="AO107" s="524"/>
      <c r="AP107" s="524"/>
      <c r="AQ107" s="524"/>
      <c r="AR107" s="524"/>
      <c r="AS107" s="524"/>
      <c r="AT107" s="524"/>
      <c r="AU107" s="524"/>
      <c r="AV107" s="524"/>
      <c r="AW107" s="524"/>
      <c r="AX107" s="524"/>
      <c r="AY107" s="524"/>
      <c r="AZ107" s="524"/>
      <c r="BA107" s="524"/>
      <c r="BB107" s="524"/>
      <c r="BC107" s="524"/>
      <c r="BD107" s="524"/>
      <c r="BE107" s="524"/>
      <c r="BF107" s="524"/>
      <c r="BG107" s="524"/>
      <c r="BH107" s="524"/>
      <c r="BI107" s="524"/>
      <c r="BJ107" s="524"/>
      <c r="BK107" s="524"/>
      <c r="BL107" s="524"/>
      <c r="BM107" s="524"/>
      <c r="BN107" s="524"/>
      <c r="BO107" s="524"/>
      <c r="BP107" s="524"/>
      <c r="BQ107" s="524"/>
      <c r="BR107" s="524"/>
      <c r="BS107" s="524"/>
      <c r="BT107" s="524"/>
      <c r="BU107" s="524"/>
      <c r="BV107" s="524"/>
      <c r="BW107" s="524"/>
      <c r="BX107" s="524"/>
      <c r="BY107" s="524"/>
      <c r="BZ107" s="524"/>
      <c r="CA107" s="524"/>
      <c r="CB107" s="524"/>
      <c r="CC107" s="524"/>
      <c r="CD107" s="524"/>
      <c r="CE107" s="524"/>
      <c r="CF107" s="524"/>
      <c r="CG107" s="524"/>
      <c r="CH107" s="524"/>
      <c r="CI107" s="524"/>
      <c r="CJ107" s="524"/>
      <c r="CK107" s="524"/>
      <c r="CL107" s="524"/>
      <c r="CM107" s="524"/>
      <c r="CN107" s="524"/>
      <c r="CO107" s="524"/>
      <c r="CP107" s="524"/>
      <c r="CQ107" s="524"/>
      <c r="CR107" s="524"/>
      <c r="CS107" s="524"/>
      <c r="CT107" s="524"/>
      <c r="CU107" s="524"/>
      <c r="CV107" s="524"/>
      <c r="CW107" s="524"/>
      <c r="CX107" s="524"/>
      <c r="CY107" s="524"/>
      <c r="CZ107" s="524"/>
      <c r="DA107" s="524"/>
      <c r="DB107" s="524"/>
      <c r="DC107" s="524"/>
      <c r="DD107" s="524"/>
      <c r="DE107" s="524"/>
      <c r="DF107" s="524"/>
      <c r="DG107" s="524"/>
      <c r="DH107" s="524"/>
      <c r="DI107" s="524"/>
      <c r="DJ107" s="524"/>
      <c r="DK107" s="524"/>
      <c r="DL107" s="524"/>
      <c r="DM107" s="524"/>
      <c r="DN107" s="524"/>
      <c r="DO107" s="524"/>
      <c r="DP107" s="524"/>
      <c r="DQ107" s="524"/>
      <c r="DR107" s="524"/>
      <c r="DS107" s="524"/>
      <c r="DT107" s="524"/>
      <c r="DU107" s="524"/>
      <c r="DV107" s="524"/>
      <c r="DW107" s="524"/>
      <c r="DX107" s="524"/>
      <c r="DY107" s="524"/>
      <c r="DZ107" s="524"/>
      <c r="EA107" s="524"/>
      <c r="EB107" s="524"/>
      <c r="EC107" s="524"/>
      <c r="ED107" s="524"/>
      <c r="EE107" s="524"/>
      <c r="EF107" s="524"/>
      <c r="EG107" s="524"/>
      <c r="EH107" s="524"/>
      <c r="EI107" s="524"/>
      <c r="EJ107" s="524"/>
      <c r="EK107" s="524"/>
      <c r="EL107" s="524"/>
      <c r="EM107" s="524"/>
      <c r="EN107" s="524"/>
      <c r="EO107" s="524"/>
      <c r="EP107" s="524"/>
      <c r="EQ107" s="524"/>
      <c r="ER107" s="524"/>
      <c r="ES107" s="524"/>
      <c r="ET107" s="524"/>
      <c r="EU107" s="524"/>
      <c r="EV107" s="524"/>
      <c r="EW107" s="524"/>
      <c r="EX107" s="524"/>
      <c r="EY107" s="524"/>
      <c r="EZ107" s="524"/>
      <c r="FA107" s="524"/>
      <c r="FB107" s="524"/>
      <c r="FC107" s="524"/>
      <c r="FD107" s="524"/>
      <c r="FE107" s="524"/>
      <c r="FF107" s="524"/>
      <c r="FG107" s="524"/>
      <c r="FH107" s="524"/>
      <c r="FI107" s="524"/>
      <c r="FJ107" s="524"/>
      <c r="FK107" s="524"/>
      <c r="FL107" s="524"/>
      <c r="FM107" s="524"/>
      <c r="FN107" s="524"/>
      <c r="FO107" s="524"/>
      <c r="FP107" s="524"/>
      <c r="FQ107" s="524"/>
      <c r="FR107" s="524"/>
      <c r="FS107" s="524"/>
      <c r="FT107" s="524"/>
      <c r="FU107" s="524"/>
      <c r="FV107" s="524"/>
      <c r="FW107" s="524"/>
      <c r="FX107" s="524"/>
      <c r="FY107" s="524"/>
      <c r="FZ107" s="524"/>
      <c r="GA107" s="524"/>
      <c r="GB107" s="524"/>
      <c r="GC107" s="524"/>
      <c r="GD107" s="524"/>
      <c r="GE107" s="524"/>
      <c r="GF107" s="524"/>
      <c r="GG107" s="524"/>
      <c r="GH107" s="524"/>
      <c r="GI107" s="524"/>
      <c r="GJ107" s="524"/>
      <c r="GK107" s="524"/>
      <c r="GL107" s="524"/>
      <c r="GM107" s="524"/>
      <c r="GN107" s="524"/>
      <c r="GO107" s="524"/>
      <c r="GP107" s="524"/>
      <c r="GQ107" s="524"/>
      <c r="GR107" s="524"/>
      <c r="GS107" s="524"/>
      <c r="GT107" s="524"/>
      <c r="GU107" s="524"/>
      <c r="GV107" s="524"/>
      <c r="GW107" s="524"/>
      <c r="GX107" s="524"/>
      <c r="GY107" s="524"/>
      <c r="GZ107" s="524"/>
      <c r="HA107" s="524"/>
      <c r="HB107" s="524"/>
      <c r="HC107" s="524"/>
      <c r="HD107" s="524"/>
      <c r="HE107" s="524"/>
      <c r="HF107" s="524"/>
      <c r="HG107" s="524"/>
      <c r="HH107" s="524"/>
      <c r="HI107" s="524"/>
      <c r="HJ107" s="524"/>
      <c r="HK107" s="524"/>
      <c r="HL107" s="524"/>
      <c r="HM107" s="524"/>
      <c r="HN107" s="524"/>
      <c r="HO107" s="524"/>
      <c r="HP107" s="524"/>
      <c r="HQ107" s="524"/>
      <c r="HR107" s="524"/>
      <c r="HS107" s="524"/>
      <c r="HT107" s="524"/>
      <c r="HU107" s="524"/>
      <c r="HV107" s="524"/>
      <c r="HW107" s="524"/>
      <c r="HX107" s="524"/>
      <c r="HY107" s="524"/>
      <c r="HZ107" s="524"/>
      <c r="IA107" s="524"/>
      <c r="IB107" s="524"/>
      <c r="IC107" s="524"/>
      <c r="ID107" s="524"/>
      <c r="IE107" s="524"/>
      <c r="IF107" s="524"/>
      <c r="IG107" s="524"/>
      <c r="IH107" s="524"/>
      <c r="II107" s="524"/>
      <c r="IJ107" s="524"/>
      <c r="IK107" s="524"/>
      <c r="IL107" s="524"/>
      <c r="IM107" s="524"/>
      <c r="IN107" s="524"/>
      <c r="IO107" s="524"/>
      <c r="IP107" s="524"/>
      <c r="IQ107" s="524"/>
      <c r="IR107" s="524"/>
      <c r="IS107" s="524"/>
      <c r="IT107" s="524"/>
      <c r="IU107" s="524"/>
      <c r="IV107" s="524"/>
      <c r="IW107" s="524"/>
      <c r="IX107" s="524"/>
      <c r="IY107" s="524"/>
      <c r="IZ107" s="524"/>
      <c r="JA107" s="524"/>
      <c r="JB107" s="524"/>
      <c r="JC107" s="524"/>
      <c r="JD107" s="524"/>
      <c r="JE107" s="524"/>
      <c r="JF107" s="524"/>
      <c r="JG107" s="524"/>
      <c r="JH107" s="524"/>
      <c r="JI107" s="524"/>
      <c r="JJ107" s="524"/>
      <c r="JK107" s="524"/>
      <c r="JL107" s="524"/>
      <c r="JM107" s="524"/>
      <c r="JN107" s="524"/>
      <c r="JO107" s="524"/>
      <c r="JP107" s="524"/>
      <c r="JQ107" s="524"/>
      <c r="JR107" s="524"/>
      <c r="JS107" s="524"/>
      <c r="JT107" s="524"/>
      <c r="JU107" s="524"/>
      <c r="JV107" s="524"/>
      <c r="JW107" s="524"/>
      <c r="JX107" s="524"/>
      <c r="JY107" s="524"/>
      <c r="JZ107" s="524"/>
      <c r="KA107" s="524"/>
      <c r="KB107" s="524"/>
      <c r="KC107" s="524"/>
      <c r="KD107" s="524"/>
      <c r="KE107" s="524"/>
      <c r="KF107" s="524"/>
      <c r="KG107" s="524"/>
      <c r="KH107" s="524"/>
      <c r="KI107" s="524"/>
      <c r="KJ107" s="524"/>
      <c r="KK107" s="524"/>
      <c r="KL107" s="524"/>
      <c r="KM107" s="524"/>
      <c r="KN107" s="524"/>
      <c r="KO107" s="524"/>
      <c r="KP107" s="524"/>
      <c r="KQ107" s="524"/>
      <c r="KR107" s="524"/>
      <c r="KS107" s="524"/>
      <c r="KT107" s="524"/>
      <c r="KU107" s="524"/>
      <c r="KV107" s="524"/>
      <c r="KW107" s="524"/>
      <c r="KX107" s="524"/>
      <c r="KY107" s="524"/>
      <c r="KZ107" s="524"/>
      <c r="LA107" s="524"/>
      <c r="LB107" s="524"/>
      <c r="LC107" s="524"/>
      <c r="LD107" s="524"/>
      <c r="LE107" s="524"/>
      <c r="LF107" s="524"/>
      <c r="LG107" s="524"/>
      <c r="LH107" s="524"/>
      <c r="LI107" s="524"/>
      <c r="LJ107" s="524"/>
      <c r="LK107" s="524"/>
      <c r="LL107" s="524"/>
      <c r="LM107" s="524"/>
      <c r="LN107" s="524"/>
      <c r="LO107" s="524"/>
      <c r="LP107" s="524"/>
      <c r="LQ107" s="524"/>
      <c r="LR107" s="524"/>
      <c r="LS107" s="524"/>
      <c r="LT107" s="524"/>
      <c r="LU107" s="524"/>
      <c r="LV107" s="524"/>
      <c r="LW107" s="524"/>
      <c r="LX107" s="524"/>
      <c r="LY107" s="524"/>
      <c r="LZ107" s="524"/>
      <c r="MA107" s="524"/>
      <c r="MB107" s="524"/>
      <c r="MC107" s="524"/>
      <c r="MD107" s="524"/>
      <c r="ME107" s="524"/>
      <c r="MF107" s="524"/>
      <c r="MG107" s="524"/>
      <c r="MH107" s="524"/>
      <c r="MI107" s="524"/>
      <c r="MJ107" s="524"/>
      <c r="MK107" s="524"/>
      <c r="ML107" s="524"/>
      <c r="MM107" s="524"/>
      <c r="MN107" s="524"/>
      <c r="MO107" s="524"/>
      <c r="MP107" s="524"/>
      <c r="MQ107" s="524"/>
      <c r="MR107" s="524"/>
      <c r="MS107" s="524"/>
      <c r="MT107" s="524"/>
      <c r="MU107" s="524"/>
      <c r="MV107" s="524"/>
      <c r="MW107" s="524"/>
      <c r="MX107" s="524"/>
      <c r="MY107" s="524"/>
      <c r="MZ107" s="524"/>
      <c r="NA107" s="524"/>
      <c r="NB107" s="524"/>
      <c r="NC107" s="524"/>
      <c r="ND107" s="524"/>
      <c r="NE107" s="524"/>
      <c r="NF107" s="524"/>
      <c r="NG107" s="524"/>
      <c r="NH107" s="524"/>
      <c r="NI107" s="524"/>
      <c r="NJ107" s="524"/>
      <c r="NK107" s="524"/>
      <c r="NL107" s="524"/>
      <c r="NM107" s="524"/>
      <c r="NN107" s="524"/>
      <c r="NO107" s="524"/>
      <c r="NP107" s="524"/>
      <c r="NQ107" s="524"/>
      <c r="NR107" s="524"/>
      <c r="NS107" s="524"/>
      <c r="NT107" s="524"/>
      <c r="NU107" s="524"/>
      <c r="NV107" s="524"/>
      <c r="NW107" s="524"/>
      <c r="NX107" s="524"/>
      <c r="NY107" s="524"/>
      <c r="NZ107" s="524"/>
      <c r="OA107" s="524"/>
      <c r="OB107" s="524"/>
      <c r="OC107" s="524"/>
      <c r="OD107" s="524"/>
      <c r="OE107" s="524"/>
      <c r="OF107" s="524"/>
      <c r="OG107" s="524"/>
      <c r="OH107" s="524"/>
      <c r="OI107" s="524"/>
      <c r="OJ107" s="524"/>
      <c r="OK107" s="524"/>
      <c r="OL107" s="524"/>
      <c r="OM107" s="524"/>
      <c r="ON107" s="524"/>
      <c r="OO107" s="524"/>
      <c r="OP107" s="524"/>
      <c r="OQ107" s="524"/>
      <c r="OR107" s="524"/>
      <c r="OS107" s="524"/>
      <c r="OT107" s="524"/>
      <c r="OU107" s="524"/>
      <c r="OV107" s="524"/>
      <c r="OW107" s="524"/>
      <c r="OX107" s="524"/>
      <c r="OY107" s="524"/>
      <c r="OZ107" s="524"/>
      <c r="PA107" s="524"/>
      <c r="PB107" s="524"/>
      <c r="PC107" s="524"/>
      <c r="PD107" s="524"/>
      <c r="PE107" s="524"/>
      <c r="PF107" s="524"/>
      <c r="PG107" s="524"/>
      <c r="PH107" s="524"/>
      <c r="PI107" s="524"/>
      <c r="PJ107" s="524"/>
      <c r="PK107" s="524"/>
      <c r="PL107" s="524"/>
      <c r="PM107" s="524"/>
      <c r="PN107" s="524"/>
      <c r="PO107" s="524"/>
      <c r="PP107" s="524"/>
      <c r="PQ107" s="524"/>
      <c r="PR107" s="524"/>
      <c r="PS107" s="524"/>
      <c r="PT107" s="524"/>
      <c r="PU107" s="524"/>
      <c r="PV107" s="524"/>
      <c r="PW107" s="524"/>
      <c r="PX107" s="524"/>
      <c r="PY107" s="524"/>
      <c r="PZ107" s="524"/>
      <c r="QA107" s="524"/>
      <c r="QB107" s="524"/>
      <c r="QC107" s="524"/>
      <c r="QD107" s="524"/>
      <c r="QE107" s="524"/>
      <c r="QF107" s="524"/>
      <c r="QG107" s="524"/>
      <c r="QH107" s="524"/>
      <c r="QI107" s="524"/>
      <c r="QJ107" s="524"/>
    </row>
    <row r="108" spans="1:452" s="588" customFormat="1" ht="18" x14ac:dyDescent="0.35">
      <c r="A108" s="601"/>
      <c r="B108" s="602"/>
      <c r="C108" s="603"/>
      <c r="D108" s="603"/>
      <c r="E108" s="586"/>
      <c r="F108" s="587"/>
      <c r="G108" s="587"/>
      <c r="H108" s="587"/>
      <c r="I108" s="587"/>
      <c r="J108" s="587"/>
      <c r="K108" s="587"/>
      <c r="L108" s="587"/>
      <c r="M108" s="587"/>
      <c r="N108" s="587"/>
      <c r="O108" s="587"/>
      <c r="P108" s="604">
        <f t="shared" ref="P108:P136" si="29">SUM(F108:O108)</f>
        <v>0</v>
      </c>
      <c r="Q108" s="575"/>
      <c r="R108" s="576"/>
      <c r="S108" s="576"/>
      <c r="T108" s="576"/>
      <c r="U108" s="577"/>
      <c r="V108" s="524"/>
      <c r="W108" s="524"/>
      <c r="X108" s="524"/>
      <c r="Y108" s="524"/>
      <c r="Z108" s="524"/>
      <c r="AA108" s="524"/>
      <c r="AB108" s="524"/>
      <c r="AC108" s="524"/>
      <c r="AD108" s="524"/>
      <c r="AE108" s="524"/>
      <c r="AF108" s="524"/>
      <c r="AG108" s="524"/>
      <c r="AH108" s="524"/>
      <c r="AI108" s="524"/>
      <c r="AJ108" s="524"/>
      <c r="AK108" s="524"/>
      <c r="AL108" s="524"/>
      <c r="AM108" s="524"/>
      <c r="AN108" s="524"/>
      <c r="AO108" s="524"/>
      <c r="AP108" s="524"/>
      <c r="AQ108" s="524"/>
      <c r="AR108" s="524"/>
      <c r="AS108" s="524"/>
      <c r="AT108" s="524"/>
      <c r="AU108" s="524"/>
      <c r="AV108" s="524"/>
      <c r="AW108" s="524"/>
      <c r="AX108" s="524"/>
      <c r="AY108" s="524"/>
      <c r="AZ108" s="524"/>
      <c r="BA108" s="524"/>
      <c r="BB108" s="524"/>
      <c r="BC108" s="524"/>
      <c r="BD108" s="524"/>
      <c r="BE108" s="524"/>
      <c r="BF108" s="524"/>
      <c r="BG108" s="524"/>
      <c r="BH108" s="524"/>
      <c r="BI108" s="524"/>
      <c r="BJ108" s="524"/>
      <c r="BK108" s="524"/>
      <c r="BL108" s="524"/>
      <c r="BM108" s="524"/>
      <c r="BN108" s="524"/>
      <c r="BO108" s="524"/>
      <c r="BP108" s="524"/>
      <c r="BQ108" s="524"/>
      <c r="BR108" s="524"/>
      <c r="BS108" s="524"/>
      <c r="BT108" s="524"/>
      <c r="BU108" s="524"/>
      <c r="BV108" s="524"/>
      <c r="BW108" s="524"/>
      <c r="BX108" s="524"/>
      <c r="BY108" s="524"/>
      <c r="BZ108" s="524"/>
      <c r="CA108" s="524"/>
      <c r="CB108" s="524"/>
      <c r="CC108" s="524"/>
      <c r="CD108" s="524"/>
      <c r="CE108" s="524"/>
      <c r="CF108" s="524"/>
      <c r="CG108" s="524"/>
      <c r="CH108" s="524"/>
      <c r="CI108" s="524"/>
      <c r="CJ108" s="524"/>
      <c r="CK108" s="524"/>
      <c r="CL108" s="524"/>
      <c r="CM108" s="524"/>
      <c r="CN108" s="524"/>
      <c r="CO108" s="524"/>
      <c r="CP108" s="524"/>
      <c r="CQ108" s="524"/>
      <c r="CR108" s="524"/>
      <c r="CS108" s="524"/>
      <c r="CT108" s="524"/>
      <c r="CU108" s="524"/>
      <c r="CV108" s="524"/>
      <c r="CW108" s="524"/>
      <c r="CX108" s="524"/>
      <c r="CY108" s="524"/>
      <c r="CZ108" s="524"/>
      <c r="DA108" s="524"/>
      <c r="DB108" s="524"/>
      <c r="DC108" s="524"/>
      <c r="DD108" s="524"/>
      <c r="DE108" s="524"/>
      <c r="DF108" s="524"/>
      <c r="DG108" s="524"/>
      <c r="DH108" s="524"/>
      <c r="DI108" s="524"/>
      <c r="DJ108" s="524"/>
      <c r="DK108" s="524"/>
      <c r="DL108" s="524"/>
      <c r="DM108" s="524"/>
      <c r="DN108" s="524"/>
      <c r="DO108" s="524"/>
      <c r="DP108" s="524"/>
      <c r="DQ108" s="524"/>
      <c r="DR108" s="524"/>
      <c r="DS108" s="524"/>
      <c r="DT108" s="524"/>
      <c r="DU108" s="524"/>
      <c r="DV108" s="524"/>
      <c r="DW108" s="524"/>
      <c r="DX108" s="524"/>
      <c r="DY108" s="524"/>
      <c r="DZ108" s="524"/>
      <c r="EA108" s="524"/>
      <c r="EB108" s="524"/>
      <c r="EC108" s="524"/>
      <c r="ED108" s="524"/>
      <c r="EE108" s="524"/>
      <c r="EF108" s="524"/>
      <c r="EG108" s="524"/>
      <c r="EH108" s="524"/>
      <c r="EI108" s="524"/>
      <c r="EJ108" s="524"/>
      <c r="EK108" s="524"/>
      <c r="EL108" s="524"/>
      <c r="EM108" s="524"/>
      <c r="EN108" s="524"/>
      <c r="EO108" s="524"/>
      <c r="EP108" s="524"/>
      <c r="EQ108" s="524"/>
      <c r="ER108" s="524"/>
      <c r="ES108" s="524"/>
      <c r="ET108" s="524"/>
      <c r="EU108" s="524"/>
      <c r="EV108" s="524"/>
      <c r="EW108" s="524"/>
      <c r="EX108" s="524"/>
      <c r="EY108" s="524"/>
      <c r="EZ108" s="524"/>
      <c r="FA108" s="524"/>
      <c r="FB108" s="524"/>
      <c r="FC108" s="524"/>
      <c r="FD108" s="524"/>
      <c r="FE108" s="524"/>
      <c r="FF108" s="524"/>
      <c r="FG108" s="524"/>
      <c r="FH108" s="524"/>
      <c r="FI108" s="524"/>
      <c r="FJ108" s="524"/>
      <c r="FK108" s="524"/>
      <c r="FL108" s="524"/>
      <c r="FM108" s="524"/>
      <c r="FN108" s="524"/>
      <c r="FO108" s="524"/>
      <c r="FP108" s="524"/>
      <c r="FQ108" s="524"/>
      <c r="FR108" s="524"/>
      <c r="FS108" s="524"/>
      <c r="FT108" s="524"/>
      <c r="FU108" s="524"/>
      <c r="FV108" s="524"/>
      <c r="FW108" s="524"/>
      <c r="FX108" s="524"/>
      <c r="FY108" s="524"/>
      <c r="FZ108" s="524"/>
      <c r="GA108" s="524"/>
      <c r="GB108" s="524"/>
      <c r="GC108" s="524"/>
      <c r="GD108" s="524"/>
      <c r="GE108" s="524"/>
      <c r="GF108" s="524"/>
      <c r="GG108" s="524"/>
      <c r="GH108" s="524"/>
      <c r="GI108" s="524"/>
      <c r="GJ108" s="524"/>
      <c r="GK108" s="524"/>
      <c r="GL108" s="524"/>
      <c r="GM108" s="524"/>
      <c r="GN108" s="524"/>
      <c r="GO108" s="524"/>
      <c r="GP108" s="524"/>
      <c r="GQ108" s="524"/>
      <c r="GR108" s="524"/>
      <c r="GS108" s="524"/>
      <c r="GT108" s="524"/>
      <c r="GU108" s="524"/>
      <c r="GV108" s="524"/>
      <c r="GW108" s="524"/>
      <c r="GX108" s="524"/>
      <c r="GY108" s="524"/>
      <c r="GZ108" s="524"/>
      <c r="HA108" s="524"/>
      <c r="HB108" s="524"/>
      <c r="HC108" s="524"/>
      <c r="HD108" s="524"/>
      <c r="HE108" s="524"/>
      <c r="HF108" s="524"/>
      <c r="HG108" s="524"/>
      <c r="HH108" s="524"/>
      <c r="HI108" s="524"/>
      <c r="HJ108" s="524"/>
      <c r="HK108" s="524"/>
      <c r="HL108" s="524"/>
      <c r="HM108" s="524"/>
      <c r="HN108" s="524"/>
      <c r="HO108" s="524"/>
      <c r="HP108" s="524"/>
      <c r="HQ108" s="524"/>
      <c r="HR108" s="524"/>
      <c r="HS108" s="524"/>
      <c r="HT108" s="524"/>
      <c r="HU108" s="524"/>
      <c r="HV108" s="524"/>
      <c r="HW108" s="524"/>
      <c r="HX108" s="524"/>
      <c r="HY108" s="524"/>
      <c r="HZ108" s="524"/>
      <c r="IA108" s="524"/>
      <c r="IB108" s="524"/>
      <c r="IC108" s="524"/>
      <c r="ID108" s="524"/>
      <c r="IE108" s="524"/>
      <c r="IF108" s="524"/>
      <c r="IG108" s="524"/>
      <c r="IH108" s="524"/>
      <c r="II108" s="524"/>
      <c r="IJ108" s="524"/>
      <c r="IK108" s="524"/>
      <c r="IL108" s="524"/>
      <c r="IM108" s="524"/>
      <c r="IN108" s="524"/>
      <c r="IO108" s="524"/>
      <c r="IP108" s="524"/>
      <c r="IQ108" s="524"/>
      <c r="IR108" s="524"/>
      <c r="IS108" s="524"/>
      <c r="IT108" s="524"/>
      <c r="IU108" s="524"/>
      <c r="IV108" s="524"/>
      <c r="IW108" s="524"/>
      <c r="IX108" s="524"/>
      <c r="IY108" s="524"/>
      <c r="IZ108" s="524"/>
      <c r="JA108" s="524"/>
      <c r="JB108" s="524"/>
      <c r="JC108" s="524"/>
      <c r="JD108" s="524"/>
      <c r="JE108" s="524"/>
      <c r="JF108" s="524"/>
      <c r="JG108" s="524"/>
      <c r="JH108" s="524"/>
      <c r="JI108" s="524"/>
      <c r="JJ108" s="524"/>
      <c r="JK108" s="524"/>
      <c r="JL108" s="524"/>
      <c r="JM108" s="524"/>
      <c r="JN108" s="524"/>
      <c r="JO108" s="524"/>
      <c r="JP108" s="524"/>
      <c r="JQ108" s="524"/>
      <c r="JR108" s="524"/>
      <c r="JS108" s="524"/>
      <c r="JT108" s="524"/>
      <c r="JU108" s="524"/>
      <c r="JV108" s="524"/>
      <c r="JW108" s="524"/>
      <c r="JX108" s="524"/>
      <c r="JY108" s="524"/>
      <c r="JZ108" s="524"/>
      <c r="KA108" s="524"/>
      <c r="KB108" s="524"/>
      <c r="KC108" s="524"/>
      <c r="KD108" s="524"/>
      <c r="KE108" s="524"/>
      <c r="KF108" s="524"/>
      <c r="KG108" s="524"/>
      <c r="KH108" s="524"/>
      <c r="KI108" s="524"/>
      <c r="KJ108" s="524"/>
      <c r="KK108" s="524"/>
      <c r="KL108" s="524"/>
      <c r="KM108" s="524"/>
      <c r="KN108" s="524"/>
      <c r="KO108" s="524"/>
      <c r="KP108" s="524"/>
      <c r="KQ108" s="524"/>
      <c r="KR108" s="524"/>
      <c r="KS108" s="524"/>
      <c r="KT108" s="524"/>
      <c r="KU108" s="524"/>
      <c r="KV108" s="524"/>
      <c r="KW108" s="524"/>
      <c r="KX108" s="524"/>
      <c r="KY108" s="524"/>
      <c r="KZ108" s="524"/>
      <c r="LA108" s="524"/>
      <c r="LB108" s="524"/>
      <c r="LC108" s="524"/>
      <c r="LD108" s="524"/>
      <c r="LE108" s="524"/>
      <c r="LF108" s="524"/>
      <c r="LG108" s="524"/>
      <c r="LH108" s="524"/>
      <c r="LI108" s="524"/>
      <c r="LJ108" s="524"/>
      <c r="LK108" s="524"/>
      <c r="LL108" s="524"/>
      <c r="LM108" s="524"/>
      <c r="LN108" s="524"/>
      <c r="LO108" s="524"/>
      <c r="LP108" s="524"/>
      <c r="LQ108" s="524"/>
      <c r="LR108" s="524"/>
      <c r="LS108" s="524"/>
      <c r="LT108" s="524"/>
      <c r="LU108" s="524"/>
      <c r="LV108" s="524"/>
      <c r="LW108" s="524"/>
      <c r="LX108" s="524"/>
      <c r="LY108" s="524"/>
      <c r="LZ108" s="524"/>
      <c r="MA108" s="524"/>
      <c r="MB108" s="524"/>
      <c r="MC108" s="524"/>
      <c r="MD108" s="524"/>
      <c r="ME108" s="524"/>
      <c r="MF108" s="524"/>
      <c r="MG108" s="524"/>
      <c r="MH108" s="524"/>
      <c r="MI108" s="524"/>
      <c r="MJ108" s="524"/>
      <c r="MK108" s="524"/>
      <c r="ML108" s="524"/>
      <c r="MM108" s="524"/>
      <c r="MN108" s="524"/>
      <c r="MO108" s="524"/>
      <c r="MP108" s="524"/>
      <c r="MQ108" s="524"/>
      <c r="MR108" s="524"/>
      <c r="MS108" s="524"/>
      <c r="MT108" s="524"/>
      <c r="MU108" s="524"/>
      <c r="MV108" s="524"/>
      <c r="MW108" s="524"/>
      <c r="MX108" s="524"/>
      <c r="MY108" s="524"/>
      <c r="MZ108" s="524"/>
      <c r="NA108" s="524"/>
      <c r="NB108" s="524"/>
      <c r="NC108" s="524"/>
      <c r="ND108" s="524"/>
      <c r="NE108" s="524"/>
      <c r="NF108" s="524"/>
      <c r="NG108" s="524"/>
      <c r="NH108" s="524"/>
      <c r="NI108" s="524"/>
      <c r="NJ108" s="524"/>
      <c r="NK108" s="524"/>
      <c r="NL108" s="524"/>
      <c r="NM108" s="524"/>
      <c r="NN108" s="524"/>
      <c r="NO108" s="524"/>
      <c r="NP108" s="524"/>
      <c r="NQ108" s="524"/>
      <c r="NR108" s="524"/>
      <c r="NS108" s="524"/>
      <c r="NT108" s="524"/>
      <c r="NU108" s="524"/>
      <c r="NV108" s="524"/>
      <c r="NW108" s="524"/>
      <c r="NX108" s="524"/>
      <c r="NY108" s="524"/>
      <c r="NZ108" s="524"/>
      <c r="OA108" s="524"/>
      <c r="OB108" s="524"/>
      <c r="OC108" s="524"/>
      <c r="OD108" s="524"/>
      <c r="OE108" s="524"/>
      <c r="OF108" s="524"/>
      <c r="OG108" s="524"/>
      <c r="OH108" s="524"/>
      <c r="OI108" s="524"/>
      <c r="OJ108" s="524"/>
      <c r="OK108" s="524"/>
      <c r="OL108" s="524"/>
      <c r="OM108" s="524"/>
      <c r="ON108" s="524"/>
      <c r="OO108" s="524"/>
      <c r="OP108" s="524"/>
      <c r="OQ108" s="524"/>
      <c r="OR108" s="524"/>
      <c r="OS108" s="524"/>
      <c r="OT108" s="524"/>
      <c r="OU108" s="524"/>
      <c r="OV108" s="524"/>
      <c r="OW108" s="524"/>
      <c r="OX108" s="524"/>
      <c r="OY108" s="524"/>
      <c r="OZ108" s="524"/>
      <c r="PA108" s="524"/>
      <c r="PB108" s="524"/>
      <c r="PC108" s="524"/>
      <c r="PD108" s="524"/>
      <c r="PE108" s="524"/>
      <c r="PF108" s="524"/>
      <c r="PG108" s="524"/>
      <c r="PH108" s="524"/>
      <c r="PI108" s="524"/>
      <c r="PJ108" s="524"/>
      <c r="PK108" s="524"/>
      <c r="PL108" s="524"/>
      <c r="PM108" s="524"/>
      <c r="PN108" s="524"/>
      <c r="PO108" s="524"/>
      <c r="PP108" s="524"/>
      <c r="PQ108" s="524"/>
      <c r="PR108" s="524"/>
      <c r="PS108" s="524"/>
      <c r="PT108" s="524"/>
      <c r="PU108" s="524"/>
      <c r="PV108" s="524"/>
      <c r="PW108" s="524"/>
      <c r="PX108" s="524"/>
      <c r="PY108" s="524"/>
      <c r="PZ108" s="524"/>
      <c r="QA108" s="524"/>
      <c r="QB108" s="524"/>
      <c r="QC108" s="524"/>
      <c r="QD108" s="524"/>
      <c r="QE108" s="524"/>
      <c r="QF108" s="524"/>
      <c r="QG108" s="524"/>
      <c r="QH108" s="524"/>
      <c r="QI108" s="524"/>
      <c r="QJ108" s="524"/>
    </row>
    <row r="109" spans="1:452" s="617" customFormat="1" ht="18" x14ac:dyDescent="0.35">
      <c r="A109" s="611"/>
      <c r="B109" s="612" t="s">
        <v>101</v>
      </c>
      <c r="C109" s="613"/>
      <c r="D109" s="613"/>
      <c r="E109" s="614"/>
      <c r="F109" s="615">
        <f>F115+F123+F131+F139+F147</f>
        <v>0</v>
      </c>
      <c r="G109" s="615">
        <f t="shared" ref="G109:O109" si="30">G115+G123+G131+G139+G147</f>
        <v>0</v>
      </c>
      <c r="H109" s="615">
        <f t="shared" si="30"/>
        <v>0</v>
      </c>
      <c r="I109" s="615">
        <f t="shared" si="30"/>
        <v>0</v>
      </c>
      <c r="J109" s="615">
        <f t="shared" si="30"/>
        <v>0</v>
      </c>
      <c r="K109" s="615">
        <f t="shared" si="30"/>
        <v>0</v>
      </c>
      <c r="L109" s="615">
        <f t="shared" si="30"/>
        <v>0</v>
      </c>
      <c r="M109" s="615">
        <f t="shared" si="30"/>
        <v>0</v>
      </c>
      <c r="N109" s="615">
        <f t="shared" si="30"/>
        <v>0</v>
      </c>
      <c r="O109" s="615">
        <f t="shared" si="30"/>
        <v>0</v>
      </c>
      <c r="P109" s="616">
        <f t="shared" si="29"/>
        <v>0</v>
      </c>
      <c r="Q109" s="575"/>
      <c r="R109" s="576"/>
      <c r="S109" s="576"/>
      <c r="T109" s="576"/>
      <c r="U109" s="577"/>
    </row>
    <row r="110" spans="1:452" s="588" customFormat="1" ht="18" x14ac:dyDescent="0.35">
      <c r="A110" s="601"/>
      <c r="B110" s="602"/>
      <c r="C110" s="603"/>
      <c r="D110" s="603"/>
      <c r="E110" s="586"/>
      <c r="F110" s="587"/>
      <c r="G110" s="587"/>
      <c r="H110" s="587"/>
      <c r="I110" s="587"/>
      <c r="J110" s="587"/>
      <c r="K110" s="587"/>
      <c r="L110" s="587"/>
      <c r="M110" s="587"/>
      <c r="N110" s="587"/>
      <c r="O110" s="587"/>
      <c r="P110" s="604">
        <f t="shared" si="29"/>
        <v>0</v>
      </c>
      <c r="Q110" s="575"/>
      <c r="R110" s="576"/>
      <c r="S110" s="576"/>
      <c r="T110" s="576"/>
      <c r="U110" s="577"/>
      <c r="V110" s="524"/>
      <c r="W110" s="524"/>
      <c r="X110" s="524"/>
      <c r="Y110" s="524"/>
      <c r="Z110" s="524"/>
      <c r="AA110" s="524"/>
      <c r="AB110" s="524"/>
      <c r="AC110" s="524"/>
      <c r="AD110" s="524"/>
      <c r="AE110" s="524"/>
      <c r="AF110" s="524"/>
      <c r="AG110" s="524"/>
      <c r="AH110" s="524"/>
      <c r="AI110" s="524"/>
      <c r="AJ110" s="524"/>
      <c r="AK110" s="524"/>
      <c r="AL110" s="524"/>
      <c r="AM110" s="524"/>
      <c r="AN110" s="524"/>
      <c r="AO110" s="524"/>
      <c r="AP110" s="524"/>
      <c r="AQ110" s="524"/>
      <c r="AR110" s="524"/>
      <c r="AS110" s="524"/>
      <c r="AT110" s="524"/>
      <c r="AU110" s="524"/>
      <c r="AV110" s="524"/>
      <c r="AW110" s="524"/>
      <c r="AX110" s="524"/>
      <c r="AY110" s="524"/>
      <c r="AZ110" s="524"/>
      <c r="BA110" s="524"/>
      <c r="BB110" s="524"/>
      <c r="BC110" s="524"/>
      <c r="BD110" s="524"/>
      <c r="BE110" s="524"/>
      <c r="BF110" s="524"/>
      <c r="BG110" s="524"/>
      <c r="BH110" s="524"/>
      <c r="BI110" s="524"/>
      <c r="BJ110" s="524"/>
      <c r="BK110" s="524"/>
      <c r="BL110" s="524"/>
      <c r="BM110" s="524"/>
      <c r="BN110" s="524"/>
      <c r="BO110" s="524"/>
      <c r="BP110" s="524"/>
      <c r="BQ110" s="524"/>
      <c r="BR110" s="524"/>
      <c r="BS110" s="524"/>
      <c r="BT110" s="524"/>
      <c r="BU110" s="524"/>
      <c r="BV110" s="524"/>
      <c r="BW110" s="524"/>
      <c r="BX110" s="524"/>
      <c r="BY110" s="524"/>
      <c r="BZ110" s="524"/>
      <c r="CA110" s="524"/>
      <c r="CB110" s="524"/>
      <c r="CC110" s="524"/>
      <c r="CD110" s="524"/>
      <c r="CE110" s="524"/>
      <c r="CF110" s="524"/>
      <c r="CG110" s="524"/>
      <c r="CH110" s="524"/>
      <c r="CI110" s="524"/>
      <c r="CJ110" s="524"/>
      <c r="CK110" s="524"/>
      <c r="CL110" s="524"/>
      <c r="CM110" s="524"/>
      <c r="CN110" s="524"/>
      <c r="CO110" s="524"/>
      <c r="CP110" s="524"/>
      <c r="CQ110" s="524"/>
      <c r="CR110" s="524"/>
      <c r="CS110" s="524"/>
      <c r="CT110" s="524"/>
      <c r="CU110" s="524"/>
      <c r="CV110" s="524"/>
      <c r="CW110" s="524"/>
      <c r="CX110" s="524"/>
      <c r="CY110" s="524"/>
      <c r="CZ110" s="524"/>
      <c r="DA110" s="524"/>
      <c r="DB110" s="524"/>
      <c r="DC110" s="524"/>
      <c r="DD110" s="524"/>
      <c r="DE110" s="524"/>
      <c r="DF110" s="524"/>
      <c r="DG110" s="524"/>
      <c r="DH110" s="524"/>
      <c r="DI110" s="524"/>
      <c r="DJ110" s="524"/>
      <c r="DK110" s="524"/>
      <c r="DL110" s="524"/>
      <c r="DM110" s="524"/>
      <c r="DN110" s="524"/>
      <c r="DO110" s="524"/>
      <c r="DP110" s="524"/>
      <c r="DQ110" s="524"/>
      <c r="DR110" s="524"/>
      <c r="DS110" s="524"/>
      <c r="DT110" s="524"/>
      <c r="DU110" s="524"/>
      <c r="DV110" s="524"/>
      <c r="DW110" s="524"/>
      <c r="DX110" s="524"/>
      <c r="DY110" s="524"/>
      <c r="DZ110" s="524"/>
      <c r="EA110" s="524"/>
      <c r="EB110" s="524"/>
      <c r="EC110" s="524"/>
      <c r="ED110" s="524"/>
      <c r="EE110" s="524"/>
      <c r="EF110" s="524"/>
      <c r="EG110" s="524"/>
      <c r="EH110" s="524"/>
      <c r="EI110" s="524"/>
      <c r="EJ110" s="524"/>
      <c r="EK110" s="524"/>
      <c r="EL110" s="524"/>
      <c r="EM110" s="524"/>
      <c r="EN110" s="524"/>
      <c r="EO110" s="524"/>
      <c r="EP110" s="524"/>
      <c r="EQ110" s="524"/>
      <c r="ER110" s="524"/>
      <c r="ES110" s="524"/>
      <c r="ET110" s="524"/>
      <c r="EU110" s="524"/>
      <c r="EV110" s="524"/>
      <c r="EW110" s="524"/>
      <c r="EX110" s="524"/>
      <c r="EY110" s="524"/>
      <c r="EZ110" s="524"/>
      <c r="FA110" s="524"/>
      <c r="FB110" s="524"/>
      <c r="FC110" s="524"/>
      <c r="FD110" s="524"/>
      <c r="FE110" s="524"/>
      <c r="FF110" s="524"/>
      <c r="FG110" s="524"/>
      <c r="FH110" s="524"/>
      <c r="FI110" s="524"/>
      <c r="FJ110" s="524"/>
      <c r="FK110" s="524"/>
      <c r="FL110" s="524"/>
      <c r="FM110" s="524"/>
      <c r="FN110" s="524"/>
      <c r="FO110" s="524"/>
      <c r="FP110" s="524"/>
      <c r="FQ110" s="524"/>
      <c r="FR110" s="524"/>
      <c r="FS110" s="524"/>
      <c r="FT110" s="524"/>
      <c r="FU110" s="524"/>
      <c r="FV110" s="524"/>
      <c r="FW110" s="524"/>
      <c r="FX110" s="524"/>
      <c r="FY110" s="524"/>
      <c r="FZ110" s="524"/>
      <c r="GA110" s="524"/>
      <c r="GB110" s="524"/>
      <c r="GC110" s="524"/>
      <c r="GD110" s="524"/>
      <c r="GE110" s="524"/>
      <c r="GF110" s="524"/>
      <c r="GG110" s="524"/>
      <c r="GH110" s="524"/>
      <c r="GI110" s="524"/>
      <c r="GJ110" s="524"/>
      <c r="GK110" s="524"/>
      <c r="GL110" s="524"/>
      <c r="GM110" s="524"/>
      <c r="GN110" s="524"/>
      <c r="GO110" s="524"/>
      <c r="GP110" s="524"/>
      <c r="GQ110" s="524"/>
      <c r="GR110" s="524"/>
      <c r="GS110" s="524"/>
      <c r="GT110" s="524"/>
      <c r="GU110" s="524"/>
      <c r="GV110" s="524"/>
      <c r="GW110" s="524"/>
      <c r="GX110" s="524"/>
      <c r="GY110" s="524"/>
      <c r="GZ110" s="524"/>
      <c r="HA110" s="524"/>
      <c r="HB110" s="524"/>
      <c r="HC110" s="524"/>
      <c r="HD110" s="524"/>
      <c r="HE110" s="524"/>
      <c r="HF110" s="524"/>
      <c r="HG110" s="524"/>
      <c r="HH110" s="524"/>
      <c r="HI110" s="524"/>
      <c r="HJ110" s="524"/>
      <c r="HK110" s="524"/>
      <c r="HL110" s="524"/>
      <c r="HM110" s="524"/>
      <c r="HN110" s="524"/>
      <c r="HO110" s="524"/>
      <c r="HP110" s="524"/>
      <c r="HQ110" s="524"/>
      <c r="HR110" s="524"/>
      <c r="HS110" s="524"/>
      <c r="HT110" s="524"/>
      <c r="HU110" s="524"/>
      <c r="HV110" s="524"/>
      <c r="HW110" s="524"/>
      <c r="HX110" s="524"/>
      <c r="HY110" s="524"/>
      <c r="HZ110" s="524"/>
      <c r="IA110" s="524"/>
      <c r="IB110" s="524"/>
      <c r="IC110" s="524"/>
      <c r="ID110" s="524"/>
      <c r="IE110" s="524"/>
      <c r="IF110" s="524"/>
      <c r="IG110" s="524"/>
      <c r="IH110" s="524"/>
      <c r="II110" s="524"/>
      <c r="IJ110" s="524"/>
      <c r="IK110" s="524"/>
      <c r="IL110" s="524"/>
      <c r="IM110" s="524"/>
      <c r="IN110" s="524"/>
      <c r="IO110" s="524"/>
      <c r="IP110" s="524"/>
      <c r="IQ110" s="524"/>
      <c r="IR110" s="524"/>
      <c r="IS110" s="524"/>
      <c r="IT110" s="524"/>
      <c r="IU110" s="524"/>
      <c r="IV110" s="524"/>
      <c r="IW110" s="524"/>
      <c r="IX110" s="524"/>
      <c r="IY110" s="524"/>
      <c r="IZ110" s="524"/>
      <c r="JA110" s="524"/>
      <c r="JB110" s="524"/>
      <c r="JC110" s="524"/>
      <c r="JD110" s="524"/>
      <c r="JE110" s="524"/>
      <c r="JF110" s="524"/>
      <c r="JG110" s="524"/>
      <c r="JH110" s="524"/>
      <c r="JI110" s="524"/>
      <c r="JJ110" s="524"/>
      <c r="JK110" s="524"/>
      <c r="JL110" s="524"/>
      <c r="JM110" s="524"/>
      <c r="JN110" s="524"/>
      <c r="JO110" s="524"/>
      <c r="JP110" s="524"/>
      <c r="JQ110" s="524"/>
      <c r="JR110" s="524"/>
      <c r="JS110" s="524"/>
      <c r="JT110" s="524"/>
      <c r="JU110" s="524"/>
      <c r="JV110" s="524"/>
      <c r="JW110" s="524"/>
      <c r="JX110" s="524"/>
      <c r="JY110" s="524"/>
      <c r="JZ110" s="524"/>
      <c r="KA110" s="524"/>
      <c r="KB110" s="524"/>
      <c r="KC110" s="524"/>
      <c r="KD110" s="524"/>
      <c r="KE110" s="524"/>
      <c r="KF110" s="524"/>
      <c r="KG110" s="524"/>
      <c r="KH110" s="524"/>
      <c r="KI110" s="524"/>
      <c r="KJ110" s="524"/>
      <c r="KK110" s="524"/>
      <c r="KL110" s="524"/>
      <c r="KM110" s="524"/>
      <c r="KN110" s="524"/>
      <c r="KO110" s="524"/>
      <c r="KP110" s="524"/>
      <c r="KQ110" s="524"/>
      <c r="KR110" s="524"/>
      <c r="KS110" s="524"/>
      <c r="KT110" s="524"/>
      <c r="KU110" s="524"/>
      <c r="KV110" s="524"/>
      <c r="KW110" s="524"/>
      <c r="KX110" s="524"/>
      <c r="KY110" s="524"/>
      <c r="KZ110" s="524"/>
      <c r="LA110" s="524"/>
      <c r="LB110" s="524"/>
      <c r="LC110" s="524"/>
      <c r="LD110" s="524"/>
      <c r="LE110" s="524"/>
      <c r="LF110" s="524"/>
      <c r="LG110" s="524"/>
      <c r="LH110" s="524"/>
      <c r="LI110" s="524"/>
      <c r="LJ110" s="524"/>
      <c r="LK110" s="524"/>
      <c r="LL110" s="524"/>
      <c r="LM110" s="524"/>
      <c r="LN110" s="524"/>
      <c r="LO110" s="524"/>
      <c r="LP110" s="524"/>
      <c r="LQ110" s="524"/>
      <c r="LR110" s="524"/>
      <c r="LS110" s="524"/>
      <c r="LT110" s="524"/>
      <c r="LU110" s="524"/>
      <c r="LV110" s="524"/>
      <c r="LW110" s="524"/>
      <c r="LX110" s="524"/>
      <c r="LY110" s="524"/>
      <c r="LZ110" s="524"/>
      <c r="MA110" s="524"/>
      <c r="MB110" s="524"/>
      <c r="MC110" s="524"/>
      <c r="MD110" s="524"/>
      <c r="ME110" s="524"/>
      <c r="MF110" s="524"/>
      <c r="MG110" s="524"/>
      <c r="MH110" s="524"/>
      <c r="MI110" s="524"/>
      <c r="MJ110" s="524"/>
      <c r="MK110" s="524"/>
      <c r="ML110" s="524"/>
      <c r="MM110" s="524"/>
      <c r="MN110" s="524"/>
      <c r="MO110" s="524"/>
      <c r="MP110" s="524"/>
      <c r="MQ110" s="524"/>
      <c r="MR110" s="524"/>
      <c r="MS110" s="524"/>
      <c r="MT110" s="524"/>
      <c r="MU110" s="524"/>
      <c r="MV110" s="524"/>
      <c r="MW110" s="524"/>
      <c r="MX110" s="524"/>
      <c r="MY110" s="524"/>
      <c r="MZ110" s="524"/>
      <c r="NA110" s="524"/>
      <c r="NB110" s="524"/>
      <c r="NC110" s="524"/>
      <c r="ND110" s="524"/>
      <c r="NE110" s="524"/>
      <c r="NF110" s="524"/>
      <c r="NG110" s="524"/>
      <c r="NH110" s="524"/>
      <c r="NI110" s="524"/>
      <c r="NJ110" s="524"/>
      <c r="NK110" s="524"/>
      <c r="NL110" s="524"/>
      <c r="NM110" s="524"/>
      <c r="NN110" s="524"/>
      <c r="NO110" s="524"/>
      <c r="NP110" s="524"/>
      <c r="NQ110" s="524"/>
      <c r="NR110" s="524"/>
      <c r="NS110" s="524"/>
      <c r="NT110" s="524"/>
      <c r="NU110" s="524"/>
      <c r="NV110" s="524"/>
      <c r="NW110" s="524"/>
      <c r="NX110" s="524"/>
      <c r="NY110" s="524"/>
      <c r="NZ110" s="524"/>
      <c r="OA110" s="524"/>
      <c r="OB110" s="524"/>
      <c r="OC110" s="524"/>
      <c r="OD110" s="524"/>
      <c r="OE110" s="524"/>
      <c r="OF110" s="524"/>
      <c r="OG110" s="524"/>
      <c r="OH110" s="524"/>
      <c r="OI110" s="524"/>
      <c r="OJ110" s="524"/>
      <c r="OK110" s="524"/>
      <c r="OL110" s="524"/>
      <c r="OM110" s="524"/>
      <c r="ON110" s="524"/>
      <c r="OO110" s="524"/>
      <c r="OP110" s="524"/>
      <c r="OQ110" s="524"/>
      <c r="OR110" s="524"/>
      <c r="OS110" s="524"/>
      <c r="OT110" s="524"/>
      <c r="OU110" s="524"/>
      <c r="OV110" s="524"/>
      <c r="OW110" s="524"/>
      <c r="OX110" s="524"/>
      <c r="OY110" s="524"/>
      <c r="OZ110" s="524"/>
      <c r="PA110" s="524"/>
      <c r="PB110" s="524"/>
      <c r="PC110" s="524"/>
      <c r="PD110" s="524"/>
      <c r="PE110" s="524"/>
      <c r="PF110" s="524"/>
      <c r="PG110" s="524"/>
      <c r="PH110" s="524"/>
      <c r="PI110" s="524"/>
      <c r="PJ110" s="524"/>
      <c r="PK110" s="524"/>
      <c r="PL110" s="524"/>
      <c r="PM110" s="524"/>
      <c r="PN110" s="524"/>
      <c r="PO110" s="524"/>
      <c r="PP110" s="524"/>
      <c r="PQ110" s="524"/>
      <c r="PR110" s="524"/>
      <c r="PS110" s="524"/>
      <c r="PT110" s="524"/>
      <c r="PU110" s="524"/>
      <c r="PV110" s="524"/>
      <c r="PW110" s="524"/>
      <c r="PX110" s="524"/>
      <c r="PY110" s="524"/>
      <c r="PZ110" s="524"/>
      <c r="QA110" s="524"/>
      <c r="QB110" s="524"/>
      <c r="QC110" s="524"/>
      <c r="QD110" s="524"/>
      <c r="QE110" s="524"/>
      <c r="QF110" s="524"/>
      <c r="QG110" s="524"/>
      <c r="QH110" s="524"/>
      <c r="QI110" s="524"/>
      <c r="QJ110" s="524"/>
    </row>
    <row r="111" spans="1:452" s="592" customFormat="1" ht="18" x14ac:dyDescent="0.35">
      <c r="A111" s="618"/>
      <c r="B111" s="619"/>
      <c r="C111" s="620"/>
      <c r="D111" s="619" t="s">
        <v>102</v>
      </c>
      <c r="E111" s="621"/>
      <c r="F111" s="622" cm="1">
        <f t="array" ref="F111">SUMPRODUCT(F$14:F$43,--($D$14:$D$43=$D111),--($Q$14:$Q$43=FALSE),$S$14:$S$43,--($S$14:$S$43&gt;0))+SUMPRODUCT(F$14:F$43,--($D$14:$D$43=$D111),--($Q$14:$Q$43=FALSE),$S$14:$S$43,--($S$14:$S$43&gt;0),--($R$14:$R$43="Yes"))*0.1+SUMPRODUCT(F$14:F$43,--($D$14:$D$43=$D111),--($Q$14:$Q$43=FALSE),--($S$14:$S$43=0))+SUMPRODUCT(F$14:F$43,--($D$14:$D$43=$D111),--($Q$14:$Q$43=FALSE),--($R$14:$R$43="Yes"),--($S$14:$S$43=0))*0.1</f>
        <v>0</v>
      </c>
      <c r="G111" s="622" cm="1">
        <f t="array" ref="G111">SUMPRODUCT(G$14:G$43,--($D$14:$D$43=$D111),--($Q$14:$Q$43=FALSE),$S$14:$S$43,--($S$14:$S$43&gt;0))+SUMPRODUCT(G$14:G$43,--($D$14:$D$43=$D111),--($Q$14:$Q$43=FALSE),$S$14:$S$43,--($S$14:$S$43&gt;0),--($R$14:$R$43="Yes"))*0.1+SUMPRODUCT(G$14:G$43,--($D$14:$D$43=$D111),--($Q$14:$Q$43=FALSE),--($S$14:$S$43=0))+SUMPRODUCT(G$14:G$43,--($D$14:$D$43=$D111),--($Q$14:$Q$43=FALSE),--($R$14:$R$43="Yes"),--($S$14:$S$43=0))*0.1</f>
        <v>0</v>
      </c>
      <c r="H111" s="622" cm="1">
        <f t="array" ref="H111">SUMPRODUCT(H$14:H$43,--($D$14:$D$43=$D111),--($Q$14:$Q$43=FALSE),$S$14:$S$43,--($S$14:$S$43&gt;0))+SUMPRODUCT(H$14:H$43,--($D$14:$D$43=$D111),--($Q$14:$Q$43=FALSE),$S$14:$S$43,--($S$14:$S$43&gt;0),--($R$14:$R$43="Yes"))*0.1+SUMPRODUCT(H$14:H$43,--($D$14:$D$43=$D111),--($Q$14:$Q$43=FALSE),--($S$14:$S$43=0))+SUMPRODUCT(H$14:H$43,--($D$14:$D$43=$D111),--($Q$14:$Q$43=FALSE),--($R$14:$R$43="Yes"),--($S$14:$S$43=0))*0.1</f>
        <v>0</v>
      </c>
      <c r="I111" s="622" cm="1">
        <f t="array" ref="I111">SUMPRODUCT(I$14:I$43,--($D$14:$D$43=$D111),--($Q$14:$Q$43=FALSE),$S$14:$S$43,--($S$14:$S$43&gt;0))+SUMPRODUCT(I$14:I$43,--($D$14:$D$43=$D111),--($Q$14:$Q$43=FALSE),$S$14:$S$43,--($S$14:$S$43&gt;0),--($R$14:$R$43="Yes"))*0.1+SUMPRODUCT(I$14:I$43,--($D$14:$D$43=$D111),--($Q$14:$Q$43=FALSE),--($S$14:$S$43=0))+SUMPRODUCT(I$14:I$43,--($D$14:$D$43=$D111),--($Q$14:$Q$43=FALSE),--($R$14:$R$43="Yes"),--($S$14:$S$43=0))*0.1</f>
        <v>0</v>
      </c>
      <c r="J111" s="622" cm="1">
        <f t="array" ref="J111">SUMPRODUCT(J$14:J$43,--($D$14:$D$43=$D111),--($Q$14:$Q$43=FALSE),$S$14:$S$43,--($S$14:$S$43&gt;0))+SUMPRODUCT(J$14:J$43,--($D$14:$D$43=$D111),--($Q$14:$Q$43=FALSE),$S$14:$S$43,--($S$14:$S$43&gt;0),--($R$14:$R$43="Yes"))*0.1+SUMPRODUCT(J$14:J$43,--($D$14:$D$43=$D111),--($Q$14:$Q$43=FALSE),--($S$14:$S$43=0))+SUMPRODUCT(J$14:J$43,--($D$14:$D$43=$D111),--($Q$14:$Q$43=FALSE),--($R$14:$R$43="Yes"),--($S$14:$S$43=0))*0.1</f>
        <v>0</v>
      </c>
      <c r="K111" s="622" cm="1">
        <f t="array" ref="K111">SUMPRODUCT(K$14:K$43,--($D$14:$D$43=$D111),--($Q$14:$Q$43=FALSE),$S$14:$S$43,--($S$14:$S$43&gt;0))+SUMPRODUCT(K$14:K$43,--($D$14:$D$43=$D111),--($Q$14:$Q$43=FALSE),$S$14:$S$43,--($S$14:$S$43&gt;0),--($R$14:$R$43="Yes"))*0.1+SUMPRODUCT(K$14:K$43,--($D$14:$D$43=$D111),--($Q$14:$Q$43=FALSE),--($S$14:$S$43=0))+SUMPRODUCT(K$14:K$43,--($D$14:$D$43=$D111),--($Q$14:$Q$43=FALSE),--($R$14:$R$43="Yes"),--($S$14:$S$43=0))*0.1</f>
        <v>0</v>
      </c>
      <c r="L111" s="622" cm="1">
        <f t="array" ref="L111">SUMPRODUCT(L$14:L$43,--($D$14:$D$43=$D111),--($Q$14:$Q$43=FALSE),$S$14:$S$43,--($S$14:$S$43&gt;0))+SUMPRODUCT(L$14:L$43,--($D$14:$D$43=$D111),--($Q$14:$Q$43=FALSE),$S$14:$S$43,--($S$14:$S$43&gt;0),--($R$14:$R$43="Yes"))*0.1+SUMPRODUCT(L$14:L$43,--($D$14:$D$43=$D111),--($Q$14:$Q$43=FALSE),--($S$14:$S$43=0))+SUMPRODUCT(L$14:L$43,--($D$14:$D$43=$D111),--($Q$14:$Q$43=FALSE),--($R$14:$R$43="Yes"),--($S$14:$S$43=0))*0.1</f>
        <v>0</v>
      </c>
      <c r="M111" s="622" cm="1">
        <f t="array" ref="M111">SUMPRODUCT(M$14:M$43,--($D$14:$D$43=$D111),--($Q$14:$Q$43=FALSE),$S$14:$S$43,--($S$14:$S$43&gt;0))+SUMPRODUCT(M$14:M$43,--($D$14:$D$43=$D111),--($Q$14:$Q$43=FALSE),$S$14:$S$43,--($S$14:$S$43&gt;0),--($R$14:$R$43="Yes"))*0.1+SUMPRODUCT(M$14:M$43,--($D$14:$D$43=$D111),--($Q$14:$Q$43=FALSE),--($S$14:$S$43=0))+SUMPRODUCT(M$14:M$43,--($D$14:$D$43=$D111),--($Q$14:$Q$43=FALSE),--($R$14:$R$43="Yes"),--($S$14:$S$43=0))*0.1</f>
        <v>0</v>
      </c>
      <c r="N111" s="622" cm="1">
        <f t="array" ref="N111">SUMPRODUCT(N$14:N$43,--($D$14:$D$43=$D111),--($Q$14:$Q$43=FALSE),$S$14:$S$43,--($S$14:$S$43&gt;0))+SUMPRODUCT(N$14:N$43,--($D$14:$D$43=$D111),--($Q$14:$Q$43=FALSE),$S$14:$S$43,--($S$14:$S$43&gt;0),--($R$14:$R$43="Yes"))*0.1+SUMPRODUCT(N$14:N$43,--($D$14:$D$43=$D111),--($Q$14:$Q$43=FALSE),--($S$14:$S$43=0))+SUMPRODUCT(N$14:N$43,--($D$14:$D$43=$D111),--($Q$14:$Q$43=FALSE),--($R$14:$R$43="Yes"),--($S$14:$S$43=0))*0.1</f>
        <v>0</v>
      </c>
      <c r="O111" s="622" cm="1">
        <f t="array" ref="O111">SUMPRODUCT(O$14:O$43,--($D$14:$D$43=$D111),--($Q$14:$Q$43=FALSE),$S$14:$S$43,--($S$14:$S$43&gt;0))+SUMPRODUCT(O$14:O$43,--($D$14:$D$43=$D111),--($Q$14:$Q$43=FALSE),$S$14:$S$43,--($S$14:$S$43&gt;0),--($R$14:$R$43="Yes"))*0.1+SUMPRODUCT(O$14:O$43,--($D$14:$D$43=$D111),--($Q$14:$Q$43=FALSE),--($S$14:$S$43=0))+SUMPRODUCT(O$14:O$43,--($D$14:$D$43=$D111),--($Q$14:$Q$43=FALSE),--($R$14:$R$43="Yes"),--($S$14:$S$43=0))*0.1</f>
        <v>0</v>
      </c>
      <c r="P111" s="623">
        <f t="shared" si="29"/>
        <v>0</v>
      </c>
      <c r="Q111" s="575"/>
      <c r="R111" s="576"/>
      <c r="S111" s="576"/>
      <c r="T111" s="576"/>
      <c r="U111" s="577"/>
      <c r="V111" s="610"/>
      <c r="W111" s="610"/>
      <c r="X111" s="610"/>
      <c r="Y111" s="610"/>
      <c r="Z111" s="610"/>
      <c r="AA111" s="610"/>
      <c r="AB111" s="610"/>
      <c r="AC111" s="610"/>
      <c r="AD111" s="610"/>
      <c r="AE111" s="610"/>
      <c r="AF111" s="610"/>
      <c r="AG111" s="610"/>
      <c r="AH111" s="610"/>
      <c r="AI111" s="610"/>
      <c r="AJ111" s="610"/>
      <c r="AK111" s="610"/>
      <c r="AL111" s="610"/>
      <c r="AM111" s="610"/>
      <c r="AN111" s="610"/>
      <c r="AO111" s="610"/>
      <c r="AP111" s="610"/>
      <c r="AQ111" s="610"/>
      <c r="AR111" s="610"/>
      <c r="AS111" s="610"/>
      <c r="AT111" s="610"/>
      <c r="AU111" s="610"/>
      <c r="AV111" s="610"/>
      <c r="AW111" s="610"/>
      <c r="AX111" s="610"/>
      <c r="AY111" s="610"/>
      <c r="AZ111" s="610"/>
      <c r="BA111" s="610"/>
      <c r="BB111" s="610"/>
      <c r="BC111" s="610"/>
      <c r="BD111" s="610"/>
      <c r="BE111" s="610"/>
      <c r="BF111" s="610"/>
      <c r="BG111" s="610"/>
      <c r="BH111" s="610"/>
      <c r="BI111" s="610"/>
      <c r="BJ111" s="610"/>
      <c r="BK111" s="610"/>
      <c r="BL111" s="610"/>
      <c r="BM111" s="610"/>
      <c r="BN111" s="610"/>
      <c r="BO111" s="610"/>
      <c r="BP111" s="610"/>
      <c r="BQ111" s="610"/>
      <c r="BR111" s="610"/>
      <c r="BS111" s="610"/>
      <c r="BT111" s="610"/>
      <c r="BU111" s="610"/>
      <c r="BV111" s="610"/>
      <c r="BW111" s="610"/>
      <c r="BX111" s="610"/>
      <c r="BY111" s="610"/>
      <c r="BZ111" s="610"/>
      <c r="CA111" s="610"/>
      <c r="CB111" s="610"/>
      <c r="CC111" s="610"/>
      <c r="CD111" s="610"/>
      <c r="CE111" s="610"/>
      <c r="CF111" s="610"/>
      <c r="CG111" s="610"/>
      <c r="CH111" s="610"/>
      <c r="CI111" s="610"/>
      <c r="CJ111" s="610"/>
      <c r="CK111" s="610"/>
      <c r="CL111" s="610"/>
      <c r="CM111" s="610"/>
      <c r="CN111" s="610"/>
      <c r="CO111" s="610"/>
      <c r="CP111" s="610"/>
      <c r="CQ111" s="610"/>
      <c r="CR111" s="610"/>
      <c r="CS111" s="610"/>
      <c r="CT111" s="610"/>
      <c r="CU111" s="610"/>
      <c r="CV111" s="610"/>
      <c r="CW111" s="610"/>
      <c r="CX111" s="610"/>
      <c r="CY111" s="610"/>
      <c r="CZ111" s="610"/>
      <c r="DA111" s="610"/>
      <c r="DB111" s="610"/>
      <c r="DC111" s="610"/>
      <c r="DD111" s="610"/>
      <c r="DE111" s="610"/>
      <c r="DF111" s="610"/>
      <c r="DG111" s="610"/>
      <c r="DH111" s="610"/>
      <c r="DI111" s="610"/>
      <c r="DJ111" s="610"/>
      <c r="DK111" s="610"/>
      <c r="DL111" s="610"/>
      <c r="DM111" s="610"/>
      <c r="DN111" s="610"/>
      <c r="DO111" s="610"/>
      <c r="DP111" s="610"/>
      <c r="DQ111" s="610"/>
      <c r="DR111" s="610"/>
      <c r="DS111" s="610"/>
      <c r="DT111" s="610"/>
      <c r="DU111" s="610"/>
      <c r="DV111" s="610"/>
      <c r="DW111" s="610"/>
      <c r="DX111" s="610"/>
      <c r="DY111" s="610"/>
      <c r="DZ111" s="610"/>
      <c r="EA111" s="610"/>
      <c r="EB111" s="610"/>
      <c r="EC111" s="610"/>
      <c r="ED111" s="610"/>
      <c r="EE111" s="610"/>
      <c r="EF111" s="610"/>
      <c r="EG111" s="610"/>
      <c r="EH111" s="610"/>
      <c r="EI111" s="610"/>
      <c r="EJ111" s="610"/>
      <c r="EK111" s="610"/>
      <c r="EL111" s="610"/>
      <c r="EM111" s="610"/>
      <c r="EN111" s="610"/>
      <c r="EO111" s="610"/>
      <c r="EP111" s="610"/>
      <c r="EQ111" s="610"/>
      <c r="ER111" s="610"/>
      <c r="ES111" s="610"/>
      <c r="ET111" s="610"/>
      <c r="EU111" s="610"/>
      <c r="EV111" s="610"/>
      <c r="EW111" s="610"/>
      <c r="EX111" s="610"/>
      <c r="EY111" s="610"/>
      <c r="EZ111" s="610"/>
      <c r="FA111" s="610"/>
      <c r="FB111" s="610"/>
      <c r="FC111" s="610"/>
      <c r="FD111" s="610"/>
      <c r="FE111" s="610"/>
      <c r="FF111" s="610"/>
      <c r="FG111" s="610"/>
      <c r="FH111" s="610"/>
      <c r="FI111" s="610"/>
      <c r="FJ111" s="610"/>
      <c r="FK111" s="610"/>
      <c r="FL111" s="610"/>
      <c r="FM111" s="610"/>
      <c r="FN111" s="610"/>
      <c r="FO111" s="610"/>
      <c r="FP111" s="610"/>
      <c r="FQ111" s="610"/>
      <c r="FR111" s="610"/>
      <c r="FS111" s="610"/>
      <c r="FT111" s="610"/>
      <c r="FU111" s="610"/>
      <c r="FV111" s="610"/>
      <c r="FW111" s="610"/>
      <c r="FX111" s="610"/>
      <c r="FY111" s="610"/>
      <c r="FZ111" s="610"/>
      <c r="GA111" s="610"/>
      <c r="GB111" s="610"/>
      <c r="GC111" s="610"/>
      <c r="GD111" s="610"/>
      <c r="GE111" s="610"/>
      <c r="GF111" s="610"/>
      <c r="GG111" s="610"/>
      <c r="GH111" s="610"/>
      <c r="GI111" s="610"/>
      <c r="GJ111" s="610"/>
      <c r="GK111" s="610"/>
      <c r="GL111" s="610"/>
      <c r="GM111" s="610"/>
      <c r="GN111" s="610"/>
      <c r="GO111" s="610"/>
      <c r="GP111" s="610"/>
      <c r="GQ111" s="610"/>
      <c r="GR111" s="610"/>
      <c r="GS111" s="610"/>
      <c r="GT111" s="610"/>
      <c r="GU111" s="610"/>
      <c r="GV111" s="610"/>
      <c r="GW111" s="610"/>
      <c r="GX111" s="610"/>
      <c r="GY111" s="610"/>
      <c r="GZ111" s="610"/>
      <c r="HA111" s="610"/>
      <c r="HB111" s="610"/>
      <c r="HC111" s="610"/>
      <c r="HD111" s="610"/>
      <c r="HE111" s="610"/>
      <c r="HF111" s="610"/>
      <c r="HG111" s="610"/>
      <c r="HH111" s="610"/>
      <c r="HI111" s="610"/>
      <c r="HJ111" s="610"/>
      <c r="HK111" s="610"/>
      <c r="HL111" s="610"/>
      <c r="HM111" s="610"/>
      <c r="HN111" s="610"/>
      <c r="HO111" s="610"/>
      <c r="HP111" s="610"/>
      <c r="HQ111" s="610"/>
      <c r="HR111" s="610"/>
      <c r="HS111" s="610"/>
      <c r="HT111" s="610"/>
      <c r="HU111" s="610"/>
      <c r="HV111" s="610"/>
      <c r="HW111" s="610"/>
      <c r="HX111" s="610"/>
      <c r="HY111" s="610"/>
      <c r="HZ111" s="610"/>
      <c r="IA111" s="610"/>
      <c r="IB111" s="610"/>
      <c r="IC111" s="610"/>
      <c r="ID111" s="610"/>
      <c r="IE111" s="610"/>
      <c r="IF111" s="610"/>
      <c r="IG111" s="610"/>
      <c r="IH111" s="610"/>
      <c r="II111" s="610"/>
      <c r="IJ111" s="610"/>
      <c r="IK111" s="610"/>
      <c r="IL111" s="610"/>
      <c r="IM111" s="610"/>
      <c r="IN111" s="610"/>
      <c r="IO111" s="610"/>
      <c r="IP111" s="610"/>
      <c r="IQ111" s="610"/>
      <c r="IR111" s="610"/>
      <c r="IS111" s="610"/>
      <c r="IT111" s="610"/>
      <c r="IU111" s="610"/>
      <c r="IV111" s="610"/>
      <c r="IW111" s="610"/>
      <c r="IX111" s="610"/>
      <c r="IY111" s="610"/>
      <c r="IZ111" s="610"/>
      <c r="JA111" s="610"/>
      <c r="JB111" s="610"/>
      <c r="JC111" s="610"/>
      <c r="JD111" s="610"/>
      <c r="JE111" s="610"/>
      <c r="JF111" s="610"/>
      <c r="JG111" s="610"/>
      <c r="JH111" s="610"/>
      <c r="JI111" s="610"/>
      <c r="JJ111" s="610"/>
      <c r="JK111" s="610"/>
      <c r="JL111" s="610"/>
      <c r="JM111" s="610"/>
      <c r="JN111" s="610"/>
      <c r="JO111" s="610"/>
      <c r="JP111" s="610"/>
      <c r="JQ111" s="610"/>
      <c r="JR111" s="610"/>
      <c r="JS111" s="610"/>
      <c r="JT111" s="610"/>
      <c r="JU111" s="610"/>
      <c r="JV111" s="610"/>
      <c r="JW111" s="610"/>
      <c r="JX111" s="610"/>
      <c r="JY111" s="610"/>
      <c r="JZ111" s="610"/>
      <c r="KA111" s="610"/>
      <c r="KB111" s="610"/>
      <c r="KC111" s="610"/>
      <c r="KD111" s="610"/>
      <c r="KE111" s="610"/>
      <c r="KF111" s="610"/>
      <c r="KG111" s="610"/>
      <c r="KH111" s="610"/>
      <c r="KI111" s="610"/>
      <c r="KJ111" s="610"/>
      <c r="KK111" s="610"/>
      <c r="KL111" s="610"/>
      <c r="KM111" s="610"/>
      <c r="KN111" s="610"/>
      <c r="KO111" s="610"/>
      <c r="KP111" s="610"/>
      <c r="KQ111" s="610"/>
      <c r="KR111" s="610"/>
      <c r="KS111" s="610"/>
      <c r="KT111" s="610"/>
      <c r="KU111" s="610"/>
      <c r="KV111" s="610"/>
      <c r="KW111" s="610"/>
      <c r="KX111" s="610"/>
      <c r="KY111" s="610"/>
      <c r="KZ111" s="610"/>
      <c r="LA111" s="610"/>
      <c r="LB111" s="610"/>
      <c r="LC111" s="610"/>
      <c r="LD111" s="610"/>
      <c r="LE111" s="610"/>
      <c r="LF111" s="610"/>
      <c r="LG111" s="610"/>
      <c r="LH111" s="610"/>
      <c r="LI111" s="610"/>
      <c r="LJ111" s="610"/>
      <c r="LK111" s="610"/>
      <c r="LL111" s="610"/>
      <c r="LM111" s="610"/>
      <c r="LN111" s="610"/>
      <c r="LO111" s="610"/>
      <c r="LP111" s="610"/>
      <c r="LQ111" s="610"/>
      <c r="LR111" s="610"/>
      <c r="LS111" s="610"/>
      <c r="LT111" s="610"/>
      <c r="LU111" s="610"/>
      <c r="LV111" s="610"/>
      <c r="LW111" s="610"/>
      <c r="LX111" s="610"/>
      <c r="LY111" s="610"/>
      <c r="LZ111" s="610"/>
      <c r="MA111" s="610"/>
      <c r="MB111" s="610"/>
      <c r="MC111" s="610"/>
      <c r="MD111" s="610"/>
      <c r="ME111" s="610"/>
      <c r="MF111" s="610"/>
      <c r="MG111" s="610"/>
      <c r="MH111" s="610"/>
      <c r="MI111" s="610"/>
      <c r="MJ111" s="610"/>
      <c r="MK111" s="610"/>
      <c r="ML111" s="610"/>
      <c r="MM111" s="610"/>
      <c r="MN111" s="610"/>
      <c r="MO111" s="610"/>
      <c r="MP111" s="610"/>
      <c r="MQ111" s="610"/>
      <c r="MR111" s="610"/>
      <c r="MS111" s="610"/>
      <c r="MT111" s="610"/>
      <c r="MU111" s="610"/>
      <c r="MV111" s="610"/>
      <c r="MW111" s="610"/>
      <c r="MX111" s="610"/>
      <c r="MY111" s="610"/>
      <c r="MZ111" s="610"/>
      <c r="NA111" s="610"/>
      <c r="NB111" s="610"/>
      <c r="NC111" s="610"/>
      <c r="ND111" s="610"/>
      <c r="NE111" s="610"/>
      <c r="NF111" s="610"/>
      <c r="NG111" s="610"/>
      <c r="NH111" s="610"/>
      <c r="NI111" s="610"/>
      <c r="NJ111" s="610"/>
      <c r="NK111" s="610"/>
      <c r="NL111" s="610"/>
      <c r="NM111" s="610"/>
      <c r="NN111" s="610"/>
      <c r="NO111" s="610"/>
      <c r="NP111" s="610"/>
      <c r="NQ111" s="610"/>
      <c r="NR111" s="610"/>
      <c r="NS111" s="610"/>
      <c r="NT111" s="610"/>
      <c r="NU111" s="610"/>
      <c r="NV111" s="610"/>
      <c r="NW111" s="610"/>
      <c r="NX111" s="610"/>
      <c r="NY111" s="610"/>
      <c r="NZ111" s="610"/>
      <c r="OA111" s="610"/>
      <c r="OB111" s="610"/>
      <c r="OC111" s="610"/>
      <c r="OD111" s="610"/>
      <c r="OE111" s="610"/>
      <c r="OF111" s="610"/>
      <c r="OG111" s="610"/>
      <c r="OH111" s="610"/>
      <c r="OI111" s="610"/>
      <c r="OJ111" s="610"/>
      <c r="OK111" s="610"/>
      <c r="OL111" s="610"/>
      <c r="OM111" s="610"/>
      <c r="ON111" s="610"/>
      <c r="OO111" s="610"/>
      <c r="OP111" s="610"/>
      <c r="OQ111" s="610"/>
      <c r="OR111" s="610"/>
      <c r="OS111" s="610"/>
      <c r="OT111" s="610"/>
      <c r="OU111" s="610"/>
      <c r="OV111" s="610"/>
      <c r="OW111" s="610"/>
      <c r="OX111" s="610"/>
      <c r="OY111" s="610"/>
      <c r="OZ111" s="610"/>
      <c r="PA111" s="610"/>
      <c r="PB111" s="610"/>
      <c r="PC111" s="610"/>
      <c r="PD111" s="610"/>
      <c r="PE111" s="610"/>
      <c r="PF111" s="610"/>
      <c r="PG111" s="610"/>
      <c r="PH111" s="610"/>
      <c r="PI111" s="610"/>
      <c r="PJ111" s="610"/>
      <c r="PK111" s="610"/>
      <c r="PL111" s="610"/>
      <c r="PM111" s="610"/>
      <c r="PN111" s="610"/>
      <c r="PO111" s="610"/>
      <c r="PP111" s="610"/>
      <c r="PQ111" s="610"/>
      <c r="PR111" s="610"/>
      <c r="PS111" s="610"/>
      <c r="PT111" s="610"/>
      <c r="PU111" s="610"/>
      <c r="PV111" s="610"/>
      <c r="PW111" s="610"/>
      <c r="PX111" s="610"/>
      <c r="PY111" s="610"/>
      <c r="PZ111" s="610"/>
      <c r="QA111" s="610"/>
      <c r="QB111" s="610"/>
      <c r="QC111" s="610"/>
      <c r="QD111" s="610"/>
      <c r="QE111" s="610"/>
      <c r="QF111" s="610"/>
      <c r="QG111" s="610"/>
      <c r="QH111" s="610"/>
      <c r="QI111" s="610"/>
      <c r="QJ111" s="610"/>
    </row>
    <row r="112" spans="1:452" s="524" customFormat="1" ht="18" x14ac:dyDescent="0.35">
      <c r="A112" s="605"/>
      <c r="B112" s="558"/>
      <c r="C112" s="559"/>
      <c r="D112" s="606"/>
      <c r="E112" s="572" t="s">
        <v>86</v>
      </c>
      <c r="F112" s="571" cm="1">
        <f t="array" ref="F112">SUMPRODUCT(F$14:F$43,--($Q$14:$Q$43=FALSE),--($D$14:$D$43=$D111))</f>
        <v>0</v>
      </c>
      <c r="G112" s="571" cm="1">
        <f t="array" ref="G112">SUMPRODUCT(G$14:G$43,--($Q$14:$Q$43=FALSE),--($D$14:$D$43=$D111))</f>
        <v>0</v>
      </c>
      <c r="H112" s="571" cm="1">
        <f t="array" ref="H112">SUMPRODUCT(H$14:H$43,--($Q$14:$Q$43=FALSE),--($D$14:$D$43=$D111))</f>
        <v>0</v>
      </c>
      <c r="I112" s="571" cm="1">
        <f t="array" ref="I112">SUMPRODUCT(I$14:I$43,--($Q$14:$Q$43=FALSE),--($D$14:$D$43=$D111))</f>
        <v>0</v>
      </c>
      <c r="J112" s="571" cm="1">
        <f t="array" ref="J112">SUMPRODUCT(J$14:J$43,--($Q$14:$Q$43=FALSE),--($D$14:$D$43=$D111))</f>
        <v>0</v>
      </c>
      <c r="K112" s="571" cm="1">
        <f t="array" ref="K112">SUMPRODUCT(K$14:K$43,--($Q$14:$Q$43=FALSE),--($D$14:$D$43=$D111))</f>
        <v>0</v>
      </c>
      <c r="L112" s="571" cm="1">
        <f t="array" ref="L112">SUMPRODUCT(L$14:L$43,--($Q$14:$Q$43=FALSE),--($D$14:$D$43=$D111))</f>
        <v>0</v>
      </c>
      <c r="M112" s="571" cm="1">
        <f t="array" ref="M112">SUMPRODUCT(M$14:M$43,--($Q$14:$Q$43=FALSE),--($D$14:$D$43=$D111))</f>
        <v>0</v>
      </c>
      <c r="N112" s="571" cm="1">
        <f t="array" ref="N112">SUMPRODUCT(N$14:N$43,--($Q$14:$Q$43=FALSE),--($D$14:$D$43=$D111))</f>
        <v>0</v>
      </c>
      <c r="O112" s="571" cm="1">
        <f t="array" ref="O112">SUMPRODUCT(O$14:O$43,--($Q$14:$Q$43=FALSE),--($D$14:$D$43=$D111))</f>
        <v>0</v>
      </c>
      <c r="P112" s="607">
        <f t="shared" si="29"/>
        <v>0</v>
      </c>
      <c r="Q112" s="575"/>
      <c r="R112" s="576"/>
      <c r="S112" s="576"/>
      <c r="T112" s="576"/>
      <c r="U112" s="577"/>
    </row>
    <row r="113" spans="1:452" s="524" customFormat="1" ht="18" x14ac:dyDescent="0.35">
      <c r="A113" s="605"/>
      <c r="B113" s="558"/>
      <c r="C113" s="559"/>
      <c r="D113" s="606"/>
      <c r="E113" s="572" t="s">
        <v>87</v>
      </c>
      <c r="F113" s="571" cm="1">
        <f t="array" ref="F113">SUMPRODUCT(F$14:F$43,--($Q$14:$Q$43=FALSE),--($D$14:$D$43=$D111),--($R$14:$R$43="Yes"))*0.1</f>
        <v>0</v>
      </c>
      <c r="G113" s="571" cm="1">
        <f t="array" ref="G113">SUMPRODUCT(G$14:G$43,--($Q$14:$Q$43=FALSE),--($D$14:$D$43=$D111),--($R$14:$R$43="Yes"))*0.1</f>
        <v>0</v>
      </c>
      <c r="H113" s="571" cm="1">
        <f t="array" ref="H113">SUMPRODUCT(H$14:H$43,--($Q$14:$Q$43=FALSE),--($D$14:$D$43=$D111),--($R$14:$R$43="Yes"))*0.1</f>
        <v>0</v>
      </c>
      <c r="I113" s="571" cm="1">
        <f t="array" ref="I113">SUMPRODUCT(I$14:I$43,--($Q$14:$Q$43=FALSE),--($D$14:$D$43=$D111),--($R$14:$R$43="Yes"))*0.1</f>
        <v>0</v>
      </c>
      <c r="J113" s="571" cm="1">
        <f t="array" ref="J113">SUMPRODUCT(J$14:J$43,--($Q$14:$Q$43=FALSE),--($D$14:$D$43=$D111),--($R$14:$R$43="Yes"))*0.1</f>
        <v>0</v>
      </c>
      <c r="K113" s="571" cm="1">
        <f t="array" ref="K113">SUMPRODUCT(K$14:K$43,--($Q$14:$Q$43=FALSE),--($D$14:$D$43=$D111),--($R$14:$R$43="Yes"))*0.1</f>
        <v>0</v>
      </c>
      <c r="L113" s="571" cm="1">
        <f t="array" ref="L113">SUMPRODUCT(L$14:L$43,--($Q$14:$Q$43=FALSE),--($D$14:$D$43=$D111),--($R$14:$R$43="Yes"))*0.1</f>
        <v>0</v>
      </c>
      <c r="M113" s="571" cm="1">
        <f t="array" ref="M113">SUMPRODUCT(M$14:M$43,--($Q$14:$Q$43=FALSE),--($D$14:$D$43=$D111),--($R$14:$R$43="Yes"))*0.1</f>
        <v>0</v>
      </c>
      <c r="N113" s="571" cm="1">
        <f t="array" ref="N113">SUMPRODUCT(N$14:N$43,--($Q$14:$Q$43=FALSE),--($D$14:$D$43=$D111),--($R$14:$R$43="Yes"))*0.1</f>
        <v>0</v>
      </c>
      <c r="O113" s="571" cm="1">
        <f t="array" ref="O113">SUMPRODUCT(O$14:O$43,--($Q$14:$Q$43=FALSE),--($D$14:$D$43=$D111),--($R$14:$R$43="Yes"))*0.1</f>
        <v>0</v>
      </c>
      <c r="P113" s="607">
        <f t="shared" si="29"/>
        <v>0</v>
      </c>
      <c r="Q113" s="575"/>
      <c r="R113" s="576"/>
      <c r="S113" s="576"/>
      <c r="T113" s="576"/>
      <c r="U113" s="577"/>
    </row>
    <row r="114" spans="1:452" s="524" customFormat="1" ht="18" x14ac:dyDescent="0.35">
      <c r="A114" s="605"/>
      <c r="B114" s="558"/>
      <c r="C114" s="559"/>
      <c r="D114" s="606"/>
      <c r="E114" s="572" t="s">
        <v>88</v>
      </c>
      <c r="F114" s="571">
        <f t="shared" ref="F114:O114" si="31">F111-(F112+F113)</f>
        <v>0</v>
      </c>
      <c r="G114" s="571">
        <f t="shared" si="31"/>
        <v>0</v>
      </c>
      <c r="H114" s="571">
        <f t="shared" si="31"/>
        <v>0</v>
      </c>
      <c r="I114" s="571">
        <f t="shared" si="31"/>
        <v>0</v>
      </c>
      <c r="J114" s="571">
        <f t="shared" si="31"/>
        <v>0</v>
      </c>
      <c r="K114" s="571">
        <f t="shared" si="31"/>
        <v>0</v>
      </c>
      <c r="L114" s="571">
        <f t="shared" si="31"/>
        <v>0</v>
      </c>
      <c r="M114" s="571">
        <f t="shared" si="31"/>
        <v>0</v>
      </c>
      <c r="N114" s="571">
        <f t="shared" si="31"/>
        <v>0</v>
      </c>
      <c r="O114" s="571">
        <f t="shared" si="31"/>
        <v>0</v>
      </c>
      <c r="P114" s="607">
        <f t="shared" si="29"/>
        <v>0</v>
      </c>
      <c r="Q114" s="575"/>
      <c r="R114" s="576"/>
      <c r="S114" s="576"/>
      <c r="T114" s="576"/>
      <c r="U114" s="577"/>
    </row>
    <row r="115" spans="1:452" s="578" customFormat="1" ht="18" x14ac:dyDescent="0.35">
      <c r="A115" s="624"/>
      <c r="B115" s="625"/>
      <c r="C115" s="626"/>
      <c r="D115" s="625" t="s">
        <v>102</v>
      </c>
      <c r="E115" s="627"/>
      <c r="F115" s="628" cm="1">
        <f t="array" ref="F115">SUMPRODUCT(F$14:F$43,--($D$14:$D$43=$D111),--($Q$14:$Q$43=TRUE),$S$14:$S$43,--($S$14:$S$43&gt;0))+SUMPRODUCT(F$14:F$43,--($D$14:$D$43=$D111),--($Q$14:$Q$43=TRUE),$S$14:$S$43,--($S$14:$S$43&gt;0),--($R$14:$R$43="Yes"))*0.1+SUMPRODUCT(F$14:F$43,--($D$14:$D$43=$D111),--($Q$14:$Q$43=TRUE),--($S62:$S91=0))+SUMPRODUCT(F$14:F$43,--($D$14:$D$43=$D111),--($Q$14:$Q$43=TRUE),--($R$14:$R$43="Yes"),--($S$14:$S$43=0))*0.1</f>
        <v>0</v>
      </c>
      <c r="G115" s="628" cm="1">
        <f t="array" ref="G115">SUMPRODUCT(G$14:G$43,--($D$14:$D$43=$D111),--($Q$14:$Q$43=TRUE),$S$14:$S$43,--($S$14:$S$43&gt;0))+SUMPRODUCT(G$14:G$43,--($D$14:$D$43=$D111),--($Q$14:$Q$43=TRUE),$S$14:$S$43,--($S$14:$S$43&gt;0),--($R$14:$R$43="Yes"))*0.1+SUMPRODUCT(G$14:G$43,--($D$14:$D$43=$D111),--($Q$14:$Q$43=TRUE),--($S62:$S91=0))+SUMPRODUCT(G$14:G$43,--($D$14:$D$43=$D111),--($Q$14:$Q$43=TRUE),--($R$14:$R$43="Yes"),--($S$14:$S$43=0))*0.1</f>
        <v>0</v>
      </c>
      <c r="H115" s="628" cm="1">
        <f t="array" ref="H115">SUMPRODUCT(H$14:H$43,--($D$14:$D$43=$D111),--($Q$14:$Q$43=TRUE),$S$14:$S$43,--($S$14:$S$43&gt;0))+SUMPRODUCT(H$14:H$43,--($D$14:$D$43=$D111),--($Q$14:$Q$43=TRUE),$S$14:$S$43,--($S$14:$S$43&gt;0),--($R$14:$R$43="Yes"))*0.1+SUMPRODUCT(H$14:H$43,--($D$14:$D$43=$D111),--($Q$14:$Q$43=TRUE),--($S62:$S91=0))+SUMPRODUCT(H$14:H$43,--($D$14:$D$43=$D111),--($Q$14:$Q$43=TRUE),--($R$14:$R$43="Yes"),--($S$14:$S$43=0))*0.1</f>
        <v>0</v>
      </c>
      <c r="I115" s="628" cm="1">
        <f t="array" ref="I115">SUMPRODUCT(I$14:I$43,--($D$14:$D$43=$D111),--($Q$14:$Q$43=TRUE),$S$14:$S$43,--($S$14:$S$43&gt;0))+SUMPRODUCT(I$14:I$43,--($D$14:$D$43=$D111),--($Q$14:$Q$43=TRUE),$S$14:$S$43,--($S$14:$S$43&gt;0),--($R$14:$R$43="Yes"))*0.1+SUMPRODUCT(I$14:I$43,--($D$14:$D$43=$D111),--($Q$14:$Q$43=TRUE),--($S62:$S91=0))+SUMPRODUCT(I$14:I$43,--($D$14:$D$43=$D111),--($Q$14:$Q$43=TRUE),--($R$14:$R$43="Yes"),--($S$14:$S$43=0))*0.1</f>
        <v>0</v>
      </c>
      <c r="J115" s="628" cm="1">
        <f t="array" ref="J115">SUMPRODUCT(J$14:J$43,--($D$14:$D$43=$D111),--($Q$14:$Q$43=TRUE),$S$14:$S$43,--($S$14:$S$43&gt;0))+SUMPRODUCT(J$14:J$43,--($D$14:$D$43=$D111),--($Q$14:$Q$43=TRUE),$S$14:$S$43,--($S$14:$S$43&gt;0),--($R$14:$R$43="Yes"))*0.1+SUMPRODUCT(J$14:J$43,--($D$14:$D$43=$D111),--($Q$14:$Q$43=TRUE),--($S62:$S91=0))+SUMPRODUCT(J$14:J$43,--($D$14:$D$43=$D111),--($Q$14:$Q$43=TRUE),--($R$14:$R$43="Yes"),--($S$14:$S$43=0))*0.1</f>
        <v>0</v>
      </c>
      <c r="K115" s="628" cm="1">
        <f t="array" ref="K115">SUMPRODUCT(K$14:K$43,--($D$14:$D$43=$D111),--($Q$14:$Q$43=TRUE),$S$14:$S$43,--($S$14:$S$43&gt;0))+SUMPRODUCT(K$14:K$43,--($D$14:$D$43=$D111),--($Q$14:$Q$43=TRUE),$S$14:$S$43,--($S$14:$S$43&gt;0),--($R$14:$R$43="Yes"))*0.1+SUMPRODUCT(K$14:K$43,--($D$14:$D$43=$D111),--($Q$14:$Q$43=TRUE),--($S62:$S91=0))+SUMPRODUCT(K$14:K$43,--($D$14:$D$43=$D111),--($Q$14:$Q$43=TRUE),--($R$14:$R$43="Yes"),--($S$14:$S$43=0))*0.1</f>
        <v>0</v>
      </c>
      <c r="L115" s="628" cm="1">
        <f t="array" ref="L115">SUMPRODUCT(L$14:L$43,--($D$14:$D$43=$D111),--($Q$14:$Q$43=TRUE),$S$14:$S$43,--($S$14:$S$43&gt;0))+SUMPRODUCT(L$14:L$43,--($D$14:$D$43=$D111),--($Q$14:$Q$43=TRUE),$S$14:$S$43,--($S$14:$S$43&gt;0),--($R$14:$R$43="Yes"))*0.1+SUMPRODUCT(L$14:L$43,--($D$14:$D$43=$D111),--($Q$14:$Q$43=TRUE),--($S62:$S91=0))+SUMPRODUCT(L$14:L$43,--($D$14:$D$43=$D111),--($Q$14:$Q$43=TRUE),--($R$14:$R$43="Yes"),--($S$14:$S$43=0))*0.1</f>
        <v>0</v>
      </c>
      <c r="M115" s="628" cm="1">
        <f t="array" ref="M115">SUMPRODUCT(M$14:M$43,--($D$14:$D$43=$D111),--($Q$14:$Q$43=TRUE),$S$14:$S$43,--($S$14:$S$43&gt;0))+SUMPRODUCT(M$14:M$43,--($D$14:$D$43=$D111),--($Q$14:$Q$43=TRUE),$S$14:$S$43,--($S$14:$S$43&gt;0),--($R$14:$R$43="Yes"))*0.1+SUMPRODUCT(M$14:M$43,--($D$14:$D$43=$D111),--($Q$14:$Q$43=TRUE),--($S62:$S91=0))+SUMPRODUCT(M$14:M$43,--($D$14:$D$43=$D111),--($Q$14:$Q$43=TRUE),--($R$14:$R$43="Yes"),--($S$14:$S$43=0))*0.1</f>
        <v>0</v>
      </c>
      <c r="N115" s="628" cm="1">
        <f t="array" ref="N115">SUMPRODUCT(N$14:N$43,--($D$14:$D$43=$D111),--($Q$14:$Q$43=TRUE),$S$14:$S$43,--($S$14:$S$43&gt;0))+SUMPRODUCT(N$14:N$43,--($D$14:$D$43=$D111),--($Q$14:$Q$43=TRUE),$S$14:$S$43,--($S$14:$S$43&gt;0),--($R$14:$R$43="Yes"))*0.1+SUMPRODUCT(N$14:N$43,--($D$14:$D$43=$D111),--($Q$14:$Q$43=TRUE),--($S62:$S91=0))+SUMPRODUCT(N$14:N$43,--($D$14:$D$43=$D111),--($Q$14:$Q$43=TRUE),--($R$14:$R$43="Yes"),--($S$14:$S$43=0))*0.1</f>
        <v>0</v>
      </c>
      <c r="O115" s="628" cm="1">
        <f t="array" ref="O115">SUMPRODUCT(O$14:O$43,--($D$14:$D$43=$D111),--($Q$14:$Q$43=TRUE),$S$14:$S$43,--($S$14:$S$43&gt;0))+SUMPRODUCT(O$14:O$43,--($D$14:$D$43=$D111),--($Q$14:$Q$43=TRUE),$S$14:$S$43,--($S$14:$S$43&gt;0),--($R$14:$R$43="Yes"))*0.1+SUMPRODUCT(O$14:O$43,--($D$14:$D$43=$D111),--($Q$14:$Q$43=TRUE),--($S62:$S91=0))+SUMPRODUCT(O$14:O$43,--($D$14:$D$43=$D111),--($Q$14:$Q$43=TRUE),--($R$14:$R$43="Yes"),--($S$14:$S$43=0))*0.1</f>
        <v>0</v>
      </c>
      <c r="P115" s="629">
        <f t="shared" si="29"/>
        <v>0</v>
      </c>
      <c r="Q115" s="575"/>
      <c r="R115" s="576"/>
      <c r="S115" s="576"/>
      <c r="T115" s="576"/>
      <c r="U115" s="577"/>
      <c r="V115" s="610"/>
      <c r="W115" s="610"/>
      <c r="X115" s="610"/>
      <c r="Y115" s="610"/>
      <c r="Z115" s="610"/>
      <c r="AA115" s="610"/>
      <c r="AB115" s="610"/>
      <c r="AC115" s="610"/>
      <c r="AD115" s="610"/>
      <c r="AE115" s="610"/>
      <c r="AF115" s="610"/>
      <c r="AG115" s="610"/>
      <c r="AH115" s="610"/>
      <c r="AI115" s="610"/>
      <c r="AJ115" s="610"/>
      <c r="AK115" s="610"/>
      <c r="AL115" s="610"/>
      <c r="AM115" s="610"/>
      <c r="AN115" s="610"/>
      <c r="AO115" s="610"/>
      <c r="AP115" s="610"/>
      <c r="AQ115" s="610"/>
      <c r="AR115" s="610"/>
      <c r="AS115" s="610"/>
      <c r="AT115" s="610"/>
      <c r="AU115" s="610"/>
      <c r="AV115" s="610"/>
      <c r="AW115" s="610"/>
      <c r="AX115" s="610"/>
      <c r="AY115" s="610"/>
      <c r="AZ115" s="610"/>
      <c r="BA115" s="610"/>
      <c r="BB115" s="610"/>
      <c r="BC115" s="610"/>
      <c r="BD115" s="610"/>
      <c r="BE115" s="610"/>
      <c r="BF115" s="610"/>
      <c r="BG115" s="610"/>
      <c r="BH115" s="610"/>
      <c r="BI115" s="610"/>
      <c r="BJ115" s="610"/>
      <c r="BK115" s="610"/>
      <c r="BL115" s="610"/>
      <c r="BM115" s="610"/>
      <c r="BN115" s="610"/>
      <c r="BO115" s="610"/>
      <c r="BP115" s="610"/>
      <c r="BQ115" s="610"/>
      <c r="BR115" s="610"/>
      <c r="BS115" s="610"/>
      <c r="BT115" s="610"/>
      <c r="BU115" s="610"/>
      <c r="BV115" s="610"/>
      <c r="BW115" s="610"/>
      <c r="BX115" s="610"/>
      <c r="BY115" s="610"/>
      <c r="BZ115" s="610"/>
      <c r="CA115" s="610"/>
      <c r="CB115" s="610"/>
      <c r="CC115" s="610"/>
      <c r="CD115" s="610"/>
      <c r="CE115" s="610"/>
      <c r="CF115" s="610"/>
      <c r="CG115" s="610"/>
      <c r="CH115" s="610"/>
      <c r="CI115" s="610"/>
      <c r="CJ115" s="610"/>
      <c r="CK115" s="610"/>
      <c r="CL115" s="610"/>
      <c r="CM115" s="610"/>
      <c r="CN115" s="610"/>
      <c r="CO115" s="610"/>
      <c r="CP115" s="610"/>
      <c r="CQ115" s="610"/>
      <c r="CR115" s="610"/>
      <c r="CS115" s="610"/>
      <c r="CT115" s="610"/>
      <c r="CU115" s="610"/>
      <c r="CV115" s="610"/>
      <c r="CW115" s="610"/>
      <c r="CX115" s="610"/>
      <c r="CY115" s="610"/>
      <c r="CZ115" s="610"/>
      <c r="DA115" s="610"/>
      <c r="DB115" s="610"/>
      <c r="DC115" s="610"/>
      <c r="DD115" s="610"/>
      <c r="DE115" s="610"/>
      <c r="DF115" s="610"/>
      <c r="DG115" s="610"/>
      <c r="DH115" s="610"/>
      <c r="DI115" s="610"/>
      <c r="DJ115" s="610"/>
      <c r="DK115" s="610"/>
      <c r="DL115" s="610"/>
      <c r="DM115" s="610"/>
      <c r="DN115" s="610"/>
      <c r="DO115" s="610"/>
      <c r="DP115" s="610"/>
      <c r="DQ115" s="610"/>
      <c r="DR115" s="610"/>
      <c r="DS115" s="610"/>
      <c r="DT115" s="610"/>
      <c r="DU115" s="610"/>
      <c r="DV115" s="610"/>
      <c r="DW115" s="610"/>
      <c r="DX115" s="610"/>
      <c r="DY115" s="610"/>
      <c r="DZ115" s="610"/>
      <c r="EA115" s="610"/>
      <c r="EB115" s="610"/>
      <c r="EC115" s="610"/>
      <c r="ED115" s="610"/>
      <c r="EE115" s="610"/>
      <c r="EF115" s="610"/>
      <c r="EG115" s="610"/>
      <c r="EH115" s="610"/>
      <c r="EI115" s="610"/>
      <c r="EJ115" s="610"/>
      <c r="EK115" s="610"/>
      <c r="EL115" s="610"/>
      <c r="EM115" s="610"/>
      <c r="EN115" s="610"/>
      <c r="EO115" s="610"/>
      <c r="EP115" s="610"/>
      <c r="EQ115" s="610"/>
      <c r="ER115" s="610"/>
      <c r="ES115" s="610"/>
      <c r="ET115" s="610"/>
      <c r="EU115" s="610"/>
      <c r="EV115" s="610"/>
      <c r="EW115" s="610"/>
      <c r="EX115" s="610"/>
      <c r="EY115" s="610"/>
      <c r="EZ115" s="610"/>
      <c r="FA115" s="610"/>
      <c r="FB115" s="610"/>
      <c r="FC115" s="610"/>
      <c r="FD115" s="610"/>
      <c r="FE115" s="610"/>
      <c r="FF115" s="610"/>
      <c r="FG115" s="610"/>
      <c r="FH115" s="610"/>
      <c r="FI115" s="610"/>
      <c r="FJ115" s="610"/>
      <c r="FK115" s="610"/>
      <c r="FL115" s="610"/>
      <c r="FM115" s="610"/>
      <c r="FN115" s="610"/>
      <c r="FO115" s="610"/>
      <c r="FP115" s="610"/>
      <c r="FQ115" s="610"/>
      <c r="FR115" s="610"/>
      <c r="FS115" s="610"/>
      <c r="FT115" s="610"/>
      <c r="FU115" s="610"/>
      <c r="FV115" s="610"/>
      <c r="FW115" s="610"/>
      <c r="FX115" s="610"/>
      <c r="FY115" s="610"/>
      <c r="FZ115" s="610"/>
      <c r="GA115" s="610"/>
      <c r="GB115" s="610"/>
      <c r="GC115" s="610"/>
      <c r="GD115" s="610"/>
      <c r="GE115" s="610"/>
      <c r="GF115" s="610"/>
      <c r="GG115" s="610"/>
      <c r="GH115" s="610"/>
      <c r="GI115" s="610"/>
      <c r="GJ115" s="610"/>
      <c r="GK115" s="610"/>
      <c r="GL115" s="610"/>
      <c r="GM115" s="610"/>
      <c r="GN115" s="610"/>
      <c r="GO115" s="610"/>
      <c r="GP115" s="610"/>
      <c r="GQ115" s="610"/>
      <c r="GR115" s="610"/>
      <c r="GS115" s="610"/>
      <c r="GT115" s="610"/>
      <c r="GU115" s="610"/>
      <c r="GV115" s="610"/>
      <c r="GW115" s="610"/>
      <c r="GX115" s="610"/>
      <c r="GY115" s="610"/>
      <c r="GZ115" s="610"/>
      <c r="HA115" s="610"/>
      <c r="HB115" s="610"/>
      <c r="HC115" s="610"/>
      <c r="HD115" s="610"/>
      <c r="HE115" s="610"/>
      <c r="HF115" s="610"/>
      <c r="HG115" s="610"/>
      <c r="HH115" s="610"/>
      <c r="HI115" s="610"/>
      <c r="HJ115" s="610"/>
      <c r="HK115" s="610"/>
      <c r="HL115" s="610"/>
      <c r="HM115" s="610"/>
      <c r="HN115" s="610"/>
      <c r="HO115" s="610"/>
      <c r="HP115" s="610"/>
      <c r="HQ115" s="610"/>
      <c r="HR115" s="610"/>
      <c r="HS115" s="610"/>
      <c r="HT115" s="610"/>
      <c r="HU115" s="610"/>
      <c r="HV115" s="610"/>
      <c r="HW115" s="610"/>
      <c r="HX115" s="610"/>
      <c r="HY115" s="610"/>
      <c r="HZ115" s="610"/>
      <c r="IA115" s="610"/>
      <c r="IB115" s="610"/>
      <c r="IC115" s="610"/>
      <c r="ID115" s="610"/>
      <c r="IE115" s="610"/>
      <c r="IF115" s="610"/>
      <c r="IG115" s="610"/>
      <c r="IH115" s="610"/>
      <c r="II115" s="610"/>
      <c r="IJ115" s="610"/>
      <c r="IK115" s="610"/>
      <c r="IL115" s="610"/>
      <c r="IM115" s="610"/>
      <c r="IN115" s="610"/>
      <c r="IO115" s="610"/>
      <c r="IP115" s="610"/>
      <c r="IQ115" s="610"/>
      <c r="IR115" s="610"/>
      <c r="IS115" s="610"/>
      <c r="IT115" s="610"/>
      <c r="IU115" s="610"/>
      <c r="IV115" s="610"/>
      <c r="IW115" s="610"/>
      <c r="IX115" s="610"/>
      <c r="IY115" s="610"/>
      <c r="IZ115" s="610"/>
      <c r="JA115" s="610"/>
      <c r="JB115" s="610"/>
      <c r="JC115" s="610"/>
      <c r="JD115" s="610"/>
      <c r="JE115" s="610"/>
      <c r="JF115" s="610"/>
      <c r="JG115" s="610"/>
      <c r="JH115" s="610"/>
      <c r="JI115" s="610"/>
      <c r="JJ115" s="610"/>
      <c r="JK115" s="610"/>
      <c r="JL115" s="610"/>
      <c r="JM115" s="610"/>
      <c r="JN115" s="610"/>
      <c r="JO115" s="610"/>
      <c r="JP115" s="610"/>
      <c r="JQ115" s="610"/>
      <c r="JR115" s="610"/>
      <c r="JS115" s="610"/>
      <c r="JT115" s="610"/>
      <c r="JU115" s="610"/>
      <c r="JV115" s="610"/>
      <c r="JW115" s="610"/>
      <c r="JX115" s="610"/>
      <c r="JY115" s="610"/>
      <c r="JZ115" s="610"/>
      <c r="KA115" s="610"/>
      <c r="KB115" s="610"/>
      <c r="KC115" s="610"/>
      <c r="KD115" s="610"/>
      <c r="KE115" s="610"/>
      <c r="KF115" s="610"/>
      <c r="KG115" s="610"/>
      <c r="KH115" s="610"/>
      <c r="KI115" s="610"/>
      <c r="KJ115" s="610"/>
      <c r="KK115" s="610"/>
      <c r="KL115" s="610"/>
      <c r="KM115" s="610"/>
      <c r="KN115" s="610"/>
      <c r="KO115" s="610"/>
      <c r="KP115" s="610"/>
      <c r="KQ115" s="610"/>
      <c r="KR115" s="610"/>
      <c r="KS115" s="610"/>
      <c r="KT115" s="610"/>
      <c r="KU115" s="610"/>
      <c r="KV115" s="610"/>
      <c r="KW115" s="610"/>
      <c r="KX115" s="610"/>
      <c r="KY115" s="610"/>
      <c r="KZ115" s="610"/>
      <c r="LA115" s="610"/>
      <c r="LB115" s="610"/>
      <c r="LC115" s="610"/>
      <c r="LD115" s="610"/>
      <c r="LE115" s="610"/>
      <c r="LF115" s="610"/>
      <c r="LG115" s="610"/>
      <c r="LH115" s="610"/>
      <c r="LI115" s="610"/>
      <c r="LJ115" s="610"/>
      <c r="LK115" s="610"/>
      <c r="LL115" s="610"/>
      <c r="LM115" s="610"/>
      <c r="LN115" s="610"/>
      <c r="LO115" s="610"/>
      <c r="LP115" s="610"/>
      <c r="LQ115" s="610"/>
      <c r="LR115" s="610"/>
      <c r="LS115" s="610"/>
      <c r="LT115" s="610"/>
      <c r="LU115" s="610"/>
      <c r="LV115" s="610"/>
      <c r="LW115" s="610"/>
      <c r="LX115" s="610"/>
      <c r="LY115" s="610"/>
      <c r="LZ115" s="610"/>
      <c r="MA115" s="610"/>
      <c r="MB115" s="610"/>
      <c r="MC115" s="610"/>
      <c r="MD115" s="610"/>
      <c r="ME115" s="610"/>
      <c r="MF115" s="610"/>
      <c r="MG115" s="610"/>
      <c r="MH115" s="610"/>
      <c r="MI115" s="610"/>
      <c r="MJ115" s="610"/>
      <c r="MK115" s="610"/>
      <c r="ML115" s="610"/>
      <c r="MM115" s="610"/>
      <c r="MN115" s="610"/>
      <c r="MO115" s="610"/>
      <c r="MP115" s="610"/>
      <c r="MQ115" s="610"/>
      <c r="MR115" s="610"/>
      <c r="MS115" s="610"/>
      <c r="MT115" s="610"/>
      <c r="MU115" s="610"/>
      <c r="MV115" s="610"/>
      <c r="MW115" s="610"/>
      <c r="MX115" s="610"/>
      <c r="MY115" s="610"/>
      <c r="MZ115" s="610"/>
      <c r="NA115" s="610"/>
      <c r="NB115" s="610"/>
      <c r="NC115" s="610"/>
      <c r="ND115" s="610"/>
      <c r="NE115" s="610"/>
      <c r="NF115" s="610"/>
      <c r="NG115" s="610"/>
      <c r="NH115" s="610"/>
      <c r="NI115" s="610"/>
      <c r="NJ115" s="610"/>
      <c r="NK115" s="610"/>
      <c r="NL115" s="610"/>
      <c r="NM115" s="610"/>
      <c r="NN115" s="610"/>
      <c r="NO115" s="610"/>
      <c r="NP115" s="610"/>
      <c r="NQ115" s="610"/>
      <c r="NR115" s="610"/>
      <c r="NS115" s="610"/>
      <c r="NT115" s="610"/>
      <c r="NU115" s="610"/>
      <c r="NV115" s="610"/>
      <c r="NW115" s="610"/>
      <c r="NX115" s="610"/>
      <c r="NY115" s="610"/>
      <c r="NZ115" s="610"/>
      <c r="OA115" s="610"/>
      <c r="OB115" s="610"/>
      <c r="OC115" s="610"/>
      <c r="OD115" s="610"/>
      <c r="OE115" s="610"/>
      <c r="OF115" s="610"/>
      <c r="OG115" s="610"/>
      <c r="OH115" s="610"/>
      <c r="OI115" s="610"/>
      <c r="OJ115" s="610"/>
      <c r="OK115" s="610"/>
      <c r="OL115" s="610"/>
      <c r="OM115" s="610"/>
      <c r="ON115" s="610"/>
      <c r="OO115" s="610"/>
      <c r="OP115" s="610"/>
      <c r="OQ115" s="610"/>
      <c r="OR115" s="610"/>
      <c r="OS115" s="610"/>
      <c r="OT115" s="610"/>
      <c r="OU115" s="610"/>
      <c r="OV115" s="610"/>
      <c r="OW115" s="610"/>
      <c r="OX115" s="610"/>
      <c r="OY115" s="610"/>
      <c r="OZ115" s="610"/>
      <c r="PA115" s="610"/>
      <c r="PB115" s="610"/>
      <c r="PC115" s="610"/>
      <c r="PD115" s="610"/>
      <c r="PE115" s="610"/>
      <c r="PF115" s="610"/>
      <c r="PG115" s="610"/>
      <c r="PH115" s="610"/>
      <c r="PI115" s="610"/>
      <c r="PJ115" s="610"/>
      <c r="PK115" s="610"/>
      <c r="PL115" s="610"/>
      <c r="PM115" s="610"/>
      <c r="PN115" s="610"/>
      <c r="PO115" s="610"/>
      <c r="PP115" s="610"/>
      <c r="PQ115" s="610"/>
      <c r="PR115" s="610"/>
      <c r="PS115" s="610"/>
      <c r="PT115" s="610"/>
      <c r="PU115" s="610"/>
      <c r="PV115" s="610"/>
      <c r="PW115" s="610"/>
      <c r="PX115" s="610"/>
      <c r="PY115" s="610"/>
      <c r="PZ115" s="610"/>
      <c r="QA115" s="610"/>
      <c r="QB115" s="610"/>
      <c r="QC115" s="610"/>
      <c r="QD115" s="610"/>
      <c r="QE115" s="610"/>
      <c r="QF115" s="610"/>
      <c r="QG115" s="610"/>
      <c r="QH115" s="610"/>
      <c r="QI115" s="610"/>
      <c r="QJ115" s="610"/>
    </row>
    <row r="116" spans="1:452" s="524" customFormat="1" ht="18" x14ac:dyDescent="0.35">
      <c r="A116" s="605"/>
      <c r="B116" s="558"/>
      <c r="C116" s="559"/>
      <c r="D116" s="559"/>
      <c r="E116" s="572" t="s">
        <v>86</v>
      </c>
      <c r="F116" s="571" cm="1">
        <f t="array" ref="F116">SUMPRODUCT(F$14:F$43,--($Q$14:$Q$43=TRUE),--($D$14:$D$43=$D111))</f>
        <v>0</v>
      </c>
      <c r="G116" s="571" cm="1">
        <f t="array" ref="G116">SUMPRODUCT(G$14:G$43,--($Q$14:$Q$43=TRUE),--($D$14:$D$43=$D111))</f>
        <v>0</v>
      </c>
      <c r="H116" s="571" cm="1">
        <f t="array" ref="H116">SUMPRODUCT(H$14:H$43,--($Q$14:$Q$43=TRUE),--($D$14:$D$43=$D111))</f>
        <v>0</v>
      </c>
      <c r="I116" s="571" cm="1">
        <f t="array" ref="I116">SUMPRODUCT(I$14:I$43,--($Q$14:$Q$43=TRUE),--($D$14:$D$43=$D111))</f>
        <v>0</v>
      </c>
      <c r="J116" s="571" cm="1">
        <f t="array" ref="J116">SUMPRODUCT(J$14:J$43,--($Q$14:$Q$43=TRUE),--($D$14:$D$43=$D111))</f>
        <v>0</v>
      </c>
      <c r="K116" s="571" cm="1">
        <f t="array" ref="K116">SUMPRODUCT(K$14:K$43,--($Q$14:$Q$43=TRUE),--($D$14:$D$43=$D111))</f>
        <v>0</v>
      </c>
      <c r="L116" s="571" cm="1">
        <f t="array" ref="L116">SUMPRODUCT(L$14:L$43,--($Q$14:$Q$43=TRUE),--($D$14:$D$43=$D111))</f>
        <v>0</v>
      </c>
      <c r="M116" s="571" cm="1">
        <f t="array" ref="M116">SUMPRODUCT(M$14:M$43,--($Q$14:$Q$43=TRUE),--($D$14:$D$43=$D111))</f>
        <v>0</v>
      </c>
      <c r="N116" s="571" cm="1">
        <f t="array" ref="N116">SUMPRODUCT(N$14:N$43,--($Q$14:$Q$43=TRUE),--($D$14:$D$43=$D111))</f>
        <v>0</v>
      </c>
      <c r="O116" s="571" cm="1">
        <f t="array" ref="O116">SUMPRODUCT(O$14:O$43,--($Q$14:$Q$43=TRUE),--($D$14:$D$43=$D111))</f>
        <v>0</v>
      </c>
      <c r="P116" s="607">
        <f t="shared" si="29"/>
        <v>0</v>
      </c>
      <c r="Q116" s="575"/>
      <c r="R116" s="576"/>
      <c r="S116" s="576"/>
      <c r="T116" s="576"/>
      <c r="U116" s="577"/>
    </row>
    <row r="117" spans="1:452" s="524" customFormat="1" ht="18" x14ac:dyDescent="0.35">
      <c r="A117" s="605"/>
      <c r="C117" s="559"/>
      <c r="D117" s="559"/>
      <c r="E117" s="572" t="s">
        <v>87</v>
      </c>
      <c r="F117" s="571" cm="1">
        <f t="array" ref="F117">SUMPRODUCT(F$14:F$43,--($Q$14:$Q$43=TRUE),--($D$14:$D$43=$D115),--($R$14:$R$43="Yes"))*0.1</f>
        <v>0</v>
      </c>
      <c r="G117" s="571" cm="1">
        <f t="array" ref="G117">SUMPRODUCT(G$14:G$43,--($Q$14:$Q$43=TRUE),--($D$14:$D$43=$D115),--($R$14:$R$43="Yes"))*0.1</f>
        <v>0</v>
      </c>
      <c r="H117" s="571" cm="1">
        <f t="array" ref="H117">SUMPRODUCT(H$14:H$43,--($Q$14:$Q$43=TRUE),--($D$14:$D$43=$D115),--($R$14:$R$43="Yes"))*0.1</f>
        <v>0</v>
      </c>
      <c r="I117" s="571" cm="1">
        <f t="array" ref="I117">SUMPRODUCT(I$14:I$43,--($Q$14:$Q$43=TRUE),--($D$14:$D$43=$D115),--($R$14:$R$43="Yes"))*0.1</f>
        <v>0</v>
      </c>
      <c r="J117" s="571" cm="1">
        <f t="array" ref="J117">SUMPRODUCT(J$14:J$43,--($Q$14:$Q$43=TRUE),--($D$14:$D$43=$D115),--($R$14:$R$43="Yes"))*0.1</f>
        <v>0</v>
      </c>
      <c r="K117" s="571" cm="1">
        <f t="array" ref="K117">SUMPRODUCT(K$14:K$43,--($Q$14:$Q$43=TRUE),--($D$14:$D$43=$D115),--($R$14:$R$43="Yes"))*0.1</f>
        <v>0</v>
      </c>
      <c r="L117" s="571" cm="1">
        <f t="array" ref="L117">SUMPRODUCT(L$14:L$43,--($Q$14:$Q$43=TRUE),--($D$14:$D$43=$D115),--($R$14:$R$43="Yes"))*0.1</f>
        <v>0</v>
      </c>
      <c r="M117" s="571" cm="1">
        <f t="array" ref="M117">SUMPRODUCT(M$14:M$43,--($Q$14:$Q$43=TRUE),--($D$14:$D$43=$D115),--($R$14:$R$43="Yes"))*0.1</f>
        <v>0</v>
      </c>
      <c r="N117" s="571" cm="1">
        <f t="array" ref="N117">SUMPRODUCT(N$14:N$43,--($Q$14:$Q$43=TRUE),--($D$14:$D$43=$D115),--($R$14:$R$43="Yes"))*0.1</f>
        <v>0</v>
      </c>
      <c r="O117" s="571" cm="1">
        <f t="array" ref="O117">SUMPRODUCT(O$14:O$43,--($Q$14:$Q$43=TRUE),--($D$14:$D$43=$D115),--($R$14:$R$43="Yes"))*0.1</f>
        <v>0</v>
      </c>
      <c r="P117" s="607">
        <f t="shared" si="29"/>
        <v>0</v>
      </c>
      <c r="Q117" s="575"/>
      <c r="R117" s="576"/>
      <c r="S117" s="576"/>
      <c r="T117" s="576"/>
      <c r="U117" s="577"/>
    </row>
    <row r="118" spans="1:452" s="524" customFormat="1" ht="18" x14ac:dyDescent="0.35">
      <c r="A118" s="605"/>
      <c r="B118" s="558"/>
      <c r="C118" s="559"/>
      <c r="D118" s="559"/>
      <c r="E118" s="572" t="s">
        <v>88</v>
      </c>
      <c r="F118" s="571">
        <f>F115-(F116+F117)</f>
        <v>0</v>
      </c>
      <c r="G118" s="571">
        <f t="shared" ref="G118:O118" si="32">G115-(G116+G117)</f>
        <v>0</v>
      </c>
      <c r="H118" s="571">
        <f t="shared" si="32"/>
        <v>0</v>
      </c>
      <c r="I118" s="571">
        <f t="shared" si="32"/>
        <v>0</v>
      </c>
      <c r="J118" s="571">
        <f t="shared" si="32"/>
        <v>0</v>
      </c>
      <c r="K118" s="571">
        <f t="shared" si="32"/>
        <v>0</v>
      </c>
      <c r="L118" s="571">
        <f t="shared" si="32"/>
        <v>0</v>
      </c>
      <c r="M118" s="571">
        <f t="shared" si="32"/>
        <v>0</v>
      </c>
      <c r="N118" s="571">
        <f t="shared" si="32"/>
        <v>0</v>
      </c>
      <c r="O118" s="571">
        <f t="shared" si="32"/>
        <v>0</v>
      </c>
      <c r="P118" s="607">
        <f t="shared" si="29"/>
        <v>0</v>
      </c>
      <c r="Q118" s="575"/>
      <c r="R118" s="576"/>
      <c r="S118" s="576"/>
      <c r="T118" s="576"/>
      <c r="U118" s="577"/>
    </row>
    <row r="119" spans="1:452" s="592" customFormat="1" ht="18" x14ac:dyDescent="0.35">
      <c r="A119" s="618"/>
      <c r="B119" s="619"/>
      <c r="C119" s="620"/>
      <c r="D119" s="619" t="s">
        <v>103</v>
      </c>
      <c r="E119" s="621"/>
      <c r="F119" s="622" cm="1">
        <f t="array" ref="F119">SUMPRODUCT(F$14:F$43,--($D$14:$D$43=$D119),--($Q$14:$Q$43=FALSE),$S$14:$S$43,--($S$14:$S$43&gt;0))+SUMPRODUCT(F$14:F$43,--($D$14:$D$43=$D119),--($Q$14:$Q$43=FALSE),$S$14:$S$43,--($S$14:$S$43&gt;0),--($R$14:$R$43="Yes"))*0.1+SUMPRODUCT(F$14:F$43,--($D$14:$D$43=$D119),--($Q$14:$Q$43=FALSE),--($S$14:$S$43=0))+SUMPRODUCT(F$14:F$43,--($D$14:$D$43=$D119),--($Q$14:$Q$43=FALSE),--($R$14:$R$43="Yes"),--($S$14:$S$43=0))*0.1</f>
        <v>0</v>
      </c>
      <c r="G119" s="622" cm="1">
        <f t="array" ref="G119">SUMPRODUCT(G$14:G$43,--($D$14:$D$43=$D119),--($Q$14:$Q$43=FALSE),$S$14:$S$43,--($S$14:$S$43&gt;0))+SUMPRODUCT(G$14:G$43,--($D$14:$D$43=$D119),--($Q$14:$Q$43=FALSE),$S$14:$S$43,--($S$14:$S$43&gt;0),--($R$14:$R$43="Yes"))*0.1+SUMPRODUCT(G$14:G$43,--($D$14:$D$43=$D119),--($Q$14:$Q$43=FALSE),--($S$14:$S$43=0))+SUMPRODUCT(G$14:G$43,--($D$14:$D$43=$D119),--($Q$14:$Q$43=FALSE),--($R$14:$R$43="Yes"),--($S$14:$S$43=0))*0.1</f>
        <v>0</v>
      </c>
      <c r="H119" s="622" cm="1">
        <f t="array" ref="H119">SUMPRODUCT(H$14:H$43,--($D$14:$D$43=$D119),--($Q$14:$Q$43=FALSE),$S$14:$S$43,--($S$14:$S$43&gt;0))+SUMPRODUCT(H$14:H$43,--($D$14:$D$43=$D119),--($Q$14:$Q$43=FALSE),$S$14:$S$43,--($S$14:$S$43&gt;0),--($R$14:$R$43="Yes"))*0.1+SUMPRODUCT(H$14:H$43,--($D$14:$D$43=$D119),--($Q$14:$Q$43=FALSE),--($S$14:$S$43=0))+SUMPRODUCT(H$14:H$43,--($D$14:$D$43=$D119),--($Q$14:$Q$43=FALSE),--($R$14:$R$43="Yes"),--($S$14:$S$43=0))*0.1</f>
        <v>0</v>
      </c>
      <c r="I119" s="622" cm="1">
        <f t="array" ref="I119">SUMPRODUCT(I$14:I$43,--($D$14:$D$43=$D119),--($Q$14:$Q$43=FALSE),$S$14:$S$43,--($S$14:$S$43&gt;0))+SUMPRODUCT(I$14:I$43,--($D$14:$D$43=$D119),--($Q$14:$Q$43=FALSE),$S$14:$S$43,--($S$14:$S$43&gt;0),--($R$14:$R$43="Yes"))*0.1+SUMPRODUCT(I$14:I$43,--($D$14:$D$43=$D119),--($Q$14:$Q$43=FALSE),--($S$14:$S$43=0))+SUMPRODUCT(I$14:I$43,--($D$14:$D$43=$D119),--($Q$14:$Q$43=FALSE),--($R$14:$R$43="Yes"),--($S$14:$S$43=0))*0.1</f>
        <v>0</v>
      </c>
      <c r="J119" s="622" cm="1">
        <f t="array" ref="J119">SUMPRODUCT(J$14:J$43,--($D$14:$D$43=$D119),--($Q$14:$Q$43=FALSE),$S$14:$S$43,--($S$14:$S$43&gt;0))+SUMPRODUCT(J$14:J$43,--($D$14:$D$43=$D119),--($Q$14:$Q$43=FALSE),$S$14:$S$43,--($S$14:$S$43&gt;0),--($R$14:$R$43="Yes"))*0.1+SUMPRODUCT(J$14:J$43,--($D$14:$D$43=$D119),--($Q$14:$Q$43=FALSE),--($S$14:$S$43=0))+SUMPRODUCT(J$14:J$43,--($D$14:$D$43=$D119),--($Q$14:$Q$43=FALSE),--($R$14:$R$43="Yes"),--($S$14:$S$43=0))*0.1</f>
        <v>0</v>
      </c>
      <c r="K119" s="622" cm="1">
        <f t="array" ref="K119">SUMPRODUCT(K$14:K$43,--($D$14:$D$43=$D119),--($Q$14:$Q$43=FALSE),$S$14:$S$43,--($S$14:$S$43&gt;0))+SUMPRODUCT(K$14:K$43,--($D$14:$D$43=$D119),--($Q$14:$Q$43=FALSE),$S$14:$S$43,--($S$14:$S$43&gt;0),--($R$14:$R$43="Yes"))*0.1+SUMPRODUCT(K$14:K$43,--($D$14:$D$43=$D119),--($Q$14:$Q$43=FALSE),--($S$14:$S$43=0))+SUMPRODUCT(K$14:K$43,--($D$14:$D$43=$D119),--($Q$14:$Q$43=FALSE),--($R$14:$R$43="Yes"),--($S$14:$S$43=0))*0.1</f>
        <v>0</v>
      </c>
      <c r="L119" s="622" cm="1">
        <f t="array" ref="L119">SUMPRODUCT(L$14:L$43,--($D$14:$D$43=$D119),--($Q$14:$Q$43=FALSE),$S$14:$S$43,--($S$14:$S$43&gt;0))+SUMPRODUCT(L$14:L$43,--($D$14:$D$43=$D119),--($Q$14:$Q$43=FALSE),$S$14:$S$43,--($S$14:$S$43&gt;0),--($R$14:$R$43="Yes"))*0.1+SUMPRODUCT(L$14:L$43,--($D$14:$D$43=$D119),--($Q$14:$Q$43=FALSE),--($S$14:$S$43=0))+SUMPRODUCT(L$14:L$43,--($D$14:$D$43=$D119),--($Q$14:$Q$43=FALSE),--($R$14:$R$43="Yes"),--($S$14:$S$43=0))*0.1</f>
        <v>0</v>
      </c>
      <c r="M119" s="622" cm="1">
        <f t="array" ref="M119">SUMPRODUCT(M$14:M$43,--($D$14:$D$43=$D119),--($Q$14:$Q$43=FALSE),$S$14:$S$43,--($S$14:$S$43&gt;0))+SUMPRODUCT(M$14:M$43,--($D$14:$D$43=$D119),--($Q$14:$Q$43=FALSE),$S$14:$S$43,--($S$14:$S$43&gt;0),--($R$14:$R$43="Yes"))*0.1+SUMPRODUCT(M$14:M$43,--($D$14:$D$43=$D119),--($Q$14:$Q$43=FALSE),--($S$14:$S$43=0))+SUMPRODUCT(M$14:M$43,--($D$14:$D$43=$D119),--($Q$14:$Q$43=FALSE),--($R$14:$R$43="Yes"),--($S$14:$S$43=0))*0.1</f>
        <v>0</v>
      </c>
      <c r="N119" s="622" cm="1">
        <f t="array" ref="N119">SUMPRODUCT(N$14:N$43,--($D$14:$D$43=$D119),--($Q$14:$Q$43=FALSE),$S$14:$S$43,--($S$14:$S$43&gt;0))+SUMPRODUCT(N$14:N$43,--($D$14:$D$43=$D119),--($Q$14:$Q$43=FALSE),$S$14:$S$43,--($S$14:$S$43&gt;0),--($R$14:$R$43="Yes"))*0.1+SUMPRODUCT(N$14:N$43,--($D$14:$D$43=$D119),--($Q$14:$Q$43=FALSE),--($S$14:$S$43=0))+SUMPRODUCT(N$14:N$43,--($D$14:$D$43=$D119),--($Q$14:$Q$43=FALSE),--($R$14:$R$43="Yes"),--($S$14:$S$43=0))*0.1</f>
        <v>0</v>
      </c>
      <c r="O119" s="622" cm="1">
        <f t="array" ref="O119">SUMPRODUCT(O$14:O$43,--($D$14:$D$43=$D119),--($Q$14:$Q$43=FALSE),$S$14:$S$43,--($S$14:$S$43&gt;0))+SUMPRODUCT(O$14:O$43,--($D$14:$D$43=$D119),--($Q$14:$Q$43=FALSE),$S$14:$S$43,--($S$14:$S$43&gt;0),--($R$14:$R$43="Yes"))*0.1+SUMPRODUCT(O$14:O$43,--($D$14:$D$43=$D119),--($Q$14:$Q$43=FALSE),--($S$14:$S$43=0))+SUMPRODUCT(O$14:O$43,--($D$14:$D$43=$D119),--($Q$14:$Q$43=FALSE),--($R$14:$R$43="Yes"),--($S$14:$S$43=0))*0.1</f>
        <v>0</v>
      </c>
      <c r="P119" s="623">
        <f t="shared" si="29"/>
        <v>0</v>
      </c>
      <c r="Q119" s="575"/>
      <c r="R119" s="576"/>
      <c r="S119" s="576"/>
      <c r="T119" s="576"/>
      <c r="U119" s="577"/>
      <c r="V119" s="610"/>
      <c r="W119" s="610"/>
      <c r="X119" s="610"/>
      <c r="Y119" s="610"/>
      <c r="Z119" s="610"/>
      <c r="AA119" s="610"/>
      <c r="AB119" s="610"/>
      <c r="AC119" s="610"/>
      <c r="AD119" s="610"/>
      <c r="AE119" s="610"/>
      <c r="AF119" s="610"/>
      <c r="AG119" s="610"/>
      <c r="AH119" s="610"/>
      <c r="AI119" s="610"/>
      <c r="AJ119" s="610"/>
      <c r="AK119" s="610"/>
      <c r="AL119" s="610"/>
      <c r="AM119" s="610"/>
      <c r="AN119" s="610"/>
      <c r="AO119" s="610"/>
      <c r="AP119" s="610"/>
      <c r="AQ119" s="610"/>
      <c r="AR119" s="610"/>
      <c r="AS119" s="610"/>
      <c r="AT119" s="610"/>
      <c r="AU119" s="610"/>
      <c r="AV119" s="610"/>
      <c r="AW119" s="610"/>
      <c r="AX119" s="610"/>
      <c r="AY119" s="610"/>
      <c r="AZ119" s="610"/>
      <c r="BA119" s="610"/>
      <c r="BB119" s="610"/>
      <c r="BC119" s="610"/>
      <c r="BD119" s="610"/>
      <c r="BE119" s="610"/>
      <c r="BF119" s="610"/>
      <c r="BG119" s="610"/>
      <c r="BH119" s="610"/>
      <c r="BI119" s="610"/>
      <c r="BJ119" s="610"/>
      <c r="BK119" s="610"/>
      <c r="BL119" s="610"/>
      <c r="BM119" s="610"/>
      <c r="BN119" s="610"/>
      <c r="BO119" s="610"/>
      <c r="BP119" s="610"/>
      <c r="BQ119" s="610"/>
      <c r="BR119" s="610"/>
      <c r="BS119" s="610"/>
      <c r="BT119" s="610"/>
      <c r="BU119" s="610"/>
      <c r="BV119" s="610"/>
      <c r="BW119" s="610"/>
      <c r="BX119" s="610"/>
      <c r="BY119" s="610"/>
      <c r="BZ119" s="610"/>
      <c r="CA119" s="610"/>
      <c r="CB119" s="610"/>
      <c r="CC119" s="610"/>
      <c r="CD119" s="610"/>
      <c r="CE119" s="610"/>
      <c r="CF119" s="610"/>
      <c r="CG119" s="610"/>
      <c r="CH119" s="610"/>
      <c r="CI119" s="610"/>
      <c r="CJ119" s="610"/>
      <c r="CK119" s="610"/>
      <c r="CL119" s="610"/>
      <c r="CM119" s="610"/>
      <c r="CN119" s="610"/>
      <c r="CO119" s="610"/>
      <c r="CP119" s="610"/>
      <c r="CQ119" s="610"/>
      <c r="CR119" s="610"/>
      <c r="CS119" s="610"/>
      <c r="CT119" s="610"/>
      <c r="CU119" s="610"/>
      <c r="CV119" s="610"/>
      <c r="CW119" s="610"/>
      <c r="CX119" s="610"/>
      <c r="CY119" s="610"/>
      <c r="CZ119" s="610"/>
      <c r="DA119" s="610"/>
      <c r="DB119" s="610"/>
      <c r="DC119" s="610"/>
      <c r="DD119" s="610"/>
      <c r="DE119" s="610"/>
      <c r="DF119" s="610"/>
      <c r="DG119" s="610"/>
      <c r="DH119" s="610"/>
      <c r="DI119" s="610"/>
      <c r="DJ119" s="610"/>
      <c r="DK119" s="610"/>
      <c r="DL119" s="610"/>
      <c r="DM119" s="610"/>
      <c r="DN119" s="610"/>
      <c r="DO119" s="610"/>
      <c r="DP119" s="610"/>
      <c r="DQ119" s="610"/>
      <c r="DR119" s="610"/>
      <c r="DS119" s="610"/>
      <c r="DT119" s="610"/>
      <c r="DU119" s="610"/>
      <c r="DV119" s="610"/>
      <c r="DW119" s="610"/>
      <c r="DX119" s="610"/>
      <c r="DY119" s="610"/>
      <c r="DZ119" s="610"/>
      <c r="EA119" s="610"/>
      <c r="EB119" s="610"/>
      <c r="EC119" s="610"/>
      <c r="ED119" s="610"/>
      <c r="EE119" s="610"/>
      <c r="EF119" s="610"/>
      <c r="EG119" s="610"/>
      <c r="EH119" s="610"/>
      <c r="EI119" s="610"/>
      <c r="EJ119" s="610"/>
      <c r="EK119" s="610"/>
      <c r="EL119" s="610"/>
      <c r="EM119" s="610"/>
      <c r="EN119" s="610"/>
      <c r="EO119" s="610"/>
      <c r="EP119" s="610"/>
      <c r="EQ119" s="610"/>
      <c r="ER119" s="610"/>
      <c r="ES119" s="610"/>
      <c r="ET119" s="610"/>
      <c r="EU119" s="610"/>
      <c r="EV119" s="610"/>
      <c r="EW119" s="610"/>
      <c r="EX119" s="610"/>
      <c r="EY119" s="610"/>
      <c r="EZ119" s="610"/>
      <c r="FA119" s="610"/>
      <c r="FB119" s="610"/>
      <c r="FC119" s="610"/>
      <c r="FD119" s="610"/>
      <c r="FE119" s="610"/>
      <c r="FF119" s="610"/>
      <c r="FG119" s="610"/>
      <c r="FH119" s="610"/>
      <c r="FI119" s="610"/>
      <c r="FJ119" s="610"/>
      <c r="FK119" s="610"/>
      <c r="FL119" s="610"/>
      <c r="FM119" s="610"/>
      <c r="FN119" s="610"/>
      <c r="FO119" s="610"/>
      <c r="FP119" s="610"/>
      <c r="FQ119" s="610"/>
      <c r="FR119" s="610"/>
      <c r="FS119" s="610"/>
      <c r="FT119" s="610"/>
      <c r="FU119" s="610"/>
      <c r="FV119" s="610"/>
      <c r="FW119" s="610"/>
      <c r="FX119" s="610"/>
      <c r="FY119" s="610"/>
      <c r="FZ119" s="610"/>
      <c r="GA119" s="610"/>
      <c r="GB119" s="610"/>
      <c r="GC119" s="610"/>
      <c r="GD119" s="610"/>
      <c r="GE119" s="610"/>
      <c r="GF119" s="610"/>
      <c r="GG119" s="610"/>
      <c r="GH119" s="610"/>
      <c r="GI119" s="610"/>
      <c r="GJ119" s="610"/>
      <c r="GK119" s="610"/>
      <c r="GL119" s="610"/>
      <c r="GM119" s="610"/>
      <c r="GN119" s="610"/>
      <c r="GO119" s="610"/>
      <c r="GP119" s="610"/>
      <c r="GQ119" s="610"/>
      <c r="GR119" s="610"/>
      <c r="GS119" s="610"/>
      <c r="GT119" s="610"/>
      <c r="GU119" s="610"/>
      <c r="GV119" s="610"/>
      <c r="GW119" s="610"/>
      <c r="GX119" s="610"/>
      <c r="GY119" s="610"/>
      <c r="GZ119" s="610"/>
      <c r="HA119" s="610"/>
      <c r="HB119" s="610"/>
      <c r="HC119" s="610"/>
      <c r="HD119" s="610"/>
      <c r="HE119" s="610"/>
      <c r="HF119" s="610"/>
      <c r="HG119" s="610"/>
      <c r="HH119" s="610"/>
      <c r="HI119" s="610"/>
      <c r="HJ119" s="610"/>
      <c r="HK119" s="610"/>
      <c r="HL119" s="610"/>
      <c r="HM119" s="610"/>
      <c r="HN119" s="610"/>
      <c r="HO119" s="610"/>
      <c r="HP119" s="610"/>
      <c r="HQ119" s="610"/>
      <c r="HR119" s="610"/>
      <c r="HS119" s="610"/>
      <c r="HT119" s="610"/>
      <c r="HU119" s="610"/>
      <c r="HV119" s="610"/>
      <c r="HW119" s="610"/>
      <c r="HX119" s="610"/>
      <c r="HY119" s="610"/>
      <c r="HZ119" s="610"/>
      <c r="IA119" s="610"/>
      <c r="IB119" s="610"/>
      <c r="IC119" s="610"/>
      <c r="ID119" s="610"/>
      <c r="IE119" s="610"/>
      <c r="IF119" s="610"/>
      <c r="IG119" s="610"/>
      <c r="IH119" s="610"/>
      <c r="II119" s="610"/>
      <c r="IJ119" s="610"/>
      <c r="IK119" s="610"/>
      <c r="IL119" s="610"/>
      <c r="IM119" s="610"/>
      <c r="IN119" s="610"/>
      <c r="IO119" s="610"/>
      <c r="IP119" s="610"/>
      <c r="IQ119" s="610"/>
      <c r="IR119" s="610"/>
      <c r="IS119" s="610"/>
      <c r="IT119" s="610"/>
      <c r="IU119" s="610"/>
      <c r="IV119" s="610"/>
      <c r="IW119" s="610"/>
      <c r="IX119" s="610"/>
      <c r="IY119" s="610"/>
      <c r="IZ119" s="610"/>
      <c r="JA119" s="610"/>
      <c r="JB119" s="610"/>
      <c r="JC119" s="610"/>
      <c r="JD119" s="610"/>
      <c r="JE119" s="610"/>
      <c r="JF119" s="610"/>
      <c r="JG119" s="610"/>
      <c r="JH119" s="610"/>
      <c r="JI119" s="610"/>
      <c r="JJ119" s="610"/>
      <c r="JK119" s="610"/>
      <c r="JL119" s="610"/>
      <c r="JM119" s="610"/>
      <c r="JN119" s="610"/>
      <c r="JO119" s="610"/>
      <c r="JP119" s="610"/>
      <c r="JQ119" s="610"/>
      <c r="JR119" s="610"/>
      <c r="JS119" s="610"/>
      <c r="JT119" s="610"/>
      <c r="JU119" s="610"/>
      <c r="JV119" s="610"/>
      <c r="JW119" s="610"/>
      <c r="JX119" s="610"/>
      <c r="JY119" s="610"/>
      <c r="JZ119" s="610"/>
      <c r="KA119" s="610"/>
      <c r="KB119" s="610"/>
      <c r="KC119" s="610"/>
      <c r="KD119" s="610"/>
      <c r="KE119" s="610"/>
      <c r="KF119" s="610"/>
      <c r="KG119" s="610"/>
      <c r="KH119" s="610"/>
      <c r="KI119" s="610"/>
      <c r="KJ119" s="610"/>
      <c r="KK119" s="610"/>
      <c r="KL119" s="610"/>
      <c r="KM119" s="610"/>
      <c r="KN119" s="610"/>
      <c r="KO119" s="610"/>
      <c r="KP119" s="610"/>
      <c r="KQ119" s="610"/>
      <c r="KR119" s="610"/>
      <c r="KS119" s="610"/>
      <c r="KT119" s="610"/>
      <c r="KU119" s="610"/>
      <c r="KV119" s="610"/>
      <c r="KW119" s="610"/>
      <c r="KX119" s="610"/>
      <c r="KY119" s="610"/>
      <c r="KZ119" s="610"/>
      <c r="LA119" s="610"/>
      <c r="LB119" s="610"/>
      <c r="LC119" s="610"/>
      <c r="LD119" s="610"/>
      <c r="LE119" s="610"/>
      <c r="LF119" s="610"/>
      <c r="LG119" s="610"/>
      <c r="LH119" s="610"/>
      <c r="LI119" s="610"/>
      <c r="LJ119" s="610"/>
      <c r="LK119" s="610"/>
      <c r="LL119" s="610"/>
      <c r="LM119" s="610"/>
      <c r="LN119" s="610"/>
      <c r="LO119" s="610"/>
      <c r="LP119" s="610"/>
      <c r="LQ119" s="610"/>
      <c r="LR119" s="610"/>
      <c r="LS119" s="610"/>
      <c r="LT119" s="610"/>
      <c r="LU119" s="610"/>
      <c r="LV119" s="610"/>
      <c r="LW119" s="610"/>
      <c r="LX119" s="610"/>
      <c r="LY119" s="610"/>
      <c r="LZ119" s="610"/>
      <c r="MA119" s="610"/>
      <c r="MB119" s="610"/>
      <c r="MC119" s="610"/>
      <c r="MD119" s="610"/>
      <c r="ME119" s="610"/>
      <c r="MF119" s="610"/>
      <c r="MG119" s="610"/>
      <c r="MH119" s="610"/>
      <c r="MI119" s="610"/>
      <c r="MJ119" s="610"/>
      <c r="MK119" s="610"/>
      <c r="ML119" s="610"/>
      <c r="MM119" s="610"/>
      <c r="MN119" s="610"/>
      <c r="MO119" s="610"/>
      <c r="MP119" s="610"/>
      <c r="MQ119" s="610"/>
      <c r="MR119" s="610"/>
      <c r="MS119" s="610"/>
      <c r="MT119" s="610"/>
      <c r="MU119" s="610"/>
      <c r="MV119" s="610"/>
      <c r="MW119" s="610"/>
      <c r="MX119" s="610"/>
      <c r="MY119" s="610"/>
      <c r="MZ119" s="610"/>
      <c r="NA119" s="610"/>
      <c r="NB119" s="610"/>
      <c r="NC119" s="610"/>
      <c r="ND119" s="610"/>
      <c r="NE119" s="610"/>
      <c r="NF119" s="610"/>
      <c r="NG119" s="610"/>
      <c r="NH119" s="610"/>
      <c r="NI119" s="610"/>
      <c r="NJ119" s="610"/>
      <c r="NK119" s="610"/>
      <c r="NL119" s="610"/>
      <c r="NM119" s="610"/>
      <c r="NN119" s="610"/>
      <c r="NO119" s="610"/>
      <c r="NP119" s="610"/>
      <c r="NQ119" s="610"/>
      <c r="NR119" s="610"/>
      <c r="NS119" s="610"/>
      <c r="NT119" s="610"/>
      <c r="NU119" s="610"/>
      <c r="NV119" s="610"/>
      <c r="NW119" s="610"/>
      <c r="NX119" s="610"/>
      <c r="NY119" s="610"/>
      <c r="NZ119" s="610"/>
      <c r="OA119" s="610"/>
      <c r="OB119" s="610"/>
      <c r="OC119" s="610"/>
      <c r="OD119" s="610"/>
      <c r="OE119" s="610"/>
      <c r="OF119" s="610"/>
      <c r="OG119" s="610"/>
      <c r="OH119" s="610"/>
      <c r="OI119" s="610"/>
      <c r="OJ119" s="610"/>
      <c r="OK119" s="610"/>
      <c r="OL119" s="610"/>
      <c r="OM119" s="610"/>
      <c r="ON119" s="610"/>
      <c r="OO119" s="610"/>
      <c r="OP119" s="610"/>
      <c r="OQ119" s="610"/>
      <c r="OR119" s="610"/>
      <c r="OS119" s="610"/>
      <c r="OT119" s="610"/>
      <c r="OU119" s="610"/>
      <c r="OV119" s="610"/>
      <c r="OW119" s="610"/>
      <c r="OX119" s="610"/>
      <c r="OY119" s="610"/>
      <c r="OZ119" s="610"/>
      <c r="PA119" s="610"/>
      <c r="PB119" s="610"/>
      <c r="PC119" s="610"/>
      <c r="PD119" s="610"/>
      <c r="PE119" s="610"/>
      <c r="PF119" s="610"/>
      <c r="PG119" s="610"/>
      <c r="PH119" s="610"/>
      <c r="PI119" s="610"/>
      <c r="PJ119" s="610"/>
      <c r="PK119" s="610"/>
      <c r="PL119" s="610"/>
      <c r="PM119" s="610"/>
      <c r="PN119" s="610"/>
      <c r="PO119" s="610"/>
      <c r="PP119" s="610"/>
      <c r="PQ119" s="610"/>
      <c r="PR119" s="610"/>
      <c r="PS119" s="610"/>
      <c r="PT119" s="610"/>
      <c r="PU119" s="610"/>
      <c r="PV119" s="610"/>
      <c r="PW119" s="610"/>
      <c r="PX119" s="610"/>
      <c r="PY119" s="610"/>
      <c r="PZ119" s="610"/>
      <c r="QA119" s="610"/>
      <c r="QB119" s="610"/>
      <c r="QC119" s="610"/>
      <c r="QD119" s="610"/>
      <c r="QE119" s="610"/>
      <c r="QF119" s="610"/>
      <c r="QG119" s="610"/>
      <c r="QH119" s="610"/>
      <c r="QI119" s="610"/>
      <c r="QJ119" s="610"/>
    </row>
    <row r="120" spans="1:452" s="524" customFormat="1" ht="18" x14ac:dyDescent="0.35">
      <c r="A120" s="605"/>
      <c r="B120" s="558"/>
      <c r="C120" s="559"/>
      <c r="D120" s="606"/>
      <c r="E120" s="572" t="s">
        <v>86</v>
      </c>
      <c r="F120" s="571" cm="1">
        <f t="array" ref="F120">SUMPRODUCT(F$14:F$43,--($Q$14:$Q$43=FALSE),--($D$14:$D$43=$D119))</f>
        <v>0</v>
      </c>
      <c r="G120" s="571" cm="1">
        <f t="array" ref="G120">SUMPRODUCT(G$14:G$43,--($Q$14:$Q$43=FALSE),--($D$14:$D$43=$D119))</f>
        <v>0</v>
      </c>
      <c r="H120" s="571" cm="1">
        <f t="array" ref="H120">SUMPRODUCT(H$14:H$43,--($Q$14:$Q$43=FALSE),--($D$14:$D$43=$D119))</f>
        <v>0</v>
      </c>
      <c r="I120" s="571" cm="1">
        <f t="array" ref="I120">SUMPRODUCT(I$14:I$43,--($Q$14:$Q$43=FALSE),--($D$14:$D$43=$D119))</f>
        <v>0</v>
      </c>
      <c r="J120" s="571" cm="1">
        <f t="array" ref="J120">SUMPRODUCT(J$14:J$43,--($Q$14:$Q$43=FALSE),--($D$14:$D$43=$D119))</f>
        <v>0</v>
      </c>
      <c r="K120" s="571" cm="1">
        <f t="array" ref="K120">SUMPRODUCT(K$14:K$43,--($Q$14:$Q$43=FALSE),--($D$14:$D$43=$D119))</f>
        <v>0</v>
      </c>
      <c r="L120" s="571" cm="1">
        <f t="array" ref="L120">SUMPRODUCT(L$14:L$43,--($Q$14:$Q$43=FALSE),--($D$14:$D$43=$D119))</f>
        <v>0</v>
      </c>
      <c r="M120" s="571" cm="1">
        <f t="array" ref="M120">SUMPRODUCT(M$14:M$43,--($Q$14:$Q$43=FALSE),--($D$14:$D$43=$D119))</f>
        <v>0</v>
      </c>
      <c r="N120" s="571" cm="1">
        <f t="array" ref="N120">SUMPRODUCT(N$14:N$43,--($Q$14:$Q$43=FALSE),--($D$14:$D$43=$D119))</f>
        <v>0</v>
      </c>
      <c r="O120" s="571" cm="1">
        <f t="array" ref="O120">SUMPRODUCT(O$14:O$43,--($Q$14:$Q$43=FALSE),--($D$14:$D$43=$D119))</f>
        <v>0</v>
      </c>
      <c r="P120" s="607">
        <f t="shared" si="29"/>
        <v>0</v>
      </c>
      <c r="Q120" s="575"/>
      <c r="R120" s="576"/>
      <c r="S120" s="576"/>
      <c r="T120" s="576"/>
      <c r="U120" s="577"/>
    </row>
    <row r="121" spans="1:452" s="524" customFormat="1" ht="18" x14ac:dyDescent="0.35">
      <c r="A121" s="605"/>
      <c r="B121" s="558"/>
      <c r="C121" s="559"/>
      <c r="D121" s="606"/>
      <c r="E121" s="572" t="s">
        <v>87</v>
      </c>
      <c r="F121" s="571" cm="1">
        <f t="array" ref="F121">SUMPRODUCT(F$14:F$43,--($Q$14:$Q$43=FALSE),--($D$14:$D$43=$D119),--($R$14:$R$43="Yes"))*0.1</f>
        <v>0</v>
      </c>
      <c r="G121" s="571" cm="1">
        <f t="array" ref="G121">SUMPRODUCT(G$14:G$43,--($Q$14:$Q$43=FALSE),--($D$14:$D$43=$D119),--($R$14:$R$43="Yes"))*0.1</f>
        <v>0</v>
      </c>
      <c r="H121" s="571" cm="1">
        <f t="array" ref="H121">SUMPRODUCT(H$14:H$43,--($Q$14:$Q$43=FALSE),--($D$14:$D$43=$D119),--($R$14:$R$43="Yes"))*0.1</f>
        <v>0</v>
      </c>
      <c r="I121" s="571" cm="1">
        <f t="array" ref="I121">SUMPRODUCT(I$14:I$43,--($Q$14:$Q$43=FALSE),--($D$14:$D$43=$D119),--($R$14:$R$43="Yes"))*0.1</f>
        <v>0</v>
      </c>
      <c r="J121" s="571" cm="1">
        <f t="array" ref="J121">SUMPRODUCT(J$14:J$43,--($Q$14:$Q$43=FALSE),--($D$14:$D$43=$D119),--($R$14:$R$43="Yes"))*0.1</f>
        <v>0</v>
      </c>
      <c r="K121" s="571" cm="1">
        <f t="array" ref="K121">SUMPRODUCT(K$14:K$43,--($Q$14:$Q$43=FALSE),--($D$14:$D$43=$D119),--($R$14:$R$43="Yes"))*0.1</f>
        <v>0</v>
      </c>
      <c r="L121" s="571" cm="1">
        <f t="array" ref="L121">SUMPRODUCT(L$14:L$43,--($Q$14:$Q$43=FALSE),--($D$14:$D$43=$D119),--($R$14:$R$43="Yes"))*0.1</f>
        <v>0</v>
      </c>
      <c r="M121" s="571" cm="1">
        <f t="array" ref="M121">SUMPRODUCT(M$14:M$43,--($Q$14:$Q$43=FALSE),--($D$14:$D$43=$D119),--($R$14:$R$43="Yes"))*0.1</f>
        <v>0</v>
      </c>
      <c r="N121" s="571" cm="1">
        <f t="array" ref="N121">SUMPRODUCT(N$14:N$43,--($Q$14:$Q$43=FALSE),--($D$14:$D$43=$D119),--($R$14:$R$43="Yes"))*0.1</f>
        <v>0</v>
      </c>
      <c r="O121" s="571" cm="1">
        <f t="array" ref="O121">SUMPRODUCT(O$14:O$43,--($Q$14:$Q$43=FALSE),--($D$14:$D$43=$D119),--($R$14:$R$43="Yes"))*0.1</f>
        <v>0</v>
      </c>
      <c r="P121" s="607">
        <f t="shared" si="29"/>
        <v>0</v>
      </c>
      <c r="Q121" s="575"/>
      <c r="R121" s="576"/>
      <c r="S121" s="576"/>
      <c r="T121" s="576"/>
      <c r="U121" s="577"/>
    </row>
    <row r="122" spans="1:452" s="524" customFormat="1" ht="18" x14ac:dyDescent="0.35">
      <c r="A122" s="605"/>
      <c r="B122" s="558"/>
      <c r="C122" s="559"/>
      <c r="D122" s="606"/>
      <c r="E122" s="572" t="s">
        <v>88</v>
      </c>
      <c r="F122" s="571">
        <f t="shared" ref="F122:O122" si="33">F119-(F120+F121)</f>
        <v>0</v>
      </c>
      <c r="G122" s="571">
        <f t="shared" si="33"/>
        <v>0</v>
      </c>
      <c r="H122" s="571">
        <f t="shared" si="33"/>
        <v>0</v>
      </c>
      <c r="I122" s="571">
        <f t="shared" si="33"/>
        <v>0</v>
      </c>
      <c r="J122" s="571">
        <f t="shared" si="33"/>
        <v>0</v>
      </c>
      <c r="K122" s="571">
        <f t="shared" si="33"/>
        <v>0</v>
      </c>
      <c r="L122" s="571">
        <f t="shared" si="33"/>
        <v>0</v>
      </c>
      <c r="M122" s="571">
        <f t="shared" si="33"/>
        <v>0</v>
      </c>
      <c r="N122" s="571">
        <f t="shared" si="33"/>
        <v>0</v>
      </c>
      <c r="O122" s="571">
        <f t="shared" si="33"/>
        <v>0</v>
      </c>
      <c r="P122" s="607">
        <f t="shared" si="29"/>
        <v>0</v>
      </c>
      <c r="Q122" s="575"/>
      <c r="R122" s="576"/>
      <c r="S122" s="576"/>
      <c r="T122" s="576"/>
      <c r="U122" s="577"/>
    </row>
    <row r="123" spans="1:452" s="578" customFormat="1" ht="18" x14ac:dyDescent="0.35">
      <c r="A123" s="624"/>
      <c r="B123" s="625"/>
      <c r="C123" s="626"/>
      <c r="D123" s="625" t="s">
        <v>103</v>
      </c>
      <c r="E123" s="627"/>
      <c r="F123" s="628" cm="1">
        <f t="array" ref="F123">SUMPRODUCT(F$14:F$43,--($D$14:$D$43=$D119),--($Q$14:$Q$43=TRUE),$S$14:$S$43,--($S$14:$S$43&gt;0))+SUMPRODUCT(F$14:F$43,--($D$14:$D$43=$D119),--($Q$14:$Q$43=TRUE),$S$14:$S$43,--($S$14:$S$43&gt;0),--($R$14:$R$43="Yes"))*0.1+SUMPRODUCT(F$14:F$43,--($D$14:$D$43=$D119),--($Q$14:$Q$43=TRUE),--($S70:$S99=0))+SUMPRODUCT(F$14:F$43,--($D$14:$D$43=$D119),--($Q$14:$Q$43=TRUE),--($R$14:$R$43="Yes"),--($S$14:$S$43=0))*0.1</f>
        <v>0</v>
      </c>
      <c r="G123" s="628" cm="1">
        <f t="array" ref="G123">SUMPRODUCT(G$14:G$43,--($D$14:$D$43=$D119),--($Q$14:$Q$43=TRUE),$S$14:$S$43,--($S$14:$S$43&gt;0))+SUMPRODUCT(G$14:G$43,--($D$14:$D$43=$D119),--($Q$14:$Q$43=TRUE),$S$14:$S$43,--($S$14:$S$43&gt;0),--($R$14:$R$43="Yes"))*0.1+SUMPRODUCT(G$14:G$43,--($D$14:$D$43=$D119),--($Q$14:$Q$43=TRUE),--($S70:$S99=0))+SUMPRODUCT(G$14:G$43,--($D$14:$D$43=$D119),--($Q$14:$Q$43=TRUE),--($R$14:$R$43="Yes"),--($S$14:$S$43=0))*0.1</f>
        <v>0</v>
      </c>
      <c r="H123" s="628" cm="1">
        <f t="array" ref="H123">SUMPRODUCT(H$14:H$43,--($D$14:$D$43=$D119),--($Q$14:$Q$43=TRUE),$S$14:$S$43,--($S$14:$S$43&gt;0))+SUMPRODUCT(H$14:H$43,--($D$14:$D$43=$D119),--($Q$14:$Q$43=TRUE),$S$14:$S$43,--($S$14:$S$43&gt;0),--($R$14:$R$43="Yes"))*0.1+SUMPRODUCT(H$14:H$43,--($D$14:$D$43=$D119),--($Q$14:$Q$43=TRUE),--($S70:$S99=0))+SUMPRODUCT(H$14:H$43,--($D$14:$D$43=$D119),--($Q$14:$Q$43=TRUE),--($R$14:$R$43="Yes"),--($S$14:$S$43=0))*0.1</f>
        <v>0</v>
      </c>
      <c r="I123" s="628" cm="1">
        <f t="array" ref="I123">SUMPRODUCT(I$14:I$43,--($D$14:$D$43=$D119),--($Q$14:$Q$43=TRUE),$S$14:$S$43,--($S$14:$S$43&gt;0))+SUMPRODUCT(I$14:I$43,--($D$14:$D$43=$D119),--($Q$14:$Q$43=TRUE),$S$14:$S$43,--($S$14:$S$43&gt;0),--($R$14:$R$43="Yes"))*0.1+SUMPRODUCT(I$14:I$43,--($D$14:$D$43=$D119),--($Q$14:$Q$43=TRUE),--($S70:$S99=0))+SUMPRODUCT(I$14:I$43,--($D$14:$D$43=$D119),--($Q$14:$Q$43=TRUE),--($R$14:$R$43="Yes"),--($S$14:$S$43=0))*0.1</f>
        <v>0</v>
      </c>
      <c r="J123" s="628" cm="1">
        <f t="array" ref="J123">SUMPRODUCT(J$14:J$43,--($D$14:$D$43=$D119),--($Q$14:$Q$43=TRUE),$S$14:$S$43,--($S$14:$S$43&gt;0))+SUMPRODUCT(J$14:J$43,--($D$14:$D$43=$D119),--($Q$14:$Q$43=TRUE),$S$14:$S$43,--($S$14:$S$43&gt;0),--($R$14:$R$43="Yes"))*0.1+SUMPRODUCT(J$14:J$43,--($D$14:$D$43=$D119),--($Q$14:$Q$43=TRUE),--($S70:$S99=0))+SUMPRODUCT(J$14:J$43,--($D$14:$D$43=$D119),--($Q$14:$Q$43=TRUE),--($R$14:$R$43="Yes"),--($S$14:$S$43=0))*0.1</f>
        <v>0</v>
      </c>
      <c r="K123" s="628" cm="1">
        <f t="array" ref="K123">SUMPRODUCT(K$14:K$43,--($D$14:$D$43=$D119),--($Q$14:$Q$43=TRUE),$S$14:$S$43,--($S$14:$S$43&gt;0))+SUMPRODUCT(K$14:K$43,--($D$14:$D$43=$D119),--($Q$14:$Q$43=TRUE),$S$14:$S$43,--($S$14:$S$43&gt;0),--($R$14:$R$43="Yes"))*0.1+SUMPRODUCT(K$14:K$43,--($D$14:$D$43=$D119),--($Q$14:$Q$43=TRUE),--($S70:$S99=0))+SUMPRODUCT(K$14:K$43,--($D$14:$D$43=$D119),--($Q$14:$Q$43=TRUE),--($R$14:$R$43="Yes"),--($S$14:$S$43=0))*0.1</f>
        <v>0</v>
      </c>
      <c r="L123" s="628" cm="1">
        <f t="array" ref="L123">SUMPRODUCT(L$14:L$43,--($D$14:$D$43=$D119),--($Q$14:$Q$43=TRUE),$S$14:$S$43,--($S$14:$S$43&gt;0))+SUMPRODUCT(L$14:L$43,--($D$14:$D$43=$D119),--($Q$14:$Q$43=TRUE),$S$14:$S$43,--($S$14:$S$43&gt;0),--($R$14:$R$43="Yes"))*0.1+SUMPRODUCT(L$14:L$43,--($D$14:$D$43=$D119),--($Q$14:$Q$43=TRUE),--($S70:$S99=0))+SUMPRODUCT(L$14:L$43,--($D$14:$D$43=$D119),--($Q$14:$Q$43=TRUE),--($R$14:$R$43="Yes"),--($S$14:$S$43=0))*0.1</f>
        <v>0</v>
      </c>
      <c r="M123" s="628" cm="1">
        <f t="array" ref="M123">SUMPRODUCT(M$14:M$43,--($D$14:$D$43=$D119),--($Q$14:$Q$43=TRUE),$S$14:$S$43,--($S$14:$S$43&gt;0))+SUMPRODUCT(M$14:M$43,--($D$14:$D$43=$D119),--($Q$14:$Q$43=TRUE),$S$14:$S$43,--($S$14:$S$43&gt;0),--($R$14:$R$43="Yes"))*0.1+SUMPRODUCT(M$14:M$43,--($D$14:$D$43=$D119),--($Q$14:$Q$43=TRUE),--($S70:$S99=0))+SUMPRODUCT(M$14:M$43,--($D$14:$D$43=$D119),--($Q$14:$Q$43=TRUE),--($R$14:$R$43="Yes"),--($S$14:$S$43=0))*0.1</f>
        <v>0</v>
      </c>
      <c r="N123" s="628" cm="1">
        <f t="array" ref="N123">SUMPRODUCT(N$14:N$43,--($D$14:$D$43=$D119),--($Q$14:$Q$43=TRUE),$S$14:$S$43,--($S$14:$S$43&gt;0))+SUMPRODUCT(N$14:N$43,--($D$14:$D$43=$D119),--($Q$14:$Q$43=TRUE),$S$14:$S$43,--($S$14:$S$43&gt;0),--($R$14:$R$43="Yes"))*0.1+SUMPRODUCT(N$14:N$43,--($D$14:$D$43=$D119),--($Q$14:$Q$43=TRUE),--($S70:$S99=0))+SUMPRODUCT(N$14:N$43,--($D$14:$D$43=$D119),--($Q$14:$Q$43=TRUE),--($R$14:$R$43="Yes"),--($S$14:$S$43=0))*0.1</f>
        <v>0</v>
      </c>
      <c r="O123" s="628" cm="1">
        <f t="array" ref="O123">SUMPRODUCT(O$14:O$43,--($D$14:$D$43=$D119),--($Q$14:$Q$43=TRUE),$S$14:$S$43,--($S$14:$S$43&gt;0))+SUMPRODUCT(O$14:O$43,--($D$14:$D$43=$D119),--($Q$14:$Q$43=TRUE),$S$14:$S$43,--($S$14:$S$43&gt;0),--($R$14:$R$43="Yes"))*0.1+SUMPRODUCT(O$14:O$43,--($D$14:$D$43=$D119),--($Q$14:$Q$43=TRUE),--($S70:$S99=0))+SUMPRODUCT(O$14:O$43,--($D$14:$D$43=$D119),--($Q$14:$Q$43=TRUE),--($R$14:$R$43="Yes"),--($S$14:$S$43=0))*0.1</f>
        <v>0</v>
      </c>
      <c r="P123" s="629">
        <f t="shared" si="29"/>
        <v>0</v>
      </c>
      <c r="Q123" s="575"/>
      <c r="R123" s="576"/>
      <c r="S123" s="576"/>
      <c r="T123" s="576"/>
      <c r="U123" s="577"/>
      <c r="V123" s="610"/>
      <c r="W123" s="610"/>
      <c r="X123" s="610"/>
      <c r="Y123" s="610"/>
      <c r="Z123" s="610"/>
      <c r="AA123" s="610"/>
      <c r="AB123" s="610"/>
      <c r="AC123" s="610"/>
      <c r="AD123" s="610"/>
      <c r="AE123" s="610"/>
      <c r="AF123" s="610"/>
      <c r="AG123" s="610"/>
      <c r="AH123" s="610"/>
      <c r="AI123" s="610"/>
      <c r="AJ123" s="610"/>
      <c r="AK123" s="610"/>
      <c r="AL123" s="610"/>
      <c r="AM123" s="610"/>
      <c r="AN123" s="610"/>
      <c r="AO123" s="610"/>
      <c r="AP123" s="610"/>
      <c r="AQ123" s="610"/>
      <c r="AR123" s="610"/>
      <c r="AS123" s="610"/>
      <c r="AT123" s="610"/>
      <c r="AU123" s="610"/>
      <c r="AV123" s="610"/>
      <c r="AW123" s="610"/>
      <c r="AX123" s="610"/>
      <c r="AY123" s="610"/>
      <c r="AZ123" s="610"/>
      <c r="BA123" s="610"/>
      <c r="BB123" s="610"/>
      <c r="BC123" s="610"/>
      <c r="BD123" s="610"/>
      <c r="BE123" s="610"/>
      <c r="BF123" s="610"/>
      <c r="BG123" s="610"/>
      <c r="BH123" s="610"/>
      <c r="BI123" s="610"/>
      <c r="BJ123" s="610"/>
      <c r="BK123" s="610"/>
      <c r="BL123" s="610"/>
      <c r="BM123" s="610"/>
      <c r="BN123" s="610"/>
      <c r="BO123" s="610"/>
      <c r="BP123" s="610"/>
      <c r="BQ123" s="610"/>
      <c r="BR123" s="610"/>
      <c r="BS123" s="610"/>
      <c r="BT123" s="610"/>
      <c r="BU123" s="610"/>
      <c r="BV123" s="610"/>
      <c r="BW123" s="610"/>
      <c r="BX123" s="610"/>
      <c r="BY123" s="610"/>
      <c r="BZ123" s="610"/>
      <c r="CA123" s="610"/>
      <c r="CB123" s="610"/>
      <c r="CC123" s="610"/>
      <c r="CD123" s="610"/>
      <c r="CE123" s="610"/>
      <c r="CF123" s="610"/>
      <c r="CG123" s="610"/>
      <c r="CH123" s="610"/>
      <c r="CI123" s="610"/>
      <c r="CJ123" s="610"/>
      <c r="CK123" s="610"/>
      <c r="CL123" s="610"/>
      <c r="CM123" s="610"/>
      <c r="CN123" s="610"/>
      <c r="CO123" s="610"/>
      <c r="CP123" s="610"/>
      <c r="CQ123" s="610"/>
      <c r="CR123" s="610"/>
      <c r="CS123" s="610"/>
      <c r="CT123" s="610"/>
      <c r="CU123" s="610"/>
      <c r="CV123" s="610"/>
      <c r="CW123" s="610"/>
      <c r="CX123" s="610"/>
      <c r="CY123" s="610"/>
      <c r="CZ123" s="610"/>
      <c r="DA123" s="610"/>
      <c r="DB123" s="610"/>
      <c r="DC123" s="610"/>
      <c r="DD123" s="610"/>
      <c r="DE123" s="610"/>
      <c r="DF123" s="610"/>
      <c r="DG123" s="610"/>
      <c r="DH123" s="610"/>
      <c r="DI123" s="610"/>
      <c r="DJ123" s="610"/>
      <c r="DK123" s="610"/>
      <c r="DL123" s="610"/>
      <c r="DM123" s="610"/>
      <c r="DN123" s="610"/>
      <c r="DO123" s="610"/>
      <c r="DP123" s="610"/>
      <c r="DQ123" s="610"/>
      <c r="DR123" s="610"/>
      <c r="DS123" s="610"/>
      <c r="DT123" s="610"/>
      <c r="DU123" s="610"/>
      <c r="DV123" s="610"/>
      <c r="DW123" s="610"/>
      <c r="DX123" s="610"/>
      <c r="DY123" s="610"/>
      <c r="DZ123" s="610"/>
      <c r="EA123" s="610"/>
      <c r="EB123" s="610"/>
      <c r="EC123" s="610"/>
      <c r="ED123" s="610"/>
      <c r="EE123" s="610"/>
      <c r="EF123" s="610"/>
      <c r="EG123" s="610"/>
      <c r="EH123" s="610"/>
      <c r="EI123" s="610"/>
      <c r="EJ123" s="610"/>
      <c r="EK123" s="610"/>
      <c r="EL123" s="610"/>
      <c r="EM123" s="610"/>
      <c r="EN123" s="610"/>
      <c r="EO123" s="610"/>
      <c r="EP123" s="610"/>
      <c r="EQ123" s="610"/>
      <c r="ER123" s="610"/>
      <c r="ES123" s="610"/>
      <c r="ET123" s="610"/>
      <c r="EU123" s="610"/>
      <c r="EV123" s="610"/>
      <c r="EW123" s="610"/>
      <c r="EX123" s="610"/>
      <c r="EY123" s="610"/>
      <c r="EZ123" s="610"/>
      <c r="FA123" s="610"/>
      <c r="FB123" s="610"/>
      <c r="FC123" s="610"/>
      <c r="FD123" s="610"/>
      <c r="FE123" s="610"/>
      <c r="FF123" s="610"/>
      <c r="FG123" s="610"/>
      <c r="FH123" s="610"/>
      <c r="FI123" s="610"/>
      <c r="FJ123" s="610"/>
      <c r="FK123" s="610"/>
      <c r="FL123" s="610"/>
      <c r="FM123" s="610"/>
      <c r="FN123" s="610"/>
      <c r="FO123" s="610"/>
      <c r="FP123" s="610"/>
      <c r="FQ123" s="610"/>
      <c r="FR123" s="610"/>
      <c r="FS123" s="610"/>
      <c r="FT123" s="610"/>
      <c r="FU123" s="610"/>
      <c r="FV123" s="610"/>
      <c r="FW123" s="610"/>
      <c r="FX123" s="610"/>
      <c r="FY123" s="610"/>
      <c r="FZ123" s="610"/>
      <c r="GA123" s="610"/>
      <c r="GB123" s="610"/>
      <c r="GC123" s="610"/>
      <c r="GD123" s="610"/>
      <c r="GE123" s="610"/>
      <c r="GF123" s="610"/>
      <c r="GG123" s="610"/>
      <c r="GH123" s="610"/>
      <c r="GI123" s="610"/>
      <c r="GJ123" s="610"/>
      <c r="GK123" s="610"/>
      <c r="GL123" s="610"/>
      <c r="GM123" s="610"/>
      <c r="GN123" s="610"/>
      <c r="GO123" s="610"/>
      <c r="GP123" s="610"/>
      <c r="GQ123" s="610"/>
      <c r="GR123" s="610"/>
      <c r="GS123" s="610"/>
      <c r="GT123" s="610"/>
      <c r="GU123" s="610"/>
      <c r="GV123" s="610"/>
      <c r="GW123" s="610"/>
      <c r="GX123" s="610"/>
      <c r="GY123" s="610"/>
      <c r="GZ123" s="610"/>
      <c r="HA123" s="610"/>
      <c r="HB123" s="610"/>
      <c r="HC123" s="610"/>
      <c r="HD123" s="610"/>
      <c r="HE123" s="610"/>
      <c r="HF123" s="610"/>
      <c r="HG123" s="610"/>
      <c r="HH123" s="610"/>
      <c r="HI123" s="610"/>
      <c r="HJ123" s="610"/>
      <c r="HK123" s="610"/>
      <c r="HL123" s="610"/>
      <c r="HM123" s="610"/>
      <c r="HN123" s="610"/>
      <c r="HO123" s="610"/>
      <c r="HP123" s="610"/>
      <c r="HQ123" s="610"/>
      <c r="HR123" s="610"/>
      <c r="HS123" s="610"/>
      <c r="HT123" s="610"/>
      <c r="HU123" s="610"/>
      <c r="HV123" s="610"/>
      <c r="HW123" s="610"/>
      <c r="HX123" s="610"/>
      <c r="HY123" s="610"/>
      <c r="HZ123" s="610"/>
      <c r="IA123" s="610"/>
      <c r="IB123" s="610"/>
      <c r="IC123" s="610"/>
      <c r="ID123" s="610"/>
      <c r="IE123" s="610"/>
      <c r="IF123" s="610"/>
      <c r="IG123" s="610"/>
      <c r="IH123" s="610"/>
      <c r="II123" s="610"/>
      <c r="IJ123" s="610"/>
      <c r="IK123" s="610"/>
      <c r="IL123" s="610"/>
      <c r="IM123" s="610"/>
      <c r="IN123" s="610"/>
      <c r="IO123" s="610"/>
      <c r="IP123" s="610"/>
      <c r="IQ123" s="610"/>
      <c r="IR123" s="610"/>
      <c r="IS123" s="610"/>
      <c r="IT123" s="610"/>
      <c r="IU123" s="610"/>
      <c r="IV123" s="610"/>
      <c r="IW123" s="610"/>
      <c r="IX123" s="610"/>
      <c r="IY123" s="610"/>
      <c r="IZ123" s="610"/>
      <c r="JA123" s="610"/>
      <c r="JB123" s="610"/>
      <c r="JC123" s="610"/>
      <c r="JD123" s="610"/>
      <c r="JE123" s="610"/>
      <c r="JF123" s="610"/>
      <c r="JG123" s="610"/>
      <c r="JH123" s="610"/>
      <c r="JI123" s="610"/>
      <c r="JJ123" s="610"/>
      <c r="JK123" s="610"/>
      <c r="JL123" s="610"/>
      <c r="JM123" s="610"/>
      <c r="JN123" s="610"/>
      <c r="JO123" s="610"/>
      <c r="JP123" s="610"/>
      <c r="JQ123" s="610"/>
      <c r="JR123" s="610"/>
      <c r="JS123" s="610"/>
      <c r="JT123" s="610"/>
      <c r="JU123" s="610"/>
      <c r="JV123" s="610"/>
      <c r="JW123" s="610"/>
      <c r="JX123" s="610"/>
      <c r="JY123" s="610"/>
      <c r="JZ123" s="610"/>
      <c r="KA123" s="610"/>
      <c r="KB123" s="610"/>
      <c r="KC123" s="610"/>
      <c r="KD123" s="610"/>
      <c r="KE123" s="610"/>
      <c r="KF123" s="610"/>
      <c r="KG123" s="610"/>
      <c r="KH123" s="610"/>
      <c r="KI123" s="610"/>
      <c r="KJ123" s="610"/>
      <c r="KK123" s="610"/>
      <c r="KL123" s="610"/>
      <c r="KM123" s="610"/>
      <c r="KN123" s="610"/>
      <c r="KO123" s="610"/>
      <c r="KP123" s="610"/>
      <c r="KQ123" s="610"/>
      <c r="KR123" s="610"/>
      <c r="KS123" s="610"/>
      <c r="KT123" s="610"/>
      <c r="KU123" s="610"/>
      <c r="KV123" s="610"/>
      <c r="KW123" s="610"/>
      <c r="KX123" s="610"/>
      <c r="KY123" s="610"/>
      <c r="KZ123" s="610"/>
      <c r="LA123" s="610"/>
      <c r="LB123" s="610"/>
      <c r="LC123" s="610"/>
      <c r="LD123" s="610"/>
      <c r="LE123" s="610"/>
      <c r="LF123" s="610"/>
      <c r="LG123" s="610"/>
      <c r="LH123" s="610"/>
      <c r="LI123" s="610"/>
      <c r="LJ123" s="610"/>
      <c r="LK123" s="610"/>
      <c r="LL123" s="610"/>
      <c r="LM123" s="610"/>
      <c r="LN123" s="610"/>
      <c r="LO123" s="610"/>
      <c r="LP123" s="610"/>
      <c r="LQ123" s="610"/>
      <c r="LR123" s="610"/>
      <c r="LS123" s="610"/>
      <c r="LT123" s="610"/>
      <c r="LU123" s="610"/>
      <c r="LV123" s="610"/>
      <c r="LW123" s="610"/>
      <c r="LX123" s="610"/>
      <c r="LY123" s="610"/>
      <c r="LZ123" s="610"/>
      <c r="MA123" s="610"/>
      <c r="MB123" s="610"/>
      <c r="MC123" s="610"/>
      <c r="MD123" s="610"/>
      <c r="ME123" s="610"/>
      <c r="MF123" s="610"/>
      <c r="MG123" s="610"/>
      <c r="MH123" s="610"/>
      <c r="MI123" s="610"/>
      <c r="MJ123" s="610"/>
      <c r="MK123" s="610"/>
      <c r="ML123" s="610"/>
      <c r="MM123" s="610"/>
      <c r="MN123" s="610"/>
      <c r="MO123" s="610"/>
      <c r="MP123" s="610"/>
      <c r="MQ123" s="610"/>
      <c r="MR123" s="610"/>
      <c r="MS123" s="610"/>
      <c r="MT123" s="610"/>
      <c r="MU123" s="610"/>
      <c r="MV123" s="610"/>
      <c r="MW123" s="610"/>
      <c r="MX123" s="610"/>
      <c r="MY123" s="610"/>
      <c r="MZ123" s="610"/>
      <c r="NA123" s="610"/>
      <c r="NB123" s="610"/>
      <c r="NC123" s="610"/>
      <c r="ND123" s="610"/>
      <c r="NE123" s="610"/>
      <c r="NF123" s="610"/>
      <c r="NG123" s="610"/>
      <c r="NH123" s="610"/>
      <c r="NI123" s="610"/>
      <c r="NJ123" s="610"/>
      <c r="NK123" s="610"/>
      <c r="NL123" s="610"/>
      <c r="NM123" s="610"/>
      <c r="NN123" s="610"/>
      <c r="NO123" s="610"/>
      <c r="NP123" s="610"/>
      <c r="NQ123" s="610"/>
      <c r="NR123" s="610"/>
      <c r="NS123" s="610"/>
      <c r="NT123" s="610"/>
      <c r="NU123" s="610"/>
      <c r="NV123" s="610"/>
      <c r="NW123" s="610"/>
      <c r="NX123" s="610"/>
      <c r="NY123" s="610"/>
      <c r="NZ123" s="610"/>
      <c r="OA123" s="610"/>
      <c r="OB123" s="610"/>
      <c r="OC123" s="610"/>
      <c r="OD123" s="610"/>
      <c r="OE123" s="610"/>
      <c r="OF123" s="610"/>
      <c r="OG123" s="610"/>
      <c r="OH123" s="610"/>
      <c r="OI123" s="610"/>
      <c r="OJ123" s="610"/>
      <c r="OK123" s="610"/>
      <c r="OL123" s="610"/>
      <c r="OM123" s="610"/>
      <c r="ON123" s="610"/>
      <c r="OO123" s="610"/>
      <c r="OP123" s="610"/>
      <c r="OQ123" s="610"/>
      <c r="OR123" s="610"/>
      <c r="OS123" s="610"/>
      <c r="OT123" s="610"/>
      <c r="OU123" s="610"/>
      <c r="OV123" s="610"/>
      <c r="OW123" s="610"/>
      <c r="OX123" s="610"/>
      <c r="OY123" s="610"/>
      <c r="OZ123" s="610"/>
      <c r="PA123" s="610"/>
      <c r="PB123" s="610"/>
      <c r="PC123" s="610"/>
      <c r="PD123" s="610"/>
      <c r="PE123" s="610"/>
      <c r="PF123" s="610"/>
      <c r="PG123" s="610"/>
      <c r="PH123" s="610"/>
      <c r="PI123" s="610"/>
      <c r="PJ123" s="610"/>
      <c r="PK123" s="610"/>
      <c r="PL123" s="610"/>
      <c r="PM123" s="610"/>
      <c r="PN123" s="610"/>
      <c r="PO123" s="610"/>
      <c r="PP123" s="610"/>
      <c r="PQ123" s="610"/>
      <c r="PR123" s="610"/>
      <c r="PS123" s="610"/>
      <c r="PT123" s="610"/>
      <c r="PU123" s="610"/>
      <c r="PV123" s="610"/>
      <c r="PW123" s="610"/>
      <c r="PX123" s="610"/>
      <c r="PY123" s="610"/>
      <c r="PZ123" s="610"/>
      <c r="QA123" s="610"/>
      <c r="QB123" s="610"/>
      <c r="QC123" s="610"/>
      <c r="QD123" s="610"/>
      <c r="QE123" s="610"/>
      <c r="QF123" s="610"/>
      <c r="QG123" s="610"/>
      <c r="QH123" s="610"/>
      <c r="QI123" s="610"/>
      <c r="QJ123" s="610"/>
    </row>
    <row r="124" spans="1:452" s="524" customFormat="1" ht="18" x14ac:dyDescent="0.35">
      <c r="A124" s="605"/>
      <c r="B124" s="558"/>
      <c r="C124" s="559"/>
      <c r="D124" s="559"/>
      <c r="E124" s="572" t="s">
        <v>86</v>
      </c>
      <c r="F124" s="571" cm="1">
        <f t="array" ref="F124">SUMPRODUCT(F$14:F$43,--($Q$14:$Q$43=TRUE),--($D$14:$D$43=$D119))</f>
        <v>0</v>
      </c>
      <c r="G124" s="571" cm="1">
        <f t="array" ref="G124">SUMPRODUCT(G$14:G$43,--($Q$14:$Q$43=TRUE),--($D$14:$D$43=$D119))</f>
        <v>0</v>
      </c>
      <c r="H124" s="571" cm="1">
        <f t="array" ref="H124">SUMPRODUCT(H$14:H$43,--($Q$14:$Q$43=TRUE),--($D$14:$D$43=$D119))</f>
        <v>0</v>
      </c>
      <c r="I124" s="571" cm="1">
        <f t="array" ref="I124">SUMPRODUCT(I$14:I$43,--($Q$14:$Q$43=TRUE),--($D$14:$D$43=$D119))</f>
        <v>0</v>
      </c>
      <c r="J124" s="571" cm="1">
        <f t="array" ref="J124">SUMPRODUCT(J$14:J$43,--($Q$14:$Q$43=TRUE),--($D$14:$D$43=$D119))</f>
        <v>0</v>
      </c>
      <c r="K124" s="571" cm="1">
        <f t="array" ref="K124">SUMPRODUCT(K$14:K$43,--($Q$14:$Q$43=TRUE),--($D$14:$D$43=$D119))</f>
        <v>0</v>
      </c>
      <c r="L124" s="571" cm="1">
        <f t="array" ref="L124">SUMPRODUCT(L$14:L$43,--($Q$14:$Q$43=TRUE),--($D$14:$D$43=$D119))</f>
        <v>0</v>
      </c>
      <c r="M124" s="571" cm="1">
        <f t="array" ref="M124">SUMPRODUCT(M$14:M$43,--($Q$14:$Q$43=TRUE),--($D$14:$D$43=$D119))</f>
        <v>0</v>
      </c>
      <c r="N124" s="571" cm="1">
        <f t="array" ref="N124">SUMPRODUCT(N$14:N$43,--($Q$14:$Q$43=TRUE),--($D$14:$D$43=$D119))</f>
        <v>0</v>
      </c>
      <c r="O124" s="571" cm="1">
        <f t="array" ref="O124">SUMPRODUCT(O$14:O$43,--($Q$14:$Q$43=TRUE),--($D$14:$D$43=$D119))</f>
        <v>0</v>
      </c>
      <c r="P124" s="607">
        <f t="shared" si="29"/>
        <v>0</v>
      </c>
      <c r="Q124" s="575"/>
      <c r="R124" s="576"/>
      <c r="S124" s="576"/>
      <c r="T124" s="576"/>
      <c r="U124" s="577"/>
    </row>
    <row r="125" spans="1:452" s="524" customFormat="1" ht="18" x14ac:dyDescent="0.35">
      <c r="A125" s="605"/>
      <c r="C125" s="559"/>
      <c r="D125" s="559"/>
      <c r="E125" s="572" t="s">
        <v>87</v>
      </c>
      <c r="F125" s="571" cm="1">
        <f t="array" ref="F125">SUMPRODUCT(F$14:F$43,--($Q$14:$Q$43=TRUE),--($D$14:$D$43=$D123),--($R$14:$R$43="Yes"))*0.1</f>
        <v>0</v>
      </c>
      <c r="G125" s="571" cm="1">
        <f t="array" ref="G125">SUMPRODUCT(G$14:G$43,--($Q$14:$Q$43=TRUE),--($D$14:$D$43=$D123),--($R$14:$R$43="Yes"))*0.1</f>
        <v>0</v>
      </c>
      <c r="H125" s="571" cm="1">
        <f t="array" ref="H125">SUMPRODUCT(H$14:H$43,--($Q$14:$Q$43=TRUE),--($D$14:$D$43=$D123),--($R$14:$R$43="Yes"))*0.1</f>
        <v>0</v>
      </c>
      <c r="I125" s="571" cm="1">
        <f t="array" ref="I125">SUMPRODUCT(I$14:I$43,--($Q$14:$Q$43=TRUE),--($D$14:$D$43=$D123),--($R$14:$R$43="Yes"))*0.1</f>
        <v>0</v>
      </c>
      <c r="J125" s="571" cm="1">
        <f t="array" ref="J125">SUMPRODUCT(J$14:J$43,--($Q$14:$Q$43=TRUE),--($D$14:$D$43=$D123),--($R$14:$R$43="Yes"))*0.1</f>
        <v>0</v>
      </c>
      <c r="K125" s="571" cm="1">
        <f t="array" ref="K125">SUMPRODUCT(K$14:K$43,--($Q$14:$Q$43=TRUE),--($D$14:$D$43=$D123),--($R$14:$R$43="Yes"))*0.1</f>
        <v>0</v>
      </c>
      <c r="L125" s="571" cm="1">
        <f t="array" ref="L125">SUMPRODUCT(L$14:L$43,--($Q$14:$Q$43=TRUE),--($D$14:$D$43=$D123),--($R$14:$R$43="Yes"))*0.1</f>
        <v>0</v>
      </c>
      <c r="M125" s="571" cm="1">
        <f t="array" ref="M125">SUMPRODUCT(M$14:M$43,--($Q$14:$Q$43=TRUE),--($D$14:$D$43=$D123),--($R$14:$R$43="Yes"))*0.1</f>
        <v>0</v>
      </c>
      <c r="N125" s="571" cm="1">
        <f t="array" ref="N125">SUMPRODUCT(N$14:N$43,--($Q$14:$Q$43=TRUE),--($D$14:$D$43=$D123),--($R$14:$R$43="Yes"))*0.1</f>
        <v>0</v>
      </c>
      <c r="O125" s="571" cm="1">
        <f t="array" ref="O125">SUMPRODUCT(O$14:O$43,--($Q$14:$Q$43=TRUE),--($D$14:$D$43=$D123),--($R$14:$R$43="Yes"))*0.1</f>
        <v>0</v>
      </c>
      <c r="P125" s="607">
        <f t="shared" si="29"/>
        <v>0</v>
      </c>
      <c r="Q125" s="575"/>
      <c r="R125" s="576"/>
      <c r="S125" s="576"/>
      <c r="T125" s="576"/>
      <c r="U125" s="577"/>
    </row>
    <row r="126" spans="1:452" s="524" customFormat="1" ht="18" x14ac:dyDescent="0.35">
      <c r="A126" s="605"/>
      <c r="B126" s="558"/>
      <c r="C126" s="559"/>
      <c r="D126" s="559"/>
      <c r="E126" s="572" t="s">
        <v>88</v>
      </c>
      <c r="F126" s="571">
        <f>F123-(F124+F125)</f>
        <v>0</v>
      </c>
      <c r="G126" s="571">
        <f t="shared" ref="G126:O126" si="34">G123-(G124+G125)</f>
        <v>0</v>
      </c>
      <c r="H126" s="571">
        <f t="shared" si="34"/>
        <v>0</v>
      </c>
      <c r="I126" s="571">
        <f t="shared" si="34"/>
        <v>0</v>
      </c>
      <c r="J126" s="571">
        <f t="shared" si="34"/>
        <v>0</v>
      </c>
      <c r="K126" s="571">
        <f t="shared" si="34"/>
        <v>0</v>
      </c>
      <c r="L126" s="571">
        <f t="shared" si="34"/>
        <v>0</v>
      </c>
      <c r="M126" s="571">
        <f t="shared" si="34"/>
        <v>0</v>
      </c>
      <c r="N126" s="571">
        <f t="shared" si="34"/>
        <v>0</v>
      </c>
      <c r="O126" s="571">
        <f t="shared" si="34"/>
        <v>0</v>
      </c>
      <c r="P126" s="607">
        <f t="shared" si="29"/>
        <v>0</v>
      </c>
      <c r="Q126" s="575"/>
      <c r="R126" s="576"/>
      <c r="S126" s="576"/>
      <c r="T126" s="576"/>
      <c r="U126" s="577"/>
    </row>
    <row r="127" spans="1:452" s="592" customFormat="1" ht="18" x14ac:dyDescent="0.35">
      <c r="A127" s="618"/>
      <c r="B127" s="619"/>
      <c r="C127" s="620"/>
      <c r="D127" s="619" t="s">
        <v>104</v>
      </c>
      <c r="E127" s="621"/>
      <c r="F127" s="622" cm="1">
        <f t="array" ref="F127">SUMPRODUCT(F$14:F$43,--($D$14:$D$43=$D127),--($Q$14:$Q$43=FALSE),$S$14:$S$43,--($S$14:$S$43&gt;0))+SUMPRODUCT(F$14:F$43,--($D$14:$D$43=$D127),--($Q$14:$Q$43=FALSE),$S$14:$S$43,--($S$14:$S$43&gt;0),--($R$14:$R$43="Yes"))*0.1+SUMPRODUCT(F$14:F$43,--($D$14:$D$43=$D127),--($Q$14:$Q$43=FALSE),--($S$14:$S$43=0))+SUMPRODUCT(F$14:F$43,--($D$14:$D$43=$D127),--($Q$14:$Q$43=FALSE),--($R$14:$R$43="Yes"),--($S$14:$S$43=0))*0.1</f>
        <v>0</v>
      </c>
      <c r="G127" s="622" cm="1">
        <f t="array" ref="G127">SUMPRODUCT(G$14:G$43,--($D$14:$D$43=$D127),--($Q$14:$Q$43=FALSE),$S$14:$S$43,--($S$14:$S$43&gt;0))+SUMPRODUCT(G$14:G$43,--($D$14:$D$43=$D127),--($Q$14:$Q$43=FALSE),$S$14:$S$43,--($S$14:$S$43&gt;0),--($R$14:$R$43="Yes"))*0.1+SUMPRODUCT(G$14:G$43,--($D$14:$D$43=$D127),--($Q$14:$Q$43=FALSE),--($S$14:$S$43=0))+SUMPRODUCT(G$14:G$43,--($D$14:$D$43=$D127),--($Q$14:$Q$43=FALSE),--($R$14:$R$43="Yes"),--($S$14:$S$43=0))*0.1</f>
        <v>0</v>
      </c>
      <c r="H127" s="622" cm="1">
        <f t="array" ref="H127">SUMPRODUCT(H$14:H$43,--($D$14:$D$43=$D127),--($Q$14:$Q$43=FALSE),$S$14:$S$43,--($S$14:$S$43&gt;0))+SUMPRODUCT(H$14:H$43,--($D$14:$D$43=$D127),--($Q$14:$Q$43=FALSE),$S$14:$S$43,--($S$14:$S$43&gt;0),--($R$14:$R$43="Yes"))*0.1+SUMPRODUCT(H$14:H$43,--($D$14:$D$43=$D127),--($Q$14:$Q$43=FALSE),--($S$14:$S$43=0))+SUMPRODUCT(H$14:H$43,--($D$14:$D$43=$D127),--($Q$14:$Q$43=FALSE),--($R$14:$R$43="Yes"),--($S$14:$S$43=0))*0.1</f>
        <v>0</v>
      </c>
      <c r="I127" s="622" cm="1">
        <f t="array" ref="I127">SUMPRODUCT(I$14:I$43,--($D$14:$D$43=$D127),--($Q$14:$Q$43=FALSE),$S$14:$S$43,--($S$14:$S$43&gt;0))+SUMPRODUCT(I$14:I$43,--($D$14:$D$43=$D127),--($Q$14:$Q$43=FALSE),$S$14:$S$43,--($S$14:$S$43&gt;0),--($R$14:$R$43="Yes"))*0.1+SUMPRODUCT(I$14:I$43,--($D$14:$D$43=$D127),--($Q$14:$Q$43=FALSE),--($S$14:$S$43=0))+SUMPRODUCT(I$14:I$43,--($D$14:$D$43=$D127),--($Q$14:$Q$43=FALSE),--($R$14:$R$43="Yes"),--($S$14:$S$43=0))*0.1</f>
        <v>0</v>
      </c>
      <c r="J127" s="622" cm="1">
        <f t="array" ref="J127">SUMPRODUCT(J$14:J$43,--($D$14:$D$43=$D127),--($Q$14:$Q$43=FALSE),$S$14:$S$43,--($S$14:$S$43&gt;0))+SUMPRODUCT(J$14:J$43,--($D$14:$D$43=$D127),--($Q$14:$Q$43=FALSE),$S$14:$S$43,--($S$14:$S$43&gt;0),--($R$14:$R$43="Yes"))*0.1+SUMPRODUCT(J$14:J$43,--($D$14:$D$43=$D127),--($Q$14:$Q$43=FALSE),--($S$14:$S$43=0))+SUMPRODUCT(J$14:J$43,--($D$14:$D$43=$D127),--($Q$14:$Q$43=FALSE),--($R$14:$R$43="Yes"),--($S$14:$S$43=0))*0.1</f>
        <v>0</v>
      </c>
      <c r="K127" s="622" cm="1">
        <f t="array" ref="K127">SUMPRODUCT(K$14:K$43,--($D$14:$D$43=$D127),--($Q$14:$Q$43=FALSE),$S$14:$S$43,--($S$14:$S$43&gt;0))+SUMPRODUCT(K$14:K$43,--($D$14:$D$43=$D127),--($Q$14:$Q$43=FALSE),$S$14:$S$43,--($S$14:$S$43&gt;0),--($R$14:$R$43="Yes"))*0.1+SUMPRODUCT(K$14:K$43,--($D$14:$D$43=$D127),--($Q$14:$Q$43=FALSE),--($S$14:$S$43=0))+SUMPRODUCT(K$14:K$43,--($D$14:$D$43=$D127),--($Q$14:$Q$43=FALSE),--($R$14:$R$43="Yes"),--($S$14:$S$43=0))*0.1</f>
        <v>0</v>
      </c>
      <c r="L127" s="622" cm="1">
        <f t="array" ref="L127">SUMPRODUCT(L$14:L$43,--($D$14:$D$43=$D127),--($Q$14:$Q$43=FALSE),$S$14:$S$43,--($S$14:$S$43&gt;0))+SUMPRODUCT(L$14:L$43,--($D$14:$D$43=$D127),--($Q$14:$Q$43=FALSE),$S$14:$S$43,--($S$14:$S$43&gt;0),--($R$14:$R$43="Yes"))*0.1+SUMPRODUCT(L$14:L$43,--($D$14:$D$43=$D127),--($Q$14:$Q$43=FALSE),--($S$14:$S$43=0))+SUMPRODUCT(L$14:L$43,--($D$14:$D$43=$D127),--($Q$14:$Q$43=FALSE),--($R$14:$R$43="Yes"),--($S$14:$S$43=0))*0.1</f>
        <v>0</v>
      </c>
      <c r="M127" s="622" cm="1">
        <f t="array" ref="M127">SUMPRODUCT(M$14:M$43,--($D$14:$D$43=$D127),--($Q$14:$Q$43=FALSE),$S$14:$S$43,--($S$14:$S$43&gt;0))+SUMPRODUCT(M$14:M$43,--($D$14:$D$43=$D127),--($Q$14:$Q$43=FALSE),$S$14:$S$43,--($S$14:$S$43&gt;0),--($R$14:$R$43="Yes"))*0.1+SUMPRODUCT(M$14:M$43,--($D$14:$D$43=$D127),--($Q$14:$Q$43=FALSE),--($S$14:$S$43=0))+SUMPRODUCT(M$14:M$43,--($D$14:$D$43=$D127),--($Q$14:$Q$43=FALSE),--($R$14:$R$43="Yes"),--($S$14:$S$43=0))*0.1</f>
        <v>0</v>
      </c>
      <c r="N127" s="622" cm="1">
        <f t="array" ref="N127">SUMPRODUCT(N$14:N$43,--($D$14:$D$43=$D127),--($Q$14:$Q$43=FALSE),$S$14:$S$43,--($S$14:$S$43&gt;0))+SUMPRODUCT(N$14:N$43,--($D$14:$D$43=$D127),--($Q$14:$Q$43=FALSE),$S$14:$S$43,--($S$14:$S$43&gt;0),--($R$14:$R$43="Yes"))*0.1+SUMPRODUCT(N$14:N$43,--($D$14:$D$43=$D127),--($Q$14:$Q$43=FALSE),--($S$14:$S$43=0))+SUMPRODUCT(N$14:N$43,--($D$14:$D$43=$D127),--($Q$14:$Q$43=FALSE),--($R$14:$R$43="Yes"),--($S$14:$S$43=0))*0.1</f>
        <v>0</v>
      </c>
      <c r="O127" s="622" cm="1">
        <f t="array" ref="O127">SUMPRODUCT(O$14:O$43,--($D$14:$D$43=$D127),--($Q$14:$Q$43=FALSE),$S$14:$S$43,--($S$14:$S$43&gt;0))+SUMPRODUCT(O$14:O$43,--($D$14:$D$43=$D127),--($Q$14:$Q$43=FALSE),$S$14:$S$43,--($S$14:$S$43&gt;0),--($R$14:$R$43="Yes"))*0.1+SUMPRODUCT(O$14:O$43,--($D$14:$D$43=$D127),--($Q$14:$Q$43=FALSE),--($S$14:$S$43=0))+SUMPRODUCT(O$14:O$43,--($D$14:$D$43=$D127),--($Q$14:$Q$43=FALSE),--($R$14:$R$43="Yes"),--($S$14:$S$43=0))*0.1</f>
        <v>0</v>
      </c>
      <c r="P127" s="623">
        <f t="shared" si="29"/>
        <v>0</v>
      </c>
      <c r="Q127" s="575"/>
      <c r="R127" s="576"/>
      <c r="S127" s="576"/>
      <c r="T127" s="576"/>
      <c r="U127" s="577"/>
      <c r="V127" s="610"/>
      <c r="W127" s="610"/>
      <c r="X127" s="610"/>
      <c r="Y127" s="610"/>
      <c r="Z127" s="610"/>
      <c r="AA127" s="610"/>
      <c r="AB127" s="610"/>
      <c r="AC127" s="610"/>
      <c r="AD127" s="610"/>
      <c r="AE127" s="610"/>
      <c r="AF127" s="610"/>
      <c r="AG127" s="610"/>
      <c r="AH127" s="610"/>
      <c r="AI127" s="610"/>
      <c r="AJ127" s="610"/>
      <c r="AK127" s="610"/>
      <c r="AL127" s="610"/>
      <c r="AM127" s="610"/>
      <c r="AN127" s="610"/>
      <c r="AO127" s="610"/>
      <c r="AP127" s="610"/>
      <c r="AQ127" s="610"/>
      <c r="AR127" s="610"/>
      <c r="AS127" s="610"/>
      <c r="AT127" s="610"/>
      <c r="AU127" s="610"/>
      <c r="AV127" s="610"/>
      <c r="AW127" s="610"/>
      <c r="AX127" s="610"/>
      <c r="AY127" s="610"/>
      <c r="AZ127" s="610"/>
      <c r="BA127" s="610"/>
      <c r="BB127" s="610"/>
      <c r="BC127" s="610"/>
      <c r="BD127" s="610"/>
      <c r="BE127" s="610"/>
      <c r="BF127" s="610"/>
      <c r="BG127" s="610"/>
      <c r="BH127" s="610"/>
      <c r="BI127" s="610"/>
      <c r="BJ127" s="610"/>
      <c r="BK127" s="610"/>
      <c r="BL127" s="610"/>
      <c r="BM127" s="610"/>
      <c r="BN127" s="610"/>
      <c r="BO127" s="610"/>
      <c r="BP127" s="610"/>
      <c r="BQ127" s="610"/>
      <c r="BR127" s="610"/>
      <c r="BS127" s="610"/>
      <c r="BT127" s="610"/>
      <c r="BU127" s="610"/>
      <c r="BV127" s="610"/>
      <c r="BW127" s="610"/>
      <c r="BX127" s="610"/>
      <c r="BY127" s="610"/>
      <c r="BZ127" s="610"/>
      <c r="CA127" s="610"/>
      <c r="CB127" s="610"/>
      <c r="CC127" s="610"/>
      <c r="CD127" s="610"/>
      <c r="CE127" s="610"/>
      <c r="CF127" s="610"/>
      <c r="CG127" s="610"/>
      <c r="CH127" s="610"/>
      <c r="CI127" s="610"/>
      <c r="CJ127" s="610"/>
      <c r="CK127" s="610"/>
      <c r="CL127" s="610"/>
      <c r="CM127" s="610"/>
      <c r="CN127" s="610"/>
      <c r="CO127" s="610"/>
      <c r="CP127" s="610"/>
      <c r="CQ127" s="610"/>
      <c r="CR127" s="610"/>
      <c r="CS127" s="610"/>
      <c r="CT127" s="610"/>
      <c r="CU127" s="610"/>
      <c r="CV127" s="610"/>
      <c r="CW127" s="610"/>
      <c r="CX127" s="610"/>
      <c r="CY127" s="610"/>
      <c r="CZ127" s="610"/>
      <c r="DA127" s="610"/>
      <c r="DB127" s="610"/>
      <c r="DC127" s="610"/>
      <c r="DD127" s="610"/>
      <c r="DE127" s="610"/>
      <c r="DF127" s="610"/>
      <c r="DG127" s="610"/>
      <c r="DH127" s="610"/>
      <c r="DI127" s="610"/>
      <c r="DJ127" s="610"/>
      <c r="DK127" s="610"/>
      <c r="DL127" s="610"/>
      <c r="DM127" s="610"/>
      <c r="DN127" s="610"/>
      <c r="DO127" s="610"/>
      <c r="DP127" s="610"/>
      <c r="DQ127" s="610"/>
      <c r="DR127" s="610"/>
      <c r="DS127" s="610"/>
      <c r="DT127" s="610"/>
      <c r="DU127" s="610"/>
      <c r="DV127" s="610"/>
      <c r="DW127" s="610"/>
      <c r="DX127" s="610"/>
      <c r="DY127" s="610"/>
      <c r="DZ127" s="610"/>
      <c r="EA127" s="610"/>
      <c r="EB127" s="610"/>
      <c r="EC127" s="610"/>
      <c r="ED127" s="610"/>
      <c r="EE127" s="610"/>
      <c r="EF127" s="610"/>
      <c r="EG127" s="610"/>
      <c r="EH127" s="610"/>
      <c r="EI127" s="610"/>
      <c r="EJ127" s="610"/>
      <c r="EK127" s="610"/>
      <c r="EL127" s="610"/>
      <c r="EM127" s="610"/>
      <c r="EN127" s="610"/>
      <c r="EO127" s="610"/>
      <c r="EP127" s="610"/>
      <c r="EQ127" s="610"/>
      <c r="ER127" s="610"/>
      <c r="ES127" s="610"/>
      <c r="ET127" s="610"/>
      <c r="EU127" s="610"/>
      <c r="EV127" s="610"/>
      <c r="EW127" s="610"/>
      <c r="EX127" s="610"/>
      <c r="EY127" s="610"/>
      <c r="EZ127" s="610"/>
      <c r="FA127" s="610"/>
      <c r="FB127" s="610"/>
      <c r="FC127" s="610"/>
      <c r="FD127" s="610"/>
      <c r="FE127" s="610"/>
      <c r="FF127" s="610"/>
      <c r="FG127" s="610"/>
      <c r="FH127" s="610"/>
      <c r="FI127" s="610"/>
      <c r="FJ127" s="610"/>
      <c r="FK127" s="610"/>
      <c r="FL127" s="610"/>
      <c r="FM127" s="610"/>
      <c r="FN127" s="610"/>
      <c r="FO127" s="610"/>
      <c r="FP127" s="610"/>
      <c r="FQ127" s="610"/>
      <c r="FR127" s="610"/>
      <c r="FS127" s="610"/>
      <c r="FT127" s="610"/>
      <c r="FU127" s="610"/>
      <c r="FV127" s="610"/>
      <c r="FW127" s="610"/>
      <c r="FX127" s="610"/>
      <c r="FY127" s="610"/>
      <c r="FZ127" s="610"/>
      <c r="GA127" s="610"/>
      <c r="GB127" s="610"/>
      <c r="GC127" s="610"/>
      <c r="GD127" s="610"/>
      <c r="GE127" s="610"/>
      <c r="GF127" s="610"/>
      <c r="GG127" s="610"/>
      <c r="GH127" s="610"/>
      <c r="GI127" s="610"/>
      <c r="GJ127" s="610"/>
      <c r="GK127" s="610"/>
      <c r="GL127" s="610"/>
      <c r="GM127" s="610"/>
      <c r="GN127" s="610"/>
      <c r="GO127" s="610"/>
      <c r="GP127" s="610"/>
      <c r="GQ127" s="610"/>
      <c r="GR127" s="610"/>
      <c r="GS127" s="610"/>
      <c r="GT127" s="610"/>
      <c r="GU127" s="610"/>
      <c r="GV127" s="610"/>
      <c r="GW127" s="610"/>
      <c r="GX127" s="610"/>
      <c r="GY127" s="610"/>
      <c r="GZ127" s="610"/>
      <c r="HA127" s="610"/>
      <c r="HB127" s="610"/>
      <c r="HC127" s="610"/>
      <c r="HD127" s="610"/>
      <c r="HE127" s="610"/>
      <c r="HF127" s="610"/>
      <c r="HG127" s="610"/>
      <c r="HH127" s="610"/>
      <c r="HI127" s="610"/>
      <c r="HJ127" s="610"/>
      <c r="HK127" s="610"/>
      <c r="HL127" s="610"/>
      <c r="HM127" s="610"/>
      <c r="HN127" s="610"/>
      <c r="HO127" s="610"/>
      <c r="HP127" s="610"/>
      <c r="HQ127" s="610"/>
      <c r="HR127" s="610"/>
      <c r="HS127" s="610"/>
      <c r="HT127" s="610"/>
      <c r="HU127" s="610"/>
      <c r="HV127" s="610"/>
      <c r="HW127" s="610"/>
      <c r="HX127" s="610"/>
      <c r="HY127" s="610"/>
      <c r="HZ127" s="610"/>
      <c r="IA127" s="610"/>
      <c r="IB127" s="610"/>
      <c r="IC127" s="610"/>
      <c r="ID127" s="610"/>
      <c r="IE127" s="610"/>
      <c r="IF127" s="610"/>
      <c r="IG127" s="610"/>
      <c r="IH127" s="610"/>
      <c r="II127" s="610"/>
      <c r="IJ127" s="610"/>
      <c r="IK127" s="610"/>
      <c r="IL127" s="610"/>
      <c r="IM127" s="610"/>
      <c r="IN127" s="610"/>
      <c r="IO127" s="610"/>
      <c r="IP127" s="610"/>
      <c r="IQ127" s="610"/>
      <c r="IR127" s="610"/>
      <c r="IS127" s="610"/>
      <c r="IT127" s="610"/>
      <c r="IU127" s="610"/>
      <c r="IV127" s="610"/>
      <c r="IW127" s="610"/>
      <c r="IX127" s="610"/>
      <c r="IY127" s="610"/>
      <c r="IZ127" s="610"/>
      <c r="JA127" s="610"/>
      <c r="JB127" s="610"/>
      <c r="JC127" s="610"/>
      <c r="JD127" s="610"/>
      <c r="JE127" s="610"/>
      <c r="JF127" s="610"/>
      <c r="JG127" s="610"/>
      <c r="JH127" s="610"/>
      <c r="JI127" s="610"/>
      <c r="JJ127" s="610"/>
      <c r="JK127" s="610"/>
      <c r="JL127" s="610"/>
      <c r="JM127" s="610"/>
      <c r="JN127" s="610"/>
      <c r="JO127" s="610"/>
      <c r="JP127" s="610"/>
      <c r="JQ127" s="610"/>
      <c r="JR127" s="610"/>
      <c r="JS127" s="610"/>
      <c r="JT127" s="610"/>
      <c r="JU127" s="610"/>
      <c r="JV127" s="610"/>
      <c r="JW127" s="610"/>
      <c r="JX127" s="610"/>
      <c r="JY127" s="610"/>
      <c r="JZ127" s="610"/>
      <c r="KA127" s="610"/>
      <c r="KB127" s="610"/>
      <c r="KC127" s="610"/>
      <c r="KD127" s="610"/>
      <c r="KE127" s="610"/>
      <c r="KF127" s="610"/>
      <c r="KG127" s="610"/>
      <c r="KH127" s="610"/>
      <c r="KI127" s="610"/>
      <c r="KJ127" s="610"/>
      <c r="KK127" s="610"/>
      <c r="KL127" s="610"/>
      <c r="KM127" s="610"/>
      <c r="KN127" s="610"/>
      <c r="KO127" s="610"/>
      <c r="KP127" s="610"/>
      <c r="KQ127" s="610"/>
      <c r="KR127" s="610"/>
      <c r="KS127" s="610"/>
      <c r="KT127" s="610"/>
      <c r="KU127" s="610"/>
      <c r="KV127" s="610"/>
      <c r="KW127" s="610"/>
      <c r="KX127" s="610"/>
      <c r="KY127" s="610"/>
      <c r="KZ127" s="610"/>
      <c r="LA127" s="610"/>
      <c r="LB127" s="610"/>
      <c r="LC127" s="610"/>
      <c r="LD127" s="610"/>
      <c r="LE127" s="610"/>
      <c r="LF127" s="610"/>
      <c r="LG127" s="610"/>
      <c r="LH127" s="610"/>
      <c r="LI127" s="610"/>
      <c r="LJ127" s="610"/>
      <c r="LK127" s="610"/>
      <c r="LL127" s="610"/>
      <c r="LM127" s="610"/>
      <c r="LN127" s="610"/>
      <c r="LO127" s="610"/>
      <c r="LP127" s="610"/>
      <c r="LQ127" s="610"/>
      <c r="LR127" s="610"/>
      <c r="LS127" s="610"/>
      <c r="LT127" s="610"/>
      <c r="LU127" s="610"/>
      <c r="LV127" s="610"/>
      <c r="LW127" s="610"/>
      <c r="LX127" s="610"/>
      <c r="LY127" s="610"/>
      <c r="LZ127" s="610"/>
      <c r="MA127" s="610"/>
      <c r="MB127" s="610"/>
      <c r="MC127" s="610"/>
      <c r="MD127" s="610"/>
      <c r="ME127" s="610"/>
      <c r="MF127" s="610"/>
      <c r="MG127" s="610"/>
      <c r="MH127" s="610"/>
      <c r="MI127" s="610"/>
      <c r="MJ127" s="610"/>
      <c r="MK127" s="610"/>
      <c r="ML127" s="610"/>
      <c r="MM127" s="610"/>
      <c r="MN127" s="610"/>
      <c r="MO127" s="610"/>
      <c r="MP127" s="610"/>
      <c r="MQ127" s="610"/>
      <c r="MR127" s="610"/>
      <c r="MS127" s="610"/>
      <c r="MT127" s="610"/>
      <c r="MU127" s="610"/>
      <c r="MV127" s="610"/>
      <c r="MW127" s="610"/>
      <c r="MX127" s="610"/>
      <c r="MY127" s="610"/>
      <c r="MZ127" s="610"/>
      <c r="NA127" s="610"/>
      <c r="NB127" s="610"/>
      <c r="NC127" s="610"/>
      <c r="ND127" s="610"/>
      <c r="NE127" s="610"/>
      <c r="NF127" s="610"/>
      <c r="NG127" s="610"/>
      <c r="NH127" s="610"/>
      <c r="NI127" s="610"/>
      <c r="NJ127" s="610"/>
      <c r="NK127" s="610"/>
      <c r="NL127" s="610"/>
      <c r="NM127" s="610"/>
      <c r="NN127" s="610"/>
      <c r="NO127" s="610"/>
      <c r="NP127" s="610"/>
      <c r="NQ127" s="610"/>
      <c r="NR127" s="610"/>
      <c r="NS127" s="610"/>
      <c r="NT127" s="610"/>
      <c r="NU127" s="610"/>
      <c r="NV127" s="610"/>
      <c r="NW127" s="610"/>
      <c r="NX127" s="610"/>
      <c r="NY127" s="610"/>
      <c r="NZ127" s="610"/>
      <c r="OA127" s="610"/>
      <c r="OB127" s="610"/>
      <c r="OC127" s="610"/>
      <c r="OD127" s="610"/>
      <c r="OE127" s="610"/>
      <c r="OF127" s="610"/>
      <c r="OG127" s="610"/>
      <c r="OH127" s="610"/>
      <c r="OI127" s="610"/>
      <c r="OJ127" s="610"/>
      <c r="OK127" s="610"/>
      <c r="OL127" s="610"/>
      <c r="OM127" s="610"/>
      <c r="ON127" s="610"/>
      <c r="OO127" s="610"/>
      <c r="OP127" s="610"/>
      <c r="OQ127" s="610"/>
      <c r="OR127" s="610"/>
      <c r="OS127" s="610"/>
      <c r="OT127" s="610"/>
      <c r="OU127" s="610"/>
      <c r="OV127" s="610"/>
      <c r="OW127" s="610"/>
      <c r="OX127" s="610"/>
      <c r="OY127" s="610"/>
      <c r="OZ127" s="610"/>
      <c r="PA127" s="610"/>
      <c r="PB127" s="610"/>
      <c r="PC127" s="610"/>
      <c r="PD127" s="610"/>
      <c r="PE127" s="610"/>
      <c r="PF127" s="610"/>
      <c r="PG127" s="610"/>
      <c r="PH127" s="610"/>
      <c r="PI127" s="610"/>
      <c r="PJ127" s="610"/>
      <c r="PK127" s="610"/>
      <c r="PL127" s="610"/>
      <c r="PM127" s="610"/>
      <c r="PN127" s="610"/>
      <c r="PO127" s="610"/>
      <c r="PP127" s="610"/>
      <c r="PQ127" s="610"/>
      <c r="PR127" s="610"/>
      <c r="PS127" s="610"/>
      <c r="PT127" s="610"/>
      <c r="PU127" s="610"/>
      <c r="PV127" s="610"/>
      <c r="PW127" s="610"/>
      <c r="PX127" s="610"/>
      <c r="PY127" s="610"/>
      <c r="PZ127" s="610"/>
      <c r="QA127" s="610"/>
      <c r="QB127" s="610"/>
      <c r="QC127" s="610"/>
      <c r="QD127" s="610"/>
      <c r="QE127" s="610"/>
      <c r="QF127" s="610"/>
      <c r="QG127" s="610"/>
      <c r="QH127" s="610"/>
      <c r="QI127" s="610"/>
      <c r="QJ127" s="610"/>
    </row>
    <row r="128" spans="1:452" s="524" customFormat="1" ht="18" x14ac:dyDescent="0.35">
      <c r="A128" s="605"/>
      <c r="B128" s="558"/>
      <c r="C128" s="559"/>
      <c r="D128" s="606"/>
      <c r="E128" s="572" t="s">
        <v>86</v>
      </c>
      <c r="F128" s="571" cm="1">
        <f t="array" ref="F128">SUMPRODUCT(F$14:F$43,--($Q$14:$Q$43=FALSE),--($D$14:$D$43=$D127))</f>
        <v>0</v>
      </c>
      <c r="G128" s="571" cm="1">
        <f t="array" ref="G128">SUMPRODUCT(G$14:G$43,--($Q$14:$Q$43=FALSE),--($D$14:$D$43=$D127))</f>
        <v>0</v>
      </c>
      <c r="H128" s="571" cm="1">
        <f t="array" ref="H128">SUMPRODUCT(H$14:H$43,--($Q$14:$Q$43=FALSE),--($D$14:$D$43=$D127))</f>
        <v>0</v>
      </c>
      <c r="I128" s="571" cm="1">
        <f t="array" ref="I128">SUMPRODUCT(I$14:I$43,--($Q$14:$Q$43=FALSE),--($D$14:$D$43=$D127))</f>
        <v>0</v>
      </c>
      <c r="J128" s="571" cm="1">
        <f t="array" ref="J128">SUMPRODUCT(J$14:J$43,--($Q$14:$Q$43=FALSE),--($D$14:$D$43=$D127))</f>
        <v>0</v>
      </c>
      <c r="K128" s="571" cm="1">
        <f t="array" ref="K128">SUMPRODUCT(K$14:K$43,--($Q$14:$Q$43=FALSE),--($D$14:$D$43=$D127))</f>
        <v>0</v>
      </c>
      <c r="L128" s="571" cm="1">
        <f t="array" ref="L128">SUMPRODUCT(L$14:L$43,--($Q$14:$Q$43=FALSE),--($D$14:$D$43=$D127))</f>
        <v>0</v>
      </c>
      <c r="M128" s="571" cm="1">
        <f t="array" ref="M128">SUMPRODUCT(M$14:M$43,--($Q$14:$Q$43=FALSE),--($D$14:$D$43=$D127))</f>
        <v>0</v>
      </c>
      <c r="N128" s="571" cm="1">
        <f t="array" ref="N128">SUMPRODUCT(N$14:N$43,--($Q$14:$Q$43=FALSE),--($D$14:$D$43=$D127))</f>
        <v>0</v>
      </c>
      <c r="O128" s="571" cm="1">
        <f t="array" ref="O128">SUMPRODUCT(O$14:O$43,--($Q$14:$Q$43=FALSE),--($D$14:$D$43=$D127))</f>
        <v>0</v>
      </c>
      <c r="P128" s="607">
        <f t="shared" si="29"/>
        <v>0</v>
      </c>
      <c r="Q128" s="575"/>
      <c r="R128" s="576"/>
      <c r="S128" s="576"/>
      <c r="T128" s="576"/>
      <c r="U128" s="577"/>
    </row>
    <row r="129" spans="1:452" s="524" customFormat="1" ht="18" x14ac:dyDescent="0.35">
      <c r="A129" s="605"/>
      <c r="B129" s="558"/>
      <c r="C129" s="559"/>
      <c r="D129" s="606"/>
      <c r="E129" s="572" t="s">
        <v>87</v>
      </c>
      <c r="F129" s="571" cm="1">
        <f t="array" ref="F129">SUMPRODUCT(F$14:F$43,--($Q$14:$Q$43=FALSE),--($D$14:$D$43=$D127),--($R$14:$R$43="Yes"))*0.1</f>
        <v>0</v>
      </c>
      <c r="G129" s="571" cm="1">
        <f t="array" ref="G129">SUMPRODUCT(G$14:G$43,--($Q$14:$Q$43=FALSE),--($D$14:$D$43=$D127),--($R$14:$R$43="Yes"))*0.1</f>
        <v>0</v>
      </c>
      <c r="H129" s="571" cm="1">
        <f t="array" ref="H129">SUMPRODUCT(H$14:H$43,--($Q$14:$Q$43=FALSE),--($D$14:$D$43=$D127),--($R$14:$R$43="Yes"))*0.1</f>
        <v>0</v>
      </c>
      <c r="I129" s="571" cm="1">
        <f t="array" ref="I129">SUMPRODUCT(I$14:I$43,--($Q$14:$Q$43=FALSE),--($D$14:$D$43=$D127),--($R$14:$R$43="Yes"))*0.1</f>
        <v>0</v>
      </c>
      <c r="J129" s="571" cm="1">
        <f t="array" ref="J129">SUMPRODUCT(J$14:J$43,--($Q$14:$Q$43=FALSE),--($D$14:$D$43=$D127),--($R$14:$R$43="Yes"))*0.1</f>
        <v>0</v>
      </c>
      <c r="K129" s="571" cm="1">
        <f t="array" ref="K129">SUMPRODUCT(K$14:K$43,--($Q$14:$Q$43=FALSE),--($D$14:$D$43=$D127),--($R$14:$R$43="Yes"))*0.1</f>
        <v>0</v>
      </c>
      <c r="L129" s="571" cm="1">
        <f t="array" ref="L129">SUMPRODUCT(L$14:L$43,--($Q$14:$Q$43=FALSE),--($D$14:$D$43=$D127),--($R$14:$R$43="Yes"))*0.1</f>
        <v>0</v>
      </c>
      <c r="M129" s="571" cm="1">
        <f t="array" ref="M129">SUMPRODUCT(M$14:M$43,--($Q$14:$Q$43=FALSE),--($D$14:$D$43=$D127),--($R$14:$R$43="Yes"))*0.1</f>
        <v>0</v>
      </c>
      <c r="N129" s="571" cm="1">
        <f t="array" ref="N129">SUMPRODUCT(N$14:N$43,--($Q$14:$Q$43=FALSE),--($D$14:$D$43=$D127),--($R$14:$R$43="Yes"))*0.1</f>
        <v>0</v>
      </c>
      <c r="O129" s="571" cm="1">
        <f t="array" ref="O129">SUMPRODUCT(O$14:O$43,--($Q$14:$Q$43=FALSE),--($D$14:$D$43=$D127),--($R$14:$R$43="Yes"))*0.1</f>
        <v>0</v>
      </c>
      <c r="P129" s="607">
        <f t="shared" si="29"/>
        <v>0</v>
      </c>
      <c r="Q129" s="575"/>
      <c r="R129" s="576"/>
      <c r="S129" s="576"/>
      <c r="T129" s="576"/>
      <c r="U129" s="577"/>
    </row>
    <row r="130" spans="1:452" s="524" customFormat="1" ht="18" x14ac:dyDescent="0.35">
      <c r="A130" s="605"/>
      <c r="B130" s="558"/>
      <c r="C130" s="559"/>
      <c r="D130" s="606"/>
      <c r="E130" s="572" t="s">
        <v>88</v>
      </c>
      <c r="F130" s="571">
        <f t="shared" ref="F130:O130" si="35">F127-(F128+F129)</f>
        <v>0</v>
      </c>
      <c r="G130" s="571">
        <f t="shared" si="35"/>
        <v>0</v>
      </c>
      <c r="H130" s="571">
        <f t="shared" si="35"/>
        <v>0</v>
      </c>
      <c r="I130" s="571">
        <f t="shared" si="35"/>
        <v>0</v>
      </c>
      <c r="J130" s="571">
        <f t="shared" si="35"/>
        <v>0</v>
      </c>
      <c r="K130" s="571">
        <f t="shared" si="35"/>
        <v>0</v>
      </c>
      <c r="L130" s="571">
        <f t="shared" si="35"/>
        <v>0</v>
      </c>
      <c r="M130" s="571">
        <f t="shared" si="35"/>
        <v>0</v>
      </c>
      <c r="N130" s="571">
        <f t="shared" si="35"/>
        <v>0</v>
      </c>
      <c r="O130" s="571">
        <f t="shared" si="35"/>
        <v>0</v>
      </c>
      <c r="P130" s="607">
        <f t="shared" si="29"/>
        <v>0</v>
      </c>
      <c r="Q130" s="575"/>
      <c r="R130" s="576"/>
      <c r="S130" s="576"/>
      <c r="T130" s="576"/>
      <c r="U130" s="577"/>
    </row>
    <row r="131" spans="1:452" s="578" customFormat="1" ht="18" x14ac:dyDescent="0.35">
      <c r="A131" s="624"/>
      <c r="B131" s="625"/>
      <c r="C131" s="626"/>
      <c r="D131" s="625" t="s">
        <v>104</v>
      </c>
      <c r="E131" s="627"/>
      <c r="F131" s="628" cm="1">
        <f t="array" ref="F131">SUMPRODUCT(F$14:F$43,--($D$14:$D$43=$D127),--($Q$14:$Q$43=TRUE),$S$14:$S$43,--($S$14:$S$43&gt;0))+SUMPRODUCT(F$14:F$43,--($D$14:$D$43=$D127),--($Q$14:$Q$43=TRUE),$S$14:$S$43,--($S$14:$S$43&gt;0),--($R$14:$R$43="Yes"))*0.1+SUMPRODUCT(F$14:F$43,--($D$14:$D$43=$D127),--($Q$14:$Q$43=TRUE),--($S78:$S107=0))+SUMPRODUCT(F$14:F$43,--($D$14:$D$43=$D127),--($Q$14:$Q$43=TRUE),--($R$14:$R$43="Yes"),--($S$14:$S$43=0))*0.1</f>
        <v>0</v>
      </c>
      <c r="G131" s="628" cm="1">
        <f t="array" ref="G131">SUMPRODUCT(G$14:G$43,--($D$14:$D$43=$D127),--($Q$14:$Q$43=TRUE),$S$14:$S$43,--($S$14:$S$43&gt;0))+SUMPRODUCT(G$14:G$43,--($D$14:$D$43=$D127),--($Q$14:$Q$43=TRUE),$S$14:$S$43,--($S$14:$S$43&gt;0),--($R$14:$R$43="Yes"))*0.1+SUMPRODUCT(G$14:G$43,--($D$14:$D$43=$D127),--($Q$14:$Q$43=TRUE),--($S78:$S107=0))+SUMPRODUCT(G$14:G$43,--($D$14:$D$43=$D127),--($Q$14:$Q$43=TRUE),--($R$14:$R$43="Yes"),--($S$14:$S$43=0))*0.1</f>
        <v>0</v>
      </c>
      <c r="H131" s="628" cm="1">
        <f t="array" ref="H131">SUMPRODUCT(H$14:H$43,--($D$14:$D$43=$D127),--($Q$14:$Q$43=TRUE),$S$14:$S$43,--($S$14:$S$43&gt;0))+SUMPRODUCT(H$14:H$43,--($D$14:$D$43=$D127),--($Q$14:$Q$43=TRUE),$S$14:$S$43,--($S$14:$S$43&gt;0),--($R$14:$R$43="Yes"))*0.1+SUMPRODUCT(H$14:H$43,--($D$14:$D$43=$D127),--($Q$14:$Q$43=TRUE),--($S78:$S107=0))+SUMPRODUCT(H$14:H$43,--($D$14:$D$43=$D127),--($Q$14:$Q$43=TRUE),--($R$14:$R$43="Yes"),--($S$14:$S$43=0))*0.1</f>
        <v>0</v>
      </c>
      <c r="I131" s="628" cm="1">
        <f t="array" ref="I131">SUMPRODUCT(I$14:I$43,--($D$14:$D$43=$D127),--($Q$14:$Q$43=TRUE),$S$14:$S$43,--($S$14:$S$43&gt;0))+SUMPRODUCT(I$14:I$43,--($D$14:$D$43=$D127),--($Q$14:$Q$43=TRUE),$S$14:$S$43,--($S$14:$S$43&gt;0),--($R$14:$R$43="Yes"))*0.1+SUMPRODUCT(I$14:I$43,--($D$14:$D$43=$D127),--($Q$14:$Q$43=TRUE),--($S78:$S107=0))+SUMPRODUCT(I$14:I$43,--($D$14:$D$43=$D127),--($Q$14:$Q$43=TRUE),--($R$14:$R$43="Yes"),--($S$14:$S$43=0))*0.1</f>
        <v>0</v>
      </c>
      <c r="J131" s="628" cm="1">
        <f t="array" ref="J131">SUMPRODUCT(J$14:J$43,--($D$14:$D$43=$D127),--($Q$14:$Q$43=TRUE),$S$14:$S$43,--($S$14:$S$43&gt;0))+SUMPRODUCT(J$14:J$43,--($D$14:$D$43=$D127),--($Q$14:$Q$43=TRUE),$S$14:$S$43,--($S$14:$S$43&gt;0),--($R$14:$R$43="Yes"))*0.1+SUMPRODUCT(J$14:J$43,--($D$14:$D$43=$D127),--($Q$14:$Q$43=TRUE),--($S78:$S107=0))+SUMPRODUCT(J$14:J$43,--($D$14:$D$43=$D127),--($Q$14:$Q$43=TRUE),--($R$14:$R$43="Yes"),--($S$14:$S$43=0))*0.1</f>
        <v>0</v>
      </c>
      <c r="K131" s="628" cm="1">
        <f t="array" ref="K131">SUMPRODUCT(K$14:K$43,--($D$14:$D$43=$D127),--($Q$14:$Q$43=TRUE),$S$14:$S$43,--($S$14:$S$43&gt;0))+SUMPRODUCT(K$14:K$43,--($D$14:$D$43=$D127),--($Q$14:$Q$43=TRUE),$S$14:$S$43,--($S$14:$S$43&gt;0),--($R$14:$R$43="Yes"))*0.1+SUMPRODUCT(K$14:K$43,--($D$14:$D$43=$D127),--($Q$14:$Q$43=TRUE),--($S78:$S107=0))+SUMPRODUCT(K$14:K$43,--($D$14:$D$43=$D127),--($Q$14:$Q$43=TRUE),--($R$14:$R$43="Yes"),--($S$14:$S$43=0))*0.1</f>
        <v>0</v>
      </c>
      <c r="L131" s="628" cm="1">
        <f t="array" ref="L131">SUMPRODUCT(L$14:L$43,--($D$14:$D$43=$D127),--($Q$14:$Q$43=TRUE),$S$14:$S$43,--($S$14:$S$43&gt;0))+SUMPRODUCT(L$14:L$43,--($D$14:$D$43=$D127),--($Q$14:$Q$43=TRUE),$S$14:$S$43,--($S$14:$S$43&gt;0),--($R$14:$R$43="Yes"))*0.1+SUMPRODUCT(L$14:L$43,--($D$14:$D$43=$D127),--($Q$14:$Q$43=TRUE),--($S78:$S107=0))+SUMPRODUCT(L$14:L$43,--($D$14:$D$43=$D127),--($Q$14:$Q$43=TRUE),--($R$14:$R$43="Yes"),--($S$14:$S$43=0))*0.1</f>
        <v>0</v>
      </c>
      <c r="M131" s="628" cm="1">
        <f t="array" ref="M131">SUMPRODUCT(M$14:M$43,--($D$14:$D$43=$D127),--($Q$14:$Q$43=TRUE),$S$14:$S$43,--($S$14:$S$43&gt;0))+SUMPRODUCT(M$14:M$43,--($D$14:$D$43=$D127),--($Q$14:$Q$43=TRUE),$S$14:$S$43,--($S$14:$S$43&gt;0),--($R$14:$R$43="Yes"))*0.1+SUMPRODUCT(M$14:M$43,--($D$14:$D$43=$D127),--($Q$14:$Q$43=TRUE),--($S78:$S107=0))+SUMPRODUCT(M$14:M$43,--($D$14:$D$43=$D127),--($Q$14:$Q$43=TRUE),--($R$14:$R$43="Yes"),--($S$14:$S$43=0))*0.1</f>
        <v>0</v>
      </c>
      <c r="N131" s="628" cm="1">
        <f t="array" ref="N131">SUMPRODUCT(N$14:N$43,--($D$14:$D$43=$D127),--($Q$14:$Q$43=TRUE),$S$14:$S$43,--($S$14:$S$43&gt;0))+SUMPRODUCT(N$14:N$43,--($D$14:$D$43=$D127),--($Q$14:$Q$43=TRUE),$S$14:$S$43,--($S$14:$S$43&gt;0),--($R$14:$R$43="Yes"))*0.1+SUMPRODUCT(N$14:N$43,--($D$14:$D$43=$D127),--($Q$14:$Q$43=TRUE),--($S78:$S107=0))+SUMPRODUCT(N$14:N$43,--($D$14:$D$43=$D127),--($Q$14:$Q$43=TRUE),--($R$14:$R$43="Yes"),--($S$14:$S$43=0))*0.1</f>
        <v>0</v>
      </c>
      <c r="O131" s="628" cm="1">
        <f t="array" ref="O131">SUMPRODUCT(O$14:O$43,--($D$14:$D$43=$D127),--($Q$14:$Q$43=TRUE),$S$14:$S$43,--($S$14:$S$43&gt;0))+SUMPRODUCT(O$14:O$43,--($D$14:$D$43=$D127),--($Q$14:$Q$43=TRUE),$S$14:$S$43,--($S$14:$S$43&gt;0),--($R$14:$R$43="Yes"))*0.1+SUMPRODUCT(O$14:O$43,--($D$14:$D$43=$D127),--($Q$14:$Q$43=TRUE),--($S78:$S107=0))+SUMPRODUCT(O$14:O$43,--($D$14:$D$43=$D127),--($Q$14:$Q$43=TRUE),--($R$14:$R$43="Yes"),--($S$14:$S$43=0))*0.1</f>
        <v>0</v>
      </c>
      <c r="P131" s="629">
        <f t="shared" si="29"/>
        <v>0</v>
      </c>
      <c r="Q131" s="575"/>
      <c r="R131" s="576"/>
      <c r="S131" s="576"/>
      <c r="T131" s="576"/>
      <c r="U131" s="577"/>
      <c r="V131" s="610"/>
      <c r="W131" s="610"/>
      <c r="X131" s="610"/>
      <c r="Y131" s="610"/>
      <c r="Z131" s="610"/>
      <c r="AA131" s="610"/>
      <c r="AB131" s="610"/>
      <c r="AC131" s="610"/>
      <c r="AD131" s="610"/>
      <c r="AE131" s="610"/>
      <c r="AF131" s="610"/>
      <c r="AG131" s="610"/>
      <c r="AH131" s="610"/>
      <c r="AI131" s="610"/>
      <c r="AJ131" s="610"/>
      <c r="AK131" s="610"/>
      <c r="AL131" s="610"/>
      <c r="AM131" s="610"/>
      <c r="AN131" s="610"/>
      <c r="AO131" s="610"/>
      <c r="AP131" s="610"/>
      <c r="AQ131" s="610"/>
      <c r="AR131" s="610"/>
      <c r="AS131" s="610"/>
      <c r="AT131" s="610"/>
      <c r="AU131" s="610"/>
      <c r="AV131" s="610"/>
      <c r="AW131" s="610"/>
      <c r="AX131" s="610"/>
      <c r="AY131" s="610"/>
      <c r="AZ131" s="610"/>
      <c r="BA131" s="610"/>
      <c r="BB131" s="610"/>
      <c r="BC131" s="610"/>
      <c r="BD131" s="610"/>
      <c r="BE131" s="610"/>
      <c r="BF131" s="610"/>
      <c r="BG131" s="610"/>
      <c r="BH131" s="610"/>
      <c r="BI131" s="610"/>
      <c r="BJ131" s="610"/>
      <c r="BK131" s="610"/>
      <c r="BL131" s="610"/>
      <c r="BM131" s="610"/>
      <c r="BN131" s="610"/>
      <c r="BO131" s="610"/>
      <c r="BP131" s="610"/>
      <c r="BQ131" s="610"/>
      <c r="BR131" s="610"/>
      <c r="BS131" s="610"/>
      <c r="BT131" s="610"/>
      <c r="BU131" s="610"/>
      <c r="BV131" s="610"/>
      <c r="BW131" s="610"/>
      <c r="BX131" s="610"/>
      <c r="BY131" s="610"/>
      <c r="BZ131" s="610"/>
      <c r="CA131" s="610"/>
      <c r="CB131" s="610"/>
      <c r="CC131" s="610"/>
      <c r="CD131" s="610"/>
      <c r="CE131" s="610"/>
      <c r="CF131" s="610"/>
      <c r="CG131" s="610"/>
      <c r="CH131" s="610"/>
      <c r="CI131" s="610"/>
      <c r="CJ131" s="610"/>
      <c r="CK131" s="610"/>
      <c r="CL131" s="610"/>
      <c r="CM131" s="610"/>
      <c r="CN131" s="610"/>
      <c r="CO131" s="610"/>
      <c r="CP131" s="610"/>
      <c r="CQ131" s="610"/>
      <c r="CR131" s="610"/>
      <c r="CS131" s="610"/>
      <c r="CT131" s="610"/>
      <c r="CU131" s="610"/>
      <c r="CV131" s="610"/>
      <c r="CW131" s="610"/>
      <c r="CX131" s="610"/>
      <c r="CY131" s="610"/>
      <c r="CZ131" s="610"/>
      <c r="DA131" s="610"/>
      <c r="DB131" s="610"/>
      <c r="DC131" s="610"/>
      <c r="DD131" s="610"/>
      <c r="DE131" s="610"/>
      <c r="DF131" s="610"/>
      <c r="DG131" s="610"/>
      <c r="DH131" s="610"/>
      <c r="DI131" s="610"/>
      <c r="DJ131" s="610"/>
      <c r="DK131" s="610"/>
      <c r="DL131" s="610"/>
      <c r="DM131" s="610"/>
      <c r="DN131" s="610"/>
      <c r="DO131" s="610"/>
      <c r="DP131" s="610"/>
      <c r="DQ131" s="610"/>
      <c r="DR131" s="610"/>
      <c r="DS131" s="610"/>
      <c r="DT131" s="610"/>
      <c r="DU131" s="610"/>
      <c r="DV131" s="610"/>
      <c r="DW131" s="610"/>
      <c r="DX131" s="610"/>
      <c r="DY131" s="610"/>
      <c r="DZ131" s="610"/>
      <c r="EA131" s="610"/>
      <c r="EB131" s="610"/>
      <c r="EC131" s="610"/>
      <c r="ED131" s="610"/>
      <c r="EE131" s="610"/>
      <c r="EF131" s="610"/>
      <c r="EG131" s="610"/>
      <c r="EH131" s="610"/>
      <c r="EI131" s="610"/>
      <c r="EJ131" s="610"/>
      <c r="EK131" s="610"/>
      <c r="EL131" s="610"/>
      <c r="EM131" s="610"/>
      <c r="EN131" s="610"/>
      <c r="EO131" s="610"/>
      <c r="EP131" s="610"/>
      <c r="EQ131" s="610"/>
      <c r="ER131" s="610"/>
      <c r="ES131" s="610"/>
      <c r="ET131" s="610"/>
      <c r="EU131" s="610"/>
      <c r="EV131" s="610"/>
      <c r="EW131" s="610"/>
      <c r="EX131" s="610"/>
      <c r="EY131" s="610"/>
      <c r="EZ131" s="610"/>
      <c r="FA131" s="610"/>
      <c r="FB131" s="610"/>
      <c r="FC131" s="610"/>
      <c r="FD131" s="610"/>
      <c r="FE131" s="610"/>
      <c r="FF131" s="610"/>
      <c r="FG131" s="610"/>
      <c r="FH131" s="610"/>
      <c r="FI131" s="610"/>
      <c r="FJ131" s="610"/>
      <c r="FK131" s="610"/>
      <c r="FL131" s="610"/>
      <c r="FM131" s="610"/>
      <c r="FN131" s="610"/>
      <c r="FO131" s="610"/>
      <c r="FP131" s="610"/>
      <c r="FQ131" s="610"/>
      <c r="FR131" s="610"/>
      <c r="FS131" s="610"/>
      <c r="FT131" s="610"/>
      <c r="FU131" s="610"/>
      <c r="FV131" s="610"/>
      <c r="FW131" s="610"/>
      <c r="FX131" s="610"/>
      <c r="FY131" s="610"/>
      <c r="FZ131" s="610"/>
      <c r="GA131" s="610"/>
      <c r="GB131" s="610"/>
      <c r="GC131" s="610"/>
      <c r="GD131" s="610"/>
      <c r="GE131" s="610"/>
      <c r="GF131" s="610"/>
      <c r="GG131" s="610"/>
      <c r="GH131" s="610"/>
      <c r="GI131" s="610"/>
      <c r="GJ131" s="610"/>
      <c r="GK131" s="610"/>
      <c r="GL131" s="610"/>
      <c r="GM131" s="610"/>
      <c r="GN131" s="610"/>
      <c r="GO131" s="610"/>
      <c r="GP131" s="610"/>
      <c r="GQ131" s="610"/>
      <c r="GR131" s="610"/>
      <c r="GS131" s="610"/>
      <c r="GT131" s="610"/>
      <c r="GU131" s="610"/>
      <c r="GV131" s="610"/>
      <c r="GW131" s="610"/>
      <c r="GX131" s="610"/>
      <c r="GY131" s="610"/>
      <c r="GZ131" s="610"/>
      <c r="HA131" s="610"/>
      <c r="HB131" s="610"/>
      <c r="HC131" s="610"/>
      <c r="HD131" s="610"/>
      <c r="HE131" s="610"/>
      <c r="HF131" s="610"/>
      <c r="HG131" s="610"/>
      <c r="HH131" s="610"/>
      <c r="HI131" s="610"/>
      <c r="HJ131" s="610"/>
      <c r="HK131" s="610"/>
      <c r="HL131" s="610"/>
      <c r="HM131" s="610"/>
      <c r="HN131" s="610"/>
      <c r="HO131" s="610"/>
      <c r="HP131" s="610"/>
      <c r="HQ131" s="610"/>
      <c r="HR131" s="610"/>
      <c r="HS131" s="610"/>
      <c r="HT131" s="610"/>
      <c r="HU131" s="610"/>
      <c r="HV131" s="610"/>
      <c r="HW131" s="610"/>
      <c r="HX131" s="610"/>
      <c r="HY131" s="610"/>
      <c r="HZ131" s="610"/>
      <c r="IA131" s="610"/>
      <c r="IB131" s="610"/>
      <c r="IC131" s="610"/>
      <c r="ID131" s="610"/>
      <c r="IE131" s="610"/>
      <c r="IF131" s="610"/>
      <c r="IG131" s="610"/>
      <c r="IH131" s="610"/>
      <c r="II131" s="610"/>
      <c r="IJ131" s="610"/>
      <c r="IK131" s="610"/>
      <c r="IL131" s="610"/>
      <c r="IM131" s="610"/>
      <c r="IN131" s="610"/>
      <c r="IO131" s="610"/>
      <c r="IP131" s="610"/>
      <c r="IQ131" s="610"/>
      <c r="IR131" s="610"/>
      <c r="IS131" s="610"/>
      <c r="IT131" s="610"/>
      <c r="IU131" s="610"/>
      <c r="IV131" s="610"/>
      <c r="IW131" s="610"/>
      <c r="IX131" s="610"/>
      <c r="IY131" s="610"/>
      <c r="IZ131" s="610"/>
      <c r="JA131" s="610"/>
      <c r="JB131" s="610"/>
      <c r="JC131" s="610"/>
      <c r="JD131" s="610"/>
      <c r="JE131" s="610"/>
      <c r="JF131" s="610"/>
      <c r="JG131" s="610"/>
      <c r="JH131" s="610"/>
      <c r="JI131" s="610"/>
      <c r="JJ131" s="610"/>
      <c r="JK131" s="610"/>
      <c r="JL131" s="610"/>
      <c r="JM131" s="610"/>
      <c r="JN131" s="610"/>
      <c r="JO131" s="610"/>
      <c r="JP131" s="610"/>
      <c r="JQ131" s="610"/>
      <c r="JR131" s="610"/>
      <c r="JS131" s="610"/>
      <c r="JT131" s="610"/>
      <c r="JU131" s="610"/>
      <c r="JV131" s="610"/>
      <c r="JW131" s="610"/>
      <c r="JX131" s="610"/>
      <c r="JY131" s="610"/>
      <c r="JZ131" s="610"/>
      <c r="KA131" s="610"/>
      <c r="KB131" s="610"/>
      <c r="KC131" s="610"/>
      <c r="KD131" s="610"/>
      <c r="KE131" s="610"/>
      <c r="KF131" s="610"/>
      <c r="KG131" s="610"/>
      <c r="KH131" s="610"/>
      <c r="KI131" s="610"/>
      <c r="KJ131" s="610"/>
      <c r="KK131" s="610"/>
      <c r="KL131" s="610"/>
      <c r="KM131" s="610"/>
      <c r="KN131" s="610"/>
      <c r="KO131" s="610"/>
      <c r="KP131" s="610"/>
      <c r="KQ131" s="610"/>
      <c r="KR131" s="610"/>
      <c r="KS131" s="610"/>
      <c r="KT131" s="610"/>
      <c r="KU131" s="610"/>
      <c r="KV131" s="610"/>
      <c r="KW131" s="610"/>
      <c r="KX131" s="610"/>
      <c r="KY131" s="610"/>
      <c r="KZ131" s="610"/>
      <c r="LA131" s="610"/>
      <c r="LB131" s="610"/>
      <c r="LC131" s="610"/>
      <c r="LD131" s="610"/>
      <c r="LE131" s="610"/>
      <c r="LF131" s="610"/>
      <c r="LG131" s="610"/>
      <c r="LH131" s="610"/>
      <c r="LI131" s="610"/>
      <c r="LJ131" s="610"/>
      <c r="LK131" s="610"/>
      <c r="LL131" s="610"/>
      <c r="LM131" s="610"/>
      <c r="LN131" s="610"/>
      <c r="LO131" s="610"/>
      <c r="LP131" s="610"/>
      <c r="LQ131" s="610"/>
      <c r="LR131" s="610"/>
      <c r="LS131" s="610"/>
      <c r="LT131" s="610"/>
      <c r="LU131" s="610"/>
      <c r="LV131" s="610"/>
      <c r="LW131" s="610"/>
      <c r="LX131" s="610"/>
      <c r="LY131" s="610"/>
      <c r="LZ131" s="610"/>
      <c r="MA131" s="610"/>
      <c r="MB131" s="610"/>
      <c r="MC131" s="610"/>
      <c r="MD131" s="610"/>
      <c r="ME131" s="610"/>
      <c r="MF131" s="610"/>
      <c r="MG131" s="610"/>
      <c r="MH131" s="610"/>
      <c r="MI131" s="610"/>
      <c r="MJ131" s="610"/>
      <c r="MK131" s="610"/>
      <c r="ML131" s="610"/>
      <c r="MM131" s="610"/>
      <c r="MN131" s="610"/>
      <c r="MO131" s="610"/>
      <c r="MP131" s="610"/>
      <c r="MQ131" s="610"/>
      <c r="MR131" s="610"/>
      <c r="MS131" s="610"/>
      <c r="MT131" s="610"/>
      <c r="MU131" s="610"/>
      <c r="MV131" s="610"/>
      <c r="MW131" s="610"/>
      <c r="MX131" s="610"/>
      <c r="MY131" s="610"/>
      <c r="MZ131" s="610"/>
      <c r="NA131" s="610"/>
      <c r="NB131" s="610"/>
      <c r="NC131" s="610"/>
      <c r="ND131" s="610"/>
      <c r="NE131" s="610"/>
      <c r="NF131" s="610"/>
      <c r="NG131" s="610"/>
      <c r="NH131" s="610"/>
      <c r="NI131" s="610"/>
      <c r="NJ131" s="610"/>
      <c r="NK131" s="610"/>
      <c r="NL131" s="610"/>
      <c r="NM131" s="610"/>
      <c r="NN131" s="610"/>
      <c r="NO131" s="610"/>
      <c r="NP131" s="610"/>
      <c r="NQ131" s="610"/>
      <c r="NR131" s="610"/>
      <c r="NS131" s="610"/>
      <c r="NT131" s="610"/>
      <c r="NU131" s="610"/>
      <c r="NV131" s="610"/>
      <c r="NW131" s="610"/>
      <c r="NX131" s="610"/>
      <c r="NY131" s="610"/>
      <c r="NZ131" s="610"/>
      <c r="OA131" s="610"/>
      <c r="OB131" s="610"/>
      <c r="OC131" s="610"/>
      <c r="OD131" s="610"/>
      <c r="OE131" s="610"/>
      <c r="OF131" s="610"/>
      <c r="OG131" s="610"/>
      <c r="OH131" s="610"/>
      <c r="OI131" s="610"/>
      <c r="OJ131" s="610"/>
      <c r="OK131" s="610"/>
      <c r="OL131" s="610"/>
      <c r="OM131" s="610"/>
      <c r="ON131" s="610"/>
      <c r="OO131" s="610"/>
      <c r="OP131" s="610"/>
      <c r="OQ131" s="610"/>
      <c r="OR131" s="610"/>
      <c r="OS131" s="610"/>
      <c r="OT131" s="610"/>
      <c r="OU131" s="610"/>
      <c r="OV131" s="610"/>
      <c r="OW131" s="610"/>
      <c r="OX131" s="610"/>
      <c r="OY131" s="610"/>
      <c r="OZ131" s="610"/>
      <c r="PA131" s="610"/>
      <c r="PB131" s="610"/>
      <c r="PC131" s="610"/>
      <c r="PD131" s="610"/>
      <c r="PE131" s="610"/>
      <c r="PF131" s="610"/>
      <c r="PG131" s="610"/>
      <c r="PH131" s="610"/>
      <c r="PI131" s="610"/>
      <c r="PJ131" s="610"/>
      <c r="PK131" s="610"/>
      <c r="PL131" s="610"/>
      <c r="PM131" s="610"/>
      <c r="PN131" s="610"/>
      <c r="PO131" s="610"/>
      <c r="PP131" s="610"/>
      <c r="PQ131" s="610"/>
      <c r="PR131" s="610"/>
      <c r="PS131" s="610"/>
      <c r="PT131" s="610"/>
      <c r="PU131" s="610"/>
      <c r="PV131" s="610"/>
      <c r="PW131" s="610"/>
      <c r="PX131" s="610"/>
      <c r="PY131" s="610"/>
      <c r="PZ131" s="610"/>
      <c r="QA131" s="610"/>
      <c r="QB131" s="610"/>
      <c r="QC131" s="610"/>
      <c r="QD131" s="610"/>
      <c r="QE131" s="610"/>
      <c r="QF131" s="610"/>
      <c r="QG131" s="610"/>
      <c r="QH131" s="610"/>
      <c r="QI131" s="610"/>
      <c r="QJ131" s="610"/>
    </row>
    <row r="132" spans="1:452" s="524" customFormat="1" ht="18" x14ac:dyDescent="0.35">
      <c r="A132" s="605"/>
      <c r="B132" s="558"/>
      <c r="C132" s="559"/>
      <c r="D132" s="559"/>
      <c r="E132" s="572" t="s">
        <v>86</v>
      </c>
      <c r="F132" s="571" cm="1">
        <f t="array" ref="F132">SUMPRODUCT(F$14:F$43,--($Q$14:$Q$43=TRUE),--($D$14:$D$43=$D127))</f>
        <v>0</v>
      </c>
      <c r="G132" s="571" cm="1">
        <f t="array" ref="G132">SUMPRODUCT(G$14:G$43,--($Q$14:$Q$43=TRUE),--($D$14:$D$43=$D127))</f>
        <v>0</v>
      </c>
      <c r="H132" s="571" cm="1">
        <f t="array" ref="H132">SUMPRODUCT(H$14:H$43,--($Q$14:$Q$43=TRUE),--($D$14:$D$43=$D127))</f>
        <v>0</v>
      </c>
      <c r="I132" s="571" cm="1">
        <f t="array" ref="I132">SUMPRODUCT(I$14:I$43,--($Q$14:$Q$43=TRUE),--($D$14:$D$43=$D127))</f>
        <v>0</v>
      </c>
      <c r="J132" s="571" cm="1">
        <f t="array" ref="J132">SUMPRODUCT(J$14:J$43,--($Q$14:$Q$43=TRUE),--($D$14:$D$43=$D127))</f>
        <v>0</v>
      </c>
      <c r="K132" s="571" cm="1">
        <f t="array" ref="K132">SUMPRODUCT(K$14:K$43,--($Q$14:$Q$43=TRUE),--($D$14:$D$43=$D127))</f>
        <v>0</v>
      </c>
      <c r="L132" s="571" cm="1">
        <f t="array" ref="L132">SUMPRODUCT(L$14:L$43,--($Q$14:$Q$43=TRUE),--($D$14:$D$43=$D127))</f>
        <v>0</v>
      </c>
      <c r="M132" s="571" cm="1">
        <f t="array" ref="M132">SUMPRODUCT(M$14:M$43,--($Q$14:$Q$43=TRUE),--($D$14:$D$43=$D127))</f>
        <v>0</v>
      </c>
      <c r="N132" s="571" cm="1">
        <f t="array" ref="N132">SUMPRODUCT(N$14:N$43,--($Q$14:$Q$43=TRUE),--($D$14:$D$43=$D127))</f>
        <v>0</v>
      </c>
      <c r="O132" s="571" cm="1">
        <f t="array" ref="O132">SUMPRODUCT(O$14:O$43,--($Q$14:$Q$43=TRUE),--($D$14:$D$43=$D127))</f>
        <v>0</v>
      </c>
      <c r="P132" s="607">
        <f t="shared" si="29"/>
        <v>0</v>
      </c>
      <c r="Q132" s="575"/>
      <c r="R132" s="576"/>
      <c r="S132" s="576"/>
      <c r="T132" s="576"/>
      <c r="U132" s="577"/>
    </row>
    <row r="133" spans="1:452" s="524" customFormat="1" ht="18" x14ac:dyDescent="0.35">
      <c r="A133" s="605"/>
      <c r="C133" s="559"/>
      <c r="D133" s="559"/>
      <c r="E133" s="572" t="s">
        <v>87</v>
      </c>
      <c r="F133" s="571" cm="1">
        <f t="array" ref="F133">SUMPRODUCT(F$14:F$43,--($Q$14:$Q$43=TRUE),--($D$14:$D$43=$D131),--($R$14:$R$43="Yes"))*0.1</f>
        <v>0</v>
      </c>
      <c r="G133" s="571" cm="1">
        <f t="array" ref="G133">SUMPRODUCT(G$14:G$43,--($Q$14:$Q$43=TRUE),--($D$14:$D$43=$D131),--($R$14:$R$43="Yes"))*0.1</f>
        <v>0</v>
      </c>
      <c r="H133" s="571" cm="1">
        <f t="array" ref="H133">SUMPRODUCT(H$14:H$43,--($Q$14:$Q$43=TRUE),--($D$14:$D$43=$D131),--($R$14:$R$43="Yes"))*0.1</f>
        <v>0</v>
      </c>
      <c r="I133" s="571" cm="1">
        <f t="array" ref="I133">SUMPRODUCT(I$14:I$43,--($Q$14:$Q$43=TRUE),--($D$14:$D$43=$D131),--($R$14:$R$43="Yes"))*0.1</f>
        <v>0</v>
      </c>
      <c r="J133" s="571" cm="1">
        <f t="array" ref="J133">SUMPRODUCT(J$14:J$43,--($Q$14:$Q$43=TRUE),--($D$14:$D$43=$D131),--($R$14:$R$43="Yes"))*0.1</f>
        <v>0</v>
      </c>
      <c r="K133" s="571" cm="1">
        <f t="array" ref="K133">SUMPRODUCT(K$14:K$43,--($Q$14:$Q$43=TRUE),--($D$14:$D$43=$D131),--($R$14:$R$43="Yes"))*0.1</f>
        <v>0</v>
      </c>
      <c r="L133" s="571" cm="1">
        <f t="array" ref="L133">SUMPRODUCT(L$14:L$43,--($Q$14:$Q$43=TRUE),--($D$14:$D$43=$D131),--($R$14:$R$43="Yes"))*0.1</f>
        <v>0</v>
      </c>
      <c r="M133" s="571" cm="1">
        <f t="array" ref="M133">SUMPRODUCT(M$14:M$43,--($Q$14:$Q$43=TRUE),--($D$14:$D$43=$D131),--($R$14:$R$43="Yes"))*0.1</f>
        <v>0</v>
      </c>
      <c r="N133" s="571" cm="1">
        <f t="array" ref="N133">SUMPRODUCT(N$14:N$43,--($Q$14:$Q$43=TRUE),--($D$14:$D$43=$D131),--($R$14:$R$43="Yes"))*0.1</f>
        <v>0</v>
      </c>
      <c r="O133" s="571" cm="1">
        <f t="array" ref="O133">SUMPRODUCT(O$14:O$43,--($Q$14:$Q$43=TRUE),--($D$14:$D$43=$D131),--($R$14:$R$43="Yes"))*0.1</f>
        <v>0</v>
      </c>
      <c r="P133" s="607">
        <f t="shared" si="29"/>
        <v>0</v>
      </c>
      <c r="Q133" s="575"/>
      <c r="R133" s="576"/>
      <c r="S133" s="576"/>
      <c r="T133" s="576"/>
      <c r="U133" s="577"/>
    </row>
    <row r="134" spans="1:452" s="524" customFormat="1" ht="18" x14ac:dyDescent="0.35">
      <c r="A134" s="605"/>
      <c r="B134" s="558"/>
      <c r="C134" s="559"/>
      <c r="D134" s="559"/>
      <c r="E134" s="572" t="s">
        <v>88</v>
      </c>
      <c r="F134" s="571">
        <f>F131-(F132+F133)</f>
        <v>0</v>
      </c>
      <c r="G134" s="571">
        <f t="shared" ref="G134:O134" si="36">G131-(G132+G133)</f>
        <v>0</v>
      </c>
      <c r="H134" s="571">
        <f t="shared" si="36"/>
        <v>0</v>
      </c>
      <c r="I134" s="571">
        <f t="shared" si="36"/>
        <v>0</v>
      </c>
      <c r="J134" s="571">
        <f t="shared" si="36"/>
        <v>0</v>
      </c>
      <c r="K134" s="571">
        <f t="shared" si="36"/>
        <v>0</v>
      </c>
      <c r="L134" s="571">
        <f t="shared" si="36"/>
        <v>0</v>
      </c>
      <c r="M134" s="571">
        <f t="shared" si="36"/>
        <v>0</v>
      </c>
      <c r="N134" s="571">
        <f t="shared" si="36"/>
        <v>0</v>
      </c>
      <c r="O134" s="571">
        <f t="shared" si="36"/>
        <v>0</v>
      </c>
      <c r="P134" s="607">
        <f t="shared" si="29"/>
        <v>0</v>
      </c>
      <c r="Q134" s="575"/>
      <c r="R134" s="576"/>
      <c r="S134" s="576"/>
      <c r="T134" s="576"/>
      <c r="U134" s="577"/>
    </row>
    <row r="135" spans="1:452" s="592" customFormat="1" ht="18" x14ac:dyDescent="0.35">
      <c r="A135" s="618"/>
      <c r="B135" s="619"/>
      <c r="C135" s="620"/>
      <c r="D135" s="619" t="s">
        <v>105</v>
      </c>
      <c r="E135" s="621"/>
      <c r="F135" s="622" cm="1">
        <f t="array" ref="F135">SUMPRODUCT(F$14:F$43,--($D$14:$D$43=$D135),--($Q$14:$Q$43=FALSE),$S$14:$S$43,--($S$14:$S$43&gt;0))+SUMPRODUCT(F$14:F$43,--($D$14:$D$43=$D135),--($Q$14:$Q$43=FALSE),$S$14:$S$43,--($S$14:$S$43&gt;0),--($R$14:$R$43="Yes"))*0.1+SUMPRODUCT(F$14:F$43,--($D$14:$D$43=$D135),--($Q$14:$Q$43=FALSE),--($S$14:$S$43=0))+SUMPRODUCT(F$14:F$43,--($D$14:$D$43=$D135),--($Q$14:$Q$43=FALSE),--($R$14:$R$43="Yes"),--($S$14:$S$43=0))*0.1</f>
        <v>0</v>
      </c>
      <c r="G135" s="622" cm="1">
        <f t="array" ref="G135">SUMPRODUCT(G$14:G$43,--($D$14:$D$43=$D135),--($Q$14:$Q$43=FALSE),$S$14:$S$43,--($S$14:$S$43&gt;0))+SUMPRODUCT(G$14:G$43,--($D$14:$D$43=$D135),--($Q$14:$Q$43=FALSE),$S$14:$S$43,--($S$14:$S$43&gt;0),--($R$14:$R$43="Yes"))*0.1+SUMPRODUCT(G$14:G$43,--($D$14:$D$43=$D135),--($Q$14:$Q$43=FALSE),--($S$14:$S$43=0))+SUMPRODUCT(G$14:G$43,--($D$14:$D$43=$D135),--($Q$14:$Q$43=FALSE),--($R$14:$R$43="Yes"),--($S$14:$S$43=0))*0.1</f>
        <v>0</v>
      </c>
      <c r="H135" s="622" cm="1">
        <f t="array" ref="H135">SUMPRODUCT(H$14:H$43,--($D$14:$D$43=$D135),--($Q$14:$Q$43=FALSE),$S$14:$S$43,--($S$14:$S$43&gt;0))+SUMPRODUCT(H$14:H$43,--($D$14:$D$43=$D135),--($Q$14:$Q$43=FALSE),$S$14:$S$43,--($S$14:$S$43&gt;0),--($R$14:$R$43="Yes"))*0.1+SUMPRODUCT(H$14:H$43,--($D$14:$D$43=$D135),--($Q$14:$Q$43=FALSE),--($S$14:$S$43=0))+SUMPRODUCT(H$14:H$43,--($D$14:$D$43=$D135),--($Q$14:$Q$43=FALSE),--($R$14:$R$43="Yes"),--($S$14:$S$43=0))*0.1</f>
        <v>0</v>
      </c>
      <c r="I135" s="622" cm="1">
        <f t="array" ref="I135">SUMPRODUCT(I$14:I$43,--($D$14:$D$43=$D135),--($Q$14:$Q$43=FALSE),$S$14:$S$43,--($S$14:$S$43&gt;0))+SUMPRODUCT(I$14:I$43,--($D$14:$D$43=$D135),--($Q$14:$Q$43=FALSE),$S$14:$S$43,--($S$14:$S$43&gt;0),--($R$14:$R$43="Yes"))*0.1+SUMPRODUCT(I$14:I$43,--($D$14:$D$43=$D135),--($Q$14:$Q$43=FALSE),--($S$14:$S$43=0))+SUMPRODUCT(I$14:I$43,--($D$14:$D$43=$D135),--($Q$14:$Q$43=FALSE),--($R$14:$R$43="Yes"),--($S$14:$S$43=0))*0.1</f>
        <v>0</v>
      </c>
      <c r="J135" s="622" cm="1">
        <f t="array" ref="J135">SUMPRODUCT(J$14:J$43,--($D$14:$D$43=$D135),--($Q$14:$Q$43=FALSE),$S$14:$S$43,--($S$14:$S$43&gt;0))+SUMPRODUCT(J$14:J$43,--($D$14:$D$43=$D135),--($Q$14:$Q$43=FALSE),$S$14:$S$43,--($S$14:$S$43&gt;0),--($R$14:$R$43="Yes"))*0.1+SUMPRODUCT(J$14:J$43,--($D$14:$D$43=$D135),--($Q$14:$Q$43=FALSE),--($S$14:$S$43=0))+SUMPRODUCT(J$14:J$43,--($D$14:$D$43=$D135),--($Q$14:$Q$43=FALSE),--($R$14:$R$43="Yes"),--($S$14:$S$43=0))*0.1</f>
        <v>0</v>
      </c>
      <c r="K135" s="622" cm="1">
        <f t="array" ref="K135">SUMPRODUCT(K$14:K$43,--($D$14:$D$43=$D135),--($Q$14:$Q$43=FALSE),$S$14:$S$43,--($S$14:$S$43&gt;0))+SUMPRODUCT(K$14:K$43,--($D$14:$D$43=$D135),--($Q$14:$Q$43=FALSE),$S$14:$S$43,--($S$14:$S$43&gt;0),--($R$14:$R$43="Yes"))*0.1+SUMPRODUCT(K$14:K$43,--($D$14:$D$43=$D135),--($Q$14:$Q$43=FALSE),--($S$14:$S$43=0))+SUMPRODUCT(K$14:K$43,--($D$14:$D$43=$D135),--($Q$14:$Q$43=FALSE),--($R$14:$R$43="Yes"),--($S$14:$S$43=0))*0.1</f>
        <v>0</v>
      </c>
      <c r="L135" s="622" cm="1">
        <f t="array" ref="L135">SUMPRODUCT(L$14:L$43,--($D$14:$D$43=$D135),--($Q$14:$Q$43=FALSE),$S$14:$S$43,--($S$14:$S$43&gt;0))+SUMPRODUCT(L$14:L$43,--($D$14:$D$43=$D135),--($Q$14:$Q$43=FALSE),$S$14:$S$43,--($S$14:$S$43&gt;0),--($R$14:$R$43="Yes"))*0.1+SUMPRODUCT(L$14:L$43,--($D$14:$D$43=$D135),--($Q$14:$Q$43=FALSE),--($S$14:$S$43=0))+SUMPRODUCT(L$14:L$43,--($D$14:$D$43=$D135),--($Q$14:$Q$43=FALSE),--($R$14:$R$43="Yes"),--($S$14:$S$43=0))*0.1</f>
        <v>0</v>
      </c>
      <c r="M135" s="622" cm="1">
        <f t="array" ref="M135">SUMPRODUCT(M$14:M$43,--($D$14:$D$43=$D135),--($Q$14:$Q$43=FALSE),$S$14:$S$43,--($S$14:$S$43&gt;0))+SUMPRODUCT(M$14:M$43,--($D$14:$D$43=$D135),--($Q$14:$Q$43=FALSE),$S$14:$S$43,--($S$14:$S$43&gt;0),--($R$14:$R$43="Yes"))*0.1+SUMPRODUCT(M$14:M$43,--($D$14:$D$43=$D135),--($Q$14:$Q$43=FALSE),--($S$14:$S$43=0))+SUMPRODUCT(M$14:M$43,--($D$14:$D$43=$D135),--($Q$14:$Q$43=FALSE),--($R$14:$R$43="Yes"),--($S$14:$S$43=0))*0.1</f>
        <v>0</v>
      </c>
      <c r="N135" s="622" cm="1">
        <f t="array" ref="N135">SUMPRODUCT(N$14:N$43,--($D$14:$D$43=$D135),--($Q$14:$Q$43=FALSE),$S$14:$S$43,--($S$14:$S$43&gt;0))+SUMPRODUCT(N$14:N$43,--($D$14:$D$43=$D135),--($Q$14:$Q$43=FALSE),$S$14:$S$43,--($S$14:$S$43&gt;0),--($R$14:$R$43="Yes"))*0.1+SUMPRODUCT(N$14:N$43,--($D$14:$D$43=$D135),--($Q$14:$Q$43=FALSE),--($S$14:$S$43=0))+SUMPRODUCT(N$14:N$43,--($D$14:$D$43=$D135),--($Q$14:$Q$43=FALSE),--($R$14:$R$43="Yes"),--($S$14:$S$43=0))*0.1</f>
        <v>0</v>
      </c>
      <c r="O135" s="622" cm="1">
        <f t="array" ref="O135">SUMPRODUCT(O$14:O$43,--($D$14:$D$43=$D135),--($Q$14:$Q$43=FALSE),$S$14:$S$43,--($S$14:$S$43&gt;0))+SUMPRODUCT(O$14:O$43,--($D$14:$D$43=$D135),--($Q$14:$Q$43=FALSE),$S$14:$S$43,--($S$14:$S$43&gt;0),--($R$14:$R$43="Yes"))*0.1+SUMPRODUCT(O$14:O$43,--($D$14:$D$43=$D135),--($Q$14:$Q$43=FALSE),--($S$14:$S$43=0))+SUMPRODUCT(O$14:O$43,--($D$14:$D$43=$D135),--($Q$14:$Q$43=FALSE),--($R$14:$R$43="Yes"),--($S$14:$S$43=0))*0.1</f>
        <v>0</v>
      </c>
      <c r="P135" s="623">
        <f t="shared" si="29"/>
        <v>0</v>
      </c>
      <c r="Q135" s="575"/>
      <c r="R135" s="576"/>
      <c r="S135" s="576"/>
      <c r="T135" s="576"/>
      <c r="U135" s="577"/>
      <c r="V135" s="610"/>
      <c r="W135" s="610"/>
      <c r="X135" s="610"/>
      <c r="Y135" s="610"/>
      <c r="Z135" s="610"/>
      <c r="AA135" s="610"/>
      <c r="AB135" s="610"/>
      <c r="AC135" s="610"/>
      <c r="AD135" s="610"/>
      <c r="AE135" s="610"/>
      <c r="AF135" s="610"/>
      <c r="AG135" s="610"/>
      <c r="AH135" s="610"/>
      <c r="AI135" s="610"/>
      <c r="AJ135" s="610"/>
      <c r="AK135" s="610"/>
      <c r="AL135" s="610"/>
      <c r="AM135" s="610"/>
      <c r="AN135" s="610"/>
      <c r="AO135" s="610"/>
      <c r="AP135" s="610"/>
      <c r="AQ135" s="610"/>
      <c r="AR135" s="610"/>
      <c r="AS135" s="610"/>
      <c r="AT135" s="610"/>
      <c r="AU135" s="610"/>
      <c r="AV135" s="610"/>
      <c r="AW135" s="610"/>
      <c r="AX135" s="610"/>
      <c r="AY135" s="610"/>
      <c r="AZ135" s="610"/>
      <c r="BA135" s="610"/>
      <c r="BB135" s="610"/>
      <c r="BC135" s="610"/>
      <c r="BD135" s="610"/>
      <c r="BE135" s="610"/>
      <c r="BF135" s="610"/>
      <c r="BG135" s="610"/>
      <c r="BH135" s="610"/>
      <c r="BI135" s="610"/>
      <c r="BJ135" s="610"/>
      <c r="BK135" s="610"/>
      <c r="BL135" s="610"/>
      <c r="BM135" s="610"/>
      <c r="BN135" s="610"/>
      <c r="BO135" s="610"/>
      <c r="BP135" s="610"/>
      <c r="BQ135" s="610"/>
      <c r="BR135" s="610"/>
      <c r="BS135" s="610"/>
      <c r="BT135" s="610"/>
      <c r="BU135" s="610"/>
      <c r="BV135" s="610"/>
      <c r="BW135" s="610"/>
      <c r="BX135" s="610"/>
      <c r="BY135" s="610"/>
      <c r="BZ135" s="610"/>
      <c r="CA135" s="610"/>
      <c r="CB135" s="610"/>
      <c r="CC135" s="610"/>
      <c r="CD135" s="610"/>
      <c r="CE135" s="610"/>
      <c r="CF135" s="610"/>
      <c r="CG135" s="610"/>
      <c r="CH135" s="610"/>
      <c r="CI135" s="610"/>
      <c r="CJ135" s="610"/>
      <c r="CK135" s="610"/>
      <c r="CL135" s="610"/>
      <c r="CM135" s="610"/>
      <c r="CN135" s="610"/>
      <c r="CO135" s="610"/>
      <c r="CP135" s="610"/>
      <c r="CQ135" s="610"/>
      <c r="CR135" s="610"/>
      <c r="CS135" s="610"/>
      <c r="CT135" s="610"/>
      <c r="CU135" s="610"/>
      <c r="CV135" s="610"/>
      <c r="CW135" s="610"/>
      <c r="CX135" s="610"/>
      <c r="CY135" s="610"/>
      <c r="CZ135" s="610"/>
      <c r="DA135" s="610"/>
      <c r="DB135" s="610"/>
      <c r="DC135" s="610"/>
      <c r="DD135" s="610"/>
      <c r="DE135" s="610"/>
      <c r="DF135" s="610"/>
      <c r="DG135" s="610"/>
      <c r="DH135" s="610"/>
      <c r="DI135" s="610"/>
      <c r="DJ135" s="610"/>
      <c r="DK135" s="610"/>
      <c r="DL135" s="610"/>
      <c r="DM135" s="610"/>
      <c r="DN135" s="610"/>
      <c r="DO135" s="610"/>
      <c r="DP135" s="610"/>
      <c r="DQ135" s="610"/>
      <c r="DR135" s="610"/>
      <c r="DS135" s="610"/>
      <c r="DT135" s="610"/>
      <c r="DU135" s="610"/>
      <c r="DV135" s="610"/>
      <c r="DW135" s="610"/>
      <c r="DX135" s="610"/>
      <c r="DY135" s="610"/>
      <c r="DZ135" s="610"/>
      <c r="EA135" s="610"/>
      <c r="EB135" s="610"/>
      <c r="EC135" s="610"/>
      <c r="ED135" s="610"/>
      <c r="EE135" s="610"/>
      <c r="EF135" s="610"/>
      <c r="EG135" s="610"/>
      <c r="EH135" s="610"/>
      <c r="EI135" s="610"/>
      <c r="EJ135" s="610"/>
      <c r="EK135" s="610"/>
      <c r="EL135" s="610"/>
      <c r="EM135" s="610"/>
      <c r="EN135" s="610"/>
      <c r="EO135" s="610"/>
      <c r="EP135" s="610"/>
      <c r="EQ135" s="610"/>
      <c r="ER135" s="610"/>
      <c r="ES135" s="610"/>
      <c r="ET135" s="610"/>
      <c r="EU135" s="610"/>
      <c r="EV135" s="610"/>
      <c r="EW135" s="610"/>
      <c r="EX135" s="610"/>
      <c r="EY135" s="610"/>
      <c r="EZ135" s="610"/>
      <c r="FA135" s="610"/>
      <c r="FB135" s="610"/>
      <c r="FC135" s="610"/>
      <c r="FD135" s="610"/>
      <c r="FE135" s="610"/>
      <c r="FF135" s="610"/>
      <c r="FG135" s="610"/>
      <c r="FH135" s="610"/>
      <c r="FI135" s="610"/>
      <c r="FJ135" s="610"/>
      <c r="FK135" s="610"/>
      <c r="FL135" s="610"/>
      <c r="FM135" s="610"/>
      <c r="FN135" s="610"/>
      <c r="FO135" s="610"/>
      <c r="FP135" s="610"/>
      <c r="FQ135" s="610"/>
      <c r="FR135" s="610"/>
      <c r="FS135" s="610"/>
      <c r="FT135" s="610"/>
      <c r="FU135" s="610"/>
      <c r="FV135" s="610"/>
      <c r="FW135" s="610"/>
      <c r="FX135" s="610"/>
      <c r="FY135" s="610"/>
      <c r="FZ135" s="610"/>
      <c r="GA135" s="610"/>
      <c r="GB135" s="610"/>
      <c r="GC135" s="610"/>
      <c r="GD135" s="610"/>
      <c r="GE135" s="610"/>
      <c r="GF135" s="610"/>
      <c r="GG135" s="610"/>
      <c r="GH135" s="610"/>
      <c r="GI135" s="610"/>
      <c r="GJ135" s="610"/>
      <c r="GK135" s="610"/>
      <c r="GL135" s="610"/>
      <c r="GM135" s="610"/>
      <c r="GN135" s="610"/>
      <c r="GO135" s="610"/>
      <c r="GP135" s="610"/>
      <c r="GQ135" s="610"/>
      <c r="GR135" s="610"/>
      <c r="GS135" s="610"/>
      <c r="GT135" s="610"/>
      <c r="GU135" s="610"/>
      <c r="GV135" s="610"/>
      <c r="GW135" s="610"/>
      <c r="GX135" s="610"/>
      <c r="GY135" s="610"/>
      <c r="GZ135" s="610"/>
      <c r="HA135" s="610"/>
      <c r="HB135" s="610"/>
      <c r="HC135" s="610"/>
      <c r="HD135" s="610"/>
      <c r="HE135" s="610"/>
      <c r="HF135" s="610"/>
      <c r="HG135" s="610"/>
      <c r="HH135" s="610"/>
      <c r="HI135" s="610"/>
      <c r="HJ135" s="610"/>
      <c r="HK135" s="610"/>
      <c r="HL135" s="610"/>
      <c r="HM135" s="610"/>
      <c r="HN135" s="610"/>
      <c r="HO135" s="610"/>
      <c r="HP135" s="610"/>
      <c r="HQ135" s="610"/>
      <c r="HR135" s="610"/>
      <c r="HS135" s="610"/>
      <c r="HT135" s="610"/>
      <c r="HU135" s="610"/>
      <c r="HV135" s="610"/>
      <c r="HW135" s="610"/>
      <c r="HX135" s="610"/>
      <c r="HY135" s="610"/>
      <c r="HZ135" s="610"/>
      <c r="IA135" s="610"/>
      <c r="IB135" s="610"/>
      <c r="IC135" s="610"/>
      <c r="ID135" s="610"/>
      <c r="IE135" s="610"/>
      <c r="IF135" s="610"/>
      <c r="IG135" s="610"/>
      <c r="IH135" s="610"/>
      <c r="II135" s="610"/>
      <c r="IJ135" s="610"/>
      <c r="IK135" s="610"/>
      <c r="IL135" s="610"/>
      <c r="IM135" s="610"/>
      <c r="IN135" s="610"/>
      <c r="IO135" s="610"/>
      <c r="IP135" s="610"/>
      <c r="IQ135" s="610"/>
      <c r="IR135" s="610"/>
      <c r="IS135" s="610"/>
      <c r="IT135" s="610"/>
      <c r="IU135" s="610"/>
      <c r="IV135" s="610"/>
      <c r="IW135" s="610"/>
      <c r="IX135" s="610"/>
      <c r="IY135" s="610"/>
      <c r="IZ135" s="610"/>
      <c r="JA135" s="610"/>
      <c r="JB135" s="610"/>
      <c r="JC135" s="610"/>
      <c r="JD135" s="610"/>
      <c r="JE135" s="610"/>
      <c r="JF135" s="610"/>
      <c r="JG135" s="610"/>
      <c r="JH135" s="610"/>
      <c r="JI135" s="610"/>
      <c r="JJ135" s="610"/>
      <c r="JK135" s="610"/>
      <c r="JL135" s="610"/>
      <c r="JM135" s="610"/>
      <c r="JN135" s="610"/>
      <c r="JO135" s="610"/>
      <c r="JP135" s="610"/>
      <c r="JQ135" s="610"/>
      <c r="JR135" s="610"/>
      <c r="JS135" s="610"/>
      <c r="JT135" s="610"/>
      <c r="JU135" s="610"/>
      <c r="JV135" s="610"/>
      <c r="JW135" s="610"/>
      <c r="JX135" s="610"/>
      <c r="JY135" s="610"/>
      <c r="JZ135" s="610"/>
      <c r="KA135" s="610"/>
      <c r="KB135" s="610"/>
      <c r="KC135" s="610"/>
      <c r="KD135" s="610"/>
      <c r="KE135" s="610"/>
      <c r="KF135" s="610"/>
      <c r="KG135" s="610"/>
      <c r="KH135" s="610"/>
      <c r="KI135" s="610"/>
      <c r="KJ135" s="610"/>
      <c r="KK135" s="610"/>
      <c r="KL135" s="610"/>
      <c r="KM135" s="610"/>
      <c r="KN135" s="610"/>
      <c r="KO135" s="610"/>
      <c r="KP135" s="610"/>
      <c r="KQ135" s="610"/>
      <c r="KR135" s="610"/>
      <c r="KS135" s="610"/>
      <c r="KT135" s="610"/>
      <c r="KU135" s="610"/>
      <c r="KV135" s="610"/>
      <c r="KW135" s="610"/>
      <c r="KX135" s="610"/>
      <c r="KY135" s="610"/>
      <c r="KZ135" s="610"/>
      <c r="LA135" s="610"/>
      <c r="LB135" s="610"/>
      <c r="LC135" s="610"/>
      <c r="LD135" s="610"/>
      <c r="LE135" s="610"/>
      <c r="LF135" s="610"/>
      <c r="LG135" s="610"/>
      <c r="LH135" s="610"/>
      <c r="LI135" s="610"/>
      <c r="LJ135" s="610"/>
      <c r="LK135" s="610"/>
      <c r="LL135" s="610"/>
      <c r="LM135" s="610"/>
      <c r="LN135" s="610"/>
      <c r="LO135" s="610"/>
      <c r="LP135" s="610"/>
      <c r="LQ135" s="610"/>
      <c r="LR135" s="610"/>
      <c r="LS135" s="610"/>
      <c r="LT135" s="610"/>
      <c r="LU135" s="610"/>
      <c r="LV135" s="610"/>
      <c r="LW135" s="610"/>
      <c r="LX135" s="610"/>
      <c r="LY135" s="610"/>
      <c r="LZ135" s="610"/>
      <c r="MA135" s="610"/>
      <c r="MB135" s="610"/>
      <c r="MC135" s="610"/>
      <c r="MD135" s="610"/>
      <c r="ME135" s="610"/>
      <c r="MF135" s="610"/>
      <c r="MG135" s="610"/>
      <c r="MH135" s="610"/>
      <c r="MI135" s="610"/>
      <c r="MJ135" s="610"/>
      <c r="MK135" s="610"/>
      <c r="ML135" s="610"/>
      <c r="MM135" s="610"/>
      <c r="MN135" s="610"/>
      <c r="MO135" s="610"/>
      <c r="MP135" s="610"/>
      <c r="MQ135" s="610"/>
      <c r="MR135" s="610"/>
      <c r="MS135" s="610"/>
      <c r="MT135" s="610"/>
      <c r="MU135" s="610"/>
      <c r="MV135" s="610"/>
      <c r="MW135" s="610"/>
      <c r="MX135" s="610"/>
      <c r="MY135" s="610"/>
      <c r="MZ135" s="610"/>
      <c r="NA135" s="610"/>
      <c r="NB135" s="610"/>
      <c r="NC135" s="610"/>
      <c r="ND135" s="610"/>
      <c r="NE135" s="610"/>
      <c r="NF135" s="610"/>
      <c r="NG135" s="610"/>
      <c r="NH135" s="610"/>
      <c r="NI135" s="610"/>
      <c r="NJ135" s="610"/>
      <c r="NK135" s="610"/>
      <c r="NL135" s="610"/>
      <c r="NM135" s="610"/>
      <c r="NN135" s="610"/>
      <c r="NO135" s="610"/>
      <c r="NP135" s="610"/>
      <c r="NQ135" s="610"/>
      <c r="NR135" s="610"/>
      <c r="NS135" s="610"/>
      <c r="NT135" s="610"/>
      <c r="NU135" s="610"/>
      <c r="NV135" s="610"/>
      <c r="NW135" s="610"/>
      <c r="NX135" s="610"/>
      <c r="NY135" s="610"/>
      <c r="NZ135" s="610"/>
      <c r="OA135" s="610"/>
      <c r="OB135" s="610"/>
      <c r="OC135" s="610"/>
      <c r="OD135" s="610"/>
      <c r="OE135" s="610"/>
      <c r="OF135" s="610"/>
      <c r="OG135" s="610"/>
      <c r="OH135" s="610"/>
      <c r="OI135" s="610"/>
      <c r="OJ135" s="610"/>
      <c r="OK135" s="610"/>
      <c r="OL135" s="610"/>
      <c r="OM135" s="610"/>
      <c r="ON135" s="610"/>
      <c r="OO135" s="610"/>
      <c r="OP135" s="610"/>
      <c r="OQ135" s="610"/>
      <c r="OR135" s="610"/>
      <c r="OS135" s="610"/>
      <c r="OT135" s="610"/>
      <c r="OU135" s="610"/>
      <c r="OV135" s="610"/>
      <c r="OW135" s="610"/>
      <c r="OX135" s="610"/>
      <c r="OY135" s="610"/>
      <c r="OZ135" s="610"/>
      <c r="PA135" s="610"/>
      <c r="PB135" s="610"/>
      <c r="PC135" s="610"/>
      <c r="PD135" s="610"/>
      <c r="PE135" s="610"/>
      <c r="PF135" s="610"/>
      <c r="PG135" s="610"/>
      <c r="PH135" s="610"/>
      <c r="PI135" s="610"/>
      <c r="PJ135" s="610"/>
      <c r="PK135" s="610"/>
      <c r="PL135" s="610"/>
      <c r="PM135" s="610"/>
      <c r="PN135" s="610"/>
      <c r="PO135" s="610"/>
      <c r="PP135" s="610"/>
      <c r="PQ135" s="610"/>
      <c r="PR135" s="610"/>
      <c r="PS135" s="610"/>
      <c r="PT135" s="610"/>
      <c r="PU135" s="610"/>
      <c r="PV135" s="610"/>
      <c r="PW135" s="610"/>
      <c r="PX135" s="610"/>
      <c r="PY135" s="610"/>
      <c r="PZ135" s="610"/>
      <c r="QA135" s="610"/>
      <c r="QB135" s="610"/>
      <c r="QC135" s="610"/>
      <c r="QD135" s="610"/>
      <c r="QE135" s="610"/>
      <c r="QF135" s="610"/>
      <c r="QG135" s="610"/>
      <c r="QH135" s="610"/>
      <c r="QI135" s="610"/>
      <c r="QJ135" s="610"/>
    </row>
    <row r="136" spans="1:452" s="524" customFormat="1" ht="18" x14ac:dyDescent="0.35">
      <c r="A136" s="605"/>
      <c r="B136" s="558"/>
      <c r="C136" s="559"/>
      <c r="D136" s="606"/>
      <c r="E136" s="572" t="s">
        <v>86</v>
      </c>
      <c r="F136" s="571" cm="1">
        <f t="array" ref="F136">SUMPRODUCT(F$14:F$43,--($Q$14:$Q$43=FALSE),--($D$14:$D$43=$D135))</f>
        <v>0</v>
      </c>
      <c r="G136" s="571" cm="1">
        <f t="array" ref="G136">SUMPRODUCT(G$14:G$43,--($Q$14:$Q$43=FALSE),--($D$14:$D$43=$D135))</f>
        <v>0</v>
      </c>
      <c r="H136" s="571" cm="1">
        <f t="array" ref="H136">SUMPRODUCT(H$14:H$43,--($Q$14:$Q$43=FALSE),--($D$14:$D$43=$D135))</f>
        <v>0</v>
      </c>
      <c r="I136" s="571" cm="1">
        <f t="array" ref="I136">SUMPRODUCT(I$14:I$43,--($Q$14:$Q$43=FALSE),--($D$14:$D$43=$D135))</f>
        <v>0</v>
      </c>
      <c r="J136" s="571" cm="1">
        <f t="array" ref="J136">SUMPRODUCT(J$14:J$43,--($Q$14:$Q$43=FALSE),--($D$14:$D$43=$D135))</f>
        <v>0</v>
      </c>
      <c r="K136" s="571" cm="1">
        <f t="array" ref="K136">SUMPRODUCT(K$14:K$43,--($Q$14:$Q$43=FALSE),--($D$14:$D$43=$D135))</f>
        <v>0</v>
      </c>
      <c r="L136" s="571" cm="1">
        <f t="array" ref="L136">SUMPRODUCT(L$14:L$43,--($Q$14:$Q$43=FALSE),--($D$14:$D$43=$D135))</f>
        <v>0</v>
      </c>
      <c r="M136" s="571" cm="1">
        <f t="array" ref="M136">SUMPRODUCT(M$14:M$43,--($Q$14:$Q$43=FALSE),--($D$14:$D$43=$D135))</f>
        <v>0</v>
      </c>
      <c r="N136" s="571" cm="1">
        <f t="array" ref="N136">SUMPRODUCT(N$14:N$43,--($Q$14:$Q$43=FALSE),--($D$14:$D$43=$D135))</f>
        <v>0</v>
      </c>
      <c r="O136" s="571" cm="1">
        <f t="array" ref="O136">SUMPRODUCT(O$14:O$43,--($Q$14:$Q$43=FALSE),--($D$14:$D$43=$D135))</f>
        <v>0</v>
      </c>
      <c r="P136" s="607">
        <f t="shared" si="29"/>
        <v>0</v>
      </c>
      <c r="Q136" s="575"/>
      <c r="R136" s="576"/>
      <c r="S136" s="576"/>
      <c r="T136" s="576"/>
      <c r="U136" s="577"/>
    </row>
    <row r="137" spans="1:452" s="524" customFormat="1" ht="18" x14ac:dyDescent="0.35">
      <c r="A137" s="605"/>
      <c r="B137" s="558"/>
      <c r="C137" s="559"/>
      <c r="D137" s="606"/>
      <c r="E137" s="572" t="s">
        <v>87</v>
      </c>
      <c r="F137" s="571" cm="1">
        <f t="array" ref="F137">SUMPRODUCT(F$14:F$43,--($Q$14:$Q$43=FALSE),--($D$14:$D$43=$D135),--($R$14:$R$43="Yes"))*0.1</f>
        <v>0</v>
      </c>
      <c r="G137" s="571" cm="1">
        <f t="array" ref="G137">SUMPRODUCT(G$14:G$43,--($Q$14:$Q$43=FALSE),--($D$14:$D$43=$D135),--($R$14:$R$43="Yes"))*0.1</f>
        <v>0</v>
      </c>
      <c r="H137" s="571" cm="1">
        <f t="array" ref="H137">SUMPRODUCT(H$14:H$43,--($Q$14:$Q$43=FALSE),--($D$14:$D$43=$D135),--($R$14:$R$43="Yes"))*0.1</f>
        <v>0</v>
      </c>
      <c r="I137" s="571" cm="1">
        <f t="array" ref="I137">SUMPRODUCT(I$14:I$43,--($Q$14:$Q$43=FALSE),--($D$14:$D$43=$D135),--($R$14:$R$43="Yes"))*0.1</f>
        <v>0</v>
      </c>
      <c r="J137" s="571" cm="1">
        <f t="array" ref="J137">SUMPRODUCT(J$14:J$43,--($Q$14:$Q$43=FALSE),--($D$14:$D$43=$D135),--($R$14:$R$43="Yes"))*0.1</f>
        <v>0</v>
      </c>
      <c r="K137" s="571" cm="1">
        <f t="array" ref="K137">SUMPRODUCT(K$14:K$43,--($Q$14:$Q$43=FALSE),--($D$14:$D$43=$D135),--($R$14:$R$43="Yes"))*0.1</f>
        <v>0</v>
      </c>
      <c r="L137" s="571" cm="1">
        <f t="array" ref="L137">SUMPRODUCT(L$14:L$43,--($Q$14:$Q$43=FALSE),--($D$14:$D$43=$D135),--($R$14:$R$43="Yes"))*0.1</f>
        <v>0</v>
      </c>
      <c r="M137" s="571" cm="1">
        <f t="array" ref="M137">SUMPRODUCT(M$14:M$43,--($Q$14:$Q$43=FALSE),--($D$14:$D$43=$D135),--($R$14:$R$43="Yes"))*0.1</f>
        <v>0</v>
      </c>
      <c r="N137" s="571" cm="1">
        <f t="array" ref="N137">SUMPRODUCT(N$14:N$43,--($Q$14:$Q$43=FALSE),--($D$14:$D$43=$D135),--($R$14:$R$43="Yes"))*0.1</f>
        <v>0</v>
      </c>
      <c r="O137" s="571" cm="1">
        <f t="array" ref="O137">SUMPRODUCT(O$14:O$43,--($Q$14:$Q$43=FALSE),--($D$14:$D$43=$D135),--($R$14:$R$43="Yes"))*0.1</f>
        <v>0</v>
      </c>
      <c r="P137" s="607">
        <f t="shared" ref="P137:P150" si="37">SUM(F137:O137)</f>
        <v>0</v>
      </c>
      <c r="Q137" s="575"/>
      <c r="R137" s="576"/>
      <c r="S137" s="576"/>
      <c r="T137" s="576"/>
      <c r="U137" s="577"/>
    </row>
    <row r="138" spans="1:452" s="524" customFormat="1" ht="18" x14ac:dyDescent="0.35">
      <c r="A138" s="605"/>
      <c r="B138" s="558"/>
      <c r="C138" s="559"/>
      <c r="D138" s="606"/>
      <c r="E138" s="572" t="s">
        <v>88</v>
      </c>
      <c r="F138" s="571">
        <f t="shared" ref="F138:O138" si="38">F135-(F136+F137)</f>
        <v>0</v>
      </c>
      <c r="G138" s="571">
        <f t="shared" si="38"/>
        <v>0</v>
      </c>
      <c r="H138" s="571">
        <f t="shared" si="38"/>
        <v>0</v>
      </c>
      <c r="I138" s="571">
        <f t="shared" si="38"/>
        <v>0</v>
      </c>
      <c r="J138" s="571">
        <f t="shared" si="38"/>
        <v>0</v>
      </c>
      <c r="K138" s="571">
        <f t="shared" si="38"/>
        <v>0</v>
      </c>
      <c r="L138" s="571">
        <f t="shared" si="38"/>
        <v>0</v>
      </c>
      <c r="M138" s="571">
        <f t="shared" si="38"/>
        <v>0</v>
      </c>
      <c r="N138" s="571">
        <f t="shared" si="38"/>
        <v>0</v>
      </c>
      <c r="O138" s="571">
        <f t="shared" si="38"/>
        <v>0</v>
      </c>
      <c r="P138" s="607">
        <f t="shared" si="37"/>
        <v>0</v>
      </c>
      <c r="Q138" s="575"/>
      <c r="R138" s="576"/>
      <c r="S138" s="576"/>
      <c r="T138" s="576"/>
      <c r="U138" s="577"/>
    </row>
    <row r="139" spans="1:452" s="578" customFormat="1" ht="18" x14ac:dyDescent="0.35">
      <c r="A139" s="624"/>
      <c r="B139" s="625"/>
      <c r="C139" s="626"/>
      <c r="D139" s="625" t="s">
        <v>105</v>
      </c>
      <c r="E139" s="627"/>
      <c r="F139" s="628" cm="1">
        <f t="array" ref="F139">SUMPRODUCT(F$14:F$43,--($D$14:$D$43=$D135),--($Q$14:$Q$43=TRUE),$S$14:$S$43,--($S$14:$S$43&gt;0))+SUMPRODUCT(F$14:F$43,--($D$14:$D$43=$D135),--($Q$14:$Q$43=TRUE),$S$14:$S$43,--($S$14:$S$43&gt;0),--($R$14:$R$43="Yes"))*0.1+SUMPRODUCT(F$14:F$43,--($D$14:$D$43=$D135),--($Q$14:$Q$43=TRUE),--($S86:$S115=0))+SUMPRODUCT(F$14:F$43,--($D$14:$D$43=$D135),--($Q$14:$Q$43=TRUE),--($R$14:$R$43="Yes"),--($S$14:$S$43=0))*0.1</f>
        <v>0</v>
      </c>
      <c r="G139" s="628" cm="1">
        <f t="array" ref="G139">SUMPRODUCT(G$14:G$43,--($D$14:$D$43=$D135),--($Q$14:$Q$43=TRUE),$S$14:$S$43,--($S$14:$S$43&gt;0))+SUMPRODUCT(G$14:G$43,--($D$14:$D$43=$D135),--($Q$14:$Q$43=TRUE),$S$14:$S$43,--($S$14:$S$43&gt;0),--($R$14:$R$43="Yes"))*0.1+SUMPRODUCT(G$14:G$43,--($D$14:$D$43=$D135),--($Q$14:$Q$43=TRUE),--($S86:$S115=0))+SUMPRODUCT(G$14:G$43,--($D$14:$D$43=$D135),--($Q$14:$Q$43=TRUE),--($R$14:$R$43="Yes"),--($S$14:$S$43=0))*0.1</f>
        <v>0</v>
      </c>
      <c r="H139" s="628" cm="1">
        <f t="array" ref="H139">SUMPRODUCT(H$14:H$43,--($D$14:$D$43=$D135),--($Q$14:$Q$43=TRUE),$S$14:$S$43,--($S$14:$S$43&gt;0))+SUMPRODUCT(H$14:H$43,--($D$14:$D$43=$D135),--($Q$14:$Q$43=TRUE),$S$14:$S$43,--($S$14:$S$43&gt;0),--($R$14:$R$43="Yes"))*0.1+SUMPRODUCT(H$14:H$43,--($D$14:$D$43=$D135),--($Q$14:$Q$43=TRUE),--($S86:$S115=0))+SUMPRODUCT(H$14:H$43,--($D$14:$D$43=$D135),--($Q$14:$Q$43=TRUE),--($R$14:$R$43="Yes"),--($S$14:$S$43=0))*0.1</f>
        <v>0</v>
      </c>
      <c r="I139" s="628" cm="1">
        <f t="array" ref="I139">SUMPRODUCT(I$14:I$43,--($D$14:$D$43=$D135),--($Q$14:$Q$43=TRUE),$S$14:$S$43,--($S$14:$S$43&gt;0))+SUMPRODUCT(I$14:I$43,--($D$14:$D$43=$D135),--($Q$14:$Q$43=TRUE),$S$14:$S$43,--($S$14:$S$43&gt;0),--($R$14:$R$43="Yes"))*0.1+SUMPRODUCT(I$14:I$43,--($D$14:$D$43=$D135),--($Q$14:$Q$43=TRUE),--($S86:$S115=0))+SUMPRODUCT(I$14:I$43,--($D$14:$D$43=$D135),--($Q$14:$Q$43=TRUE),--($R$14:$R$43="Yes"),--($S$14:$S$43=0))*0.1</f>
        <v>0</v>
      </c>
      <c r="J139" s="628" cm="1">
        <f t="array" ref="J139">SUMPRODUCT(J$14:J$43,--($D$14:$D$43=$D135),--($Q$14:$Q$43=TRUE),$S$14:$S$43,--($S$14:$S$43&gt;0))+SUMPRODUCT(J$14:J$43,--($D$14:$D$43=$D135),--($Q$14:$Q$43=TRUE),$S$14:$S$43,--($S$14:$S$43&gt;0),--($R$14:$R$43="Yes"))*0.1+SUMPRODUCT(J$14:J$43,--($D$14:$D$43=$D135),--($Q$14:$Q$43=TRUE),--($S86:$S115=0))+SUMPRODUCT(J$14:J$43,--($D$14:$D$43=$D135),--($Q$14:$Q$43=TRUE),--($R$14:$R$43="Yes"),--($S$14:$S$43=0))*0.1</f>
        <v>0</v>
      </c>
      <c r="K139" s="628" cm="1">
        <f t="array" ref="K139">SUMPRODUCT(K$14:K$43,--($D$14:$D$43=$D135),--($Q$14:$Q$43=TRUE),$S$14:$S$43,--($S$14:$S$43&gt;0))+SUMPRODUCT(K$14:K$43,--($D$14:$D$43=$D135),--($Q$14:$Q$43=TRUE),$S$14:$S$43,--($S$14:$S$43&gt;0),--($R$14:$R$43="Yes"))*0.1+SUMPRODUCT(K$14:K$43,--($D$14:$D$43=$D135),--($Q$14:$Q$43=TRUE),--($S86:$S115=0))+SUMPRODUCT(K$14:K$43,--($D$14:$D$43=$D135),--($Q$14:$Q$43=TRUE),--($R$14:$R$43="Yes"),--($S$14:$S$43=0))*0.1</f>
        <v>0</v>
      </c>
      <c r="L139" s="628" cm="1">
        <f t="array" ref="L139">SUMPRODUCT(L$14:L$43,--($D$14:$D$43=$D135),--($Q$14:$Q$43=TRUE),$S$14:$S$43,--($S$14:$S$43&gt;0))+SUMPRODUCT(L$14:L$43,--($D$14:$D$43=$D135),--($Q$14:$Q$43=TRUE),$S$14:$S$43,--($S$14:$S$43&gt;0),--($R$14:$R$43="Yes"))*0.1+SUMPRODUCT(L$14:L$43,--($D$14:$D$43=$D135),--($Q$14:$Q$43=TRUE),--($S86:$S115=0))+SUMPRODUCT(L$14:L$43,--($D$14:$D$43=$D135),--($Q$14:$Q$43=TRUE),--($R$14:$R$43="Yes"),--($S$14:$S$43=0))*0.1</f>
        <v>0</v>
      </c>
      <c r="M139" s="628" cm="1">
        <f t="array" ref="M139">SUMPRODUCT(M$14:M$43,--($D$14:$D$43=$D135),--($Q$14:$Q$43=TRUE),$S$14:$S$43,--($S$14:$S$43&gt;0))+SUMPRODUCT(M$14:M$43,--($D$14:$D$43=$D135),--($Q$14:$Q$43=TRUE),$S$14:$S$43,--($S$14:$S$43&gt;0),--($R$14:$R$43="Yes"))*0.1+SUMPRODUCT(M$14:M$43,--($D$14:$D$43=$D135),--($Q$14:$Q$43=TRUE),--($S86:$S115=0))+SUMPRODUCT(M$14:M$43,--($D$14:$D$43=$D135),--($Q$14:$Q$43=TRUE),--($R$14:$R$43="Yes"),--($S$14:$S$43=0))*0.1</f>
        <v>0</v>
      </c>
      <c r="N139" s="628" cm="1">
        <f t="array" ref="N139">SUMPRODUCT(N$14:N$43,--($D$14:$D$43=$D135),--($Q$14:$Q$43=TRUE),$S$14:$S$43,--($S$14:$S$43&gt;0))+SUMPRODUCT(N$14:N$43,--($D$14:$D$43=$D135),--($Q$14:$Q$43=TRUE),$S$14:$S$43,--($S$14:$S$43&gt;0),--($R$14:$R$43="Yes"))*0.1+SUMPRODUCT(N$14:N$43,--($D$14:$D$43=$D135),--($Q$14:$Q$43=TRUE),--($S86:$S115=0))+SUMPRODUCT(N$14:N$43,--($D$14:$D$43=$D135),--($Q$14:$Q$43=TRUE),--($R$14:$R$43="Yes"),--($S$14:$S$43=0))*0.1</f>
        <v>0</v>
      </c>
      <c r="O139" s="628" cm="1">
        <f t="array" ref="O139">SUMPRODUCT(O$14:O$43,--($D$14:$D$43=$D135),--($Q$14:$Q$43=TRUE),$S$14:$S$43,--($S$14:$S$43&gt;0))+SUMPRODUCT(O$14:O$43,--($D$14:$D$43=$D135),--($Q$14:$Q$43=TRUE),$S$14:$S$43,--($S$14:$S$43&gt;0),--($R$14:$R$43="Yes"))*0.1+SUMPRODUCT(O$14:O$43,--($D$14:$D$43=$D135),--($Q$14:$Q$43=TRUE),--($S86:$S115=0))+SUMPRODUCT(O$14:O$43,--($D$14:$D$43=$D135),--($Q$14:$Q$43=TRUE),--($R$14:$R$43="Yes"),--($S$14:$S$43=0))*0.1</f>
        <v>0</v>
      </c>
      <c r="P139" s="629">
        <f t="shared" si="37"/>
        <v>0</v>
      </c>
      <c r="Q139" s="575"/>
      <c r="R139" s="576"/>
      <c r="S139" s="576"/>
      <c r="T139" s="576"/>
      <c r="U139" s="577"/>
      <c r="V139" s="610"/>
      <c r="W139" s="610"/>
      <c r="X139" s="610"/>
      <c r="Y139" s="610"/>
      <c r="Z139" s="610"/>
      <c r="AA139" s="610"/>
      <c r="AB139" s="610"/>
      <c r="AC139" s="610"/>
      <c r="AD139" s="610"/>
      <c r="AE139" s="610"/>
      <c r="AF139" s="610"/>
      <c r="AG139" s="610"/>
      <c r="AH139" s="610"/>
      <c r="AI139" s="610"/>
      <c r="AJ139" s="610"/>
      <c r="AK139" s="610"/>
      <c r="AL139" s="610"/>
      <c r="AM139" s="610"/>
      <c r="AN139" s="610"/>
      <c r="AO139" s="610"/>
      <c r="AP139" s="610"/>
      <c r="AQ139" s="610"/>
      <c r="AR139" s="610"/>
      <c r="AS139" s="610"/>
      <c r="AT139" s="610"/>
      <c r="AU139" s="610"/>
      <c r="AV139" s="610"/>
      <c r="AW139" s="610"/>
      <c r="AX139" s="610"/>
      <c r="AY139" s="610"/>
      <c r="AZ139" s="610"/>
      <c r="BA139" s="610"/>
      <c r="BB139" s="610"/>
      <c r="BC139" s="610"/>
      <c r="BD139" s="610"/>
      <c r="BE139" s="610"/>
      <c r="BF139" s="610"/>
      <c r="BG139" s="610"/>
      <c r="BH139" s="610"/>
      <c r="BI139" s="610"/>
      <c r="BJ139" s="610"/>
      <c r="BK139" s="610"/>
      <c r="BL139" s="610"/>
      <c r="BM139" s="610"/>
      <c r="BN139" s="610"/>
      <c r="BO139" s="610"/>
      <c r="BP139" s="610"/>
      <c r="BQ139" s="610"/>
      <c r="BR139" s="610"/>
      <c r="BS139" s="610"/>
      <c r="BT139" s="610"/>
      <c r="BU139" s="610"/>
      <c r="BV139" s="610"/>
      <c r="BW139" s="610"/>
      <c r="BX139" s="610"/>
      <c r="BY139" s="610"/>
      <c r="BZ139" s="610"/>
      <c r="CA139" s="610"/>
      <c r="CB139" s="610"/>
      <c r="CC139" s="610"/>
      <c r="CD139" s="610"/>
      <c r="CE139" s="610"/>
      <c r="CF139" s="610"/>
      <c r="CG139" s="610"/>
      <c r="CH139" s="610"/>
      <c r="CI139" s="610"/>
      <c r="CJ139" s="610"/>
      <c r="CK139" s="610"/>
      <c r="CL139" s="610"/>
      <c r="CM139" s="610"/>
      <c r="CN139" s="610"/>
      <c r="CO139" s="610"/>
      <c r="CP139" s="610"/>
      <c r="CQ139" s="610"/>
      <c r="CR139" s="610"/>
      <c r="CS139" s="610"/>
      <c r="CT139" s="610"/>
      <c r="CU139" s="610"/>
      <c r="CV139" s="610"/>
      <c r="CW139" s="610"/>
      <c r="CX139" s="610"/>
      <c r="CY139" s="610"/>
      <c r="CZ139" s="610"/>
      <c r="DA139" s="610"/>
      <c r="DB139" s="610"/>
      <c r="DC139" s="610"/>
      <c r="DD139" s="610"/>
      <c r="DE139" s="610"/>
      <c r="DF139" s="610"/>
      <c r="DG139" s="610"/>
      <c r="DH139" s="610"/>
      <c r="DI139" s="610"/>
      <c r="DJ139" s="610"/>
      <c r="DK139" s="610"/>
      <c r="DL139" s="610"/>
      <c r="DM139" s="610"/>
      <c r="DN139" s="610"/>
      <c r="DO139" s="610"/>
      <c r="DP139" s="610"/>
      <c r="DQ139" s="610"/>
      <c r="DR139" s="610"/>
      <c r="DS139" s="610"/>
      <c r="DT139" s="610"/>
      <c r="DU139" s="610"/>
      <c r="DV139" s="610"/>
      <c r="DW139" s="610"/>
      <c r="DX139" s="610"/>
      <c r="DY139" s="610"/>
      <c r="DZ139" s="610"/>
      <c r="EA139" s="610"/>
      <c r="EB139" s="610"/>
      <c r="EC139" s="610"/>
      <c r="ED139" s="610"/>
      <c r="EE139" s="610"/>
      <c r="EF139" s="610"/>
      <c r="EG139" s="610"/>
      <c r="EH139" s="610"/>
      <c r="EI139" s="610"/>
      <c r="EJ139" s="610"/>
      <c r="EK139" s="610"/>
      <c r="EL139" s="610"/>
      <c r="EM139" s="610"/>
      <c r="EN139" s="610"/>
      <c r="EO139" s="610"/>
      <c r="EP139" s="610"/>
      <c r="EQ139" s="610"/>
      <c r="ER139" s="610"/>
      <c r="ES139" s="610"/>
      <c r="ET139" s="610"/>
      <c r="EU139" s="610"/>
      <c r="EV139" s="610"/>
      <c r="EW139" s="610"/>
      <c r="EX139" s="610"/>
      <c r="EY139" s="610"/>
      <c r="EZ139" s="610"/>
      <c r="FA139" s="610"/>
      <c r="FB139" s="610"/>
      <c r="FC139" s="610"/>
      <c r="FD139" s="610"/>
      <c r="FE139" s="610"/>
      <c r="FF139" s="610"/>
      <c r="FG139" s="610"/>
      <c r="FH139" s="610"/>
      <c r="FI139" s="610"/>
      <c r="FJ139" s="610"/>
      <c r="FK139" s="610"/>
      <c r="FL139" s="610"/>
      <c r="FM139" s="610"/>
      <c r="FN139" s="610"/>
      <c r="FO139" s="610"/>
      <c r="FP139" s="610"/>
      <c r="FQ139" s="610"/>
      <c r="FR139" s="610"/>
      <c r="FS139" s="610"/>
      <c r="FT139" s="610"/>
      <c r="FU139" s="610"/>
      <c r="FV139" s="610"/>
      <c r="FW139" s="610"/>
      <c r="FX139" s="610"/>
      <c r="FY139" s="610"/>
      <c r="FZ139" s="610"/>
      <c r="GA139" s="610"/>
      <c r="GB139" s="610"/>
      <c r="GC139" s="610"/>
      <c r="GD139" s="610"/>
      <c r="GE139" s="610"/>
      <c r="GF139" s="610"/>
      <c r="GG139" s="610"/>
      <c r="GH139" s="610"/>
      <c r="GI139" s="610"/>
      <c r="GJ139" s="610"/>
      <c r="GK139" s="610"/>
      <c r="GL139" s="610"/>
      <c r="GM139" s="610"/>
      <c r="GN139" s="610"/>
      <c r="GO139" s="610"/>
      <c r="GP139" s="610"/>
      <c r="GQ139" s="610"/>
      <c r="GR139" s="610"/>
      <c r="GS139" s="610"/>
      <c r="GT139" s="610"/>
      <c r="GU139" s="610"/>
      <c r="GV139" s="610"/>
      <c r="GW139" s="610"/>
      <c r="GX139" s="610"/>
      <c r="GY139" s="610"/>
      <c r="GZ139" s="610"/>
      <c r="HA139" s="610"/>
      <c r="HB139" s="610"/>
      <c r="HC139" s="610"/>
      <c r="HD139" s="610"/>
      <c r="HE139" s="610"/>
      <c r="HF139" s="610"/>
      <c r="HG139" s="610"/>
      <c r="HH139" s="610"/>
      <c r="HI139" s="610"/>
      <c r="HJ139" s="610"/>
      <c r="HK139" s="610"/>
      <c r="HL139" s="610"/>
      <c r="HM139" s="610"/>
      <c r="HN139" s="610"/>
      <c r="HO139" s="610"/>
      <c r="HP139" s="610"/>
      <c r="HQ139" s="610"/>
      <c r="HR139" s="610"/>
      <c r="HS139" s="610"/>
      <c r="HT139" s="610"/>
      <c r="HU139" s="610"/>
      <c r="HV139" s="610"/>
      <c r="HW139" s="610"/>
      <c r="HX139" s="610"/>
      <c r="HY139" s="610"/>
      <c r="HZ139" s="610"/>
      <c r="IA139" s="610"/>
      <c r="IB139" s="610"/>
      <c r="IC139" s="610"/>
      <c r="ID139" s="610"/>
      <c r="IE139" s="610"/>
      <c r="IF139" s="610"/>
      <c r="IG139" s="610"/>
      <c r="IH139" s="610"/>
      <c r="II139" s="610"/>
      <c r="IJ139" s="610"/>
      <c r="IK139" s="610"/>
      <c r="IL139" s="610"/>
      <c r="IM139" s="610"/>
      <c r="IN139" s="610"/>
      <c r="IO139" s="610"/>
      <c r="IP139" s="610"/>
      <c r="IQ139" s="610"/>
      <c r="IR139" s="610"/>
      <c r="IS139" s="610"/>
      <c r="IT139" s="610"/>
      <c r="IU139" s="610"/>
      <c r="IV139" s="610"/>
      <c r="IW139" s="610"/>
      <c r="IX139" s="610"/>
      <c r="IY139" s="610"/>
      <c r="IZ139" s="610"/>
      <c r="JA139" s="610"/>
      <c r="JB139" s="610"/>
      <c r="JC139" s="610"/>
      <c r="JD139" s="610"/>
      <c r="JE139" s="610"/>
      <c r="JF139" s="610"/>
      <c r="JG139" s="610"/>
      <c r="JH139" s="610"/>
      <c r="JI139" s="610"/>
      <c r="JJ139" s="610"/>
      <c r="JK139" s="610"/>
      <c r="JL139" s="610"/>
      <c r="JM139" s="610"/>
      <c r="JN139" s="610"/>
      <c r="JO139" s="610"/>
      <c r="JP139" s="610"/>
      <c r="JQ139" s="610"/>
      <c r="JR139" s="610"/>
      <c r="JS139" s="610"/>
      <c r="JT139" s="610"/>
      <c r="JU139" s="610"/>
      <c r="JV139" s="610"/>
      <c r="JW139" s="610"/>
      <c r="JX139" s="610"/>
      <c r="JY139" s="610"/>
      <c r="JZ139" s="610"/>
      <c r="KA139" s="610"/>
      <c r="KB139" s="610"/>
      <c r="KC139" s="610"/>
      <c r="KD139" s="610"/>
      <c r="KE139" s="610"/>
      <c r="KF139" s="610"/>
      <c r="KG139" s="610"/>
      <c r="KH139" s="610"/>
      <c r="KI139" s="610"/>
      <c r="KJ139" s="610"/>
      <c r="KK139" s="610"/>
      <c r="KL139" s="610"/>
      <c r="KM139" s="610"/>
      <c r="KN139" s="610"/>
      <c r="KO139" s="610"/>
      <c r="KP139" s="610"/>
      <c r="KQ139" s="610"/>
      <c r="KR139" s="610"/>
      <c r="KS139" s="610"/>
      <c r="KT139" s="610"/>
      <c r="KU139" s="610"/>
      <c r="KV139" s="610"/>
      <c r="KW139" s="610"/>
      <c r="KX139" s="610"/>
      <c r="KY139" s="610"/>
      <c r="KZ139" s="610"/>
      <c r="LA139" s="610"/>
      <c r="LB139" s="610"/>
      <c r="LC139" s="610"/>
      <c r="LD139" s="610"/>
      <c r="LE139" s="610"/>
      <c r="LF139" s="610"/>
      <c r="LG139" s="610"/>
      <c r="LH139" s="610"/>
      <c r="LI139" s="610"/>
      <c r="LJ139" s="610"/>
      <c r="LK139" s="610"/>
      <c r="LL139" s="610"/>
      <c r="LM139" s="610"/>
      <c r="LN139" s="610"/>
      <c r="LO139" s="610"/>
      <c r="LP139" s="610"/>
      <c r="LQ139" s="610"/>
      <c r="LR139" s="610"/>
      <c r="LS139" s="610"/>
      <c r="LT139" s="610"/>
      <c r="LU139" s="610"/>
      <c r="LV139" s="610"/>
      <c r="LW139" s="610"/>
      <c r="LX139" s="610"/>
      <c r="LY139" s="610"/>
      <c r="LZ139" s="610"/>
      <c r="MA139" s="610"/>
      <c r="MB139" s="610"/>
      <c r="MC139" s="610"/>
      <c r="MD139" s="610"/>
      <c r="ME139" s="610"/>
      <c r="MF139" s="610"/>
      <c r="MG139" s="610"/>
      <c r="MH139" s="610"/>
      <c r="MI139" s="610"/>
      <c r="MJ139" s="610"/>
      <c r="MK139" s="610"/>
      <c r="ML139" s="610"/>
      <c r="MM139" s="610"/>
      <c r="MN139" s="610"/>
      <c r="MO139" s="610"/>
      <c r="MP139" s="610"/>
      <c r="MQ139" s="610"/>
      <c r="MR139" s="610"/>
      <c r="MS139" s="610"/>
      <c r="MT139" s="610"/>
      <c r="MU139" s="610"/>
      <c r="MV139" s="610"/>
      <c r="MW139" s="610"/>
      <c r="MX139" s="610"/>
      <c r="MY139" s="610"/>
      <c r="MZ139" s="610"/>
      <c r="NA139" s="610"/>
      <c r="NB139" s="610"/>
      <c r="NC139" s="610"/>
      <c r="ND139" s="610"/>
      <c r="NE139" s="610"/>
      <c r="NF139" s="610"/>
      <c r="NG139" s="610"/>
      <c r="NH139" s="610"/>
      <c r="NI139" s="610"/>
      <c r="NJ139" s="610"/>
      <c r="NK139" s="610"/>
      <c r="NL139" s="610"/>
      <c r="NM139" s="610"/>
      <c r="NN139" s="610"/>
      <c r="NO139" s="610"/>
      <c r="NP139" s="610"/>
      <c r="NQ139" s="610"/>
      <c r="NR139" s="610"/>
      <c r="NS139" s="610"/>
      <c r="NT139" s="610"/>
      <c r="NU139" s="610"/>
      <c r="NV139" s="610"/>
      <c r="NW139" s="610"/>
      <c r="NX139" s="610"/>
      <c r="NY139" s="610"/>
      <c r="NZ139" s="610"/>
      <c r="OA139" s="610"/>
      <c r="OB139" s="610"/>
      <c r="OC139" s="610"/>
      <c r="OD139" s="610"/>
      <c r="OE139" s="610"/>
      <c r="OF139" s="610"/>
      <c r="OG139" s="610"/>
      <c r="OH139" s="610"/>
      <c r="OI139" s="610"/>
      <c r="OJ139" s="610"/>
      <c r="OK139" s="610"/>
      <c r="OL139" s="610"/>
      <c r="OM139" s="610"/>
      <c r="ON139" s="610"/>
      <c r="OO139" s="610"/>
      <c r="OP139" s="610"/>
      <c r="OQ139" s="610"/>
      <c r="OR139" s="610"/>
      <c r="OS139" s="610"/>
      <c r="OT139" s="610"/>
      <c r="OU139" s="610"/>
      <c r="OV139" s="610"/>
      <c r="OW139" s="610"/>
      <c r="OX139" s="610"/>
      <c r="OY139" s="610"/>
      <c r="OZ139" s="610"/>
      <c r="PA139" s="610"/>
      <c r="PB139" s="610"/>
      <c r="PC139" s="610"/>
      <c r="PD139" s="610"/>
      <c r="PE139" s="610"/>
      <c r="PF139" s="610"/>
      <c r="PG139" s="610"/>
      <c r="PH139" s="610"/>
      <c r="PI139" s="610"/>
      <c r="PJ139" s="610"/>
      <c r="PK139" s="610"/>
      <c r="PL139" s="610"/>
      <c r="PM139" s="610"/>
      <c r="PN139" s="610"/>
      <c r="PO139" s="610"/>
      <c r="PP139" s="610"/>
      <c r="PQ139" s="610"/>
      <c r="PR139" s="610"/>
      <c r="PS139" s="610"/>
      <c r="PT139" s="610"/>
      <c r="PU139" s="610"/>
      <c r="PV139" s="610"/>
      <c r="PW139" s="610"/>
      <c r="PX139" s="610"/>
      <c r="PY139" s="610"/>
      <c r="PZ139" s="610"/>
      <c r="QA139" s="610"/>
      <c r="QB139" s="610"/>
      <c r="QC139" s="610"/>
      <c r="QD139" s="610"/>
      <c r="QE139" s="610"/>
      <c r="QF139" s="610"/>
      <c r="QG139" s="610"/>
      <c r="QH139" s="610"/>
      <c r="QI139" s="610"/>
      <c r="QJ139" s="610"/>
    </row>
    <row r="140" spans="1:452" s="524" customFormat="1" ht="18" x14ac:dyDescent="0.35">
      <c r="A140" s="605"/>
      <c r="B140" s="558"/>
      <c r="C140" s="559"/>
      <c r="D140" s="559"/>
      <c r="E140" s="572" t="s">
        <v>86</v>
      </c>
      <c r="F140" s="571" cm="1">
        <f t="array" ref="F140">SUMPRODUCT(F$14:F$43,--($Q$14:$Q$43=TRUE),--($D$14:$D$43=$D135))</f>
        <v>0</v>
      </c>
      <c r="G140" s="571" cm="1">
        <f t="array" ref="G140">SUMPRODUCT(G$14:G$43,--($Q$14:$Q$43=TRUE),--($D$14:$D$43=$D135))</f>
        <v>0</v>
      </c>
      <c r="H140" s="571" cm="1">
        <f t="array" ref="H140">SUMPRODUCT(H$14:H$43,--($Q$14:$Q$43=TRUE),--($D$14:$D$43=$D135))</f>
        <v>0</v>
      </c>
      <c r="I140" s="571" cm="1">
        <f t="array" ref="I140">SUMPRODUCT(I$14:I$43,--($Q$14:$Q$43=TRUE),--($D$14:$D$43=$D135))</f>
        <v>0</v>
      </c>
      <c r="J140" s="571" cm="1">
        <f t="array" ref="J140">SUMPRODUCT(J$14:J$43,--($Q$14:$Q$43=TRUE),--($D$14:$D$43=$D135))</f>
        <v>0</v>
      </c>
      <c r="K140" s="571" cm="1">
        <f t="array" ref="K140">SUMPRODUCT(K$14:K$43,--($Q$14:$Q$43=TRUE),--($D$14:$D$43=$D135))</f>
        <v>0</v>
      </c>
      <c r="L140" s="571" cm="1">
        <f t="array" ref="L140">SUMPRODUCT(L$14:L$43,--($Q$14:$Q$43=TRUE),--($D$14:$D$43=$D135))</f>
        <v>0</v>
      </c>
      <c r="M140" s="571" cm="1">
        <f t="array" ref="M140">SUMPRODUCT(M$14:M$43,--($Q$14:$Q$43=TRUE),--($D$14:$D$43=$D135))</f>
        <v>0</v>
      </c>
      <c r="N140" s="571" cm="1">
        <f t="array" ref="N140">SUMPRODUCT(N$14:N$43,--($Q$14:$Q$43=TRUE),--($D$14:$D$43=$D135))</f>
        <v>0</v>
      </c>
      <c r="O140" s="571" cm="1">
        <f t="array" ref="O140">SUMPRODUCT(O$14:O$43,--($Q$14:$Q$43=TRUE),--($D$14:$D$43=$D135))</f>
        <v>0</v>
      </c>
      <c r="P140" s="607">
        <f t="shared" si="37"/>
        <v>0</v>
      </c>
      <c r="Q140" s="575"/>
      <c r="R140" s="576"/>
      <c r="S140" s="576"/>
      <c r="T140" s="576"/>
      <c r="U140" s="577"/>
    </row>
    <row r="141" spans="1:452" s="524" customFormat="1" ht="18" x14ac:dyDescent="0.35">
      <c r="A141" s="605"/>
      <c r="C141" s="559"/>
      <c r="D141" s="559"/>
      <c r="E141" s="572" t="s">
        <v>87</v>
      </c>
      <c r="F141" s="571" cm="1">
        <f t="array" ref="F141">SUMPRODUCT(F$14:F$43,--($Q$14:$Q$43=TRUE),--($D$14:$D$43=$D139),--($R$14:$R$43="Yes"))*0.1</f>
        <v>0</v>
      </c>
      <c r="G141" s="571" cm="1">
        <f t="array" ref="G141">SUMPRODUCT(G$14:G$43,--($Q$14:$Q$43=TRUE),--($D$14:$D$43=$D139),--($R$14:$R$43="Yes"))*0.1</f>
        <v>0</v>
      </c>
      <c r="H141" s="571" cm="1">
        <f t="array" ref="H141">SUMPRODUCT(H$14:H$43,--($Q$14:$Q$43=TRUE),--($D$14:$D$43=$D139),--($R$14:$R$43="Yes"))*0.1</f>
        <v>0</v>
      </c>
      <c r="I141" s="571" cm="1">
        <f t="array" ref="I141">SUMPRODUCT(I$14:I$43,--($Q$14:$Q$43=TRUE),--($D$14:$D$43=$D139),--($R$14:$R$43="Yes"))*0.1</f>
        <v>0</v>
      </c>
      <c r="J141" s="571" cm="1">
        <f t="array" ref="J141">SUMPRODUCT(J$14:J$43,--($Q$14:$Q$43=TRUE),--($D$14:$D$43=$D139),--($R$14:$R$43="Yes"))*0.1</f>
        <v>0</v>
      </c>
      <c r="K141" s="571" cm="1">
        <f t="array" ref="K141">SUMPRODUCT(K$14:K$43,--($Q$14:$Q$43=TRUE),--($D$14:$D$43=$D139),--($R$14:$R$43="Yes"))*0.1</f>
        <v>0</v>
      </c>
      <c r="L141" s="571" cm="1">
        <f t="array" ref="L141">SUMPRODUCT(L$14:L$43,--($Q$14:$Q$43=TRUE),--($D$14:$D$43=$D139),--($R$14:$R$43="Yes"))*0.1</f>
        <v>0</v>
      </c>
      <c r="M141" s="571" cm="1">
        <f t="array" ref="M141">SUMPRODUCT(M$14:M$43,--($Q$14:$Q$43=TRUE),--($D$14:$D$43=$D139),--($R$14:$R$43="Yes"))*0.1</f>
        <v>0</v>
      </c>
      <c r="N141" s="571" cm="1">
        <f t="array" ref="N141">SUMPRODUCT(N$14:N$43,--($Q$14:$Q$43=TRUE),--($D$14:$D$43=$D139),--($R$14:$R$43="Yes"))*0.1</f>
        <v>0</v>
      </c>
      <c r="O141" s="571" cm="1">
        <f t="array" ref="O141">SUMPRODUCT(O$14:O$43,--($Q$14:$Q$43=TRUE),--($D$14:$D$43=$D139),--($R$14:$R$43="Yes"))*0.1</f>
        <v>0</v>
      </c>
      <c r="P141" s="607">
        <f t="shared" si="37"/>
        <v>0</v>
      </c>
      <c r="Q141" s="575"/>
      <c r="R141" s="576"/>
      <c r="S141" s="576"/>
      <c r="T141" s="576"/>
      <c r="U141" s="577"/>
    </row>
    <row r="142" spans="1:452" s="524" customFormat="1" ht="18" x14ac:dyDescent="0.35">
      <c r="A142" s="605"/>
      <c r="B142" s="558"/>
      <c r="C142" s="559"/>
      <c r="D142" s="559"/>
      <c r="E142" s="572" t="s">
        <v>88</v>
      </c>
      <c r="F142" s="571">
        <f>F139-(F140+F141)</f>
        <v>0</v>
      </c>
      <c r="G142" s="571">
        <f t="shared" ref="G142:O142" si="39">G139-(G140+G141)</f>
        <v>0</v>
      </c>
      <c r="H142" s="571">
        <f t="shared" si="39"/>
        <v>0</v>
      </c>
      <c r="I142" s="571">
        <f t="shared" si="39"/>
        <v>0</v>
      </c>
      <c r="J142" s="571">
        <f t="shared" si="39"/>
        <v>0</v>
      </c>
      <c r="K142" s="571">
        <f t="shared" si="39"/>
        <v>0</v>
      </c>
      <c r="L142" s="571">
        <f t="shared" si="39"/>
        <v>0</v>
      </c>
      <c r="M142" s="571">
        <f t="shared" si="39"/>
        <v>0</v>
      </c>
      <c r="N142" s="571">
        <f t="shared" si="39"/>
        <v>0</v>
      </c>
      <c r="O142" s="571">
        <f t="shared" si="39"/>
        <v>0</v>
      </c>
      <c r="P142" s="607">
        <f t="shared" si="37"/>
        <v>0</v>
      </c>
      <c r="Q142" s="575"/>
      <c r="R142" s="576"/>
      <c r="S142" s="576"/>
      <c r="T142" s="576"/>
      <c r="U142" s="577"/>
    </row>
    <row r="143" spans="1:452" s="592" customFormat="1" ht="18" x14ac:dyDescent="0.35">
      <c r="A143" s="618"/>
      <c r="B143" s="619"/>
      <c r="C143" s="620"/>
      <c r="D143" s="619" t="s">
        <v>106</v>
      </c>
      <c r="E143" s="621"/>
      <c r="F143" s="622" cm="1">
        <f t="array" ref="F143">SUMPRODUCT(F$14:F$43,--($D$14:$D$43=$D143),--($Q$14:$Q$43=FALSE),$S$14:$S$43,--($S$14:$S$43&gt;0))+SUMPRODUCT(F$14:F$43,--($D$14:$D$43=$D143),--($Q$14:$Q$43=FALSE),$S$14:$S$43,--($S$14:$S$43&gt;0),--($R$14:$R$43="Yes"))*0.1+SUMPRODUCT(F$14:F$43,--($D$14:$D$43=$D143),--($Q$14:$Q$43=FALSE),--($S$14:$S$43=0))+SUMPRODUCT(F$14:F$43,--($D$14:$D$43=$D143),--($Q$14:$Q$43=FALSE),--($R$14:$R$43="Yes"),--($S$14:$S$43=0))*0.1</f>
        <v>0</v>
      </c>
      <c r="G143" s="622" cm="1">
        <f t="array" ref="G143">SUMPRODUCT(G$14:G$43,--($D$14:$D$43=$D143),--($Q$14:$Q$43=FALSE),$S$14:$S$43,--($S$14:$S$43&gt;0))+SUMPRODUCT(G$14:G$43,--($D$14:$D$43=$D143),--($Q$14:$Q$43=FALSE),$S$14:$S$43,--($S$14:$S$43&gt;0),--($R$14:$R$43="Yes"))*0.1+SUMPRODUCT(G$14:G$43,--($D$14:$D$43=$D143),--($Q$14:$Q$43=FALSE),--($S$14:$S$43=0))+SUMPRODUCT(G$14:G$43,--($D$14:$D$43=$D143),--($Q$14:$Q$43=FALSE),--($R$14:$R$43="Yes"),--($S$14:$S$43=0))*0.1</f>
        <v>0</v>
      </c>
      <c r="H143" s="622" cm="1">
        <f t="array" ref="H143">SUMPRODUCT(H$14:H$43,--($D$14:$D$43=$D143),--($Q$14:$Q$43=FALSE),$S$14:$S$43,--($S$14:$S$43&gt;0))+SUMPRODUCT(H$14:H$43,--($D$14:$D$43=$D143),--($Q$14:$Q$43=FALSE),$S$14:$S$43,--($S$14:$S$43&gt;0),--($R$14:$R$43="Yes"))*0.1+SUMPRODUCT(H$14:H$43,--($D$14:$D$43=$D143),--($Q$14:$Q$43=FALSE),--($S$14:$S$43=0))+SUMPRODUCT(H$14:H$43,--($D$14:$D$43=$D143),--($Q$14:$Q$43=FALSE),--($R$14:$R$43="Yes"),--($S$14:$S$43=0))*0.1</f>
        <v>0</v>
      </c>
      <c r="I143" s="622" cm="1">
        <f t="array" ref="I143">SUMPRODUCT(I$14:I$43,--($D$14:$D$43=$D143),--($Q$14:$Q$43=FALSE),$S$14:$S$43,--($S$14:$S$43&gt;0))+SUMPRODUCT(I$14:I$43,--($D$14:$D$43=$D143),--($Q$14:$Q$43=FALSE),$S$14:$S$43,--($S$14:$S$43&gt;0),--($R$14:$R$43="Yes"))*0.1+SUMPRODUCT(I$14:I$43,--($D$14:$D$43=$D143),--($Q$14:$Q$43=FALSE),--($S$14:$S$43=0))+SUMPRODUCT(I$14:I$43,--($D$14:$D$43=$D143),--($Q$14:$Q$43=FALSE),--($R$14:$R$43="Yes"),--($S$14:$S$43=0))*0.1</f>
        <v>0</v>
      </c>
      <c r="J143" s="622" cm="1">
        <f t="array" ref="J143">SUMPRODUCT(J$14:J$43,--($D$14:$D$43=$D143),--($Q$14:$Q$43=FALSE),$S$14:$S$43,--($S$14:$S$43&gt;0))+SUMPRODUCT(J$14:J$43,--($D$14:$D$43=$D143),--($Q$14:$Q$43=FALSE),$S$14:$S$43,--($S$14:$S$43&gt;0),--($R$14:$R$43="Yes"))*0.1+SUMPRODUCT(J$14:J$43,--($D$14:$D$43=$D143),--($Q$14:$Q$43=FALSE),--($S$14:$S$43=0))+SUMPRODUCT(J$14:J$43,--($D$14:$D$43=$D143),--($Q$14:$Q$43=FALSE),--($R$14:$R$43="Yes"),--($S$14:$S$43=0))*0.1</f>
        <v>0</v>
      </c>
      <c r="K143" s="622" cm="1">
        <f t="array" ref="K143">SUMPRODUCT(K$14:K$43,--($D$14:$D$43=$D143),--($Q$14:$Q$43=FALSE),$S$14:$S$43,--($S$14:$S$43&gt;0))+SUMPRODUCT(K$14:K$43,--($D$14:$D$43=$D143),--($Q$14:$Q$43=FALSE),$S$14:$S$43,--($S$14:$S$43&gt;0),--($R$14:$R$43="Yes"))*0.1+SUMPRODUCT(K$14:K$43,--($D$14:$D$43=$D143),--($Q$14:$Q$43=FALSE),--($S$14:$S$43=0))+SUMPRODUCT(K$14:K$43,--($D$14:$D$43=$D143),--($Q$14:$Q$43=FALSE),--($R$14:$R$43="Yes"),--($S$14:$S$43=0))*0.1</f>
        <v>0</v>
      </c>
      <c r="L143" s="622" cm="1">
        <f t="array" ref="L143">SUMPRODUCT(L$14:L$43,--($D$14:$D$43=$D143),--($Q$14:$Q$43=FALSE),$S$14:$S$43,--($S$14:$S$43&gt;0))+SUMPRODUCT(L$14:L$43,--($D$14:$D$43=$D143),--($Q$14:$Q$43=FALSE),$S$14:$S$43,--($S$14:$S$43&gt;0),--($R$14:$R$43="Yes"))*0.1+SUMPRODUCT(L$14:L$43,--($D$14:$D$43=$D143),--($Q$14:$Q$43=FALSE),--($S$14:$S$43=0))+SUMPRODUCT(L$14:L$43,--($D$14:$D$43=$D143),--($Q$14:$Q$43=FALSE),--($R$14:$R$43="Yes"),--($S$14:$S$43=0))*0.1</f>
        <v>0</v>
      </c>
      <c r="M143" s="622" cm="1">
        <f t="array" ref="M143">SUMPRODUCT(M$14:M$43,--($D$14:$D$43=$D143),--($Q$14:$Q$43=FALSE),$S$14:$S$43,--($S$14:$S$43&gt;0))+SUMPRODUCT(M$14:M$43,--($D$14:$D$43=$D143),--($Q$14:$Q$43=FALSE),$S$14:$S$43,--($S$14:$S$43&gt;0),--($R$14:$R$43="Yes"))*0.1+SUMPRODUCT(M$14:M$43,--($D$14:$D$43=$D143),--($Q$14:$Q$43=FALSE),--($S$14:$S$43=0))+SUMPRODUCT(M$14:M$43,--($D$14:$D$43=$D143),--($Q$14:$Q$43=FALSE),--($R$14:$R$43="Yes"),--($S$14:$S$43=0))*0.1</f>
        <v>0</v>
      </c>
      <c r="N143" s="622" cm="1">
        <f t="array" ref="N143">SUMPRODUCT(N$14:N$43,--($D$14:$D$43=$D143),--($Q$14:$Q$43=FALSE),$S$14:$S$43,--($S$14:$S$43&gt;0))+SUMPRODUCT(N$14:N$43,--($D$14:$D$43=$D143),--($Q$14:$Q$43=FALSE),$S$14:$S$43,--($S$14:$S$43&gt;0),--($R$14:$R$43="Yes"))*0.1+SUMPRODUCT(N$14:N$43,--($D$14:$D$43=$D143),--($Q$14:$Q$43=FALSE),--($S$14:$S$43=0))+SUMPRODUCT(N$14:N$43,--($D$14:$D$43=$D143),--($Q$14:$Q$43=FALSE),--($R$14:$R$43="Yes"),--($S$14:$S$43=0))*0.1</f>
        <v>0</v>
      </c>
      <c r="O143" s="622" cm="1">
        <f t="array" ref="O143">SUMPRODUCT(O$14:O$43,--($D$14:$D$43=$D143),--($Q$14:$Q$43=FALSE),$S$14:$S$43,--($S$14:$S$43&gt;0))+SUMPRODUCT(O$14:O$43,--($D$14:$D$43=$D143),--($Q$14:$Q$43=FALSE),$S$14:$S$43,--($S$14:$S$43&gt;0),--($R$14:$R$43="Yes"))*0.1+SUMPRODUCT(O$14:O$43,--($D$14:$D$43=$D143),--($Q$14:$Q$43=FALSE),--($S$14:$S$43=0))+SUMPRODUCT(O$14:O$43,--($D$14:$D$43=$D143),--($Q$14:$Q$43=FALSE),--($R$14:$R$43="Yes"),--($S$14:$S$43=0))*0.1</f>
        <v>0</v>
      </c>
      <c r="P143" s="623">
        <f t="shared" si="37"/>
        <v>0</v>
      </c>
      <c r="Q143" s="575"/>
      <c r="R143" s="576"/>
      <c r="S143" s="576"/>
      <c r="T143" s="576"/>
      <c r="U143" s="577"/>
      <c r="V143" s="610"/>
      <c r="W143" s="610"/>
      <c r="X143" s="610"/>
      <c r="Y143" s="610"/>
      <c r="Z143" s="610"/>
      <c r="AA143" s="610"/>
      <c r="AB143" s="610"/>
      <c r="AC143" s="610"/>
      <c r="AD143" s="610"/>
      <c r="AE143" s="610"/>
      <c r="AF143" s="610"/>
      <c r="AG143" s="610"/>
      <c r="AH143" s="610"/>
      <c r="AI143" s="610"/>
      <c r="AJ143" s="610"/>
      <c r="AK143" s="610"/>
      <c r="AL143" s="610"/>
      <c r="AM143" s="610"/>
      <c r="AN143" s="610"/>
      <c r="AO143" s="610"/>
      <c r="AP143" s="610"/>
      <c r="AQ143" s="610"/>
      <c r="AR143" s="610"/>
      <c r="AS143" s="610"/>
      <c r="AT143" s="610"/>
      <c r="AU143" s="610"/>
      <c r="AV143" s="610"/>
      <c r="AW143" s="610"/>
      <c r="AX143" s="610"/>
      <c r="AY143" s="610"/>
      <c r="AZ143" s="610"/>
      <c r="BA143" s="610"/>
      <c r="BB143" s="610"/>
      <c r="BC143" s="610"/>
      <c r="BD143" s="610"/>
      <c r="BE143" s="610"/>
      <c r="BF143" s="610"/>
      <c r="BG143" s="610"/>
      <c r="BH143" s="610"/>
      <c r="BI143" s="610"/>
      <c r="BJ143" s="610"/>
      <c r="BK143" s="610"/>
      <c r="BL143" s="610"/>
      <c r="BM143" s="610"/>
      <c r="BN143" s="610"/>
      <c r="BO143" s="610"/>
      <c r="BP143" s="610"/>
      <c r="BQ143" s="610"/>
      <c r="BR143" s="610"/>
      <c r="BS143" s="610"/>
      <c r="BT143" s="610"/>
      <c r="BU143" s="610"/>
      <c r="BV143" s="610"/>
      <c r="BW143" s="610"/>
      <c r="BX143" s="610"/>
      <c r="BY143" s="610"/>
      <c r="BZ143" s="610"/>
      <c r="CA143" s="610"/>
      <c r="CB143" s="610"/>
      <c r="CC143" s="610"/>
      <c r="CD143" s="610"/>
      <c r="CE143" s="610"/>
      <c r="CF143" s="610"/>
      <c r="CG143" s="610"/>
      <c r="CH143" s="610"/>
      <c r="CI143" s="610"/>
      <c r="CJ143" s="610"/>
      <c r="CK143" s="610"/>
      <c r="CL143" s="610"/>
      <c r="CM143" s="610"/>
      <c r="CN143" s="610"/>
      <c r="CO143" s="610"/>
      <c r="CP143" s="610"/>
      <c r="CQ143" s="610"/>
      <c r="CR143" s="610"/>
      <c r="CS143" s="610"/>
      <c r="CT143" s="610"/>
      <c r="CU143" s="610"/>
      <c r="CV143" s="610"/>
      <c r="CW143" s="610"/>
      <c r="CX143" s="610"/>
      <c r="CY143" s="610"/>
      <c r="CZ143" s="610"/>
      <c r="DA143" s="610"/>
      <c r="DB143" s="610"/>
      <c r="DC143" s="610"/>
      <c r="DD143" s="610"/>
      <c r="DE143" s="610"/>
      <c r="DF143" s="610"/>
      <c r="DG143" s="610"/>
      <c r="DH143" s="610"/>
      <c r="DI143" s="610"/>
      <c r="DJ143" s="610"/>
      <c r="DK143" s="610"/>
      <c r="DL143" s="610"/>
      <c r="DM143" s="610"/>
      <c r="DN143" s="610"/>
      <c r="DO143" s="610"/>
      <c r="DP143" s="610"/>
      <c r="DQ143" s="610"/>
      <c r="DR143" s="610"/>
      <c r="DS143" s="610"/>
      <c r="DT143" s="610"/>
      <c r="DU143" s="610"/>
      <c r="DV143" s="610"/>
      <c r="DW143" s="610"/>
      <c r="DX143" s="610"/>
      <c r="DY143" s="610"/>
      <c r="DZ143" s="610"/>
      <c r="EA143" s="610"/>
      <c r="EB143" s="610"/>
      <c r="EC143" s="610"/>
      <c r="ED143" s="610"/>
      <c r="EE143" s="610"/>
      <c r="EF143" s="610"/>
      <c r="EG143" s="610"/>
      <c r="EH143" s="610"/>
      <c r="EI143" s="610"/>
      <c r="EJ143" s="610"/>
      <c r="EK143" s="610"/>
      <c r="EL143" s="610"/>
      <c r="EM143" s="610"/>
      <c r="EN143" s="610"/>
      <c r="EO143" s="610"/>
      <c r="EP143" s="610"/>
      <c r="EQ143" s="610"/>
      <c r="ER143" s="610"/>
      <c r="ES143" s="610"/>
      <c r="ET143" s="610"/>
      <c r="EU143" s="610"/>
      <c r="EV143" s="610"/>
      <c r="EW143" s="610"/>
      <c r="EX143" s="610"/>
      <c r="EY143" s="610"/>
      <c r="EZ143" s="610"/>
      <c r="FA143" s="610"/>
      <c r="FB143" s="610"/>
      <c r="FC143" s="610"/>
      <c r="FD143" s="610"/>
      <c r="FE143" s="610"/>
      <c r="FF143" s="610"/>
      <c r="FG143" s="610"/>
      <c r="FH143" s="610"/>
      <c r="FI143" s="610"/>
      <c r="FJ143" s="610"/>
      <c r="FK143" s="610"/>
      <c r="FL143" s="610"/>
      <c r="FM143" s="610"/>
      <c r="FN143" s="610"/>
      <c r="FO143" s="610"/>
      <c r="FP143" s="610"/>
      <c r="FQ143" s="610"/>
      <c r="FR143" s="610"/>
      <c r="FS143" s="610"/>
      <c r="FT143" s="610"/>
      <c r="FU143" s="610"/>
      <c r="FV143" s="610"/>
      <c r="FW143" s="610"/>
      <c r="FX143" s="610"/>
      <c r="FY143" s="610"/>
      <c r="FZ143" s="610"/>
      <c r="GA143" s="610"/>
      <c r="GB143" s="610"/>
      <c r="GC143" s="610"/>
      <c r="GD143" s="610"/>
      <c r="GE143" s="610"/>
      <c r="GF143" s="610"/>
      <c r="GG143" s="610"/>
      <c r="GH143" s="610"/>
      <c r="GI143" s="610"/>
      <c r="GJ143" s="610"/>
      <c r="GK143" s="610"/>
      <c r="GL143" s="610"/>
      <c r="GM143" s="610"/>
      <c r="GN143" s="610"/>
      <c r="GO143" s="610"/>
      <c r="GP143" s="610"/>
      <c r="GQ143" s="610"/>
      <c r="GR143" s="610"/>
      <c r="GS143" s="610"/>
      <c r="GT143" s="610"/>
      <c r="GU143" s="610"/>
      <c r="GV143" s="610"/>
      <c r="GW143" s="610"/>
      <c r="GX143" s="610"/>
      <c r="GY143" s="610"/>
      <c r="GZ143" s="610"/>
      <c r="HA143" s="610"/>
      <c r="HB143" s="610"/>
      <c r="HC143" s="610"/>
      <c r="HD143" s="610"/>
      <c r="HE143" s="610"/>
      <c r="HF143" s="610"/>
      <c r="HG143" s="610"/>
      <c r="HH143" s="610"/>
      <c r="HI143" s="610"/>
      <c r="HJ143" s="610"/>
      <c r="HK143" s="610"/>
      <c r="HL143" s="610"/>
      <c r="HM143" s="610"/>
      <c r="HN143" s="610"/>
      <c r="HO143" s="610"/>
      <c r="HP143" s="610"/>
      <c r="HQ143" s="610"/>
      <c r="HR143" s="610"/>
      <c r="HS143" s="610"/>
      <c r="HT143" s="610"/>
      <c r="HU143" s="610"/>
      <c r="HV143" s="610"/>
      <c r="HW143" s="610"/>
      <c r="HX143" s="610"/>
      <c r="HY143" s="610"/>
      <c r="HZ143" s="610"/>
      <c r="IA143" s="610"/>
      <c r="IB143" s="610"/>
      <c r="IC143" s="610"/>
      <c r="ID143" s="610"/>
      <c r="IE143" s="610"/>
      <c r="IF143" s="610"/>
      <c r="IG143" s="610"/>
      <c r="IH143" s="610"/>
      <c r="II143" s="610"/>
      <c r="IJ143" s="610"/>
      <c r="IK143" s="610"/>
      <c r="IL143" s="610"/>
      <c r="IM143" s="610"/>
      <c r="IN143" s="610"/>
      <c r="IO143" s="610"/>
      <c r="IP143" s="610"/>
      <c r="IQ143" s="610"/>
      <c r="IR143" s="610"/>
      <c r="IS143" s="610"/>
      <c r="IT143" s="610"/>
      <c r="IU143" s="610"/>
      <c r="IV143" s="610"/>
      <c r="IW143" s="610"/>
      <c r="IX143" s="610"/>
      <c r="IY143" s="610"/>
      <c r="IZ143" s="610"/>
      <c r="JA143" s="610"/>
      <c r="JB143" s="610"/>
      <c r="JC143" s="610"/>
      <c r="JD143" s="610"/>
      <c r="JE143" s="610"/>
      <c r="JF143" s="610"/>
      <c r="JG143" s="610"/>
      <c r="JH143" s="610"/>
      <c r="JI143" s="610"/>
      <c r="JJ143" s="610"/>
      <c r="JK143" s="610"/>
      <c r="JL143" s="610"/>
      <c r="JM143" s="610"/>
      <c r="JN143" s="610"/>
      <c r="JO143" s="610"/>
      <c r="JP143" s="610"/>
      <c r="JQ143" s="610"/>
      <c r="JR143" s="610"/>
      <c r="JS143" s="610"/>
      <c r="JT143" s="610"/>
      <c r="JU143" s="610"/>
      <c r="JV143" s="610"/>
      <c r="JW143" s="610"/>
      <c r="JX143" s="610"/>
      <c r="JY143" s="610"/>
      <c r="JZ143" s="610"/>
      <c r="KA143" s="610"/>
      <c r="KB143" s="610"/>
      <c r="KC143" s="610"/>
      <c r="KD143" s="610"/>
      <c r="KE143" s="610"/>
      <c r="KF143" s="610"/>
      <c r="KG143" s="610"/>
      <c r="KH143" s="610"/>
      <c r="KI143" s="610"/>
      <c r="KJ143" s="610"/>
      <c r="KK143" s="610"/>
      <c r="KL143" s="610"/>
      <c r="KM143" s="610"/>
      <c r="KN143" s="610"/>
      <c r="KO143" s="610"/>
      <c r="KP143" s="610"/>
      <c r="KQ143" s="610"/>
      <c r="KR143" s="610"/>
      <c r="KS143" s="610"/>
      <c r="KT143" s="610"/>
      <c r="KU143" s="610"/>
      <c r="KV143" s="610"/>
      <c r="KW143" s="610"/>
      <c r="KX143" s="610"/>
      <c r="KY143" s="610"/>
      <c r="KZ143" s="610"/>
      <c r="LA143" s="610"/>
      <c r="LB143" s="610"/>
      <c r="LC143" s="610"/>
      <c r="LD143" s="610"/>
      <c r="LE143" s="610"/>
      <c r="LF143" s="610"/>
      <c r="LG143" s="610"/>
      <c r="LH143" s="610"/>
      <c r="LI143" s="610"/>
      <c r="LJ143" s="610"/>
      <c r="LK143" s="610"/>
      <c r="LL143" s="610"/>
      <c r="LM143" s="610"/>
      <c r="LN143" s="610"/>
      <c r="LO143" s="610"/>
      <c r="LP143" s="610"/>
      <c r="LQ143" s="610"/>
      <c r="LR143" s="610"/>
      <c r="LS143" s="610"/>
      <c r="LT143" s="610"/>
      <c r="LU143" s="610"/>
      <c r="LV143" s="610"/>
      <c r="LW143" s="610"/>
      <c r="LX143" s="610"/>
      <c r="LY143" s="610"/>
      <c r="LZ143" s="610"/>
      <c r="MA143" s="610"/>
      <c r="MB143" s="610"/>
      <c r="MC143" s="610"/>
      <c r="MD143" s="610"/>
      <c r="ME143" s="610"/>
      <c r="MF143" s="610"/>
      <c r="MG143" s="610"/>
      <c r="MH143" s="610"/>
      <c r="MI143" s="610"/>
      <c r="MJ143" s="610"/>
      <c r="MK143" s="610"/>
      <c r="ML143" s="610"/>
      <c r="MM143" s="610"/>
      <c r="MN143" s="610"/>
      <c r="MO143" s="610"/>
      <c r="MP143" s="610"/>
      <c r="MQ143" s="610"/>
      <c r="MR143" s="610"/>
      <c r="MS143" s="610"/>
      <c r="MT143" s="610"/>
      <c r="MU143" s="610"/>
      <c r="MV143" s="610"/>
      <c r="MW143" s="610"/>
      <c r="MX143" s="610"/>
      <c r="MY143" s="610"/>
      <c r="MZ143" s="610"/>
      <c r="NA143" s="610"/>
      <c r="NB143" s="610"/>
      <c r="NC143" s="610"/>
      <c r="ND143" s="610"/>
      <c r="NE143" s="610"/>
      <c r="NF143" s="610"/>
      <c r="NG143" s="610"/>
      <c r="NH143" s="610"/>
      <c r="NI143" s="610"/>
      <c r="NJ143" s="610"/>
      <c r="NK143" s="610"/>
      <c r="NL143" s="610"/>
      <c r="NM143" s="610"/>
      <c r="NN143" s="610"/>
      <c r="NO143" s="610"/>
      <c r="NP143" s="610"/>
      <c r="NQ143" s="610"/>
      <c r="NR143" s="610"/>
      <c r="NS143" s="610"/>
      <c r="NT143" s="610"/>
      <c r="NU143" s="610"/>
      <c r="NV143" s="610"/>
      <c r="NW143" s="610"/>
      <c r="NX143" s="610"/>
      <c r="NY143" s="610"/>
      <c r="NZ143" s="610"/>
      <c r="OA143" s="610"/>
      <c r="OB143" s="610"/>
      <c r="OC143" s="610"/>
      <c r="OD143" s="610"/>
      <c r="OE143" s="610"/>
      <c r="OF143" s="610"/>
      <c r="OG143" s="610"/>
      <c r="OH143" s="610"/>
      <c r="OI143" s="610"/>
      <c r="OJ143" s="610"/>
      <c r="OK143" s="610"/>
      <c r="OL143" s="610"/>
      <c r="OM143" s="610"/>
      <c r="ON143" s="610"/>
      <c r="OO143" s="610"/>
      <c r="OP143" s="610"/>
      <c r="OQ143" s="610"/>
      <c r="OR143" s="610"/>
      <c r="OS143" s="610"/>
      <c r="OT143" s="610"/>
      <c r="OU143" s="610"/>
      <c r="OV143" s="610"/>
      <c r="OW143" s="610"/>
      <c r="OX143" s="610"/>
      <c r="OY143" s="610"/>
      <c r="OZ143" s="610"/>
      <c r="PA143" s="610"/>
      <c r="PB143" s="610"/>
      <c r="PC143" s="610"/>
      <c r="PD143" s="610"/>
      <c r="PE143" s="610"/>
      <c r="PF143" s="610"/>
      <c r="PG143" s="610"/>
      <c r="PH143" s="610"/>
      <c r="PI143" s="610"/>
      <c r="PJ143" s="610"/>
      <c r="PK143" s="610"/>
      <c r="PL143" s="610"/>
      <c r="PM143" s="610"/>
      <c r="PN143" s="610"/>
      <c r="PO143" s="610"/>
      <c r="PP143" s="610"/>
      <c r="PQ143" s="610"/>
      <c r="PR143" s="610"/>
      <c r="PS143" s="610"/>
      <c r="PT143" s="610"/>
      <c r="PU143" s="610"/>
      <c r="PV143" s="610"/>
      <c r="PW143" s="610"/>
      <c r="PX143" s="610"/>
      <c r="PY143" s="610"/>
      <c r="PZ143" s="610"/>
      <c r="QA143" s="610"/>
      <c r="QB143" s="610"/>
      <c r="QC143" s="610"/>
      <c r="QD143" s="610"/>
      <c r="QE143" s="610"/>
      <c r="QF143" s="610"/>
      <c r="QG143" s="610"/>
      <c r="QH143" s="610"/>
      <c r="QI143" s="610"/>
      <c r="QJ143" s="610"/>
    </row>
    <row r="144" spans="1:452" s="524" customFormat="1" ht="18" x14ac:dyDescent="0.35">
      <c r="A144" s="605"/>
      <c r="B144" s="558"/>
      <c r="C144" s="559"/>
      <c r="D144" s="606"/>
      <c r="E144" s="572" t="s">
        <v>86</v>
      </c>
      <c r="F144" s="571" cm="1">
        <f t="array" ref="F144">SUMPRODUCT(F$14:F$43,--($Q$14:$Q$43=FALSE),--($D$14:$D$43=$D143))</f>
        <v>0</v>
      </c>
      <c r="G144" s="571" cm="1">
        <f t="array" ref="G144">SUMPRODUCT(G$14:G$43,--($Q$14:$Q$43=FALSE),--($D$14:$D$43=$D143))</f>
        <v>0</v>
      </c>
      <c r="H144" s="571" cm="1">
        <f t="array" ref="H144">SUMPRODUCT(H$14:H$43,--($Q$14:$Q$43=FALSE),--($D$14:$D$43=$D143))</f>
        <v>0</v>
      </c>
      <c r="I144" s="571" cm="1">
        <f t="array" ref="I144">SUMPRODUCT(I$14:I$43,--($Q$14:$Q$43=FALSE),--($D$14:$D$43=$D143))</f>
        <v>0</v>
      </c>
      <c r="J144" s="571" cm="1">
        <f t="array" ref="J144">SUMPRODUCT(J$14:J$43,--($Q$14:$Q$43=FALSE),--($D$14:$D$43=$D143))</f>
        <v>0</v>
      </c>
      <c r="K144" s="571" cm="1">
        <f t="array" ref="K144">SUMPRODUCT(K$14:K$43,--($Q$14:$Q$43=FALSE),--($D$14:$D$43=$D143))</f>
        <v>0</v>
      </c>
      <c r="L144" s="571" cm="1">
        <f t="array" ref="L144">SUMPRODUCT(L$14:L$43,--($Q$14:$Q$43=FALSE),--($D$14:$D$43=$D143))</f>
        <v>0</v>
      </c>
      <c r="M144" s="571" cm="1">
        <f t="array" ref="M144">SUMPRODUCT(M$14:M$43,--($Q$14:$Q$43=FALSE),--($D$14:$D$43=$D143))</f>
        <v>0</v>
      </c>
      <c r="N144" s="571" cm="1">
        <f t="array" ref="N144">SUMPRODUCT(N$14:N$43,--($Q$14:$Q$43=FALSE),--($D$14:$D$43=$D143))</f>
        <v>0</v>
      </c>
      <c r="O144" s="571" cm="1">
        <f t="array" ref="O144">SUMPRODUCT(O$14:O$43,--($Q$14:$Q$43=FALSE),--($D$14:$D$43=$D143))</f>
        <v>0</v>
      </c>
      <c r="P144" s="607">
        <f t="shared" si="37"/>
        <v>0</v>
      </c>
      <c r="Q144" s="575"/>
      <c r="R144" s="576"/>
      <c r="S144" s="576"/>
      <c r="T144" s="576"/>
      <c r="U144" s="577"/>
    </row>
    <row r="145" spans="1:452" s="524" customFormat="1" ht="18" x14ac:dyDescent="0.35">
      <c r="A145" s="605"/>
      <c r="B145" s="558"/>
      <c r="C145" s="559"/>
      <c r="D145" s="606"/>
      <c r="E145" s="572" t="s">
        <v>87</v>
      </c>
      <c r="F145" s="571" cm="1">
        <f t="array" ref="F145">SUMPRODUCT(F$14:F$43,--($Q$14:$Q$43=FALSE),--($D$14:$D$43=$D143),--($R$14:$R$43="Yes"))*0.1</f>
        <v>0</v>
      </c>
      <c r="G145" s="571" cm="1">
        <f t="array" ref="G145">SUMPRODUCT(G$14:G$43,--($Q$14:$Q$43=FALSE),--($D$14:$D$43=$D143),--($R$14:$R$43="Yes"))*0.1</f>
        <v>0</v>
      </c>
      <c r="H145" s="571" cm="1">
        <f t="array" ref="H145">SUMPRODUCT(H$14:H$43,--($Q$14:$Q$43=FALSE),--($D$14:$D$43=$D143),--($R$14:$R$43="Yes"))*0.1</f>
        <v>0</v>
      </c>
      <c r="I145" s="571" cm="1">
        <f t="array" ref="I145">SUMPRODUCT(I$14:I$43,--($Q$14:$Q$43=FALSE),--($D$14:$D$43=$D143),--($R$14:$R$43="Yes"))*0.1</f>
        <v>0</v>
      </c>
      <c r="J145" s="571" cm="1">
        <f t="array" ref="J145">SUMPRODUCT(J$14:J$43,--($Q$14:$Q$43=FALSE),--($D$14:$D$43=$D143),--($R$14:$R$43="Yes"))*0.1</f>
        <v>0</v>
      </c>
      <c r="K145" s="571" cm="1">
        <f t="array" ref="K145">SUMPRODUCT(K$14:K$43,--($Q$14:$Q$43=FALSE),--($D$14:$D$43=$D143),--($R$14:$R$43="Yes"))*0.1</f>
        <v>0</v>
      </c>
      <c r="L145" s="571" cm="1">
        <f t="array" ref="L145">SUMPRODUCT(L$14:L$43,--($Q$14:$Q$43=FALSE),--($D$14:$D$43=$D143),--($R$14:$R$43="Yes"))*0.1</f>
        <v>0</v>
      </c>
      <c r="M145" s="571" cm="1">
        <f t="array" ref="M145">SUMPRODUCT(M$14:M$43,--($Q$14:$Q$43=FALSE),--($D$14:$D$43=$D143),--($R$14:$R$43="Yes"))*0.1</f>
        <v>0</v>
      </c>
      <c r="N145" s="571" cm="1">
        <f t="array" ref="N145">SUMPRODUCT(N$14:N$43,--($Q$14:$Q$43=FALSE),--($D$14:$D$43=$D143),--($R$14:$R$43="Yes"))*0.1</f>
        <v>0</v>
      </c>
      <c r="O145" s="571" cm="1">
        <f t="array" ref="O145">SUMPRODUCT(O$14:O$43,--($Q$14:$Q$43=FALSE),--($D$14:$D$43=$D143),--($R$14:$R$43="Yes"))*0.1</f>
        <v>0</v>
      </c>
      <c r="P145" s="607">
        <f t="shared" si="37"/>
        <v>0</v>
      </c>
      <c r="Q145" s="575"/>
      <c r="R145" s="576"/>
      <c r="S145" s="576"/>
      <c r="T145" s="576"/>
      <c r="U145" s="577"/>
    </row>
    <row r="146" spans="1:452" s="524" customFormat="1" ht="18" x14ac:dyDescent="0.35">
      <c r="A146" s="605"/>
      <c r="B146" s="558"/>
      <c r="C146" s="559"/>
      <c r="D146" s="606"/>
      <c r="E146" s="572" t="s">
        <v>88</v>
      </c>
      <c r="F146" s="571">
        <f t="shared" ref="F146:O146" si="40">F143-(F144+F145)</f>
        <v>0</v>
      </c>
      <c r="G146" s="571">
        <f t="shared" si="40"/>
        <v>0</v>
      </c>
      <c r="H146" s="571">
        <f t="shared" si="40"/>
        <v>0</v>
      </c>
      <c r="I146" s="571">
        <f t="shared" si="40"/>
        <v>0</v>
      </c>
      <c r="J146" s="571">
        <f t="shared" si="40"/>
        <v>0</v>
      </c>
      <c r="K146" s="571">
        <f t="shared" si="40"/>
        <v>0</v>
      </c>
      <c r="L146" s="571">
        <f t="shared" si="40"/>
        <v>0</v>
      </c>
      <c r="M146" s="571">
        <f t="shared" si="40"/>
        <v>0</v>
      </c>
      <c r="N146" s="571">
        <f t="shared" si="40"/>
        <v>0</v>
      </c>
      <c r="O146" s="571">
        <f t="shared" si="40"/>
        <v>0</v>
      </c>
      <c r="P146" s="607">
        <f t="shared" si="37"/>
        <v>0</v>
      </c>
      <c r="Q146" s="575"/>
      <c r="R146" s="576"/>
      <c r="S146" s="576"/>
      <c r="T146" s="576"/>
      <c r="U146" s="577"/>
    </row>
    <row r="147" spans="1:452" s="578" customFormat="1" ht="18" x14ac:dyDescent="0.35">
      <c r="A147" s="624"/>
      <c r="B147" s="625"/>
      <c r="C147" s="626"/>
      <c r="D147" s="625" t="s">
        <v>106</v>
      </c>
      <c r="E147" s="627"/>
      <c r="F147" s="628" cm="1">
        <f t="array" ref="F147">SUMPRODUCT(F$14:F$43,--($D$14:$D$43=$D143),--($Q$14:$Q$43=TRUE),$S$14:$S$43,--($S$14:$S$43&gt;0))+SUMPRODUCT(F$14:F$43,--($D$14:$D$43=$D143),--($Q$14:$Q$43=TRUE),$S$14:$S$43,--($S$14:$S$43&gt;0),--($R$14:$R$43="Yes"))*0.1+SUMPRODUCT(F$14:F$43,--($D$14:$D$43=$D143),--($Q$14:$Q$43=TRUE),--($S94:$S123=0))+SUMPRODUCT(F$14:F$43,--($D$14:$D$43=$D143),--($Q$14:$Q$43=TRUE),--($R$14:$R$43="Yes"),--($S$14:$S$43=0))*0.1</f>
        <v>0</v>
      </c>
      <c r="G147" s="628" cm="1">
        <f t="array" ref="G147">SUMPRODUCT(G$14:G$43,--($D$14:$D$43=$D143),--($Q$14:$Q$43=TRUE),$S$14:$S$43,--($S$14:$S$43&gt;0))+SUMPRODUCT(G$14:G$43,--($D$14:$D$43=$D143),--($Q$14:$Q$43=TRUE),$S$14:$S$43,--($S$14:$S$43&gt;0),--($R$14:$R$43="Yes"))*0.1+SUMPRODUCT(G$14:G$43,--($D$14:$D$43=$D143),--($Q$14:$Q$43=TRUE),--($S94:$S123=0))+SUMPRODUCT(G$14:G$43,--($D$14:$D$43=$D143),--($Q$14:$Q$43=TRUE),--($R$14:$R$43="Yes"),--($S$14:$S$43=0))*0.1</f>
        <v>0</v>
      </c>
      <c r="H147" s="628" cm="1">
        <f t="array" ref="H147">SUMPRODUCT(H$14:H$43,--($D$14:$D$43=$D143),--($Q$14:$Q$43=TRUE),$S$14:$S$43,--($S$14:$S$43&gt;0))+SUMPRODUCT(H$14:H$43,--($D$14:$D$43=$D143),--($Q$14:$Q$43=TRUE),$S$14:$S$43,--($S$14:$S$43&gt;0),--($R$14:$R$43="Yes"))*0.1+SUMPRODUCT(H$14:H$43,--($D$14:$D$43=$D143),--($Q$14:$Q$43=TRUE),--($S94:$S123=0))+SUMPRODUCT(H$14:H$43,--($D$14:$D$43=$D143),--($Q$14:$Q$43=TRUE),--($R$14:$R$43="Yes"),--($S$14:$S$43=0))*0.1</f>
        <v>0</v>
      </c>
      <c r="I147" s="628" cm="1">
        <f t="array" ref="I147">SUMPRODUCT(I$14:I$43,--($D$14:$D$43=$D143),--($Q$14:$Q$43=TRUE),$S$14:$S$43,--($S$14:$S$43&gt;0))+SUMPRODUCT(I$14:I$43,--($D$14:$D$43=$D143),--($Q$14:$Q$43=TRUE),$S$14:$S$43,--($S$14:$S$43&gt;0),--($R$14:$R$43="Yes"))*0.1+SUMPRODUCT(I$14:I$43,--($D$14:$D$43=$D143),--($Q$14:$Q$43=TRUE),--($S94:$S123=0))+SUMPRODUCT(I$14:I$43,--($D$14:$D$43=$D143),--($Q$14:$Q$43=TRUE),--($R$14:$R$43="Yes"),--($S$14:$S$43=0))*0.1</f>
        <v>0</v>
      </c>
      <c r="J147" s="628" cm="1">
        <f t="array" ref="J147">SUMPRODUCT(J$14:J$43,--($D$14:$D$43=$D143),--($Q$14:$Q$43=TRUE),$S$14:$S$43,--($S$14:$S$43&gt;0))+SUMPRODUCT(J$14:J$43,--($D$14:$D$43=$D143),--($Q$14:$Q$43=TRUE),$S$14:$S$43,--($S$14:$S$43&gt;0),--($R$14:$R$43="Yes"))*0.1+SUMPRODUCT(J$14:J$43,--($D$14:$D$43=$D143),--($Q$14:$Q$43=TRUE),--($S94:$S123=0))+SUMPRODUCT(J$14:J$43,--($D$14:$D$43=$D143),--($Q$14:$Q$43=TRUE),--($R$14:$R$43="Yes"),--($S$14:$S$43=0))*0.1</f>
        <v>0</v>
      </c>
      <c r="K147" s="628" cm="1">
        <f t="array" ref="K147">SUMPRODUCT(K$14:K$43,--($D$14:$D$43=$D143),--($Q$14:$Q$43=TRUE),$S$14:$S$43,--($S$14:$S$43&gt;0))+SUMPRODUCT(K$14:K$43,--($D$14:$D$43=$D143),--($Q$14:$Q$43=TRUE),$S$14:$S$43,--($S$14:$S$43&gt;0),--($R$14:$R$43="Yes"))*0.1+SUMPRODUCT(K$14:K$43,--($D$14:$D$43=$D143),--($Q$14:$Q$43=TRUE),--($S94:$S123=0))+SUMPRODUCT(K$14:K$43,--($D$14:$D$43=$D143),--($Q$14:$Q$43=TRUE),--($R$14:$R$43="Yes"),--($S$14:$S$43=0))*0.1</f>
        <v>0</v>
      </c>
      <c r="L147" s="628" cm="1">
        <f t="array" ref="L147">SUMPRODUCT(L$14:L$43,--($D$14:$D$43=$D143),--($Q$14:$Q$43=TRUE),$S$14:$S$43,--($S$14:$S$43&gt;0))+SUMPRODUCT(L$14:L$43,--($D$14:$D$43=$D143),--($Q$14:$Q$43=TRUE),$S$14:$S$43,--($S$14:$S$43&gt;0),--($R$14:$R$43="Yes"))*0.1+SUMPRODUCT(L$14:L$43,--($D$14:$D$43=$D143),--($Q$14:$Q$43=TRUE),--($S94:$S123=0))+SUMPRODUCT(L$14:L$43,--($D$14:$D$43=$D143),--($Q$14:$Q$43=TRUE),--($R$14:$R$43="Yes"),--($S$14:$S$43=0))*0.1</f>
        <v>0</v>
      </c>
      <c r="M147" s="628" cm="1">
        <f t="array" ref="M147">SUMPRODUCT(M$14:M$43,--($D$14:$D$43=$D143),--($Q$14:$Q$43=TRUE),$S$14:$S$43,--($S$14:$S$43&gt;0))+SUMPRODUCT(M$14:M$43,--($D$14:$D$43=$D143),--($Q$14:$Q$43=TRUE),$S$14:$S$43,--($S$14:$S$43&gt;0),--($R$14:$R$43="Yes"))*0.1+SUMPRODUCT(M$14:M$43,--($D$14:$D$43=$D143),--($Q$14:$Q$43=TRUE),--($S94:$S123=0))+SUMPRODUCT(M$14:M$43,--($D$14:$D$43=$D143),--($Q$14:$Q$43=TRUE),--($R$14:$R$43="Yes"),--($S$14:$S$43=0))*0.1</f>
        <v>0</v>
      </c>
      <c r="N147" s="628" cm="1">
        <f t="array" ref="N147">SUMPRODUCT(N$14:N$43,--($D$14:$D$43=$D143),--($Q$14:$Q$43=TRUE),$S$14:$S$43,--($S$14:$S$43&gt;0))+SUMPRODUCT(N$14:N$43,--($D$14:$D$43=$D143),--($Q$14:$Q$43=TRUE),$S$14:$S$43,--($S$14:$S$43&gt;0),--($R$14:$R$43="Yes"))*0.1+SUMPRODUCT(N$14:N$43,--($D$14:$D$43=$D143),--($Q$14:$Q$43=TRUE),--($S94:$S123=0))+SUMPRODUCT(N$14:N$43,--($D$14:$D$43=$D143),--($Q$14:$Q$43=TRUE),--($R$14:$R$43="Yes"),--($S$14:$S$43=0))*0.1</f>
        <v>0</v>
      </c>
      <c r="O147" s="628" cm="1">
        <f t="array" ref="O147">SUMPRODUCT(O$14:O$43,--($D$14:$D$43=$D143),--($Q$14:$Q$43=TRUE),$S$14:$S$43,--($S$14:$S$43&gt;0))+SUMPRODUCT(O$14:O$43,--($D$14:$D$43=$D143),--($Q$14:$Q$43=TRUE),$S$14:$S$43,--($S$14:$S$43&gt;0),--($R$14:$R$43="Yes"))*0.1+SUMPRODUCT(O$14:O$43,--($D$14:$D$43=$D143),--($Q$14:$Q$43=TRUE),--($S94:$S123=0))+SUMPRODUCT(O$14:O$43,--($D$14:$D$43=$D143),--($Q$14:$Q$43=TRUE),--($R$14:$R$43="Yes"),--($S$14:$S$43=0))*0.1</f>
        <v>0</v>
      </c>
      <c r="P147" s="629">
        <f t="shared" si="37"/>
        <v>0</v>
      </c>
      <c r="Q147" s="575"/>
      <c r="R147" s="576"/>
      <c r="S147" s="576"/>
      <c r="T147" s="576"/>
      <c r="U147" s="577"/>
      <c r="V147" s="610"/>
      <c r="W147" s="610"/>
      <c r="X147" s="610"/>
      <c r="Y147" s="610"/>
      <c r="Z147" s="610"/>
      <c r="AA147" s="610"/>
      <c r="AB147" s="610"/>
      <c r="AC147" s="610"/>
      <c r="AD147" s="610"/>
      <c r="AE147" s="610"/>
      <c r="AF147" s="610"/>
      <c r="AG147" s="610"/>
      <c r="AH147" s="610"/>
      <c r="AI147" s="610"/>
      <c r="AJ147" s="610"/>
      <c r="AK147" s="610"/>
      <c r="AL147" s="610"/>
      <c r="AM147" s="610"/>
      <c r="AN147" s="610"/>
      <c r="AO147" s="610"/>
      <c r="AP147" s="610"/>
      <c r="AQ147" s="610"/>
      <c r="AR147" s="610"/>
      <c r="AS147" s="610"/>
      <c r="AT147" s="610"/>
      <c r="AU147" s="610"/>
      <c r="AV147" s="610"/>
      <c r="AW147" s="610"/>
      <c r="AX147" s="610"/>
      <c r="AY147" s="610"/>
      <c r="AZ147" s="610"/>
      <c r="BA147" s="610"/>
      <c r="BB147" s="610"/>
      <c r="BC147" s="610"/>
      <c r="BD147" s="610"/>
      <c r="BE147" s="610"/>
      <c r="BF147" s="610"/>
      <c r="BG147" s="610"/>
      <c r="BH147" s="610"/>
      <c r="BI147" s="610"/>
      <c r="BJ147" s="610"/>
      <c r="BK147" s="610"/>
      <c r="BL147" s="610"/>
      <c r="BM147" s="610"/>
      <c r="BN147" s="610"/>
      <c r="BO147" s="610"/>
      <c r="BP147" s="610"/>
      <c r="BQ147" s="610"/>
      <c r="BR147" s="610"/>
      <c r="BS147" s="610"/>
      <c r="BT147" s="610"/>
      <c r="BU147" s="610"/>
      <c r="BV147" s="610"/>
      <c r="BW147" s="610"/>
      <c r="BX147" s="610"/>
      <c r="BY147" s="610"/>
      <c r="BZ147" s="610"/>
      <c r="CA147" s="610"/>
      <c r="CB147" s="610"/>
      <c r="CC147" s="610"/>
      <c r="CD147" s="610"/>
      <c r="CE147" s="610"/>
      <c r="CF147" s="610"/>
      <c r="CG147" s="610"/>
      <c r="CH147" s="610"/>
      <c r="CI147" s="610"/>
      <c r="CJ147" s="610"/>
      <c r="CK147" s="610"/>
      <c r="CL147" s="610"/>
      <c r="CM147" s="610"/>
      <c r="CN147" s="610"/>
      <c r="CO147" s="610"/>
      <c r="CP147" s="610"/>
      <c r="CQ147" s="610"/>
      <c r="CR147" s="610"/>
      <c r="CS147" s="610"/>
      <c r="CT147" s="610"/>
      <c r="CU147" s="610"/>
      <c r="CV147" s="610"/>
      <c r="CW147" s="610"/>
      <c r="CX147" s="610"/>
      <c r="CY147" s="610"/>
      <c r="CZ147" s="610"/>
      <c r="DA147" s="610"/>
      <c r="DB147" s="610"/>
      <c r="DC147" s="610"/>
      <c r="DD147" s="610"/>
      <c r="DE147" s="610"/>
      <c r="DF147" s="610"/>
      <c r="DG147" s="610"/>
      <c r="DH147" s="610"/>
      <c r="DI147" s="610"/>
      <c r="DJ147" s="610"/>
      <c r="DK147" s="610"/>
      <c r="DL147" s="610"/>
      <c r="DM147" s="610"/>
      <c r="DN147" s="610"/>
      <c r="DO147" s="610"/>
      <c r="DP147" s="610"/>
      <c r="DQ147" s="610"/>
      <c r="DR147" s="610"/>
      <c r="DS147" s="610"/>
      <c r="DT147" s="610"/>
      <c r="DU147" s="610"/>
      <c r="DV147" s="610"/>
      <c r="DW147" s="610"/>
      <c r="DX147" s="610"/>
      <c r="DY147" s="610"/>
      <c r="DZ147" s="610"/>
      <c r="EA147" s="610"/>
      <c r="EB147" s="610"/>
      <c r="EC147" s="610"/>
      <c r="ED147" s="610"/>
      <c r="EE147" s="610"/>
      <c r="EF147" s="610"/>
      <c r="EG147" s="610"/>
      <c r="EH147" s="610"/>
      <c r="EI147" s="610"/>
      <c r="EJ147" s="610"/>
      <c r="EK147" s="610"/>
      <c r="EL147" s="610"/>
      <c r="EM147" s="610"/>
      <c r="EN147" s="610"/>
      <c r="EO147" s="610"/>
      <c r="EP147" s="610"/>
      <c r="EQ147" s="610"/>
      <c r="ER147" s="610"/>
      <c r="ES147" s="610"/>
      <c r="ET147" s="610"/>
      <c r="EU147" s="610"/>
      <c r="EV147" s="610"/>
      <c r="EW147" s="610"/>
      <c r="EX147" s="610"/>
      <c r="EY147" s="610"/>
      <c r="EZ147" s="610"/>
      <c r="FA147" s="610"/>
      <c r="FB147" s="610"/>
      <c r="FC147" s="610"/>
      <c r="FD147" s="610"/>
      <c r="FE147" s="610"/>
      <c r="FF147" s="610"/>
      <c r="FG147" s="610"/>
      <c r="FH147" s="610"/>
      <c r="FI147" s="610"/>
      <c r="FJ147" s="610"/>
      <c r="FK147" s="610"/>
      <c r="FL147" s="610"/>
      <c r="FM147" s="610"/>
      <c r="FN147" s="610"/>
      <c r="FO147" s="610"/>
      <c r="FP147" s="610"/>
      <c r="FQ147" s="610"/>
      <c r="FR147" s="610"/>
      <c r="FS147" s="610"/>
      <c r="FT147" s="610"/>
      <c r="FU147" s="610"/>
      <c r="FV147" s="610"/>
      <c r="FW147" s="610"/>
      <c r="FX147" s="610"/>
      <c r="FY147" s="610"/>
      <c r="FZ147" s="610"/>
      <c r="GA147" s="610"/>
      <c r="GB147" s="610"/>
      <c r="GC147" s="610"/>
      <c r="GD147" s="610"/>
      <c r="GE147" s="610"/>
      <c r="GF147" s="610"/>
      <c r="GG147" s="610"/>
      <c r="GH147" s="610"/>
      <c r="GI147" s="610"/>
      <c r="GJ147" s="610"/>
      <c r="GK147" s="610"/>
      <c r="GL147" s="610"/>
      <c r="GM147" s="610"/>
      <c r="GN147" s="610"/>
      <c r="GO147" s="610"/>
      <c r="GP147" s="610"/>
      <c r="GQ147" s="610"/>
      <c r="GR147" s="610"/>
      <c r="GS147" s="610"/>
      <c r="GT147" s="610"/>
      <c r="GU147" s="610"/>
      <c r="GV147" s="610"/>
      <c r="GW147" s="610"/>
      <c r="GX147" s="610"/>
      <c r="GY147" s="610"/>
      <c r="GZ147" s="610"/>
      <c r="HA147" s="610"/>
      <c r="HB147" s="610"/>
      <c r="HC147" s="610"/>
      <c r="HD147" s="610"/>
      <c r="HE147" s="610"/>
      <c r="HF147" s="610"/>
      <c r="HG147" s="610"/>
      <c r="HH147" s="610"/>
      <c r="HI147" s="610"/>
      <c r="HJ147" s="610"/>
      <c r="HK147" s="610"/>
      <c r="HL147" s="610"/>
      <c r="HM147" s="610"/>
      <c r="HN147" s="610"/>
      <c r="HO147" s="610"/>
      <c r="HP147" s="610"/>
      <c r="HQ147" s="610"/>
      <c r="HR147" s="610"/>
      <c r="HS147" s="610"/>
      <c r="HT147" s="610"/>
      <c r="HU147" s="610"/>
      <c r="HV147" s="610"/>
      <c r="HW147" s="610"/>
      <c r="HX147" s="610"/>
      <c r="HY147" s="610"/>
      <c r="HZ147" s="610"/>
      <c r="IA147" s="610"/>
      <c r="IB147" s="610"/>
      <c r="IC147" s="610"/>
      <c r="ID147" s="610"/>
      <c r="IE147" s="610"/>
      <c r="IF147" s="610"/>
      <c r="IG147" s="610"/>
      <c r="IH147" s="610"/>
      <c r="II147" s="610"/>
      <c r="IJ147" s="610"/>
      <c r="IK147" s="610"/>
      <c r="IL147" s="610"/>
      <c r="IM147" s="610"/>
      <c r="IN147" s="610"/>
      <c r="IO147" s="610"/>
      <c r="IP147" s="610"/>
      <c r="IQ147" s="610"/>
      <c r="IR147" s="610"/>
      <c r="IS147" s="610"/>
      <c r="IT147" s="610"/>
      <c r="IU147" s="610"/>
      <c r="IV147" s="610"/>
      <c r="IW147" s="610"/>
      <c r="IX147" s="610"/>
      <c r="IY147" s="610"/>
      <c r="IZ147" s="610"/>
      <c r="JA147" s="610"/>
      <c r="JB147" s="610"/>
      <c r="JC147" s="610"/>
      <c r="JD147" s="610"/>
      <c r="JE147" s="610"/>
      <c r="JF147" s="610"/>
      <c r="JG147" s="610"/>
      <c r="JH147" s="610"/>
      <c r="JI147" s="610"/>
      <c r="JJ147" s="610"/>
      <c r="JK147" s="610"/>
      <c r="JL147" s="610"/>
      <c r="JM147" s="610"/>
      <c r="JN147" s="610"/>
      <c r="JO147" s="610"/>
      <c r="JP147" s="610"/>
      <c r="JQ147" s="610"/>
      <c r="JR147" s="610"/>
      <c r="JS147" s="610"/>
      <c r="JT147" s="610"/>
      <c r="JU147" s="610"/>
      <c r="JV147" s="610"/>
      <c r="JW147" s="610"/>
      <c r="JX147" s="610"/>
      <c r="JY147" s="610"/>
      <c r="JZ147" s="610"/>
      <c r="KA147" s="610"/>
      <c r="KB147" s="610"/>
      <c r="KC147" s="610"/>
      <c r="KD147" s="610"/>
      <c r="KE147" s="610"/>
      <c r="KF147" s="610"/>
      <c r="KG147" s="610"/>
      <c r="KH147" s="610"/>
      <c r="KI147" s="610"/>
      <c r="KJ147" s="610"/>
      <c r="KK147" s="610"/>
      <c r="KL147" s="610"/>
      <c r="KM147" s="610"/>
      <c r="KN147" s="610"/>
      <c r="KO147" s="610"/>
      <c r="KP147" s="610"/>
      <c r="KQ147" s="610"/>
      <c r="KR147" s="610"/>
      <c r="KS147" s="610"/>
      <c r="KT147" s="610"/>
      <c r="KU147" s="610"/>
      <c r="KV147" s="610"/>
      <c r="KW147" s="610"/>
      <c r="KX147" s="610"/>
      <c r="KY147" s="610"/>
      <c r="KZ147" s="610"/>
      <c r="LA147" s="610"/>
      <c r="LB147" s="610"/>
      <c r="LC147" s="610"/>
      <c r="LD147" s="610"/>
      <c r="LE147" s="610"/>
      <c r="LF147" s="610"/>
      <c r="LG147" s="610"/>
      <c r="LH147" s="610"/>
      <c r="LI147" s="610"/>
      <c r="LJ147" s="610"/>
      <c r="LK147" s="610"/>
      <c r="LL147" s="610"/>
      <c r="LM147" s="610"/>
      <c r="LN147" s="610"/>
      <c r="LO147" s="610"/>
      <c r="LP147" s="610"/>
      <c r="LQ147" s="610"/>
      <c r="LR147" s="610"/>
      <c r="LS147" s="610"/>
      <c r="LT147" s="610"/>
      <c r="LU147" s="610"/>
      <c r="LV147" s="610"/>
      <c r="LW147" s="610"/>
      <c r="LX147" s="610"/>
      <c r="LY147" s="610"/>
      <c r="LZ147" s="610"/>
      <c r="MA147" s="610"/>
      <c r="MB147" s="610"/>
      <c r="MC147" s="610"/>
      <c r="MD147" s="610"/>
      <c r="ME147" s="610"/>
      <c r="MF147" s="610"/>
      <c r="MG147" s="610"/>
      <c r="MH147" s="610"/>
      <c r="MI147" s="610"/>
      <c r="MJ147" s="610"/>
      <c r="MK147" s="610"/>
      <c r="ML147" s="610"/>
      <c r="MM147" s="610"/>
      <c r="MN147" s="610"/>
      <c r="MO147" s="610"/>
      <c r="MP147" s="610"/>
      <c r="MQ147" s="610"/>
      <c r="MR147" s="610"/>
      <c r="MS147" s="610"/>
      <c r="MT147" s="610"/>
      <c r="MU147" s="610"/>
      <c r="MV147" s="610"/>
      <c r="MW147" s="610"/>
      <c r="MX147" s="610"/>
      <c r="MY147" s="610"/>
      <c r="MZ147" s="610"/>
      <c r="NA147" s="610"/>
      <c r="NB147" s="610"/>
      <c r="NC147" s="610"/>
      <c r="ND147" s="610"/>
      <c r="NE147" s="610"/>
      <c r="NF147" s="610"/>
      <c r="NG147" s="610"/>
      <c r="NH147" s="610"/>
      <c r="NI147" s="610"/>
      <c r="NJ147" s="610"/>
      <c r="NK147" s="610"/>
      <c r="NL147" s="610"/>
      <c r="NM147" s="610"/>
      <c r="NN147" s="610"/>
      <c r="NO147" s="610"/>
      <c r="NP147" s="610"/>
      <c r="NQ147" s="610"/>
      <c r="NR147" s="610"/>
      <c r="NS147" s="610"/>
      <c r="NT147" s="610"/>
      <c r="NU147" s="610"/>
      <c r="NV147" s="610"/>
      <c r="NW147" s="610"/>
      <c r="NX147" s="610"/>
      <c r="NY147" s="610"/>
      <c r="NZ147" s="610"/>
      <c r="OA147" s="610"/>
      <c r="OB147" s="610"/>
      <c r="OC147" s="610"/>
      <c r="OD147" s="610"/>
      <c r="OE147" s="610"/>
      <c r="OF147" s="610"/>
      <c r="OG147" s="610"/>
      <c r="OH147" s="610"/>
      <c r="OI147" s="610"/>
      <c r="OJ147" s="610"/>
      <c r="OK147" s="610"/>
      <c r="OL147" s="610"/>
      <c r="OM147" s="610"/>
      <c r="ON147" s="610"/>
      <c r="OO147" s="610"/>
      <c r="OP147" s="610"/>
      <c r="OQ147" s="610"/>
      <c r="OR147" s="610"/>
      <c r="OS147" s="610"/>
      <c r="OT147" s="610"/>
      <c r="OU147" s="610"/>
      <c r="OV147" s="610"/>
      <c r="OW147" s="610"/>
      <c r="OX147" s="610"/>
      <c r="OY147" s="610"/>
      <c r="OZ147" s="610"/>
      <c r="PA147" s="610"/>
      <c r="PB147" s="610"/>
      <c r="PC147" s="610"/>
      <c r="PD147" s="610"/>
      <c r="PE147" s="610"/>
      <c r="PF147" s="610"/>
      <c r="PG147" s="610"/>
      <c r="PH147" s="610"/>
      <c r="PI147" s="610"/>
      <c r="PJ147" s="610"/>
      <c r="PK147" s="610"/>
      <c r="PL147" s="610"/>
      <c r="PM147" s="610"/>
      <c r="PN147" s="610"/>
      <c r="PO147" s="610"/>
      <c r="PP147" s="610"/>
      <c r="PQ147" s="610"/>
      <c r="PR147" s="610"/>
      <c r="PS147" s="610"/>
      <c r="PT147" s="610"/>
      <c r="PU147" s="610"/>
      <c r="PV147" s="610"/>
      <c r="PW147" s="610"/>
      <c r="PX147" s="610"/>
      <c r="PY147" s="610"/>
      <c r="PZ147" s="610"/>
      <c r="QA147" s="610"/>
      <c r="QB147" s="610"/>
      <c r="QC147" s="610"/>
      <c r="QD147" s="610"/>
      <c r="QE147" s="610"/>
      <c r="QF147" s="610"/>
      <c r="QG147" s="610"/>
      <c r="QH147" s="610"/>
      <c r="QI147" s="610"/>
      <c r="QJ147" s="610"/>
    </row>
    <row r="148" spans="1:452" s="524" customFormat="1" ht="18" x14ac:dyDescent="0.35">
      <c r="A148" s="605"/>
      <c r="B148" s="558"/>
      <c r="C148" s="559"/>
      <c r="D148" s="559"/>
      <c r="E148" s="572" t="s">
        <v>86</v>
      </c>
      <c r="F148" s="571" cm="1">
        <f t="array" ref="F148">SUMPRODUCT(F$14:F$43,--($Q$14:$Q$43=TRUE),--($D$14:$D$43=$D143))</f>
        <v>0</v>
      </c>
      <c r="G148" s="571" cm="1">
        <f t="array" ref="G148">SUMPRODUCT(G$14:G$43,--($Q$14:$Q$43=TRUE),--($D$14:$D$43=$D143))</f>
        <v>0</v>
      </c>
      <c r="H148" s="571" cm="1">
        <f t="array" ref="H148">SUMPRODUCT(H$14:H$43,--($Q$14:$Q$43=TRUE),--($D$14:$D$43=$D143))</f>
        <v>0</v>
      </c>
      <c r="I148" s="571" cm="1">
        <f t="array" ref="I148">SUMPRODUCT(I$14:I$43,--($Q$14:$Q$43=TRUE),--($D$14:$D$43=$D143))</f>
        <v>0</v>
      </c>
      <c r="J148" s="571" cm="1">
        <f t="array" ref="J148">SUMPRODUCT(J$14:J$43,--($Q$14:$Q$43=TRUE),--($D$14:$D$43=$D143))</f>
        <v>0</v>
      </c>
      <c r="K148" s="571" cm="1">
        <f t="array" ref="K148">SUMPRODUCT(K$14:K$43,--($Q$14:$Q$43=TRUE),--($D$14:$D$43=$D143))</f>
        <v>0</v>
      </c>
      <c r="L148" s="571" cm="1">
        <f t="array" ref="L148">SUMPRODUCT(L$14:L$43,--($Q$14:$Q$43=TRUE),--($D$14:$D$43=$D143))</f>
        <v>0</v>
      </c>
      <c r="M148" s="571" cm="1">
        <f t="array" ref="M148">SUMPRODUCT(M$14:M$43,--($Q$14:$Q$43=TRUE),--($D$14:$D$43=$D143))</f>
        <v>0</v>
      </c>
      <c r="N148" s="571" cm="1">
        <f t="array" ref="N148">SUMPRODUCT(N$14:N$43,--($Q$14:$Q$43=TRUE),--($D$14:$D$43=$D143))</f>
        <v>0</v>
      </c>
      <c r="O148" s="571" cm="1">
        <f t="array" ref="O148">SUMPRODUCT(O$14:O$43,--($Q$14:$Q$43=TRUE),--($D$14:$D$43=$D143))</f>
        <v>0</v>
      </c>
      <c r="P148" s="607">
        <f t="shared" si="37"/>
        <v>0</v>
      </c>
      <c r="Q148" s="575"/>
      <c r="R148" s="576"/>
      <c r="S148" s="576"/>
      <c r="T148" s="576"/>
      <c r="U148" s="577"/>
    </row>
    <row r="149" spans="1:452" s="524" customFormat="1" ht="18" x14ac:dyDescent="0.35">
      <c r="A149" s="605"/>
      <c r="C149" s="559"/>
      <c r="D149" s="559"/>
      <c r="E149" s="572" t="s">
        <v>87</v>
      </c>
      <c r="F149" s="571" cm="1">
        <f t="array" ref="F149">SUMPRODUCT(F$14:F$43,--($Q$14:$Q$43=TRUE),--($D$14:$D$43=$D147),--($R$14:$R$43="Yes"))*0.1</f>
        <v>0</v>
      </c>
      <c r="G149" s="571" cm="1">
        <f t="array" ref="G149">SUMPRODUCT(G$14:G$43,--($Q$14:$Q$43=TRUE),--($D$14:$D$43=$D147),--($R$14:$R$43="Yes"))*0.1</f>
        <v>0</v>
      </c>
      <c r="H149" s="571" cm="1">
        <f t="array" ref="H149">SUMPRODUCT(H$14:H$43,--($Q$14:$Q$43=TRUE),--($D$14:$D$43=$D147),--($R$14:$R$43="Yes"))*0.1</f>
        <v>0</v>
      </c>
      <c r="I149" s="571" cm="1">
        <f t="array" ref="I149">SUMPRODUCT(I$14:I$43,--($Q$14:$Q$43=TRUE),--($D$14:$D$43=$D147),--($R$14:$R$43="Yes"))*0.1</f>
        <v>0</v>
      </c>
      <c r="J149" s="571" cm="1">
        <f t="array" ref="J149">SUMPRODUCT(J$14:J$43,--($Q$14:$Q$43=TRUE),--($D$14:$D$43=$D147),--($R$14:$R$43="Yes"))*0.1</f>
        <v>0</v>
      </c>
      <c r="K149" s="571" cm="1">
        <f t="array" ref="K149">SUMPRODUCT(K$14:K$43,--($Q$14:$Q$43=TRUE),--($D$14:$D$43=$D147),--($R$14:$R$43="Yes"))*0.1</f>
        <v>0</v>
      </c>
      <c r="L149" s="571" cm="1">
        <f t="array" ref="L149">SUMPRODUCT(L$14:L$43,--($Q$14:$Q$43=TRUE),--($D$14:$D$43=$D147),--($R$14:$R$43="Yes"))*0.1</f>
        <v>0</v>
      </c>
      <c r="M149" s="571" cm="1">
        <f t="array" ref="M149">SUMPRODUCT(M$14:M$43,--($Q$14:$Q$43=TRUE),--($D$14:$D$43=$D147),--($R$14:$R$43="Yes"))*0.1</f>
        <v>0</v>
      </c>
      <c r="N149" s="571" cm="1">
        <f t="array" ref="N149">SUMPRODUCT(N$14:N$43,--($Q$14:$Q$43=TRUE),--($D$14:$D$43=$D147),--($R$14:$R$43="Yes"))*0.1</f>
        <v>0</v>
      </c>
      <c r="O149" s="571" cm="1">
        <f t="array" ref="O149">SUMPRODUCT(O$14:O$43,--($Q$14:$Q$43=TRUE),--($D$14:$D$43=$D147),--($R$14:$R$43="Yes"))*0.1</f>
        <v>0</v>
      </c>
      <c r="P149" s="607">
        <f t="shared" si="37"/>
        <v>0</v>
      </c>
      <c r="Q149" s="575"/>
      <c r="R149" s="576"/>
      <c r="S149" s="576"/>
      <c r="T149" s="576"/>
      <c r="U149" s="577"/>
    </row>
    <row r="150" spans="1:452" s="524" customFormat="1" ht="18" x14ac:dyDescent="0.35">
      <c r="A150" s="605"/>
      <c r="B150" s="558"/>
      <c r="C150" s="559"/>
      <c r="D150" s="559"/>
      <c r="E150" s="572" t="s">
        <v>88</v>
      </c>
      <c r="F150" s="571">
        <f>F147-(F148+F149)</f>
        <v>0</v>
      </c>
      <c r="G150" s="571">
        <f t="shared" ref="G150:O150" si="41">G147-(G148+G149)</f>
        <v>0</v>
      </c>
      <c r="H150" s="571">
        <f t="shared" si="41"/>
        <v>0</v>
      </c>
      <c r="I150" s="571">
        <f t="shared" si="41"/>
        <v>0</v>
      </c>
      <c r="J150" s="571">
        <f t="shared" si="41"/>
        <v>0</v>
      </c>
      <c r="K150" s="571">
        <f t="shared" si="41"/>
        <v>0</v>
      </c>
      <c r="L150" s="571">
        <f t="shared" si="41"/>
        <v>0</v>
      </c>
      <c r="M150" s="571">
        <f t="shared" si="41"/>
        <v>0</v>
      </c>
      <c r="N150" s="571">
        <f t="shared" si="41"/>
        <v>0</v>
      </c>
      <c r="O150" s="571">
        <f t="shared" si="41"/>
        <v>0</v>
      </c>
      <c r="P150" s="607">
        <f t="shared" si="37"/>
        <v>0</v>
      </c>
      <c r="Q150" s="575"/>
      <c r="R150" s="576"/>
      <c r="S150" s="576"/>
      <c r="T150" s="576"/>
      <c r="U150" s="577"/>
    </row>
    <row r="151" spans="1:452" s="524" customFormat="1" ht="18" x14ac:dyDescent="0.35">
      <c r="A151" s="605"/>
      <c r="B151" s="558"/>
      <c r="C151" s="559"/>
      <c r="D151" s="559"/>
      <c r="E151" s="560"/>
      <c r="F151" s="561"/>
      <c r="G151" s="561"/>
      <c r="H151" s="561"/>
      <c r="I151" s="561"/>
      <c r="J151" s="561"/>
      <c r="K151" s="561"/>
      <c r="L151" s="561"/>
      <c r="M151" s="561"/>
      <c r="N151" s="561"/>
      <c r="O151" s="561"/>
      <c r="P151" s="608"/>
      <c r="Q151" s="575"/>
      <c r="R151" s="576"/>
      <c r="S151" s="576"/>
      <c r="T151" s="576"/>
      <c r="U151" s="577"/>
    </row>
    <row r="152" spans="1:452" s="591" customFormat="1" ht="18" x14ac:dyDescent="0.35">
      <c r="A152" s="597"/>
      <c r="B152" s="598" t="s">
        <v>107</v>
      </c>
      <c r="C152" s="599"/>
      <c r="D152" s="599"/>
      <c r="E152" s="589"/>
      <c r="F152" s="590">
        <f>F156+F164+F172+F180</f>
        <v>0</v>
      </c>
      <c r="G152" s="590">
        <f t="shared" ref="G152:O152" si="42">G156+G164+G172+G180</f>
        <v>0</v>
      </c>
      <c r="H152" s="590">
        <f t="shared" si="42"/>
        <v>0</v>
      </c>
      <c r="I152" s="590">
        <f t="shared" si="42"/>
        <v>0</v>
      </c>
      <c r="J152" s="590">
        <f t="shared" si="42"/>
        <v>0</v>
      </c>
      <c r="K152" s="590">
        <f>K156+K164+K172+K180</f>
        <v>0</v>
      </c>
      <c r="L152" s="590">
        <f t="shared" si="42"/>
        <v>0</v>
      </c>
      <c r="M152" s="590">
        <f t="shared" si="42"/>
        <v>0</v>
      </c>
      <c r="N152" s="590">
        <f t="shared" si="42"/>
        <v>0</v>
      </c>
      <c r="O152" s="590">
        <f t="shared" si="42"/>
        <v>0</v>
      </c>
      <c r="P152" s="600">
        <f>SUM(F152:O152)</f>
        <v>0</v>
      </c>
      <c r="Q152" s="575"/>
      <c r="R152" s="576"/>
      <c r="S152" s="576"/>
      <c r="T152" s="576"/>
      <c r="U152" s="577"/>
      <c r="V152" s="524"/>
      <c r="W152" s="524"/>
      <c r="X152" s="524"/>
      <c r="Y152" s="524"/>
      <c r="Z152" s="524"/>
      <c r="AA152" s="524"/>
      <c r="AB152" s="524"/>
      <c r="AC152" s="524"/>
      <c r="AD152" s="524"/>
      <c r="AE152" s="524"/>
      <c r="AF152" s="524"/>
      <c r="AG152" s="524"/>
      <c r="AH152" s="524"/>
      <c r="AI152" s="524"/>
      <c r="AJ152" s="524"/>
      <c r="AK152" s="524"/>
      <c r="AL152" s="524"/>
      <c r="AM152" s="524"/>
      <c r="AN152" s="524"/>
      <c r="AO152" s="524"/>
      <c r="AP152" s="524"/>
      <c r="AQ152" s="524"/>
      <c r="AR152" s="524"/>
      <c r="AS152" s="524"/>
      <c r="AT152" s="524"/>
      <c r="AU152" s="524"/>
      <c r="AV152" s="524"/>
      <c r="AW152" s="524"/>
      <c r="AX152" s="524"/>
      <c r="AY152" s="524"/>
      <c r="AZ152" s="524"/>
      <c r="BA152" s="524"/>
      <c r="BB152" s="524"/>
      <c r="BC152" s="524"/>
      <c r="BD152" s="524"/>
      <c r="BE152" s="524"/>
      <c r="BF152" s="524"/>
      <c r="BG152" s="524"/>
      <c r="BH152" s="524"/>
      <c r="BI152" s="524"/>
      <c r="BJ152" s="524"/>
      <c r="BK152" s="524"/>
      <c r="BL152" s="524"/>
      <c r="BM152" s="524"/>
      <c r="BN152" s="524"/>
      <c r="BO152" s="524"/>
      <c r="BP152" s="524"/>
      <c r="BQ152" s="524"/>
      <c r="BR152" s="524"/>
      <c r="BS152" s="524"/>
      <c r="BT152" s="524"/>
      <c r="BU152" s="524"/>
      <c r="BV152" s="524"/>
      <c r="BW152" s="524"/>
      <c r="BX152" s="524"/>
      <c r="BY152" s="524"/>
      <c r="BZ152" s="524"/>
      <c r="CA152" s="524"/>
      <c r="CB152" s="524"/>
      <c r="CC152" s="524"/>
      <c r="CD152" s="524"/>
      <c r="CE152" s="524"/>
      <c r="CF152" s="524"/>
      <c r="CG152" s="524"/>
      <c r="CH152" s="524"/>
      <c r="CI152" s="524"/>
      <c r="CJ152" s="524"/>
      <c r="CK152" s="524"/>
      <c r="CL152" s="524"/>
      <c r="CM152" s="524"/>
      <c r="CN152" s="524"/>
      <c r="CO152" s="524"/>
      <c r="CP152" s="524"/>
      <c r="CQ152" s="524"/>
      <c r="CR152" s="524"/>
      <c r="CS152" s="524"/>
      <c r="CT152" s="524"/>
      <c r="CU152" s="524"/>
      <c r="CV152" s="524"/>
      <c r="CW152" s="524"/>
      <c r="CX152" s="524"/>
      <c r="CY152" s="524"/>
      <c r="CZ152" s="524"/>
      <c r="DA152" s="524"/>
      <c r="DB152" s="524"/>
      <c r="DC152" s="524"/>
      <c r="DD152" s="524"/>
      <c r="DE152" s="524"/>
      <c r="DF152" s="524"/>
      <c r="DG152" s="524"/>
      <c r="DH152" s="524"/>
      <c r="DI152" s="524"/>
      <c r="DJ152" s="524"/>
      <c r="DK152" s="524"/>
      <c r="DL152" s="524"/>
      <c r="DM152" s="524"/>
      <c r="DN152" s="524"/>
      <c r="DO152" s="524"/>
      <c r="DP152" s="524"/>
      <c r="DQ152" s="524"/>
      <c r="DR152" s="524"/>
      <c r="DS152" s="524"/>
      <c r="DT152" s="524"/>
      <c r="DU152" s="524"/>
      <c r="DV152" s="524"/>
      <c r="DW152" s="524"/>
      <c r="DX152" s="524"/>
      <c r="DY152" s="524"/>
      <c r="DZ152" s="524"/>
      <c r="EA152" s="524"/>
      <c r="EB152" s="524"/>
      <c r="EC152" s="524"/>
      <c r="ED152" s="524"/>
      <c r="EE152" s="524"/>
      <c r="EF152" s="524"/>
      <c r="EG152" s="524"/>
      <c r="EH152" s="524"/>
      <c r="EI152" s="524"/>
      <c r="EJ152" s="524"/>
      <c r="EK152" s="524"/>
      <c r="EL152" s="524"/>
      <c r="EM152" s="524"/>
      <c r="EN152" s="524"/>
      <c r="EO152" s="524"/>
      <c r="EP152" s="524"/>
      <c r="EQ152" s="524"/>
      <c r="ER152" s="524"/>
      <c r="ES152" s="524"/>
      <c r="ET152" s="524"/>
      <c r="EU152" s="524"/>
      <c r="EV152" s="524"/>
      <c r="EW152" s="524"/>
      <c r="EX152" s="524"/>
      <c r="EY152" s="524"/>
      <c r="EZ152" s="524"/>
      <c r="FA152" s="524"/>
      <c r="FB152" s="524"/>
      <c r="FC152" s="524"/>
      <c r="FD152" s="524"/>
      <c r="FE152" s="524"/>
      <c r="FF152" s="524"/>
      <c r="FG152" s="524"/>
      <c r="FH152" s="524"/>
      <c r="FI152" s="524"/>
      <c r="FJ152" s="524"/>
      <c r="FK152" s="524"/>
      <c r="FL152" s="524"/>
      <c r="FM152" s="524"/>
      <c r="FN152" s="524"/>
      <c r="FO152" s="524"/>
      <c r="FP152" s="524"/>
      <c r="FQ152" s="524"/>
      <c r="FR152" s="524"/>
      <c r="FS152" s="524"/>
      <c r="FT152" s="524"/>
      <c r="FU152" s="524"/>
      <c r="FV152" s="524"/>
      <c r="FW152" s="524"/>
      <c r="FX152" s="524"/>
      <c r="FY152" s="524"/>
      <c r="FZ152" s="524"/>
      <c r="GA152" s="524"/>
      <c r="GB152" s="524"/>
      <c r="GC152" s="524"/>
      <c r="GD152" s="524"/>
      <c r="GE152" s="524"/>
      <c r="GF152" s="524"/>
      <c r="GG152" s="524"/>
      <c r="GH152" s="524"/>
      <c r="GI152" s="524"/>
      <c r="GJ152" s="524"/>
      <c r="GK152" s="524"/>
      <c r="GL152" s="524"/>
      <c r="GM152" s="524"/>
      <c r="GN152" s="524"/>
      <c r="GO152" s="524"/>
      <c r="GP152" s="524"/>
      <c r="GQ152" s="524"/>
      <c r="GR152" s="524"/>
      <c r="GS152" s="524"/>
      <c r="GT152" s="524"/>
      <c r="GU152" s="524"/>
      <c r="GV152" s="524"/>
      <c r="GW152" s="524"/>
      <c r="GX152" s="524"/>
      <c r="GY152" s="524"/>
      <c r="GZ152" s="524"/>
      <c r="HA152" s="524"/>
      <c r="HB152" s="524"/>
      <c r="HC152" s="524"/>
      <c r="HD152" s="524"/>
      <c r="HE152" s="524"/>
      <c r="HF152" s="524"/>
      <c r="HG152" s="524"/>
      <c r="HH152" s="524"/>
      <c r="HI152" s="524"/>
      <c r="HJ152" s="524"/>
      <c r="HK152" s="524"/>
      <c r="HL152" s="524"/>
      <c r="HM152" s="524"/>
      <c r="HN152" s="524"/>
      <c r="HO152" s="524"/>
      <c r="HP152" s="524"/>
      <c r="HQ152" s="524"/>
      <c r="HR152" s="524"/>
      <c r="HS152" s="524"/>
      <c r="HT152" s="524"/>
      <c r="HU152" s="524"/>
      <c r="HV152" s="524"/>
      <c r="HW152" s="524"/>
      <c r="HX152" s="524"/>
      <c r="HY152" s="524"/>
      <c r="HZ152" s="524"/>
      <c r="IA152" s="524"/>
      <c r="IB152" s="524"/>
      <c r="IC152" s="524"/>
      <c r="ID152" s="524"/>
      <c r="IE152" s="524"/>
      <c r="IF152" s="524"/>
      <c r="IG152" s="524"/>
      <c r="IH152" s="524"/>
      <c r="II152" s="524"/>
      <c r="IJ152" s="524"/>
      <c r="IK152" s="524"/>
      <c r="IL152" s="524"/>
      <c r="IM152" s="524"/>
      <c r="IN152" s="524"/>
      <c r="IO152" s="524"/>
      <c r="IP152" s="524"/>
      <c r="IQ152" s="524"/>
      <c r="IR152" s="524"/>
      <c r="IS152" s="524"/>
      <c r="IT152" s="524"/>
      <c r="IU152" s="524"/>
      <c r="IV152" s="524"/>
      <c r="IW152" s="524"/>
      <c r="IX152" s="524"/>
      <c r="IY152" s="524"/>
      <c r="IZ152" s="524"/>
      <c r="JA152" s="524"/>
      <c r="JB152" s="524"/>
      <c r="JC152" s="524"/>
      <c r="JD152" s="524"/>
      <c r="JE152" s="524"/>
      <c r="JF152" s="524"/>
      <c r="JG152" s="524"/>
      <c r="JH152" s="524"/>
      <c r="JI152" s="524"/>
      <c r="JJ152" s="524"/>
      <c r="JK152" s="524"/>
      <c r="JL152" s="524"/>
      <c r="JM152" s="524"/>
      <c r="JN152" s="524"/>
      <c r="JO152" s="524"/>
      <c r="JP152" s="524"/>
      <c r="JQ152" s="524"/>
      <c r="JR152" s="524"/>
      <c r="JS152" s="524"/>
      <c r="JT152" s="524"/>
      <c r="JU152" s="524"/>
      <c r="JV152" s="524"/>
      <c r="JW152" s="524"/>
      <c r="JX152" s="524"/>
      <c r="JY152" s="524"/>
      <c r="JZ152" s="524"/>
      <c r="KA152" s="524"/>
      <c r="KB152" s="524"/>
      <c r="KC152" s="524"/>
      <c r="KD152" s="524"/>
      <c r="KE152" s="524"/>
      <c r="KF152" s="524"/>
      <c r="KG152" s="524"/>
      <c r="KH152" s="524"/>
      <c r="KI152" s="524"/>
      <c r="KJ152" s="524"/>
      <c r="KK152" s="524"/>
      <c r="KL152" s="524"/>
      <c r="KM152" s="524"/>
      <c r="KN152" s="524"/>
      <c r="KO152" s="524"/>
      <c r="KP152" s="524"/>
      <c r="KQ152" s="524"/>
      <c r="KR152" s="524"/>
      <c r="KS152" s="524"/>
      <c r="KT152" s="524"/>
      <c r="KU152" s="524"/>
      <c r="KV152" s="524"/>
      <c r="KW152" s="524"/>
      <c r="KX152" s="524"/>
      <c r="KY152" s="524"/>
      <c r="KZ152" s="524"/>
      <c r="LA152" s="524"/>
      <c r="LB152" s="524"/>
      <c r="LC152" s="524"/>
      <c r="LD152" s="524"/>
      <c r="LE152" s="524"/>
      <c r="LF152" s="524"/>
      <c r="LG152" s="524"/>
      <c r="LH152" s="524"/>
      <c r="LI152" s="524"/>
      <c r="LJ152" s="524"/>
      <c r="LK152" s="524"/>
      <c r="LL152" s="524"/>
      <c r="LM152" s="524"/>
      <c r="LN152" s="524"/>
      <c r="LO152" s="524"/>
      <c r="LP152" s="524"/>
      <c r="LQ152" s="524"/>
      <c r="LR152" s="524"/>
      <c r="LS152" s="524"/>
      <c r="LT152" s="524"/>
      <c r="LU152" s="524"/>
      <c r="LV152" s="524"/>
      <c r="LW152" s="524"/>
      <c r="LX152" s="524"/>
      <c r="LY152" s="524"/>
      <c r="LZ152" s="524"/>
      <c r="MA152" s="524"/>
      <c r="MB152" s="524"/>
      <c r="MC152" s="524"/>
      <c r="MD152" s="524"/>
      <c r="ME152" s="524"/>
      <c r="MF152" s="524"/>
      <c r="MG152" s="524"/>
      <c r="MH152" s="524"/>
      <c r="MI152" s="524"/>
      <c r="MJ152" s="524"/>
      <c r="MK152" s="524"/>
      <c r="ML152" s="524"/>
      <c r="MM152" s="524"/>
      <c r="MN152" s="524"/>
      <c r="MO152" s="524"/>
      <c r="MP152" s="524"/>
      <c r="MQ152" s="524"/>
      <c r="MR152" s="524"/>
      <c r="MS152" s="524"/>
      <c r="MT152" s="524"/>
      <c r="MU152" s="524"/>
      <c r="MV152" s="524"/>
      <c r="MW152" s="524"/>
      <c r="MX152" s="524"/>
      <c r="MY152" s="524"/>
      <c r="MZ152" s="524"/>
      <c r="NA152" s="524"/>
      <c r="NB152" s="524"/>
      <c r="NC152" s="524"/>
      <c r="ND152" s="524"/>
      <c r="NE152" s="524"/>
      <c r="NF152" s="524"/>
      <c r="NG152" s="524"/>
      <c r="NH152" s="524"/>
      <c r="NI152" s="524"/>
      <c r="NJ152" s="524"/>
      <c r="NK152" s="524"/>
      <c r="NL152" s="524"/>
      <c r="NM152" s="524"/>
      <c r="NN152" s="524"/>
      <c r="NO152" s="524"/>
      <c r="NP152" s="524"/>
      <c r="NQ152" s="524"/>
      <c r="NR152" s="524"/>
      <c r="NS152" s="524"/>
      <c r="NT152" s="524"/>
      <c r="NU152" s="524"/>
      <c r="NV152" s="524"/>
      <c r="NW152" s="524"/>
      <c r="NX152" s="524"/>
      <c r="NY152" s="524"/>
      <c r="NZ152" s="524"/>
      <c r="OA152" s="524"/>
      <c r="OB152" s="524"/>
      <c r="OC152" s="524"/>
      <c r="OD152" s="524"/>
      <c r="OE152" s="524"/>
      <c r="OF152" s="524"/>
      <c r="OG152" s="524"/>
      <c r="OH152" s="524"/>
      <c r="OI152" s="524"/>
      <c r="OJ152" s="524"/>
      <c r="OK152" s="524"/>
      <c r="OL152" s="524"/>
      <c r="OM152" s="524"/>
      <c r="ON152" s="524"/>
      <c r="OO152" s="524"/>
      <c r="OP152" s="524"/>
      <c r="OQ152" s="524"/>
      <c r="OR152" s="524"/>
      <c r="OS152" s="524"/>
      <c r="OT152" s="524"/>
      <c r="OU152" s="524"/>
      <c r="OV152" s="524"/>
      <c r="OW152" s="524"/>
      <c r="OX152" s="524"/>
      <c r="OY152" s="524"/>
      <c r="OZ152" s="524"/>
      <c r="PA152" s="524"/>
      <c r="PB152" s="524"/>
      <c r="PC152" s="524"/>
      <c r="PD152" s="524"/>
      <c r="PE152" s="524"/>
      <c r="PF152" s="524"/>
      <c r="PG152" s="524"/>
      <c r="PH152" s="524"/>
      <c r="PI152" s="524"/>
      <c r="PJ152" s="524"/>
      <c r="PK152" s="524"/>
      <c r="PL152" s="524"/>
      <c r="PM152" s="524"/>
      <c r="PN152" s="524"/>
      <c r="PO152" s="524"/>
      <c r="PP152" s="524"/>
      <c r="PQ152" s="524"/>
      <c r="PR152" s="524"/>
      <c r="PS152" s="524"/>
      <c r="PT152" s="524"/>
      <c r="PU152" s="524"/>
      <c r="PV152" s="524"/>
      <c r="PW152" s="524"/>
      <c r="PX152" s="524"/>
      <c r="PY152" s="524"/>
      <c r="PZ152" s="524"/>
      <c r="QA152" s="524"/>
      <c r="QB152" s="524"/>
      <c r="QC152" s="524"/>
      <c r="QD152" s="524"/>
      <c r="QE152" s="524"/>
      <c r="QF152" s="524"/>
      <c r="QG152" s="524"/>
      <c r="QH152" s="524"/>
      <c r="QI152" s="524"/>
      <c r="QJ152" s="524"/>
    </row>
    <row r="153" spans="1:452" s="588" customFormat="1" ht="18" x14ac:dyDescent="0.35">
      <c r="A153" s="601"/>
      <c r="B153" s="602"/>
      <c r="C153" s="603"/>
      <c r="D153" s="603"/>
      <c r="E153" s="586"/>
      <c r="F153" s="587"/>
      <c r="G153" s="587"/>
      <c r="H153" s="587"/>
      <c r="I153" s="587"/>
      <c r="J153" s="587"/>
      <c r="K153" s="587"/>
      <c r="L153" s="587"/>
      <c r="M153" s="587"/>
      <c r="N153" s="587"/>
      <c r="O153" s="587"/>
      <c r="P153" s="604">
        <f t="shared" ref="P153:P167" si="43">SUM(F153:O153)</f>
        <v>0</v>
      </c>
      <c r="Q153" s="575"/>
      <c r="R153" s="576"/>
      <c r="S153" s="576"/>
      <c r="T153" s="576"/>
      <c r="U153" s="577"/>
      <c r="V153" s="524"/>
      <c r="W153" s="524"/>
      <c r="X153" s="524"/>
      <c r="Y153" s="524"/>
      <c r="Z153" s="524"/>
      <c r="AA153" s="524"/>
      <c r="AB153" s="524"/>
      <c r="AC153" s="524"/>
      <c r="AD153" s="524"/>
      <c r="AE153" s="524"/>
      <c r="AF153" s="524"/>
      <c r="AG153" s="524"/>
      <c r="AH153" s="524"/>
      <c r="AI153" s="524"/>
      <c r="AJ153" s="524"/>
      <c r="AK153" s="524"/>
      <c r="AL153" s="524"/>
      <c r="AM153" s="524"/>
      <c r="AN153" s="524"/>
      <c r="AO153" s="524"/>
      <c r="AP153" s="524"/>
      <c r="AQ153" s="524"/>
      <c r="AR153" s="524"/>
      <c r="AS153" s="524"/>
      <c r="AT153" s="524"/>
      <c r="AU153" s="524"/>
      <c r="AV153" s="524"/>
      <c r="AW153" s="524"/>
      <c r="AX153" s="524"/>
      <c r="AY153" s="524"/>
      <c r="AZ153" s="524"/>
      <c r="BA153" s="524"/>
      <c r="BB153" s="524"/>
      <c r="BC153" s="524"/>
      <c r="BD153" s="524"/>
      <c r="BE153" s="524"/>
      <c r="BF153" s="524"/>
      <c r="BG153" s="524"/>
      <c r="BH153" s="524"/>
      <c r="BI153" s="524"/>
      <c r="BJ153" s="524"/>
      <c r="BK153" s="524"/>
      <c r="BL153" s="524"/>
      <c r="BM153" s="524"/>
      <c r="BN153" s="524"/>
      <c r="BO153" s="524"/>
      <c r="BP153" s="524"/>
      <c r="BQ153" s="524"/>
      <c r="BR153" s="524"/>
      <c r="BS153" s="524"/>
      <c r="BT153" s="524"/>
      <c r="BU153" s="524"/>
      <c r="BV153" s="524"/>
      <c r="BW153" s="524"/>
      <c r="BX153" s="524"/>
      <c r="BY153" s="524"/>
      <c r="BZ153" s="524"/>
      <c r="CA153" s="524"/>
      <c r="CB153" s="524"/>
      <c r="CC153" s="524"/>
      <c r="CD153" s="524"/>
      <c r="CE153" s="524"/>
      <c r="CF153" s="524"/>
      <c r="CG153" s="524"/>
      <c r="CH153" s="524"/>
      <c r="CI153" s="524"/>
      <c r="CJ153" s="524"/>
      <c r="CK153" s="524"/>
      <c r="CL153" s="524"/>
      <c r="CM153" s="524"/>
      <c r="CN153" s="524"/>
      <c r="CO153" s="524"/>
      <c r="CP153" s="524"/>
      <c r="CQ153" s="524"/>
      <c r="CR153" s="524"/>
      <c r="CS153" s="524"/>
      <c r="CT153" s="524"/>
      <c r="CU153" s="524"/>
      <c r="CV153" s="524"/>
      <c r="CW153" s="524"/>
      <c r="CX153" s="524"/>
      <c r="CY153" s="524"/>
      <c r="CZ153" s="524"/>
      <c r="DA153" s="524"/>
      <c r="DB153" s="524"/>
      <c r="DC153" s="524"/>
      <c r="DD153" s="524"/>
      <c r="DE153" s="524"/>
      <c r="DF153" s="524"/>
      <c r="DG153" s="524"/>
      <c r="DH153" s="524"/>
      <c r="DI153" s="524"/>
      <c r="DJ153" s="524"/>
      <c r="DK153" s="524"/>
      <c r="DL153" s="524"/>
      <c r="DM153" s="524"/>
      <c r="DN153" s="524"/>
      <c r="DO153" s="524"/>
      <c r="DP153" s="524"/>
      <c r="DQ153" s="524"/>
      <c r="DR153" s="524"/>
      <c r="DS153" s="524"/>
      <c r="DT153" s="524"/>
      <c r="DU153" s="524"/>
      <c r="DV153" s="524"/>
      <c r="DW153" s="524"/>
      <c r="DX153" s="524"/>
      <c r="DY153" s="524"/>
      <c r="DZ153" s="524"/>
      <c r="EA153" s="524"/>
      <c r="EB153" s="524"/>
      <c r="EC153" s="524"/>
      <c r="ED153" s="524"/>
      <c r="EE153" s="524"/>
      <c r="EF153" s="524"/>
      <c r="EG153" s="524"/>
      <c r="EH153" s="524"/>
      <c r="EI153" s="524"/>
      <c r="EJ153" s="524"/>
      <c r="EK153" s="524"/>
      <c r="EL153" s="524"/>
      <c r="EM153" s="524"/>
      <c r="EN153" s="524"/>
      <c r="EO153" s="524"/>
      <c r="EP153" s="524"/>
      <c r="EQ153" s="524"/>
      <c r="ER153" s="524"/>
      <c r="ES153" s="524"/>
      <c r="ET153" s="524"/>
      <c r="EU153" s="524"/>
      <c r="EV153" s="524"/>
      <c r="EW153" s="524"/>
      <c r="EX153" s="524"/>
      <c r="EY153" s="524"/>
      <c r="EZ153" s="524"/>
      <c r="FA153" s="524"/>
      <c r="FB153" s="524"/>
      <c r="FC153" s="524"/>
      <c r="FD153" s="524"/>
      <c r="FE153" s="524"/>
      <c r="FF153" s="524"/>
      <c r="FG153" s="524"/>
      <c r="FH153" s="524"/>
      <c r="FI153" s="524"/>
      <c r="FJ153" s="524"/>
      <c r="FK153" s="524"/>
      <c r="FL153" s="524"/>
      <c r="FM153" s="524"/>
      <c r="FN153" s="524"/>
      <c r="FO153" s="524"/>
      <c r="FP153" s="524"/>
      <c r="FQ153" s="524"/>
      <c r="FR153" s="524"/>
      <c r="FS153" s="524"/>
      <c r="FT153" s="524"/>
      <c r="FU153" s="524"/>
      <c r="FV153" s="524"/>
      <c r="FW153" s="524"/>
      <c r="FX153" s="524"/>
      <c r="FY153" s="524"/>
      <c r="FZ153" s="524"/>
      <c r="GA153" s="524"/>
      <c r="GB153" s="524"/>
      <c r="GC153" s="524"/>
      <c r="GD153" s="524"/>
      <c r="GE153" s="524"/>
      <c r="GF153" s="524"/>
      <c r="GG153" s="524"/>
      <c r="GH153" s="524"/>
      <c r="GI153" s="524"/>
      <c r="GJ153" s="524"/>
      <c r="GK153" s="524"/>
      <c r="GL153" s="524"/>
      <c r="GM153" s="524"/>
      <c r="GN153" s="524"/>
      <c r="GO153" s="524"/>
      <c r="GP153" s="524"/>
      <c r="GQ153" s="524"/>
      <c r="GR153" s="524"/>
      <c r="GS153" s="524"/>
      <c r="GT153" s="524"/>
      <c r="GU153" s="524"/>
      <c r="GV153" s="524"/>
      <c r="GW153" s="524"/>
      <c r="GX153" s="524"/>
      <c r="GY153" s="524"/>
      <c r="GZ153" s="524"/>
      <c r="HA153" s="524"/>
      <c r="HB153" s="524"/>
      <c r="HC153" s="524"/>
      <c r="HD153" s="524"/>
      <c r="HE153" s="524"/>
      <c r="HF153" s="524"/>
      <c r="HG153" s="524"/>
      <c r="HH153" s="524"/>
      <c r="HI153" s="524"/>
      <c r="HJ153" s="524"/>
      <c r="HK153" s="524"/>
      <c r="HL153" s="524"/>
      <c r="HM153" s="524"/>
      <c r="HN153" s="524"/>
      <c r="HO153" s="524"/>
      <c r="HP153" s="524"/>
      <c r="HQ153" s="524"/>
      <c r="HR153" s="524"/>
      <c r="HS153" s="524"/>
      <c r="HT153" s="524"/>
      <c r="HU153" s="524"/>
      <c r="HV153" s="524"/>
      <c r="HW153" s="524"/>
      <c r="HX153" s="524"/>
      <c r="HY153" s="524"/>
      <c r="HZ153" s="524"/>
      <c r="IA153" s="524"/>
      <c r="IB153" s="524"/>
      <c r="IC153" s="524"/>
      <c r="ID153" s="524"/>
      <c r="IE153" s="524"/>
      <c r="IF153" s="524"/>
      <c r="IG153" s="524"/>
      <c r="IH153" s="524"/>
      <c r="II153" s="524"/>
      <c r="IJ153" s="524"/>
      <c r="IK153" s="524"/>
      <c r="IL153" s="524"/>
      <c r="IM153" s="524"/>
      <c r="IN153" s="524"/>
      <c r="IO153" s="524"/>
      <c r="IP153" s="524"/>
      <c r="IQ153" s="524"/>
      <c r="IR153" s="524"/>
      <c r="IS153" s="524"/>
      <c r="IT153" s="524"/>
      <c r="IU153" s="524"/>
      <c r="IV153" s="524"/>
      <c r="IW153" s="524"/>
      <c r="IX153" s="524"/>
      <c r="IY153" s="524"/>
      <c r="IZ153" s="524"/>
      <c r="JA153" s="524"/>
      <c r="JB153" s="524"/>
      <c r="JC153" s="524"/>
      <c r="JD153" s="524"/>
      <c r="JE153" s="524"/>
      <c r="JF153" s="524"/>
      <c r="JG153" s="524"/>
      <c r="JH153" s="524"/>
      <c r="JI153" s="524"/>
      <c r="JJ153" s="524"/>
      <c r="JK153" s="524"/>
      <c r="JL153" s="524"/>
      <c r="JM153" s="524"/>
      <c r="JN153" s="524"/>
      <c r="JO153" s="524"/>
      <c r="JP153" s="524"/>
      <c r="JQ153" s="524"/>
      <c r="JR153" s="524"/>
      <c r="JS153" s="524"/>
      <c r="JT153" s="524"/>
      <c r="JU153" s="524"/>
      <c r="JV153" s="524"/>
      <c r="JW153" s="524"/>
      <c r="JX153" s="524"/>
      <c r="JY153" s="524"/>
      <c r="JZ153" s="524"/>
      <c r="KA153" s="524"/>
      <c r="KB153" s="524"/>
      <c r="KC153" s="524"/>
      <c r="KD153" s="524"/>
      <c r="KE153" s="524"/>
      <c r="KF153" s="524"/>
      <c r="KG153" s="524"/>
      <c r="KH153" s="524"/>
      <c r="KI153" s="524"/>
      <c r="KJ153" s="524"/>
      <c r="KK153" s="524"/>
      <c r="KL153" s="524"/>
      <c r="KM153" s="524"/>
      <c r="KN153" s="524"/>
      <c r="KO153" s="524"/>
      <c r="KP153" s="524"/>
      <c r="KQ153" s="524"/>
      <c r="KR153" s="524"/>
      <c r="KS153" s="524"/>
      <c r="KT153" s="524"/>
      <c r="KU153" s="524"/>
      <c r="KV153" s="524"/>
      <c r="KW153" s="524"/>
      <c r="KX153" s="524"/>
      <c r="KY153" s="524"/>
      <c r="KZ153" s="524"/>
      <c r="LA153" s="524"/>
      <c r="LB153" s="524"/>
      <c r="LC153" s="524"/>
      <c r="LD153" s="524"/>
      <c r="LE153" s="524"/>
      <c r="LF153" s="524"/>
      <c r="LG153" s="524"/>
      <c r="LH153" s="524"/>
      <c r="LI153" s="524"/>
      <c r="LJ153" s="524"/>
      <c r="LK153" s="524"/>
      <c r="LL153" s="524"/>
      <c r="LM153" s="524"/>
      <c r="LN153" s="524"/>
      <c r="LO153" s="524"/>
      <c r="LP153" s="524"/>
      <c r="LQ153" s="524"/>
      <c r="LR153" s="524"/>
      <c r="LS153" s="524"/>
      <c r="LT153" s="524"/>
      <c r="LU153" s="524"/>
      <c r="LV153" s="524"/>
      <c r="LW153" s="524"/>
      <c r="LX153" s="524"/>
      <c r="LY153" s="524"/>
      <c r="LZ153" s="524"/>
      <c r="MA153" s="524"/>
      <c r="MB153" s="524"/>
      <c r="MC153" s="524"/>
      <c r="MD153" s="524"/>
      <c r="ME153" s="524"/>
      <c r="MF153" s="524"/>
      <c r="MG153" s="524"/>
      <c r="MH153" s="524"/>
      <c r="MI153" s="524"/>
      <c r="MJ153" s="524"/>
      <c r="MK153" s="524"/>
      <c r="ML153" s="524"/>
      <c r="MM153" s="524"/>
      <c r="MN153" s="524"/>
      <c r="MO153" s="524"/>
      <c r="MP153" s="524"/>
      <c r="MQ153" s="524"/>
      <c r="MR153" s="524"/>
      <c r="MS153" s="524"/>
      <c r="MT153" s="524"/>
      <c r="MU153" s="524"/>
      <c r="MV153" s="524"/>
      <c r="MW153" s="524"/>
      <c r="MX153" s="524"/>
      <c r="MY153" s="524"/>
      <c r="MZ153" s="524"/>
      <c r="NA153" s="524"/>
      <c r="NB153" s="524"/>
      <c r="NC153" s="524"/>
      <c r="ND153" s="524"/>
      <c r="NE153" s="524"/>
      <c r="NF153" s="524"/>
      <c r="NG153" s="524"/>
      <c r="NH153" s="524"/>
      <c r="NI153" s="524"/>
      <c r="NJ153" s="524"/>
      <c r="NK153" s="524"/>
      <c r="NL153" s="524"/>
      <c r="NM153" s="524"/>
      <c r="NN153" s="524"/>
      <c r="NO153" s="524"/>
      <c r="NP153" s="524"/>
      <c r="NQ153" s="524"/>
      <c r="NR153" s="524"/>
      <c r="NS153" s="524"/>
      <c r="NT153" s="524"/>
      <c r="NU153" s="524"/>
      <c r="NV153" s="524"/>
      <c r="NW153" s="524"/>
      <c r="NX153" s="524"/>
      <c r="NY153" s="524"/>
      <c r="NZ153" s="524"/>
      <c r="OA153" s="524"/>
      <c r="OB153" s="524"/>
      <c r="OC153" s="524"/>
      <c r="OD153" s="524"/>
      <c r="OE153" s="524"/>
      <c r="OF153" s="524"/>
      <c r="OG153" s="524"/>
      <c r="OH153" s="524"/>
      <c r="OI153" s="524"/>
      <c r="OJ153" s="524"/>
      <c r="OK153" s="524"/>
      <c r="OL153" s="524"/>
      <c r="OM153" s="524"/>
      <c r="ON153" s="524"/>
      <c r="OO153" s="524"/>
      <c r="OP153" s="524"/>
      <c r="OQ153" s="524"/>
      <c r="OR153" s="524"/>
      <c r="OS153" s="524"/>
      <c r="OT153" s="524"/>
      <c r="OU153" s="524"/>
      <c r="OV153" s="524"/>
      <c r="OW153" s="524"/>
      <c r="OX153" s="524"/>
      <c r="OY153" s="524"/>
      <c r="OZ153" s="524"/>
      <c r="PA153" s="524"/>
      <c r="PB153" s="524"/>
      <c r="PC153" s="524"/>
      <c r="PD153" s="524"/>
      <c r="PE153" s="524"/>
      <c r="PF153" s="524"/>
      <c r="PG153" s="524"/>
      <c r="PH153" s="524"/>
      <c r="PI153" s="524"/>
      <c r="PJ153" s="524"/>
      <c r="PK153" s="524"/>
      <c r="PL153" s="524"/>
      <c r="PM153" s="524"/>
      <c r="PN153" s="524"/>
      <c r="PO153" s="524"/>
      <c r="PP153" s="524"/>
      <c r="PQ153" s="524"/>
      <c r="PR153" s="524"/>
      <c r="PS153" s="524"/>
      <c r="PT153" s="524"/>
      <c r="PU153" s="524"/>
      <c r="PV153" s="524"/>
      <c r="PW153" s="524"/>
      <c r="PX153" s="524"/>
      <c r="PY153" s="524"/>
      <c r="PZ153" s="524"/>
      <c r="QA153" s="524"/>
      <c r="QB153" s="524"/>
      <c r="QC153" s="524"/>
      <c r="QD153" s="524"/>
      <c r="QE153" s="524"/>
      <c r="QF153" s="524"/>
      <c r="QG153" s="524"/>
      <c r="QH153" s="524"/>
      <c r="QI153" s="524"/>
      <c r="QJ153" s="524"/>
    </row>
    <row r="154" spans="1:452" s="617" customFormat="1" ht="18" x14ac:dyDescent="0.35">
      <c r="A154" s="611"/>
      <c r="B154" s="612" t="s">
        <v>108</v>
      </c>
      <c r="C154" s="613"/>
      <c r="D154" s="613"/>
      <c r="E154" s="614"/>
      <c r="F154" s="615">
        <f>F160+F168+F176+F184</f>
        <v>0</v>
      </c>
      <c r="G154" s="615">
        <f t="shared" ref="G154:O154" si="44">G160+G168+G176+G184</f>
        <v>0</v>
      </c>
      <c r="H154" s="615">
        <f t="shared" si="44"/>
        <v>0</v>
      </c>
      <c r="I154" s="615">
        <f t="shared" si="44"/>
        <v>0</v>
      </c>
      <c r="J154" s="615">
        <f t="shared" si="44"/>
        <v>0</v>
      </c>
      <c r="K154" s="615">
        <f t="shared" si="44"/>
        <v>0</v>
      </c>
      <c r="L154" s="615">
        <f t="shared" si="44"/>
        <v>0</v>
      </c>
      <c r="M154" s="615">
        <f t="shared" si="44"/>
        <v>0</v>
      </c>
      <c r="N154" s="615">
        <f t="shared" si="44"/>
        <v>0</v>
      </c>
      <c r="O154" s="615">
        <f t="shared" si="44"/>
        <v>0</v>
      </c>
      <c r="P154" s="616">
        <f t="shared" si="43"/>
        <v>0</v>
      </c>
      <c r="Q154" s="575"/>
      <c r="R154" s="576"/>
      <c r="S154" s="576"/>
      <c r="T154" s="576"/>
      <c r="U154" s="577"/>
    </row>
    <row r="155" spans="1:452" s="588" customFormat="1" ht="18" x14ac:dyDescent="0.35">
      <c r="A155" s="601"/>
      <c r="B155" s="602"/>
      <c r="C155" s="603"/>
      <c r="D155" s="603"/>
      <c r="E155" s="586"/>
      <c r="F155" s="587"/>
      <c r="G155" s="587"/>
      <c r="H155" s="587"/>
      <c r="I155" s="587"/>
      <c r="J155" s="587"/>
      <c r="K155" s="587"/>
      <c r="L155" s="587"/>
      <c r="M155" s="587"/>
      <c r="N155" s="587"/>
      <c r="O155" s="587"/>
      <c r="P155" s="604">
        <f t="shared" si="43"/>
        <v>0</v>
      </c>
      <c r="Q155" s="575"/>
      <c r="R155" s="576"/>
      <c r="S155" s="576"/>
      <c r="T155" s="576"/>
      <c r="U155" s="577"/>
      <c r="V155" s="524"/>
      <c r="W155" s="524"/>
      <c r="X155" s="524"/>
      <c r="Y155" s="524"/>
      <c r="Z155" s="524"/>
      <c r="AA155" s="524"/>
      <c r="AB155" s="524"/>
      <c r="AC155" s="524"/>
      <c r="AD155" s="524"/>
      <c r="AE155" s="524"/>
      <c r="AF155" s="524"/>
      <c r="AG155" s="524"/>
      <c r="AH155" s="524"/>
      <c r="AI155" s="524"/>
      <c r="AJ155" s="524"/>
      <c r="AK155" s="524"/>
      <c r="AL155" s="524"/>
      <c r="AM155" s="524"/>
      <c r="AN155" s="524"/>
      <c r="AO155" s="524"/>
      <c r="AP155" s="524"/>
      <c r="AQ155" s="524"/>
      <c r="AR155" s="524"/>
      <c r="AS155" s="524"/>
      <c r="AT155" s="524"/>
      <c r="AU155" s="524"/>
      <c r="AV155" s="524"/>
      <c r="AW155" s="524"/>
      <c r="AX155" s="524"/>
      <c r="AY155" s="524"/>
      <c r="AZ155" s="524"/>
      <c r="BA155" s="524"/>
      <c r="BB155" s="524"/>
      <c r="BC155" s="524"/>
      <c r="BD155" s="524"/>
      <c r="BE155" s="524"/>
      <c r="BF155" s="524"/>
      <c r="BG155" s="524"/>
      <c r="BH155" s="524"/>
      <c r="BI155" s="524"/>
      <c r="BJ155" s="524"/>
      <c r="BK155" s="524"/>
      <c r="BL155" s="524"/>
      <c r="BM155" s="524"/>
      <c r="BN155" s="524"/>
      <c r="BO155" s="524"/>
      <c r="BP155" s="524"/>
      <c r="BQ155" s="524"/>
      <c r="BR155" s="524"/>
      <c r="BS155" s="524"/>
      <c r="BT155" s="524"/>
      <c r="BU155" s="524"/>
      <c r="BV155" s="524"/>
      <c r="BW155" s="524"/>
      <c r="BX155" s="524"/>
      <c r="BY155" s="524"/>
      <c r="BZ155" s="524"/>
      <c r="CA155" s="524"/>
      <c r="CB155" s="524"/>
      <c r="CC155" s="524"/>
      <c r="CD155" s="524"/>
      <c r="CE155" s="524"/>
      <c r="CF155" s="524"/>
      <c r="CG155" s="524"/>
      <c r="CH155" s="524"/>
      <c r="CI155" s="524"/>
      <c r="CJ155" s="524"/>
      <c r="CK155" s="524"/>
      <c r="CL155" s="524"/>
      <c r="CM155" s="524"/>
      <c r="CN155" s="524"/>
      <c r="CO155" s="524"/>
      <c r="CP155" s="524"/>
      <c r="CQ155" s="524"/>
      <c r="CR155" s="524"/>
      <c r="CS155" s="524"/>
      <c r="CT155" s="524"/>
      <c r="CU155" s="524"/>
      <c r="CV155" s="524"/>
      <c r="CW155" s="524"/>
      <c r="CX155" s="524"/>
      <c r="CY155" s="524"/>
      <c r="CZ155" s="524"/>
      <c r="DA155" s="524"/>
      <c r="DB155" s="524"/>
      <c r="DC155" s="524"/>
      <c r="DD155" s="524"/>
      <c r="DE155" s="524"/>
      <c r="DF155" s="524"/>
      <c r="DG155" s="524"/>
      <c r="DH155" s="524"/>
      <c r="DI155" s="524"/>
      <c r="DJ155" s="524"/>
      <c r="DK155" s="524"/>
      <c r="DL155" s="524"/>
      <c r="DM155" s="524"/>
      <c r="DN155" s="524"/>
      <c r="DO155" s="524"/>
      <c r="DP155" s="524"/>
      <c r="DQ155" s="524"/>
      <c r="DR155" s="524"/>
      <c r="DS155" s="524"/>
      <c r="DT155" s="524"/>
      <c r="DU155" s="524"/>
      <c r="DV155" s="524"/>
      <c r="DW155" s="524"/>
      <c r="DX155" s="524"/>
      <c r="DY155" s="524"/>
      <c r="DZ155" s="524"/>
      <c r="EA155" s="524"/>
      <c r="EB155" s="524"/>
      <c r="EC155" s="524"/>
      <c r="ED155" s="524"/>
      <c r="EE155" s="524"/>
      <c r="EF155" s="524"/>
      <c r="EG155" s="524"/>
      <c r="EH155" s="524"/>
      <c r="EI155" s="524"/>
      <c r="EJ155" s="524"/>
      <c r="EK155" s="524"/>
      <c r="EL155" s="524"/>
      <c r="EM155" s="524"/>
      <c r="EN155" s="524"/>
      <c r="EO155" s="524"/>
      <c r="EP155" s="524"/>
      <c r="EQ155" s="524"/>
      <c r="ER155" s="524"/>
      <c r="ES155" s="524"/>
      <c r="ET155" s="524"/>
      <c r="EU155" s="524"/>
      <c r="EV155" s="524"/>
      <c r="EW155" s="524"/>
      <c r="EX155" s="524"/>
      <c r="EY155" s="524"/>
      <c r="EZ155" s="524"/>
      <c r="FA155" s="524"/>
      <c r="FB155" s="524"/>
      <c r="FC155" s="524"/>
      <c r="FD155" s="524"/>
      <c r="FE155" s="524"/>
      <c r="FF155" s="524"/>
      <c r="FG155" s="524"/>
      <c r="FH155" s="524"/>
      <c r="FI155" s="524"/>
      <c r="FJ155" s="524"/>
      <c r="FK155" s="524"/>
      <c r="FL155" s="524"/>
      <c r="FM155" s="524"/>
      <c r="FN155" s="524"/>
      <c r="FO155" s="524"/>
      <c r="FP155" s="524"/>
      <c r="FQ155" s="524"/>
      <c r="FR155" s="524"/>
      <c r="FS155" s="524"/>
      <c r="FT155" s="524"/>
      <c r="FU155" s="524"/>
      <c r="FV155" s="524"/>
      <c r="FW155" s="524"/>
      <c r="FX155" s="524"/>
      <c r="FY155" s="524"/>
      <c r="FZ155" s="524"/>
      <c r="GA155" s="524"/>
      <c r="GB155" s="524"/>
      <c r="GC155" s="524"/>
      <c r="GD155" s="524"/>
      <c r="GE155" s="524"/>
      <c r="GF155" s="524"/>
      <c r="GG155" s="524"/>
      <c r="GH155" s="524"/>
      <c r="GI155" s="524"/>
      <c r="GJ155" s="524"/>
      <c r="GK155" s="524"/>
      <c r="GL155" s="524"/>
      <c r="GM155" s="524"/>
      <c r="GN155" s="524"/>
      <c r="GO155" s="524"/>
      <c r="GP155" s="524"/>
      <c r="GQ155" s="524"/>
      <c r="GR155" s="524"/>
      <c r="GS155" s="524"/>
      <c r="GT155" s="524"/>
      <c r="GU155" s="524"/>
      <c r="GV155" s="524"/>
      <c r="GW155" s="524"/>
      <c r="GX155" s="524"/>
      <c r="GY155" s="524"/>
      <c r="GZ155" s="524"/>
      <c r="HA155" s="524"/>
      <c r="HB155" s="524"/>
      <c r="HC155" s="524"/>
      <c r="HD155" s="524"/>
      <c r="HE155" s="524"/>
      <c r="HF155" s="524"/>
      <c r="HG155" s="524"/>
      <c r="HH155" s="524"/>
      <c r="HI155" s="524"/>
      <c r="HJ155" s="524"/>
      <c r="HK155" s="524"/>
      <c r="HL155" s="524"/>
      <c r="HM155" s="524"/>
      <c r="HN155" s="524"/>
      <c r="HO155" s="524"/>
      <c r="HP155" s="524"/>
      <c r="HQ155" s="524"/>
      <c r="HR155" s="524"/>
      <c r="HS155" s="524"/>
      <c r="HT155" s="524"/>
      <c r="HU155" s="524"/>
      <c r="HV155" s="524"/>
      <c r="HW155" s="524"/>
      <c r="HX155" s="524"/>
      <c r="HY155" s="524"/>
      <c r="HZ155" s="524"/>
      <c r="IA155" s="524"/>
      <c r="IB155" s="524"/>
      <c r="IC155" s="524"/>
      <c r="ID155" s="524"/>
      <c r="IE155" s="524"/>
      <c r="IF155" s="524"/>
      <c r="IG155" s="524"/>
      <c r="IH155" s="524"/>
      <c r="II155" s="524"/>
      <c r="IJ155" s="524"/>
      <c r="IK155" s="524"/>
      <c r="IL155" s="524"/>
      <c r="IM155" s="524"/>
      <c r="IN155" s="524"/>
      <c r="IO155" s="524"/>
      <c r="IP155" s="524"/>
      <c r="IQ155" s="524"/>
      <c r="IR155" s="524"/>
      <c r="IS155" s="524"/>
      <c r="IT155" s="524"/>
      <c r="IU155" s="524"/>
      <c r="IV155" s="524"/>
      <c r="IW155" s="524"/>
      <c r="IX155" s="524"/>
      <c r="IY155" s="524"/>
      <c r="IZ155" s="524"/>
      <c r="JA155" s="524"/>
      <c r="JB155" s="524"/>
      <c r="JC155" s="524"/>
      <c r="JD155" s="524"/>
      <c r="JE155" s="524"/>
      <c r="JF155" s="524"/>
      <c r="JG155" s="524"/>
      <c r="JH155" s="524"/>
      <c r="JI155" s="524"/>
      <c r="JJ155" s="524"/>
      <c r="JK155" s="524"/>
      <c r="JL155" s="524"/>
      <c r="JM155" s="524"/>
      <c r="JN155" s="524"/>
      <c r="JO155" s="524"/>
      <c r="JP155" s="524"/>
      <c r="JQ155" s="524"/>
      <c r="JR155" s="524"/>
      <c r="JS155" s="524"/>
      <c r="JT155" s="524"/>
      <c r="JU155" s="524"/>
      <c r="JV155" s="524"/>
      <c r="JW155" s="524"/>
      <c r="JX155" s="524"/>
      <c r="JY155" s="524"/>
      <c r="JZ155" s="524"/>
      <c r="KA155" s="524"/>
      <c r="KB155" s="524"/>
      <c r="KC155" s="524"/>
      <c r="KD155" s="524"/>
      <c r="KE155" s="524"/>
      <c r="KF155" s="524"/>
      <c r="KG155" s="524"/>
      <c r="KH155" s="524"/>
      <c r="KI155" s="524"/>
      <c r="KJ155" s="524"/>
      <c r="KK155" s="524"/>
      <c r="KL155" s="524"/>
      <c r="KM155" s="524"/>
      <c r="KN155" s="524"/>
      <c r="KO155" s="524"/>
      <c r="KP155" s="524"/>
      <c r="KQ155" s="524"/>
      <c r="KR155" s="524"/>
      <c r="KS155" s="524"/>
      <c r="KT155" s="524"/>
      <c r="KU155" s="524"/>
      <c r="KV155" s="524"/>
      <c r="KW155" s="524"/>
      <c r="KX155" s="524"/>
      <c r="KY155" s="524"/>
      <c r="KZ155" s="524"/>
      <c r="LA155" s="524"/>
      <c r="LB155" s="524"/>
      <c r="LC155" s="524"/>
      <c r="LD155" s="524"/>
      <c r="LE155" s="524"/>
      <c r="LF155" s="524"/>
      <c r="LG155" s="524"/>
      <c r="LH155" s="524"/>
      <c r="LI155" s="524"/>
      <c r="LJ155" s="524"/>
      <c r="LK155" s="524"/>
      <c r="LL155" s="524"/>
      <c r="LM155" s="524"/>
      <c r="LN155" s="524"/>
      <c r="LO155" s="524"/>
      <c r="LP155" s="524"/>
      <c r="LQ155" s="524"/>
      <c r="LR155" s="524"/>
      <c r="LS155" s="524"/>
      <c r="LT155" s="524"/>
      <c r="LU155" s="524"/>
      <c r="LV155" s="524"/>
      <c r="LW155" s="524"/>
      <c r="LX155" s="524"/>
      <c r="LY155" s="524"/>
      <c r="LZ155" s="524"/>
      <c r="MA155" s="524"/>
      <c r="MB155" s="524"/>
      <c r="MC155" s="524"/>
      <c r="MD155" s="524"/>
      <c r="ME155" s="524"/>
      <c r="MF155" s="524"/>
      <c r="MG155" s="524"/>
      <c r="MH155" s="524"/>
      <c r="MI155" s="524"/>
      <c r="MJ155" s="524"/>
      <c r="MK155" s="524"/>
      <c r="ML155" s="524"/>
      <c r="MM155" s="524"/>
      <c r="MN155" s="524"/>
      <c r="MO155" s="524"/>
      <c r="MP155" s="524"/>
      <c r="MQ155" s="524"/>
      <c r="MR155" s="524"/>
      <c r="MS155" s="524"/>
      <c r="MT155" s="524"/>
      <c r="MU155" s="524"/>
      <c r="MV155" s="524"/>
      <c r="MW155" s="524"/>
      <c r="MX155" s="524"/>
      <c r="MY155" s="524"/>
      <c r="MZ155" s="524"/>
      <c r="NA155" s="524"/>
      <c r="NB155" s="524"/>
      <c r="NC155" s="524"/>
      <c r="ND155" s="524"/>
      <c r="NE155" s="524"/>
      <c r="NF155" s="524"/>
      <c r="NG155" s="524"/>
      <c r="NH155" s="524"/>
      <c r="NI155" s="524"/>
      <c r="NJ155" s="524"/>
      <c r="NK155" s="524"/>
      <c r="NL155" s="524"/>
      <c r="NM155" s="524"/>
      <c r="NN155" s="524"/>
      <c r="NO155" s="524"/>
      <c r="NP155" s="524"/>
      <c r="NQ155" s="524"/>
      <c r="NR155" s="524"/>
      <c r="NS155" s="524"/>
      <c r="NT155" s="524"/>
      <c r="NU155" s="524"/>
      <c r="NV155" s="524"/>
      <c r="NW155" s="524"/>
      <c r="NX155" s="524"/>
      <c r="NY155" s="524"/>
      <c r="NZ155" s="524"/>
      <c r="OA155" s="524"/>
      <c r="OB155" s="524"/>
      <c r="OC155" s="524"/>
      <c r="OD155" s="524"/>
      <c r="OE155" s="524"/>
      <c r="OF155" s="524"/>
      <c r="OG155" s="524"/>
      <c r="OH155" s="524"/>
      <c r="OI155" s="524"/>
      <c r="OJ155" s="524"/>
      <c r="OK155" s="524"/>
      <c r="OL155" s="524"/>
      <c r="OM155" s="524"/>
      <c r="ON155" s="524"/>
      <c r="OO155" s="524"/>
      <c r="OP155" s="524"/>
      <c r="OQ155" s="524"/>
      <c r="OR155" s="524"/>
      <c r="OS155" s="524"/>
      <c r="OT155" s="524"/>
      <c r="OU155" s="524"/>
      <c r="OV155" s="524"/>
      <c r="OW155" s="524"/>
      <c r="OX155" s="524"/>
      <c r="OY155" s="524"/>
      <c r="OZ155" s="524"/>
      <c r="PA155" s="524"/>
      <c r="PB155" s="524"/>
      <c r="PC155" s="524"/>
      <c r="PD155" s="524"/>
      <c r="PE155" s="524"/>
      <c r="PF155" s="524"/>
      <c r="PG155" s="524"/>
      <c r="PH155" s="524"/>
      <c r="PI155" s="524"/>
      <c r="PJ155" s="524"/>
      <c r="PK155" s="524"/>
      <c r="PL155" s="524"/>
      <c r="PM155" s="524"/>
      <c r="PN155" s="524"/>
      <c r="PO155" s="524"/>
      <c r="PP155" s="524"/>
      <c r="PQ155" s="524"/>
      <c r="PR155" s="524"/>
      <c r="PS155" s="524"/>
      <c r="PT155" s="524"/>
      <c r="PU155" s="524"/>
      <c r="PV155" s="524"/>
      <c r="PW155" s="524"/>
      <c r="PX155" s="524"/>
      <c r="PY155" s="524"/>
      <c r="PZ155" s="524"/>
      <c r="QA155" s="524"/>
      <c r="QB155" s="524"/>
      <c r="QC155" s="524"/>
      <c r="QD155" s="524"/>
      <c r="QE155" s="524"/>
      <c r="QF155" s="524"/>
      <c r="QG155" s="524"/>
      <c r="QH155" s="524"/>
      <c r="QI155" s="524"/>
      <c r="QJ155" s="524"/>
    </row>
    <row r="156" spans="1:452" s="592" customFormat="1" ht="18" x14ac:dyDescent="0.35">
      <c r="A156" s="618"/>
      <c r="B156" s="619"/>
      <c r="C156" s="620"/>
      <c r="D156" s="619" t="s">
        <v>109</v>
      </c>
      <c r="E156" s="621"/>
      <c r="F156" s="622" cm="1">
        <f t="array" ref="F156">SUMPRODUCT(F$14:F$43,--($D$14:$D$43=$D156),--($Q$14:$Q$43=FALSE),$S$14:$S$43,--($S$14:$S$43&gt;0))+SUMPRODUCT(F$14:F$43,--($D$14:$D$43=$D156),--($Q$14:$Q$43=FALSE),$S$14:$S$43,--($S$14:$S$43&gt;0),--($R$14:$R$43="Yes"))*0.1+SUMPRODUCT(F$14:F$43,--($D$14:$D$43=$D156),--($Q$14:$Q$43=FALSE),--($S$14:$S$43=0))+SUMPRODUCT(F$14:F$43,--($D$14:$D$43=$D156),--($Q$14:$Q$43=FALSE),--($R$14:$R$43="Yes"),--($S$14:$S$43=0))*0.1</f>
        <v>0</v>
      </c>
      <c r="G156" s="622" cm="1">
        <f t="array" ref="G156">SUMPRODUCT(G$14:G$43,--($D$14:$D$43=$D156),--($Q$14:$Q$43=FALSE),$S$14:$S$43,--($S$14:$S$43&gt;0))+SUMPRODUCT(G$14:G$43,--($D$14:$D$43=$D156),--($Q$14:$Q$43=FALSE),$S$14:$S$43,--($S$14:$S$43&gt;0),--($R$14:$R$43="Yes"))*0.1+SUMPRODUCT(G$14:G$43,--($D$14:$D$43=$D156),--($Q$14:$Q$43=FALSE),--($S$14:$S$43=0))+SUMPRODUCT(G$14:G$43,--($D$14:$D$43=$D156),--($Q$14:$Q$43=FALSE),--($R$14:$R$43="Yes"),--($S$14:$S$43=0))*0.1</f>
        <v>0</v>
      </c>
      <c r="H156" s="622" cm="1">
        <f t="array" ref="H156">SUMPRODUCT(H$14:H$43,--($D$14:$D$43=$D156),--($Q$14:$Q$43=FALSE),$S$14:$S$43,--($S$14:$S$43&gt;0))+SUMPRODUCT(H$14:H$43,--($D$14:$D$43=$D156),--($Q$14:$Q$43=FALSE),$S$14:$S$43,--($S$14:$S$43&gt;0),--($R$14:$R$43="Yes"))*0.1+SUMPRODUCT(H$14:H$43,--($D$14:$D$43=$D156),--($Q$14:$Q$43=FALSE),--($S$14:$S$43=0))+SUMPRODUCT(H$14:H$43,--($D$14:$D$43=$D156),--($Q$14:$Q$43=FALSE),--($R$14:$R$43="Yes"),--($S$14:$S$43=0))*0.1</f>
        <v>0</v>
      </c>
      <c r="I156" s="622" cm="1">
        <f t="array" ref="I156">SUMPRODUCT(I$14:I$43,--($D$14:$D$43=$D156),--($Q$14:$Q$43=FALSE),$S$14:$S$43,--($S$14:$S$43&gt;0))+SUMPRODUCT(I$14:I$43,--($D$14:$D$43=$D156),--($Q$14:$Q$43=FALSE),$S$14:$S$43,--($S$14:$S$43&gt;0),--($R$14:$R$43="Yes"))*0.1+SUMPRODUCT(I$14:I$43,--($D$14:$D$43=$D156),--($Q$14:$Q$43=FALSE),--($S$14:$S$43=0))+SUMPRODUCT(I$14:I$43,--($D$14:$D$43=$D156),--($Q$14:$Q$43=FALSE),--($R$14:$R$43="Yes"),--($S$14:$S$43=0))*0.1</f>
        <v>0</v>
      </c>
      <c r="J156" s="622" cm="1">
        <f t="array" ref="J156">SUMPRODUCT(J$14:J$43,--($D$14:$D$43=$D156),--($Q$14:$Q$43=FALSE),$S$14:$S$43,--($S$14:$S$43&gt;0))+SUMPRODUCT(J$14:J$43,--($D$14:$D$43=$D156),--($Q$14:$Q$43=FALSE),$S$14:$S$43,--($S$14:$S$43&gt;0),--($R$14:$R$43="Yes"))*0.1+SUMPRODUCT(J$14:J$43,--($D$14:$D$43=$D156),--($Q$14:$Q$43=FALSE),--($S$14:$S$43=0))+SUMPRODUCT(J$14:J$43,--($D$14:$D$43=$D156),--($Q$14:$Q$43=FALSE),--($R$14:$R$43="Yes"),--($S$14:$S$43=0))*0.1</f>
        <v>0</v>
      </c>
      <c r="K156" s="622" cm="1">
        <f t="array" ref="K156">SUMPRODUCT(K$14:K$43,--($D$14:$D$43=$D156),--($Q$14:$Q$43=FALSE),$S$14:$S$43,--($S$14:$S$43&gt;0))+SUMPRODUCT(K$14:K$43,--($D$14:$D$43=$D156),--($Q$14:$Q$43=FALSE),$S$14:$S$43,--($S$14:$S$43&gt;0),--($R$14:$R$43="Yes"))*0.1+SUMPRODUCT(K$14:K$43,--($D$14:$D$43=$D156),--($Q$14:$Q$43=FALSE),--($S$14:$S$43=0))+SUMPRODUCT(K$14:K$43,--($D$14:$D$43=$D156),--($Q$14:$Q$43=FALSE),--($R$14:$R$43="Yes"),--($S$14:$S$43=0))*0.1</f>
        <v>0</v>
      </c>
      <c r="L156" s="622" cm="1">
        <f t="array" ref="L156">SUMPRODUCT(L$14:L$43,--($D$14:$D$43=$D156),--($Q$14:$Q$43=FALSE),$S$14:$S$43,--($S$14:$S$43&gt;0))+SUMPRODUCT(L$14:L$43,--($D$14:$D$43=$D156),--($Q$14:$Q$43=FALSE),$S$14:$S$43,--($S$14:$S$43&gt;0),--($R$14:$R$43="Yes"))*0.1+SUMPRODUCT(L$14:L$43,--($D$14:$D$43=$D156),--($Q$14:$Q$43=FALSE),--($S$14:$S$43=0))+SUMPRODUCT(L$14:L$43,--($D$14:$D$43=$D156),--($Q$14:$Q$43=FALSE),--($R$14:$R$43="Yes"),--($S$14:$S$43=0))*0.1</f>
        <v>0</v>
      </c>
      <c r="M156" s="622" cm="1">
        <f t="array" ref="M156">SUMPRODUCT(M$14:M$43,--($D$14:$D$43=$D156),--($Q$14:$Q$43=FALSE),$S$14:$S$43,--($S$14:$S$43&gt;0))+SUMPRODUCT(M$14:M$43,--($D$14:$D$43=$D156),--($Q$14:$Q$43=FALSE),$S$14:$S$43,--($S$14:$S$43&gt;0),--($R$14:$R$43="Yes"))*0.1+SUMPRODUCT(M$14:M$43,--($D$14:$D$43=$D156),--($Q$14:$Q$43=FALSE),--($S$14:$S$43=0))+SUMPRODUCT(M$14:M$43,--($D$14:$D$43=$D156),--($Q$14:$Q$43=FALSE),--($R$14:$R$43="Yes"),--($S$14:$S$43=0))*0.1</f>
        <v>0</v>
      </c>
      <c r="N156" s="622" cm="1">
        <f t="array" ref="N156">SUMPRODUCT(N$14:N$43,--($D$14:$D$43=$D156),--($Q$14:$Q$43=FALSE),$S$14:$S$43,--($S$14:$S$43&gt;0))+SUMPRODUCT(N$14:N$43,--($D$14:$D$43=$D156),--($Q$14:$Q$43=FALSE),$S$14:$S$43,--($S$14:$S$43&gt;0),--($R$14:$R$43="Yes"))*0.1+SUMPRODUCT(N$14:N$43,--($D$14:$D$43=$D156),--($Q$14:$Q$43=FALSE),--($S$14:$S$43=0))+SUMPRODUCT(N$14:N$43,--($D$14:$D$43=$D156),--($Q$14:$Q$43=FALSE),--($R$14:$R$43="Yes"),--($S$14:$S$43=0))*0.1</f>
        <v>0</v>
      </c>
      <c r="O156" s="622" cm="1">
        <f t="array" ref="O156">SUMPRODUCT(O$14:O$43,--($D$14:$D$43=$D156),--($Q$14:$Q$43=FALSE),$S$14:$S$43,--($S$14:$S$43&gt;0))+SUMPRODUCT(O$14:O$43,--($D$14:$D$43=$D156),--($Q$14:$Q$43=FALSE),$S$14:$S$43,--($S$14:$S$43&gt;0),--($R$14:$R$43="Yes"))*0.1+SUMPRODUCT(O$14:O$43,--($D$14:$D$43=$D156),--($Q$14:$Q$43=FALSE),--($S$14:$S$43=0))+SUMPRODUCT(O$14:O$43,--($D$14:$D$43=$D156),--($Q$14:$Q$43=FALSE),--($R$14:$R$43="Yes"),--($S$14:$S$43=0))*0.1</f>
        <v>0</v>
      </c>
      <c r="P156" s="623">
        <f t="shared" si="43"/>
        <v>0</v>
      </c>
      <c r="Q156" s="575"/>
      <c r="R156" s="576"/>
      <c r="S156" s="576"/>
      <c r="T156" s="576"/>
      <c r="U156" s="577"/>
      <c r="V156" s="610"/>
      <c r="W156" s="610"/>
      <c r="X156" s="610"/>
      <c r="Y156" s="610"/>
      <c r="Z156" s="610"/>
      <c r="AA156" s="610"/>
      <c r="AB156" s="610"/>
      <c r="AC156" s="610"/>
      <c r="AD156" s="610"/>
      <c r="AE156" s="610"/>
      <c r="AF156" s="610"/>
      <c r="AG156" s="610"/>
      <c r="AH156" s="610"/>
      <c r="AI156" s="610"/>
      <c r="AJ156" s="610"/>
      <c r="AK156" s="610"/>
      <c r="AL156" s="610"/>
      <c r="AM156" s="610"/>
      <c r="AN156" s="610"/>
      <c r="AO156" s="610"/>
      <c r="AP156" s="610"/>
      <c r="AQ156" s="610"/>
      <c r="AR156" s="610"/>
      <c r="AS156" s="610"/>
      <c r="AT156" s="610"/>
      <c r="AU156" s="610"/>
      <c r="AV156" s="610"/>
      <c r="AW156" s="610"/>
      <c r="AX156" s="610"/>
      <c r="AY156" s="610"/>
      <c r="AZ156" s="610"/>
      <c r="BA156" s="610"/>
      <c r="BB156" s="610"/>
      <c r="BC156" s="610"/>
      <c r="BD156" s="610"/>
      <c r="BE156" s="610"/>
      <c r="BF156" s="610"/>
      <c r="BG156" s="610"/>
      <c r="BH156" s="610"/>
      <c r="BI156" s="610"/>
      <c r="BJ156" s="610"/>
      <c r="BK156" s="610"/>
      <c r="BL156" s="610"/>
      <c r="BM156" s="610"/>
      <c r="BN156" s="610"/>
      <c r="BO156" s="610"/>
      <c r="BP156" s="610"/>
      <c r="BQ156" s="610"/>
      <c r="BR156" s="610"/>
      <c r="BS156" s="610"/>
      <c r="BT156" s="610"/>
      <c r="BU156" s="610"/>
      <c r="BV156" s="610"/>
      <c r="BW156" s="610"/>
      <c r="BX156" s="610"/>
      <c r="BY156" s="610"/>
      <c r="BZ156" s="610"/>
      <c r="CA156" s="610"/>
      <c r="CB156" s="610"/>
      <c r="CC156" s="610"/>
      <c r="CD156" s="610"/>
      <c r="CE156" s="610"/>
      <c r="CF156" s="610"/>
      <c r="CG156" s="610"/>
      <c r="CH156" s="610"/>
      <c r="CI156" s="610"/>
      <c r="CJ156" s="610"/>
      <c r="CK156" s="610"/>
      <c r="CL156" s="610"/>
      <c r="CM156" s="610"/>
      <c r="CN156" s="610"/>
      <c r="CO156" s="610"/>
      <c r="CP156" s="610"/>
      <c r="CQ156" s="610"/>
      <c r="CR156" s="610"/>
      <c r="CS156" s="610"/>
      <c r="CT156" s="610"/>
      <c r="CU156" s="610"/>
      <c r="CV156" s="610"/>
      <c r="CW156" s="610"/>
      <c r="CX156" s="610"/>
      <c r="CY156" s="610"/>
      <c r="CZ156" s="610"/>
      <c r="DA156" s="610"/>
      <c r="DB156" s="610"/>
      <c r="DC156" s="610"/>
      <c r="DD156" s="610"/>
      <c r="DE156" s="610"/>
      <c r="DF156" s="610"/>
      <c r="DG156" s="610"/>
      <c r="DH156" s="610"/>
      <c r="DI156" s="610"/>
      <c r="DJ156" s="610"/>
      <c r="DK156" s="610"/>
      <c r="DL156" s="610"/>
      <c r="DM156" s="610"/>
      <c r="DN156" s="610"/>
      <c r="DO156" s="610"/>
      <c r="DP156" s="610"/>
      <c r="DQ156" s="610"/>
      <c r="DR156" s="610"/>
      <c r="DS156" s="610"/>
      <c r="DT156" s="610"/>
      <c r="DU156" s="610"/>
      <c r="DV156" s="610"/>
      <c r="DW156" s="610"/>
      <c r="DX156" s="610"/>
      <c r="DY156" s="610"/>
      <c r="DZ156" s="610"/>
      <c r="EA156" s="610"/>
      <c r="EB156" s="610"/>
      <c r="EC156" s="610"/>
      <c r="ED156" s="610"/>
      <c r="EE156" s="610"/>
      <c r="EF156" s="610"/>
      <c r="EG156" s="610"/>
      <c r="EH156" s="610"/>
      <c r="EI156" s="610"/>
      <c r="EJ156" s="610"/>
      <c r="EK156" s="610"/>
      <c r="EL156" s="610"/>
      <c r="EM156" s="610"/>
      <c r="EN156" s="610"/>
      <c r="EO156" s="610"/>
      <c r="EP156" s="610"/>
      <c r="EQ156" s="610"/>
      <c r="ER156" s="610"/>
      <c r="ES156" s="610"/>
      <c r="ET156" s="610"/>
      <c r="EU156" s="610"/>
      <c r="EV156" s="610"/>
      <c r="EW156" s="610"/>
      <c r="EX156" s="610"/>
      <c r="EY156" s="610"/>
      <c r="EZ156" s="610"/>
      <c r="FA156" s="610"/>
      <c r="FB156" s="610"/>
      <c r="FC156" s="610"/>
      <c r="FD156" s="610"/>
      <c r="FE156" s="610"/>
      <c r="FF156" s="610"/>
      <c r="FG156" s="610"/>
      <c r="FH156" s="610"/>
      <c r="FI156" s="610"/>
      <c r="FJ156" s="610"/>
      <c r="FK156" s="610"/>
      <c r="FL156" s="610"/>
      <c r="FM156" s="610"/>
      <c r="FN156" s="610"/>
      <c r="FO156" s="610"/>
      <c r="FP156" s="610"/>
      <c r="FQ156" s="610"/>
      <c r="FR156" s="610"/>
      <c r="FS156" s="610"/>
      <c r="FT156" s="610"/>
      <c r="FU156" s="610"/>
      <c r="FV156" s="610"/>
      <c r="FW156" s="610"/>
      <c r="FX156" s="610"/>
      <c r="FY156" s="610"/>
      <c r="FZ156" s="610"/>
      <c r="GA156" s="610"/>
      <c r="GB156" s="610"/>
      <c r="GC156" s="610"/>
      <c r="GD156" s="610"/>
      <c r="GE156" s="610"/>
      <c r="GF156" s="610"/>
      <c r="GG156" s="610"/>
      <c r="GH156" s="610"/>
      <c r="GI156" s="610"/>
      <c r="GJ156" s="610"/>
      <c r="GK156" s="610"/>
      <c r="GL156" s="610"/>
      <c r="GM156" s="610"/>
      <c r="GN156" s="610"/>
      <c r="GO156" s="610"/>
      <c r="GP156" s="610"/>
      <c r="GQ156" s="610"/>
      <c r="GR156" s="610"/>
      <c r="GS156" s="610"/>
      <c r="GT156" s="610"/>
      <c r="GU156" s="610"/>
      <c r="GV156" s="610"/>
      <c r="GW156" s="610"/>
      <c r="GX156" s="610"/>
      <c r="GY156" s="610"/>
      <c r="GZ156" s="610"/>
      <c r="HA156" s="610"/>
      <c r="HB156" s="610"/>
      <c r="HC156" s="610"/>
      <c r="HD156" s="610"/>
      <c r="HE156" s="610"/>
      <c r="HF156" s="610"/>
      <c r="HG156" s="610"/>
      <c r="HH156" s="610"/>
      <c r="HI156" s="610"/>
      <c r="HJ156" s="610"/>
      <c r="HK156" s="610"/>
      <c r="HL156" s="610"/>
      <c r="HM156" s="610"/>
      <c r="HN156" s="610"/>
      <c r="HO156" s="610"/>
      <c r="HP156" s="610"/>
      <c r="HQ156" s="610"/>
      <c r="HR156" s="610"/>
      <c r="HS156" s="610"/>
      <c r="HT156" s="610"/>
      <c r="HU156" s="610"/>
      <c r="HV156" s="610"/>
      <c r="HW156" s="610"/>
      <c r="HX156" s="610"/>
      <c r="HY156" s="610"/>
      <c r="HZ156" s="610"/>
      <c r="IA156" s="610"/>
      <c r="IB156" s="610"/>
      <c r="IC156" s="610"/>
      <c r="ID156" s="610"/>
      <c r="IE156" s="610"/>
      <c r="IF156" s="610"/>
      <c r="IG156" s="610"/>
      <c r="IH156" s="610"/>
      <c r="II156" s="610"/>
      <c r="IJ156" s="610"/>
      <c r="IK156" s="610"/>
      <c r="IL156" s="610"/>
      <c r="IM156" s="610"/>
      <c r="IN156" s="610"/>
      <c r="IO156" s="610"/>
      <c r="IP156" s="610"/>
      <c r="IQ156" s="610"/>
      <c r="IR156" s="610"/>
      <c r="IS156" s="610"/>
      <c r="IT156" s="610"/>
      <c r="IU156" s="610"/>
      <c r="IV156" s="610"/>
      <c r="IW156" s="610"/>
      <c r="IX156" s="610"/>
      <c r="IY156" s="610"/>
      <c r="IZ156" s="610"/>
      <c r="JA156" s="610"/>
      <c r="JB156" s="610"/>
      <c r="JC156" s="610"/>
      <c r="JD156" s="610"/>
      <c r="JE156" s="610"/>
      <c r="JF156" s="610"/>
      <c r="JG156" s="610"/>
      <c r="JH156" s="610"/>
      <c r="JI156" s="610"/>
      <c r="JJ156" s="610"/>
      <c r="JK156" s="610"/>
      <c r="JL156" s="610"/>
      <c r="JM156" s="610"/>
      <c r="JN156" s="610"/>
      <c r="JO156" s="610"/>
      <c r="JP156" s="610"/>
      <c r="JQ156" s="610"/>
      <c r="JR156" s="610"/>
      <c r="JS156" s="610"/>
      <c r="JT156" s="610"/>
      <c r="JU156" s="610"/>
      <c r="JV156" s="610"/>
      <c r="JW156" s="610"/>
      <c r="JX156" s="610"/>
      <c r="JY156" s="610"/>
      <c r="JZ156" s="610"/>
      <c r="KA156" s="610"/>
      <c r="KB156" s="610"/>
      <c r="KC156" s="610"/>
      <c r="KD156" s="610"/>
      <c r="KE156" s="610"/>
      <c r="KF156" s="610"/>
      <c r="KG156" s="610"/>
      <c r="KH156" s="610"/>
      <c r="KI156" s="610"/>
      <c r="KJ156" s="610"/>
      <c r="KK156" s="610"/>
      <c r="KL156" s="610"/>
      <c r="KM156" s="610"/>
      <c r="KN156" s="610"/>
      <c r="KO156" s="610"/>
      <c r="KP156" s="610"/>
      <c r="KQ156" s="610"/>
      <c r="KR156" s="610"/>
      <c r="KS156" s="610"/>
      <c r="KT156" s="610"/>
      <c r="KU156" s="610"/>
      <c r="KV156" s="610"/>
      <c r="KW156" s="610"/>
      <c r="KX156" s="610"/>
      <c r="KY156" s="610"/>
      <c r="KZ156" s="610"/>
      <c r="LA156" s="610"/>
      <c r="LB156" s="610"/>
      <c r="LC156" s="610"/>
      <c r="LD156" s="610"/>
      <c r="LE156" s="610"/>
      <c r="LF156" s="610"/>
      <c r="LG156" s="610"/>
      <c r="LH156" s="610"/>
      <c r="LI156" s="610"/>
      <c r="LJ156" s="610"/>
      <c r="LK156" s="610"/>
      <c r="LL156" s="610"/>
      <c r="LM156" s="610"/>
      <c r="LN156" s="610"/>
      <c r="LO156" s="610"/>
      <c r="LP156" s="610"/>
      <c r="LQ156" s="610"/>
      <c r="LR156" s="610"/>
      <c r="LS156" s="610"/>
      <c r="LT156" s="610"/>
      <c r="LU156" s="610"/>
      <c r="LV156" s="610"/>
      <c r="LW156" s="610"/>
      <c r="LX156" s="610"/>
      <c r="LY156" s="610"/>
      <c r="LZ156" s="610"/>
      <c r="MA156" s="610"/>
      <c r="MB156" s="610"/>
      <c r="MC156" s="610"/>
      <c r="MD156" s="610"/>
      <c r="ME156" s="610"/>
      <c r="MF156" s="610"/>
      <c r="MG156" s="610"/>
      <c r="MH156" s="610"/>
      <c r="MI156" s="610"/>
      <c r="MJ156" s="610"/>
      <c r="MK156" s="610"/>
      <c r="ML156" s="610"/>
      <c r="MM156" s="610"/>
      <c r="MN156" s="610"/>
      <c r="MO156" s="610"/>
      <c r="MP156" s="610"/>
      <c r="MQ156" s="610"/>
      <c r="MR156" s="610"/>
      <c r="MS156" s="610"/>
      <c r="MT156" s="610"/>
      <c r="MU156" s="610"/>
      <c r="MV156" s="610"/>
      <c r="MW156" s="610"/>
      <c r="MX156" s="610"/>
      <c r="MY156" s="610"/>
      <c r="MZ156" s="610"/>
      <c r="NA156" s="610"/>
      <c r="NB156" s="610"/>
      <c r="NC156" s="610"/>
      <c r="ND156" s="610"/>
      <c r="NE156" s="610"/>
      <c r="NF156" s="610"/>
      <c r="NG156" s="610"/>
      <c r="NH156" s="610"/>
      <c r="NI156" s="610"/>
      <c r="NJ156" s="610"/>
      <c r="NK156" s="610"/>
      <c r="NL156" s="610"/>
      <c r="NM156" s="610"/>
      <c r="NN156" s="610"/>
      <c r="NO156" s="610"/>
      <c r="NP156" s="610"/>
      <c r="NQ156" s="610"/>
      <c r="NR156" s="610"/>
      <c r="NS156" s="610"/>
      <c r="NT156" s="610"/>
      <c r="NU156" s="610"/>
      <c r="NV156" s="610"/>
      <c r="NW156" s="610"/>
      <c r="NX156" s="610"/>
      <c r="NY156" s="610"/>
      <c r="NZ156" s="610"/>
      <c r="OA156" s="610"/>
      <c r="OB156" s="610"/>
      <c r="OC156" s="610"/>
      <c r="OD156" s="610"/>
      <c r="OE156" s="610"/>
      <c r="OF156" s="610"/>
      <c r="OG156" s="610"/>
      <c r="OH156" s="610"/>
      <c r="OI156" s="610"/>
      <c r="OJ156" s="610"/>
      <c r="OK156" s="610"/>
      <c r="OL156" s="610"/>
      <c r="OM156" s="610"/>
      <c r="ON156" s="610"/>
      <c r="OO156" s="610"/>
      <c r="OP156" s="610"/>
      <c r="OQ156" s="610"/>
      <c r="OR156" s="610"/>
      <c r="OS156" s="610"/>
      <c r="OT156" s="610"/>
      <c r="OU156" s="610"/>
      <c r="OV156" s="610"/>
      <c r="OW156" s="610"/>
      <c r="OX156" s="610"/>
      <c r="OY156" s="610"/>
      <c r="OZ156" s="610"/>
      <c r="PA156" s="610"/>
      <c r="PB156" s="610"/>
      <c r="PC156" s="610"/>
      <c r="PD156" s="610"/>
      <c r="PE156" s="610"/>
      <c r="PF156" s="610"/>
      <c r="PG156" s="610"/>
      <c r="PH156" s="610"/>
      <c r="PI156" s="610"/>
      <c r="PJ156" s="610"/>
      <c r="PK156" s="610"/>
      <c r="PL156" s="610"/>
      <c r="PM156" s="610"/>
      <c r="PN156" s="610"/>
      <c r="PO156" s="610"/>
      <c r="PP156" s="610"/>
      <c r="PQ156" s="610"/>
      <c r="PR156" s="610"/>
      <c r="PS156" s="610"/>
      <c r="PT156" s="610"/>
      <c r="PU156" s="610"/>
      <c r="PV156" s="610"/>
      <c r="PW156" s="610"/>
      <c r="PX156" s="610"/>
      <c r="PY156" s="610"/>
      <c r="PZ156" s="610"/>
      <c r="QA156" s="610"/>
      <c r="QB156" s="610"/>
      <c r="QC156" s="610"/>
      <c r="QD156" s="610"/>
      <c r="QE156" s="610"/>
      <c r="QF156" s="610"/>
      <c r="QG156" s="610"/>
      <c r="QH156" s="610"/>
      <c r="QI156" s="610"/>
      <c r="QJ156" s="610"/>
    </row>
    <row r="157" spans="1:452" s="524" customFormat="1" ht="18" x14ac:dyDescent="0.35">
      <c r="A157" s="605"/>
      <c r="B157" s="558"/>
      <c r="C157" s="559"/>
      <c r="D157" s="606"/>
      <c r="E157" s="572" t="s">
        <v>86</v>
      </c>
      <c r="F157" s="571" cm="1">
        <f t="array" ref="F157">SUMPRODUCT(F$14:F$43,--($Q$14:$Q$43=FALSE),--($D$14:$D$43=$D156))</f>
        <v>0</v>
      </c>
      <c r="G157" s="571" cm="1">
        <f t="array" ref="G157">SUMPRODUCT(G$14:G$43,--($Q$14:$Q$43=FALSE),--($D$14:$D$43=$D156))</f>
        <v>0</v>
      </c>
      <c r="H157" s="571" cm="1">
        <f t="array" ref="H157">SUMPRODUCT(H$14:H$43,--($Q$14:$Q$43=FALSE),--($D$14:$D$43=$D156))</f>
        <v>0</v>
      </c>
      <c r="I157" s="571" cm="1">
        <f t="array" ref="I157">SUMPRODUCT(I$14:I$43,--($Q$14:$Q$43=FALSE),--($D$14:$D$43=$D156))</f>
        <v>0</v>
      </c>
      <c r="J157" s="571" cm="1">
        <f t="array" ref="J157">SUMPRODUCT(J$14:J$43,--($Q$14:$Q$43=FALSE),--($D$14:$D$43=$D156))</f>
        <v>0</v>
      </c>
      <c r="K157" s="571" cm="1">
        <f t="array" ref="K157">SUMPRODUCT(K$14:K$43,--($Q$14:$Q$43=FALSE),--($D$14:$D$43=$D156))</f>
        <v>0</v>
      </c>
      <c r="L157" s="571" cm="1">
        <f t="array" ref="L157">SUMPRODUCT(L$14:L$43,--($Q$14:$Q$43=FALSE),--($D$14:$D$43=$D156))</f>
        <v>0</v>
      </c>
      <c r="M157" s="571" cm="1">
        <f t="array" ref="M157">SUMPRODUCT(M$14:M$43,--($Q$14:$Q$43=FALSE),--($D$14:$D$43=$D156))</f>
        <v>0</v>
      </c>
      <c r="N157" s="571" cm="1">
        <f t="array" ref="N157">SUMPRODUCT(N$14:N$43,--($Q$14:$Q$43=FALSE),--($D$14:$D$43=$D156))</f>
        <v>0</v>
      </c>
      <c r="O157" s="571" cm="1">
        <f t="array" ref="O157">SUMPRODUCT(O$14:O$43,--($Q$14:$Q$43=FALSE),--($D$14:$D$43=$D156))</f>
        <v>0</v>
      </c>
      <c r="P157" s="607">
        <f t="shared" si="43"/>
        <v>0</v>
      </c>
      <c r="Q157" s="575"/>
      <c r="R157" s="576"/>
      <c r="S157" s="576"/>
      <c r="T157" s="576"/>
      <c r="U157" s="577"/>
    </row>
    <row r="158" spans="1:452" s="524" customFormat="1" ht="18" x14ac:dyDescent="0.35">
      <c r="A158" s="605"/>
      <c r="B158" s="558"/>
      <c r="C158" s="559"/>
      <c r="D158" s="606"/>
      <c r="E158" s="572" t="s">
        <v>87</v>
      </c>
      <c r="F158" s="571" cm="1">
        <f t="array" ref="F158">SUMPRODUCT(F$14:F$43,--($Q$14:$Q$43=FALSE),--($D$14:$D$43=$D156),--($R$14:$R$43="Yes"))*0.1</f>
        <v>0</v>
      </c>
      <c r="G158" s="571" cm="1">
        <f t="array" ref="G158">SUMPRODUCT(G$14:G$43,--($Q$14:$Q$43=FALSE),--($D$14:$D$43=$D156),--($R$14:$R$43="Yes"))*0.1</f>
        <v>0</v>
      </c>
      <c r="H158" s="571" cm="1">
        <f t="array" ref="H158">SUMPRODUCT(H$14:H$43,--($Q$14:$Q$43=FALSE),--($D$14:$D$43=$D156),--($R$14:$R$43="Yes"))*0.1</f>
        <v>0</v>
      </c>
      <c r="I158" s="571" cm="1">
        <f t="array" ref="I158">SUMPRODUCT(I$14:I$43,--($Q$14:$Q$43=FALSE),--($D$14:$D$43=$D156),--($R$14:$R$43="Yes"))*0.1</f>
        <v>0</v>
      </c>
      <c r="J158" s="571" cm="1">
        <f t="array" ref="J158">SUMPRODUCT(J$14:J$43,--($Q$14:$Q$43=FALSE),--($D$14:$D$43=$D156),--($R$14:$R$43="Yes"))*0.1</f>
        <v>0</v>
      </c>
      <c r="K158" s="571" cm="1">
        <f t="array" ref="K158">SUMPRODUCT(K$14:K$43,--($Q$14:$Q$43=FALSE),--($D$14:$D$43=$D156),--($R$14:$R$43="Yes"))*0.1</f>
        <v>0</v>
      </c>
      <c r="L158" s="571" cm="1">
        <f t="array" ref="L158">SUMPRODUCT(L$14:L$43,--($Q$14:$Q$43=FALSE),--($D$14:$D$43=$D156),--($R$14:$R$43="Yes"))*0.1</f>
        <v>0</v>
      </c>
      <c r="M158" s="571" cm="1">
        <f t="array" ref="M158">SUMPRODUCT(M$14:M$43,--($Q$14:$Q$43=FALSE),--($D$14:$D$43=$D156),--($R$14:$R$43="Yes"))*0.1</f>
        <v>0</v>
      </c>
      <c r="N158" s="571" cm="1">
        <f t="array" ref="N158">SUMPRODUCT(N$14:N$43,--($Q$14:$Q$43=FALSE),--($D$14:$D$43=$D156),--($R$14:$R$43="Yes"))*0.1</f>
        <v>0</v>
      </c>
      <c r="O158" s="571" cm="1">
        <f t="array" ref="O158">SUMPRODUCT(O$14:O$43,--($Q$14:$Q$43=FALSE),--($D$14:$D$43=$D156),--($R$14:$R$43="Yes"))*0.1</f>
        <v>0</v>
      </c>
      <c r="P158" s="607">
        <f t="shared" si="43"/>
        <v>0</v>
      </c>
      <c r="Q158" s="575"/>
      <c r="R158" s="576"/>
      <c r="S158" s="576"/>
      <c r="T158" s="576"/>
      <c r="U158" s="577"/>
    </row>
    <row r="159" spans="1:452" s="524" customFormat="1" ht="18" x14ac:dyDescent="0.35">
      <c r="A159" s="605"/>
      <c r="B159" s="558"/>
      <c r="C159" s="559"/>
      <c r="D159" s="606"/>
      <c r="E159" s="572" t="s">
        <v>88</v>
      </c>
      <c r="F159" s="571">
        <f t="shared" ref="F159:O159" si="45">F156-(F157+F158)</f>
        <v>0</v>
      </c>
      <c r="G159" s="571">
        <f t="shared" si="45"/>
        <v>0</v>
      </c>
      <c r="H159" s="571">
        <f t="shared" si="45"/>
        <v>0</v>
      </c>
      <c r="I159" s="571">
        <f t="shared" si="45"/>
        <v>0</v>
      </c>
      <c r="J159" s="571">
        <f t="shared" si="45"/>
        <v>0</v>
      </c>
      <c r="K159" s="571">
        <f t="shared" si="45"/>
        <v>0</v>
      </c>
      <c r="L159" s="571">
        <f t="shared" si="45"/>
        <v>0</v>
      </c>
      <c r="M159" s="571">
        <f t="shared" si="45"/>
        <v>0</v>
      </c>
      <c r="N159" s="571">
        <f t="shared" si="45"/>
        <v>0</v>
      </c>
      <c r="O159" s="571">
        <f t="shared" si="45"/>
        <v>0</v>
      </c>
      <c r="P159" s="607">
        <f t="shared" si="43"/>
        <v>0</v>
      </c>
      <c r="Q159" s="575"/>
      <c r="R159" s="576"/>
      <c r="S159" s="576"/>
      <c r="T159" s="576"/>
      <c r="U159" s="577"/>
    </row>
    <row r="160" spans="1:452" s="578" customFormat="1" ht="18" x14ac:dyDescent="0.35">
      <c r="A160" s="624"/>
      <c r="B160" s="625"/>
      <c r="C160" s="626"/>
      <c r="D160" s="625" t="s">
        <v>110</v>
      </c>
      <c r="E160" s="627"/>
      <c r="F160" s="628" cm="1">
        <f t="array" ref="F160">SUMPRODUCT(F$14:F$43,--($D$14:$D$43=$D156),--($Q$14:$Q$43=TRUE),$S$14:$S$43,--($S$14:$S$43&gt;0))+SUMPRODUCT(F$14:F$43,--($D$14:$D$43=$D156),--($Q$14:$Q$43=TRUE),$S$14:$S$43,--($S$14:$S$43&gt;0),--($R$14:$R$43="Yes"))*0.1+SUMPRODUCT(F$14:F$43,--($D$14:$D$43=$D156),--($Q$14:$Q$43=TRUE),--($S107:$S136=0))+SUMPRODUCT(F$14:F$43,--($D$14:$D$43=$D156),--($Q$14:$Q$43=TRUE),--($R$14:$R$43="Yes"),--($S$14:$S$43=0))*0.1</f>
        <v>0</v>
      </c>
      <c r="G160" s="628" cm="1">
        <f t="array" ref="G160">SUMPRODUCT(G$14:G$43,--($D$14:$D$43=$D156),--($Q$14:$Q$43=TRUE),$S$14:$S$43,--($S$14:$S$43&gt;0))+SUMPRODUCT(G$14:G$43,--($D$14:$D$43=$D156),--($Q$14:$Q$43=TRUE),$S$14:$S$43,--($S$14:$S$43&gt;0),--($R$14:$R$43="Yes"))*0.1+SUMPRODUCT(G$14:G$43,--($D$14:$D$43=$D156),--($Q$14:$Q$43=TRUE),--($S107:$S136=0))+SUMPRODUCT(G$14:G$43,--($D$14:$D$43=$D156),--($Q$14:$Q$43=TRUE),--($R$14:$R$43="Yes"),--($S$14:$S$43=0))*0.1</f>
        <v>0</v>
      </c>
      <c r="H160" s="628" cm="1">
        <f t="array" ref="H160">SUMPRODUCT(H$14:H$43,--($D$14:$D$43=$D156),--($Q$14:$Q$43=TRUE),$S$14:$S$43,--($S$14:$S$43&gt;0))+SUMPRODUCT(H$14:H$43,--($D$14:$D$43=$D156),--($Q$14:$Q$43=TRUE),$S$14:$S$43,--($S$14:$S$43&gt;0),--($R$14:$R$43="Yes"))*0.1+SUMPRODUCT(H$14:H$43,--($D$14:$D$43=$D156),--($Q$14:$Q$43=TRUE),--($S107:$S136=0))+SUMPRODUCT(H$14:H$43,--($D$14:$D$43=$D156),--($Q$14:$Q$43=TRUE),--($R$14:$R$43="Yes"),--($S$14:$S$43=0))*0.1</f>
        <v>0</v>
      </c>
      <c r="I160" s="628" cm="1">
        <f t="array" ref="I160">SUMPRODUCT(I$14:I$43,--($D$14:$D$43=$D156),--($Q$14:$Q$43=TRUE),$S$14:$S$43,--($S$14:$S$43&gt;0))+SUMPRODUCT(I$14:I$43,--($D$14:$D$43=$D156),--($Q$14:$Q$43=TRUE),$S$14:$S$43,--($S$14:$S$43&gt;0),--($R$14:$R$43="Yes"))*0.1+SUMPRODUCT(I$14:I$43,--($D$14:$D$43=$D156),--($Q$14:$Q$43=TRUE),--($S107:$S136=0))+SUMPRODUCT(I$14:I$43,--($D$14:$D$43=$D156),--($Q$14:$Q$43=TRUE),--($R$14:$R$43="Yes"),--($S$14:$S$43=0))*0.1</f>
        <v>0</v>
      </c>
      <c r="J160" s="628" cm="1">
        <f t="array" ref="J160">SUMPRODUCT(J$14:J$43,--($D$14:$D$43=$D156),--($Q$14:$Q$43=TRUE),$S$14:$S$43,--($S$14:$S$43&gt;0))+SUMPRODUCT(J$14:J$43,--($D$14:$D$43=$D156),--($Q$14:$Q$43=TRUE),$S$14:$S$43,--($S$14:$S$43&gt;0),--($R$14:$R$43="Yes"))*0.1+SUMPRODUCT(J$14:J$43,--($D$14:$D$43=$D156),--($Q$14:$Q$43=TRUE),--($S107:$S136=0))+SUMPRODUCT(J$14:J$43,--($D$14:$D$43=$D156),--($Q$14:$Q$43=TRUE),--($R$14:$R$43="Yes"),--($S$14:$S$43=0))*0.1</f>
        <v>0</v>
      </c>
      <c r="K160" s="628" cm="1">
        <f t="array" ref="K160">SUMPRODUCT(K$14:K$43,--($D$14:$D$43=$D156),--($Q$14:$Q$43=TRUE),$S$14:$S$43,--($S$14:$S$43&gt;0))+SUMPRODUCT(K$14:K$43,--($D$14:$D$43=$D156),--($Q$14:$Q$43=TRUE),$S$14:$S$43,--($S$14:$S$43&gt;0),--($R$14:$R$43="Yes"))*0.1+SUMPRODUCT(K$14:K$43,--($D$14:$D$43=$D156),--($Q$14:$Q$43=TRUE),--($S107:$S136=0))+SUMPRODUCT(K$14:K$43,--($D$14:$D$43=$D156),--($Q$14:$Q$43=TRUE),--($R$14:$R$43="Yes"),--($S$14:$S$43=0))*0.1</f>
        <v>0</v>
      </c>
      <c r="L160" s="628" cm="1">
        <f t="array" ref="L160">SUMPRODUCT(L$14:L$43,--($D$14:$D$43=$D156),--($Q$14:$Q$43=TRUE),$S$14:$S$43,--($S$14:$S$43&gt;0))+SUMPRODUCT(L$14:L$43,--($D$14:$D$43=$D156),--($Q$14:$Q$43=TRUE),$S$14:$S$43,--($S$14:$S$43&gt;0),--($R$14:$R$43="Yes"))*0.1+SUMPRODUCT(L$14:L$43,--($D$14:$D$43=$D156),--($Q$14:$Q$43=TRUE),--($S107:$S136=0))+SUMPRODUCT(L$14:L$43,--($D$14:$D$43=$D156),--($Q$14:$Q$43=TRUE),--($R$14:$R$43="Yes"),--($S$14:$S$43=0))*0.1</f>
        <v>0</v>
      </c>
      <c r="M160" s="628" cm="1">
        <f t="array" ref="M160">SUMPRODUCT(M$14:M$43,--($D$14:$D$43=$D156),--($Q$14:$Q$43=TRUE),$S$14:$S$43,--($S$14:$S$43&gt;0))+SUMPRODUCT(M$14:M$43,--($D$14:$D$43=$D156),--($Q$14:$Q$43=TRUE),$S$14:$S$43,--($S$14:$S$43&gt;0),--($R$14:$R$43="Yes"))*0.1+SUMPRODUCT(M$14:M$43,--($D$14:$D$43=$D156),--($Q$14:$Q$43=TRUE),--($S107:$S136=0))+SUMPRODUCT(M$14:M$43,--($D$14:$D$43=$D156),--($Q$14:$Q$43=TRUE),--($R$14:$R$43="Yes"),--($S$14:$S$43=0))*0.1</f>
        <v>0</v>
      </c>
      <c r="N160" s="628" cm="1">
        <f t="array" ref="N160">SUMPRODUCT(N$14:N$43,--($D$14:$D$43=$D156),--($Q$14:$Q$43=TRUE),$S$14:$S$43,--($S$14:$S$43&gt;0))+SUMPRODUCT(N$14:N$43,--($D$14:$D$43=$D156),--($Q$14:$Q$43=TRUE),$S$14:$S$43,--($S$14:$S$43&gt;0),--($R$14:$R$43="Yes"))*0.1+SUMPRODUCT(N$14:N$43,--($D$14:$D$43=$D156),--($Q$14:$Q$43=TRUE),--($S107:$S136=0))+SUMPRODUCT(N$14:N$43,--($D$14:$D$43=$D156),--($Q$14:$Q$43=TRUE),--($R$14:$R$43="Yes"),--($S$14:$S$43=0))*0.1</f>
        <v>0</v>
      </c>
      <c r="O160" s="628" cm="1">
        <f t="array" ref="O160">SUMPRODUCT(O$14:O$43,--($D$14:$D$43=$D156),--($Q$14:$Q$43=TRUE),$S$14:$S$43,--($S$14:$S$43&gt;0))+SUMPRODUCT(O$14:O$43,--($D$14:$D$43=$D156),--($Q$14:$Q$43=TRUE),$S$14:$S$43,--($S$14:$S$43&gt;0),--($R$14:$R$43="Yes"))*0.1+SUMPRODUCT(O$14:O$43,--($D$14:$D$43=$D156),--($Q$14:$Q$43=TRUE),--($S107:$S136=0))+SUMPRODUCT(O$14:O$43,--($D$14:$D$43=$D156),--($Q$14:$Q$43=TRUE),--($R$14:$R$43="Yes"),--($S$14:$S$43=0))*0.1</f>
        <v>0</v>
      </c>
      <c r="P160" s="629">
        <f t="shared" si="43"/>
        <v>0</v>
      </c>
      <c r="Q160" s="575"/>
      <c r="R160" s="576"/>
      <c r="S160" s="576"/>
      <c r="T160" s="576"/>
      <c r="U160" s="577"/>
      <c r="V160" s="610"/>
      <c r="W160" s="610"/>
      <c r="X160" s="610"/>
      <c r="Y160" s="610"/>
      <c r="Z160" s="610"/>
      <c r="AA160" s="610"/>
      <c r="AB160" s="610"/>
      <c r="AC160" s="610"/>
      <c r="AD160" s="610"/>
      <c r="AE160" s="610"/>
      <c r="AF160" s="610"/>
      <c r="AG160" s="610"/>
      <c r="AH160" s="610"/>
      <c r="AI160" s="610"/>
      <c r="AJ160" s="610"/>
      <c r="AK160" s="610"/>
      <c r="AL160" s="610"/>
      <c r="AM160" s="610"/>
      <c r="AN160" s="610"/>
      <c r="AO160" s="610"/>
      <c r="AP160" s="610"/>
      <c r="AQ160" s="610"/>
      <c r="AR160" s="610"/>
      <c r="AS160" s="610"/>
      <c r="AT160" s="610"/>
      <c r="AU160" s="610"/>
      <c r="AV160" s="610"/>
      <c r="AW160" s="610"/>
      <c r="AX160" s="610"/>
      <c r="AY160" s="610"/>
      <c r="AZ160" s="610"/>
      <c r="BA160" s="610"/>
      <c r="BB160" s="610"/>
      <c r="BC160" s="610"/>
      <c r="BD160" s="610"/>
      <c r="BE160" s="610"/>
      <c r="BF160" s="610"/>
      <c r="BG160" s="610"/>
      <c r="BH160" s="610"/>
      <c r="BI160" s="610"/>
      <c r="BJ160" s="610"/>
      <c r="BK160" s="610"/>
      <c r="BL160" s="610"/>
      <c r="BM160" s="610"/>
      <c r="BN160" s="610"/>
      <c r="BO160" s="610"/>
      <c r="BP160" s="610"/>
      <c r="BQ160" s="610"/>
      <c r="BR160" s="610"/>
      <c r="BS160" s="610"/>
      <c r="BT160" s="610"/>
      <c r="BU160" s="610"/>
      <c r="BV160" s="610"/>
      <c r="BW160" s="610"/>
      <c r="BX160" s="610"/>
      <c r="BY160" s="610"/>
      <c r="BZ160" s="610"/>
      <c r="CA160" s="610"/>
      <c r="CB160" s="610"/>
      <c r="CC160" s="610"/>
      <c r="CD160" s="610"/>
      <c r="CE160" s="610"/>
      <c r="CF160" s="610"/>
      <c r="CG160" s="610"/>
      <c r="CH160" s="610"/>
      <c r="CI160" s="610"/>
      <c r="CJ160" s="610"/>
      <c r="CK160" s="610"/>
      <c r="CL160" s="610"/>
      <c r="CM160" s="610"/>
      <c r="CN160" s="610"/>
      <c r="CO160" s="610"/>
      <c r="CP160" s="610"/>
      <c r="CQ160" s="610"/>
      <c r="CR160" s="610"/>
      <c r="CS160" s="610"/>
      <c r="CT160" s="610"/>
      <c r="CU160" s="610"/>
      <c r="CV160" s="610"/>
      <c r="CW160" s="610"/>
      <c r="CX160" s="610"/>
      <c r="CY160" s="610"/>
      <c r="CZ160" s="610"/>
      <c r="DA160" s="610"/>
      <c r="DB160" s="610"/>
      <c r="DC160" s="610"/>
      <c r="DD160" s="610"/>
      <c r="DE160" s="610"/>
      <c r="DF160" s="610"/>
      <c r="DG160" s="610"/>
      <c r="DH160" s="610"/>
      <c r="DI160" s="610"/>
      <c r="DJ160" s="610"/>
      <c r="DK160" s="610"/>
      <c r="DL160" s="610"/>
      <c r="DM160" s="610"/>
      <c r="DN160" s="610"/>
      <c r="DO160" s="610"/>
      <c r="DP160" s="610"/>
      <c r="DQ160" s="610"/>
      <c r="DR160" s="610"/>
      <c r="DS160" s="610"/>
      <c r="DT160" s="610"/>
      <c r="DU160" s="610"/>
      <c r="DV160" s="610"/>
      <c r="DW160" s="610"/>
      <c r="DX160" s="610"/>
      <c r="DY160" s="610"/>
      <c r="DZ160" s="610"/>
      <c r="EA160" s="610"/>
      <c r="EB160" s="610"/>
      <c r="EC160" s="610"/>
      <c r="ED160" s="610"/>
      <c r="EE160" s="610"/>
      <c r="EF160" s="610"/>
      <c r="EG160" s="610"/>
      <c r="EH160" s="610"/>
      <c r="EI160" s="610"/>
      <c r="EJ160" s="610"/>
      <c r="EK160" s="610"/>
      <c r="EL160" s="610"/>
      <c r="EM160" s="610"/>
      <c r="EN160" s="610"/>
      <c r="EO160" s="610"/>
      <c r="EP160" s="610"/>
      <c r="EQ160" s="610"/>
      <c r="ER160" s="610"/>
      <c r="ES160" s="610"/>
      <c r="ET160" s="610"/>
      <c r="EU160" s="610"/>
      <c r="EV160" s="610"/>
      <c r="EW160" s="610"/>
      <c r="EX160" s="610"/>
      <c r="EY160" s="610"/>
      <c r="EZ160" s="610"/>
      <c r="FA160" s="610"/>
      <c r="FB160" s="610"/>
      <c r="FC160" s="610"/>
      <c r="FD160" s="610"/>
      <c r="FE160" s="610"/>
      <c r="FF160" s="610"/>
      <c r="FG160" s="610"/>
      <c r="FH160" s="610"/>
      <c r="FI160" s="610"/>
      <c r="FJ160" s="610"/>
      <c r="FK160" s="610"/>
      <c r="FL160" s="610"/>
      <c r="FM160" s="610"/>
      <c r="FN160" s="610"/>
      <c r="FO160" s="610"/>
      <c r="FP160" s="610"/>
      <c r="FQ160" s="610"/>
      <c r="FR160" s="610"/>
      <c r="FS160" s="610"/>
      <c r="FT160" s="610"/>
      <c r="FU160" s="610"/>
      <c r="FV160" s="610"/>
      <c r="FW160" s="610"/>
      <c r="FX160" s="610"/>
      <c r="FY160" s="610"/>
      <c r="FZ160" s="610"/>
      <c r="GA160" s="610"/>
      <c r="GB160" s="610"/>
      <c r="GC160" s="610"/>
      <c r="GD160" s="610"/>
      <c r="GE160" s="610"/>
      <c r="GF160" s="610"/>
      <c r="GG160" s="610"/>
      <c r="GH160" s="610"/>
      <c r="GI160" s="610"/>
      <c r="GJ160" s="610"/>
      <c r="GK160" s="610"/>
      <c r="GL160" s="610"/>
      <c r="GM160" s="610"/>
      <c r="GN160" s="610"/>
      <c r="GO160" s="610"/>
      <c r="GP160" s="610"/>
      <c r="GQ160" s="610"/>
      <c r="GR160" s="610"/>
      <c r="GS160" s="610"/>
      <c r="GT160" s="610"/>
      <c r="GU160" s="610"/>
      <c r="GV160" s="610"/>
      <c r="GW160" s="610"/>
      <c r="GX160" s="610"/>
      <c r="GY160" s="610"/>
      <c r="GZ160" s="610"/>
      <c r="HA160" s="610"/>
      <c r="HB160" s="610"/>
      <c r="HC160" s="610"/>
      <c r="HD160" s="610"/>
      <c r="HE160" s="610"/>
      <c r="HF160" s="610"/>
      <c r="HG160" s="610"/>
      <c r="HH160" s="610"/>
      <c r="HI160" s="610"/>
      <c r="HJ160" s="610"/>
      <c r="HK160" s="610"/>
      <c r="HL160" s="610"/>
      <c r="HM160" s="610"/>
      <c r="HN160" s="610"/>
      <c r="HO160" s="610"/>
      <c r="HP160" s="610"/>
      <c r="HQ160" s="610"/>
      <c r="HR160" s="610"/>
      <c r="HS160" s="610"/>
      <c r="HT160" s="610"/>
      <c r="HU160" s="610"/>
      <c r="HV160" s="610"/>
      <c r="HW160" s="610"/>
      <c r="HX160" s="610"/>
      <c r="HY160" s="610"/>
      <c r="HZ160" s="610"/>
      <c r="IA160" s="610"/>
      <c r="IB160" s="610"/>
      <c r="IC160" s="610"/>
      <c r="ID160" s="610"/>
      <c r="IE160" s="610"/>
      <c r="IF160" s="610"/>
      <c r="IG160" s="610"/>
      <c r="IH160" s="610"/>
      <c r="II160" s="610"/>
      <c r="IJ160" s="610"/>
      <c r="IK160" s="610"/>
      <c r="IL160" s="610"/>
      <c r="IM160" s="610"/>
      <c r="IN160" s="610"/>
      <c r="IO160" s="610"/>
      <c r="IP160" s="610"/>
      <c r="IQ160" s="610"/>
      <c r="IR160" s="610"/>
      <c r="IS160" s="610"/>
      <c r="IT160" s="610"/>
      <c r="IU160" s="610"/>
      <c r="IV160" s="610"/>
      <c r="IW160" s="610"/>
      <c r="IX160" s="610"/>
      <c r="IY160" s="610"/>
      <c r="IZ160" s="610"/>
      <c r="JA160" s="610"/>
      <c r="JB160" s="610"/>
      <c r="JC160" s="610"/>
      <c r="JD160" s="610"/>
      <c r="JE160" s="610"/>
      <c r="JF160" s="610"/>
      <c r="JG160" s="610"/>
      <c r="JH160" s="610"/>
      <c r="JI160" s="610"/>
      <c r="JJ160" s="610"/>
      <c r="JK160" s="610"/>
      <c r="JL160" s="610"/>
      <c r="JM160" s="610"/>
      <c r="JN160" s="610"/>
      <c r="JO160" s="610"/>
      <c r="JP160" s="610"/>
      <c r="JQ160" s="610"/>
      <c r="JR160" s="610"/>
      <c r="JS160" s="610"/>
      <c r="JT160" s="610"/>
      <c r="JU160" s="610"/>
      <c r="JV160" s="610"/>
      <c r="JW160" s="610"/>
      <c r="JX160" s="610"/>
      <c r="JY160" s="610"/>
      <c r="JZ160" s="610"/>
      <c r="KA160" s="610"/>
      <c r="KB160" s="610"/>
      <c r="KC160" s="610"/>
      <c r="KD160" s="610"/>
      <c r="KE160" s="610"/>
      <c r="KF160" s="610"/>
      <c r="KG160" s="610"/>
      <c r="KH160" s="610"/>
      <c r="KI160" s="610"/>
      <c r="KJ160" s="610"/>
      <c r="KK160" s="610"/>
      <c r="KL160" s="610"/>
      <c r="KM160" s="610"/>
      <c r="KN160" s="610"/>
      <c r="KO160" s="610"/>
      <c r="KP160" s="610"/>
      <c r="KQ160" s="610"/>
      <c r="KR160" s="610"/>
      <c r="KS160" s="610"/>
      <c r="KT160" s="610"/>
      <c r="KU160" s="610"/>
      <c r="KV160" s="610"/>
      <c r="KW160" s="610"/>
      <c r="KX160" s="610"/>
      <c r="KY160" s="610"/>
      <c r="KZ160" s="610"/>
      <c r="LA160" s="610"/>
      <c r="LB160" s="610"/>
      <c r="LC160" s="610"/>
      <c r="LD160" s="610"/>
      <c r="LE160" s="610"/>
      <c r="LF160" s="610"/>
      <c r="LG160" s="610"/>
      <c r="LH160" s="610"/>
      <c r="LI160" s="610"/>
      <c r="LJ160" s="610"/>
      <c r="LK160" s="610"/>
      <c r="LL160" s="610"/>
      <c r="LM160" s="610"/>
      <c r="LN160" s="610"/>
      <c r="LO160" s="610"/>
      <c r="LP160" s="610"/>
      <c r="LQ160" s="610"/>
      <c r="LR160" s="610"/>
      <c r="LS160" s="610"/>
      <c r="LT160" s="610"/>
      <c r="LU160" s="610"/>
      <c r="LV160" s="610"/>
      <c r="LW160" s="610"/>
      <c r="LX160" s="610"/>
      <c r="LY160" s="610"/>
      <c r="LZ160" s="610"/>
      <c r="MA160" s="610"/>
      <c r="MB160" s="610"/>
      <c r="MC160" s="610"/>
      <c r="MD160" s="610"/>
      <c r="ME160" s="610"/>
      <c r="MF160" s="610"/>
      <c r="MG160" s="610"/>
      <c r="MH160" s="610"/>
      <c r="MI160" s="610"/>
      <c r="MJ160" s="610"/>
      <c r="MK160" s="610"/>
      <c r="ML160" s="610"/>
      <c r="MM160" s="610"/>
      <c r="MN160" s="610"/>
      <c r="MO160" s="610"/>
      <c r="MP160" s="610"/>
      <c r="MQ160" s="610"/>
      <c r="MR160" s="610"/>
      <c r="MS160" s="610"/>
      <c r="MT160" s="610"/>
      <c r="MU160" s="610"/>
      <c r="MV160" s="610"/>
      <c r="MW160" s="610"/>
      <c r="MX160" s="610"/>
      <c r="MY160" s="610"/>
      <c r="MZ160" s="610"/>
      <c r="NA160" s="610"/>
      <c r="NB160" s="610"/>
      <c r="NC160" s="610"/>
      <c r="ND160" s="610"/>
      <c r="NE160" s="610"/>
      <c r="NF160" s="610"/>
      <c r="NG160" s="610"/>
      <c r="NH160" s="610"/>
      <c r="NI160" s="610"/>
      <c r="NJ160" s="610"/>
      <c r="NK160" s="610"/>
      <c r="NL160" s="610"/>
      <c r="NM160" s="610"/>
      <c r="NN160" s="610"/>
      <c r="NO160" s="610"/>
      <c r="NP160" s="610"/>
      <c r="NQ160" s="610"/>
      <c r="NR160" s="610"/>
      <c r="NS160" s="610"/>
      <c r="NT160" s="610"/>
      <c r="NU160" s="610"/>
      <c r="NV160" s="610"/>
      <c r="NW160" s="610"/>
      <c r="NX160" s="610"/>
      <c r="NY160" s="610"/>
      <c r="NZ160" s="610"/>
      <c r="OA160" s="610"/>
      <c r="OB160" s="610"/>
      <c r="OC160" s="610"/>
      <c r="OD160" s="610"/>
      <c r="OE160" s="610"/>
      <c r="OF160" s="610"/>
      <c r="OG160" s="610"/>
      <c r="OH160" s="610"/>
      <c r="OI160" s="610"/>
      <c r="OJ160" s="610"/>
      <c r="OK160" s="610"/>
      <c r="OL160" s="610"/>
      <c r="OM160" s="610"/>
      <c r="ON160" s="610"/>
      <c r="OO160" s="610"/>
      <c r="OP160" s="610"/>
      <c r="OQ160" s="610"/>
      <c r="OR160" s="610"/>
      <c r="OS160" s="610"/>
      <c r="OT160" s="610"/>
      <c r="OU160" s="610"/>
      <c r="OV160" s="610"/>
      <c r="OW160" s="610"/>
      <c r="OX160" s="610"/>
      <c r="OY160" s="610"/>
      <c r="OZ160" s="610"/>
      <c r="PA160" s="610"/>
      <c r="PB160" s="610"/>
      <c r="PC160" s="610"/>
      <c r="PD160" s="610"/>
      <c r="PE160" s="610"/>
      <c r="PF160" s="610"/>
      <c r="PG160" s="610"/>
      <c r="PH160" s="610"/>
      <c r="PI160" s="610"/>
      <c r="PJ160" s="610"/>
      <c r="PK160" s="610"/>
      <c r="PL160" s="610"/>
      <c r="PM160" s="610"/>
      <c r="PN160" s="610"/>
      <c r="PO160" s="610"/>
      <c r="PP160" s="610"/>
      <c r="PQ160" s="610"/>
      <c r="PR160" s="610"/>
      <c r="PS160" s="610"/>
      <c r="PT160" s="610"/>
      <c r="PU160" s="610"/>
      <c r="PV160" s="610"/>
      <c r="PW160" s="610"/>
      <c r="PX160" s="610"/>
      <c r="PY160" s="610"/>
      <c r="PZ160" s="610"/>
      <c r="QA160" s="610"/>
      <c r="QB160" s="610"/>
      <c r="QC160" s="610"/>
      <c r="QD160" s="610"/>
      <c r="QE160" s="610"/>
      <c r="QF160" s="610"/>
      <c r="QG160" s="610"/>
      <c r="QH160" s="610"/>
      <c r="QI160" s="610"/>
      <c r="QJ160" s="610"/>
    </row>
    <row r="161" spans="1:452" s="524" customFormat="1" ht="18" x14ac:dyDescent="0.35">
      <c r="A161" s="605"/>
      <c r="B161" s="558"/>
      <c r="C161" s="559"/>
      <c r="D161" s="559"/>
      <c r="E161" s="572" t="s">
        <v>86</v>
      </c>
      <c r="F161" s="571" cm="1">
        <f t="array" ref="F161">SUMPRODUCT(F$14:F$43,--($Q$14:$Q$43=TRUE),--($D$14:$D$43=$D156))</f>
        <v>0</v>
      </c>
      <c r="G161" s="571" cm="1">
        <f t="array" ref="G161">SUMPRODUCT(G$14:G$43,--($Q$14:$Q$43=TRUE),--($D$14:$D$43=$D156))</f>
        <v>0</v>
      </c>
      <c r="H161" s="571" cm="1">
        <f t="array" ref="H161">SUMPRODUCT(H$14:H$43,--($Q$14:$Q$43=TRUE),--($D$14:$D$43=$D156))</f>
        <v>0</v>
      </c>
      <c r="I161" s="571" cm="1">
        <f t="array" ref="I161">SUMPRODUCT(I$14:I$43,--($Q$14:$Q$43=TRUE),--($D$14:$D$43=$D156))</f>
        <v>0</v>
      </c>
      <c r="J161" s="571" cm="1">
        <f t="array" ref="J161">SUMPRODUCT(J$14:J$43,--($Q$14:$Q$43=TRUE),--($D$14:$D$43=$D156))</f>
        <v>0</v>
      </c>
      <c r="K161" s="571" cm="1">
        <f t="array" ref="K161">SUMPRODUCT(K$14:K$43,--($Q$14:$Q$43=TRUE),--($D$14:$D$43=$D156))</f>
        <v>0</v>
      </c>
      <c r="L161" s="571" cm="1">
        <f t="array" ref="L161">SUMPRODUCT(L$14:L$43,--($Q$14:$Q$43=TRUE),--($D$14:$D$43=$D156))</f>
        <v>0</v>
      </c>
      <c r="M161" s="571" cm="1">
        <f t="array" ref="M161">SUMPRODUCT(M$14:M$43,--($Q$14:$Q$43=TRUE),--($D$14:$D$43=$D156))</f>
        <v>0</v>
      </c>
      <c r="N161" s="571" cm="1">
        <f t="array" ref="N161">SUMPRODUCT(N$14:N$43,--($Q$14:$Q$43=TRUE),--($D$14:$D$43=$D156))</f>
        <v>0</v>
      </c>
      <c r="O161" s="571" cm="1">
        <f t="array" ref="O161">SUMPRODUCT(O$14:O$43,--($Q$14:$Q$43=TRUE),--($D$14:$D$43=$D156))</f>
        <v>0</v>
      </c>
      <c r="P161" s="607">
        <f t="shared" si="43"/>
        <v>0</v>
      </c>
      <c r="Q161" s="575"/>
      <c r="R161" s="576"/>
      <c r="S161" s="576"/>
      <c r="T161" s="576"/>
      <c r="U161" s="577"/>
    </row>
    <row r="162" spans="1:452" s="524" customFormat="1" ht="18" x14ac:dyDescent="0.35">
      <c r="A162" s="605"/>
      <c r="C162" s="559"/>
      <c r="D162" s="559"/>
      <c r="E162" s="572" t="s">
        <v>87</v>
      </c>
      <c r="F162" s="571" cm="1">
        <f t="array" ref="F162">SUMPRODUCT(F$14:F$43,--($Q$14:$Q$43=TRUE),--($D$14:$D$43=$D160),--($R$14:$R$43="Yes"))*0.1</f>
        <v>0</v>
      </c>
      <c r="G162" s="571" cm="1">
        <f t="array" ref="G162">SUMPRODUCT(G$14:G$43,--($Q$14:$Q$43=TRUE),--($D$14:$D$43=$D160),--($R$14:$R$43="Yes"))*0.1</f>
        <v>0</v>
      </c>
      <c r="H162" s="571" cm="1">
        <f t="array" ref="H162">SUMPRODUCT(H$14:H$43,--($Q$14:$Q$43=TRUE),--($D$14:$D$43=$D160),--($R$14:$R$43="Yes"))*0.1</f>
        <v>0</v>
      </c>
      <c r="I162" s="571" cm="1">
        <f t="array" ref="I162">SUMPRODUCT(I$14:I$43,--($Q$14:$Q$43=TRUE),--($D$14:$D$43=$D160),--($R$14:$R$43="Yes"))*0.1</f>
        <v>0</v>
      </c>
      <c r="J162" s="571" cm="1">
        <f t="array" ref="J162">SUMPRODUCT(J$14:J$43,--($Q$14:$Q$43=TRUE),--($D$14:$D$43=$D160),--($R$14:$R$43="Yes"))*0.1</f>
        <v>0</v>
      </c>
      <c r="K162" s="571" cm="1">
        <f t="array" ref="K162">SUMPRODUCT(K$14:K$43,--($Q$14:$Q$43=TRUE),--($D$14:$D$43=$D160),--($R$14:$R$43="Yes"))*0.1</f>
        <v>0</v>
      </c>
      <c r="L162" s="571" cm="1">
        <f t="array" ref="L162">SUMPRODUCT(L$14:L$43,--($Q$14:$Q$43=TRUE),--($D$14:$D$43=$D160),--($R$14:$R$43="Yes"))*0.1</f>
        <v>0</v>
      </c>
      <c r="M162" s="571" cm="1">
        <f t="array" ref="M162">SUMPRODUCT(M$14:M$43,--($Q$14:$Q$43=TRUE),--($D$14:$D$43=$D160),--($R$14:$R$43="Yes"))*0.1</f>
        <v>0</v>
      </c>
      <c r="N162" s="571" cm="1">
        <f t="array" ref="N162">SUMPRODUCT(N$14:N$43,--($Q$14:$Q$43=TRUE),--($D$14:$D$43=$D160),--($R$14:$R$43="Yes"))*0.1</f>
        <v>0</v>
      </c>
      <c r="O162" s="571" cm="1">
        <f t="array" ref="O162">SUMPRODUCT(O$14:O$43,--($Q$14:$Q$43=TRUE),--($D$14:$D$43=$D160),--($R$14:$R$43="Yes"))*0.1</f>
        <v>0</v>
      </c>
      <c r="P162" s="607">
        <f t="shared" si="43"/>
        <v>0</v>
      </c>
      <c r="Q162" s="575"/>
      <c r="R162" s="576"/>
      <c r="S162" s="576"/>
      <c r="T162" s="576"/>
      <c r="U162" s="577"/>
    </row>
    <row r="163" spans="1:452" s="524" customFormat="1" ht="18" x14ac:dyDescent="0.35">
      <c r="A163" s="605"/>
      <c r="B163" s="558"/>
      <c r="C163" s="559"/>
      <c r="D163" s="559"/>
      <c r="E163" s="572" t="s">
        <v>88</v>
      </c>
      <c r="F163" s="571">
        <f>F160-(F161+F162)</f>
        <v>0</v>
      </c>
      <c r="G163" s="571">
        <f t="shared" ref="G163:O163" si="46">G160-(G161+G162)</f>
        <v>0</v>
      </c>
      <c r="H163" s="571">
        <f t="shared" si="46"/>
        <v>0</v>
      </c>
      <c r="I163" s="571">
        <f t="shared" si="46"/>
        <v>0</v>
      </c>
      <c r="J163" s="571">
        <f t="shared" si="46"/>
        <v>0</v>
      </c>
      <c r="K163" s="571">
        <f t="shared" si="46"/>
        <v>0</v>
      </c>
      <c r="L163" s="571">
        <f t="shared" si="46"/>
        <v>0</v>
      </c>
      <c r="M163" s="571">
        <f t="shared" si="46"/>
        <v>0</v>
      </c>
      <c r="N163" s="571">
        <f t="shared" si="46"/>
        <v>0</v>
      </c>
      <c r="O163" s="571">
        <f t="shared" si="46"/>
        <v>0</v>
      </c>
      <c r="P163" s="607">
        <f t="shared" si="43"/>
        <v>0</v>
      </c>
      <c r="Q163" s="575"/>
      <c r="R163" s="576"/>
      <c r="S163" s="576"/>
      <c r="T163" s="576"/>
      <c r="U163" s="577"/>
    </row>
    <row r="164" spans="1:452" s="592" customFormat="1" ht="18" x14ac:dyDescent="0.35">
      <c r="A164" s="618"/>
      <c r="B164" s="619"/>
      <c r="C164" s="620"/>
      <c r="D164" s="619" t="s">
        <v>111</v>
      </c>
      <c r="E164" s="621"/>
      <c r="F164" s="622" cm="1">
        <f t="array" ref="F164">SUMPRODUCT(F$14:F$43,--($D$14:$D$43=$D164),--($Q$14:$Q$43=FALSE),$S$14:$S$43,--($S$14:$S$43&gt;0))+SUMPRODUCT(F$14:F$43,--($D$14:$D$43=$D164),--($Q$14:$Q$43=FALSE),$S$14:$S$43,--($S$14:$S$43&gt;0),--($R$14:$R$43="Yes"))*0.1+SUMPRODUCT(F$14:F$43,--($D$14:$D$43=$D164),--($Q$14:$Q$43=FALSE),--($S$14:$S$43=0))+SUMPRODUCT(F$14:F$43,--($D$14:$D$43=$D164),--($Q$14:$Q$43=FALSE),--($R$14:$R$43="Yes"),--($S$14:$S$43=0))*0.1</f>
        <v>0</v>
      </c>
      <c r="G164" s="622" cm="1">
        <f t="array" ref="G164">SUMPRODUCT(G$14:G$43,--($D$14:$D$43=$D164),--($Q$14:$Q$43=FALSE),$S$14:$S$43,--($S$14:$S$43&gt;0))+SUMPRODUCT(G$14:G$43,--($D$14:$D$43=$D164),--($Q$14:$Q$43=FALSE),$S$14:$S$43,--($S$14:$S$43&gt;0),--($R$14:$R$43="Yes"))*0.1+SUMPRODUCT(G$14:G$43,--($D$14:$D$43=$D164),--($Q$14:$Q$43=FALSE),--($S$14:$S$43=0))+SUMPRODUCT(G$14:G$43,--($D$14:$D$43=$D164),--($Q$14:$Q$43=FALSE),--($R$14:$R$43="Yes"),--($S$14:$S$43=0))*0.1</f>
        <v>0</v>
      </c>
      <c r="H164" s="622" cm="1">
        <f t="array" ref="H164">SUMPRODUCT(H$14:H$43,--($D$14:$D$43=$D164),--($Q$14:$Q$43=FALSE),$S$14:$S$43,--($S$14:$S$43&gt;0))+SUMPRODUCT(H$14:H$43,--($D$14:$D$43=$D164),--($Q$14:$Q$43=FALSE),$S$14:$S$43,--($S$14:$S$43&gt;0),--($R$14:$R$43="Yes"))*0.1+SUMPRODUCT(H$14:H$43,--($D$14:$D$43=$D164),--($Q$14:$Q$43=FALSE),--($S$14:$S$43=0))+SUMPRODUCT(H$14:H$43,--($D$14:$D$43=$D164),--($Q$14:$Q$43=FALSE),--($R$14:$R$43="Yes"),--($S$14:$S$43=0))*0.1</f>
        <v>0</v>
      </c>
      <c r="I164" s="622" cm="1">
        <f t="array" ref="I164">SUMPRODUCT(I$14:I$43,--($D$14:$D$43=$D164),--($Q$14:$Q$43=FALSE),$S$14:$S$43,--($S$14:$S$43&gt;0))+SUMPRODUCT(I$14:I$43,--($D$14:$D$43=$D164),--($Q$14:$Q$43=FALSE),$S$14:$S$43,--($S$14:$S$43&gt;0),--($R$14:$R$43="Yes"))*0.1+SUMPRODUCT(I$14:I$43,--($D$14:$D$43=$D164),--($Q$14:$Q$43=FALSE),--($S$14:$S$43=0))+SUMPRODUCT(I$14:I$43,--($D$14:$D$43=$D164),--($Q$14:$Q$43=FALSE),--($R$14:$R$43="Yes"),--($S$14:$S$43=0))*0.1</f>
        <v>0</v>
      </c>
      <c r="J164" s="622" cm="1">
        <f t="array" ref="J164">SUMPRODUCT(J$14:J$43,--($D$14:$D$43=$D164),--($Q$14:$Q$43=FALSE),$S$14:$S$43,--($S$14:$S$43&gt;0))+SUMPRODUCT(J$14:J$43,--($D$14:$D$43=$D164),--($Q$14:$Q$43=FALSE),$S$14:$S$43,--($S$14:$S$43&gt;0),--($R$14:$R$43="Yes"))*0.1+SUMPRODUCT(J$14:J$43,--($D$14:$D$43=$D164),--($Q$14:$Q$43=FALSE),--($S$14:$S$43=0))+SUMPRODUCT(J$14:J$43,--($D$14:$D$43=$D164),--($Q$14:$Q$43=FALSE),--($R$14:$R$43="Yes"),--($S$14:$S$43=0))*0.1</f>
        <v>0</v>
      </c>
      <c r="K164" s="622" cm="1">
        <f t="array" ref="K164">SUMPRODUCT(K$14:K$43,--($D$14:$D$43=$D164),--($Q$14:$Q$43=FALSE),$S$14:$S$43,--($S$14:$S$43&gt;0))+SUMPRODUCT(K$14:K$43,--($D$14:$D$43=$D164),--($Q$14:$Q$43=FALSE),$S$14:$S$43,--($S$14:$S$43&gt;0),--($R$14:$R$43="Yes"))*0.1+SUMPRODUCT(K$14:K$43,--($D$14:$D$43=$D164),--($Q$14:$Q$43=FALSE),--($S$14:$S$43=0))+SUMPRODUCT(K$14:K$43,--($D$14:$D$43=$D164),--($Q$14:$Q$43=FALSE),--($R$14:$R$43="Yes"),--($S$14:$S$43=0))*0.1</f>
        <v>0</v>
      </c>
      <c r="L164" s="622" cm="1">
        <f t="array" ref="L164">SUMPRODUCT(L$14:L$43,--($D$14:$D$43=$D164),--($Q$14:$Q$43=FALSE),$S$14:$S$43,--($S$14:$S$43&gt;0))+SUMPRODUCT(L$14:L$43,--($D$14:$D$43=$D164),--($Q$14:$Q$43=FALSE),$S$14:$S$43,--($S$14:$S$43&gt;0),--($R$14:$R$43="Yes"))*0.1+SUMPRODUCT(L$14:L$43,--($D$14:$D$43=$D164),--($Q$14:$Q$43=FALSE),--($S$14:$S$43=0))+SUMPRODUCT(L$14:L$43,--($D$14:$D$43=$D164),--($Q$14:$Q$43=FALSE),--($R$14:$R$43="Yes"),--($S$14:$S$43=0))*0.1</f>
        <v>0</v>
      </c>
      <c r="M164" s="622" cm="1">
        <f t="array" ref="M164">SUMPRODUCT(M$14:M$43,--($D$14:$D$43=$D164),--($Q$14:$Q$43=FALSE),$S$14:$S$43,--($S$14:$S$43&gt;0))+SUMPRODUCT(M$14:M$43,--($D$14:$D$43=$D164),--($Q$14:$Q$43=FALSE),$S$14:$S$43,--($S$14:$S$43&gt;0),--($R$14:$R$43="Yes"))*0.1+SUMPRODUCT(M$14:M$43,--($D$14:$D$43=$D164),--($Q$14:$Q$43=FALSE),--($S$14:$S$43=0))+SUMPRODUCT(M$14:M$43,--($D$14:$D$43=$D164),--($Q$14:$Q$43=FALSE),--($R$14:$R$43="Yes"),--($S$14:$S$43=0))*0.1</f>
        <v>0</v>
      </c>
      <c r="N164" s="622" cm="1">
        <f t="array" ref="N164">SUMPRODUCT(N$14:N$43,--($D$14:$D$43=$D164),--($Q$14:$Q$43=FALSE),$S$14:$S$43,--($S$14:$S$43&gt;0))+SUMPRODUCT(N$14:N$43,--($D$14:$D$43=$D164),--($Q$14:$Q$43=FALSE),$S$14:$S$43,--($S$14:$S$43&gt;0),--($R$14:$R$43="Yes"))*0.1+SUMPRODUCT(N$14:N$43,--($D$14:$D$43=$D164),--($Q$14:$Q$43=FALSE),--($S$14:$S$43=0))+SUMPRODUCT(N$14:N$43,--($D$14:$D$43=$D164),--($Q$14:$Q$43=FALSE),--($R$14:$R$43="Yes"),--($S$14:$S$43=0))*0.1</f>
        <v>0</v>
      </c>
      <c r="O164" s="622" cm="1">
        <f t="array" ref="O164">SUMPRODUCT(O$14:O$43,--($D$14:$D$43=$D164),--($Q$14:$Q$43=FALSE),$S$14:$S$43,--($S$14:$S$43&gt;0))+SUMPRODUCT(O$14:O$43,--($D$14:$D$43=$D164),--($Q$14:$Q$43=FALSE),$S$14:$S$43,--($S$14:$S$43&gt;0),--($R$14:$R$43="Yes"))*0.1+SUMPRODUCT(O$14:O$43,--($D$14:$D$43=$D164),--($Q$14:$Q$43=FALSE),--($S$14:$S$43=0))+SUMPRODUCT(O$14:O$43,--($D$14:$D$43=$D164),--($Q$14:$Q$43=FALSE),--($R$14:$R$43="Yes"),--($S$14:$S$43=0))*0.1</f>
        <v>0</v>
      </c>
      <c r="P164" s="623">
        <f t="shared" si="43"/>
        <v>0</v>
      </c>
      <c r="Q164" s="575"/>
      <c r="R164" s="576"/>
      <c r="S164" s="576"/>
      <c r="T164" s="576"/>
      <c r="U164" s="577"/>
      <c r="V164" s="610"/>
      <c r="W164" s="610"/>
      <c r="X164" s="610"/>
      <c r="Y164" s="610"/>
      <c r="Z164" s="610"/>
      <c r="AA164" s="610"/>
      <c r="AB164" s="610"/>
      <c r="AC164" s="610"/>
      <c r="AD164" s="610"/>
      <c r="AE164" s="610"/>
      <c r="AF164" s="610"/>
      <c r="AG164" s="610"/>
      <c r="AH164" s="610"/>
      <c r="AI164" s="610"/>
      <c r="AJ164" s="610"/>
      <c r="AK164" s="610"/>
      <c r="AL164" s="610"/>
      <c r="AM164" s="610"/>
      <c r="AN164" s="610"/>
      <c r="AO164" s="610"/>
      <c r="AP164" s="610"/>
      <c r="AQ164" s="610"/>
      <c r="AR164" s="610"/>
      <c r="AS164" s="610"/>
      <c r="AT164" s="610"/>
      <c r="AU164" s="610"/>
      <c r="AV164" s="610"/>
      <c r="AW164" s="610"/>
      <c r="AX164" s="610"/>
      <c r="AY164" s="610"/>
      <c r="AZ164" s="610"/>
      <c r="BA164" s="610"/>
      <c r="BB164" s="610"/>
      <c r="BC164" s="610"/>
      <c r="BD164" s="610"/>
      <c r="BE164" s="610"/>
      <c r="BF164" s="610"/>
      <c r="BG164" s="610"/>
      <c r="BH164" s="610"/>
      <c r="BI164" s="610"/>
      <c r="BJ164" s="610"/>
      <c r="BK164" s="610"/>
      <c r="BL164" s="610"/>
      <c r="BM164" s="610"/>
      <c r="BN164" s="610"/>
      <c r="BO164" s="610"/>
      <c r="BP164" s="610"/>
      <c r="BQ164" s="610"/>
      <c r="BR164" s="610"/>
      <c r="BS164" s="610"/>
      <c r="BT164" s="610"/>
      <c r="BU164" s="610"/>
      <c r="BV164" s="610"/>
      <c r="BW164" s="610"/>
      <c r="BX164" s="610"/>
      <c r="BY164" s="610"/>
      <c r="BZ164" s="610"/>
      <c r="CA164" s="610"/>
      <c r="CB164" s="610"/>
      <c r="CC164" s="610"/>
      <c r="CD164" s="610"/>
      <c r="CE164" s="610"/>
      <c r="CF164" s="610"/>
      <c r="CG164" s="610"/>
      <c r="CH164" s="610"/>
      <c r="CI164" s="610"/>
      <c r="CJ164" s="610"/>
      <c r="CK164" s="610"/>
      <c r="CL164" s="610"/>
      <c r="CM164" s="610"/>
      <c r="CN164" s="610"/>
      <c r="CO164" s="610"/>
      <c r="CP164" s="610"/>
      <c r="CQ164" s="610"/>
      <c r="CR164" s="610"/>
      <c r="CS164" s="610"/>
      <c r="CT164" s="610"/>
      <c r="CU164" s="610"/>
      <c r="CV164" s="610"/>
      <c r="CW164" s="610"/>
      <c r="CX164" s="610"/>
      <c r="CY164" s="610"/>
      <c r="CZ164" s="610"/>
      <c r="DA164" s="610"/>
      <c r="DB164" s="610"/>
      <c r="DC164" s="610"/>
      <c r="DD164" s="610"/>
      <c r="DE164" s="610"/>
      <c r="DF164" s="610"/>
      <c r="DG164" s="610"/>
      <c r="DH164" s="610"/>
      <c r="DI164" s="610"/>
      <c r="DJ164" s="610"/>
      <c r="DK164" s="610"/>
      <c r="DL164" s="610"/>
      <c r="DM164" s="610"/>
      <c r="DN164" s="610"/>
      <c r="DO164" s="610"/>
      <c r="DP164" s="610"/>
      <c r="DQ164" s="610"/>
      <c r="DR164" s="610"/>
      <c r="DS164" s="610"/>
      <c r="DT164" s="610"/>
      <c r="DU164" s="610"/>
      <c r="DV164" s="610"/>
      <c r="DW164" s="610"/>
      <c r="DX164" s="610"/>
      <c r="DY164" s="610"/>
      <c r="DZ164" s="610"/>
      <c r="EA164" s="610"/>
      <c r="EB164" s="610"/>
      <c r="EC164" s="610"/>
      <c r="ED164" s="610"/>
      <c r="EE164" s="610"/>
      <c r="EF164" s="610"/>
      <c r="EG164" s="610"/>
      <c r="EH164" s="610"/>
      <c r="EI164" s="610"/>
      <c r="EJ164" s="610"/>
      <c r="EK164" s="610"/>
      <c r="EL164" s="610"/>
      <c r="EM164" s="610"/>
      <c r="EN164" s="610"/>
      <c r="EO164" s="610"/>
      <c r="EP164" s="610"/>
      <c r="EQ164" s="610"/>
      <c r="ER164" s="610"/>
      <c r="ES164" s="610"/>
      <c r="ET164" s="610"/>
      <c r="EU164" s="610"/>
      <c r="EV164" s="610"/>
      <c r="EW164" s="610"/>
      <c r="EX164" s="610"/>
      <c r="EY164" s="610"/>
      <c r="EZ164" s="610"/>
      <c r="FA164" s="610"/>
      <c r="FB164" s="610"/>
      <c r="FC164" s="610"/>
      <c r="FD164" s="610"/>
      <c r="FE164" s="610"/>
      <c r="FF164" s="610"/>
      <c r="FG164" s="610"/>
      <c r="FH164" s="610"/>
      <c r="FI164" s="610"/>
      <c r="FJ164" s="610"/>
      <c r="FK164" s="610"/>
      <c r="FL164" s="610"/>
      <c r="FM164" s="610"/>
      <c r="FN164" s="610"/>
      <c r="FO164" s="610"/>
      <c r="FP164" s="610"/>
      <c r="FQ164" s="610"/>
      <c r="FR164" s="610"/>
      <c r="FS164" s="610"/>
      <c r="FT164" s="610"/>
      <c r="FU164" s="610"/>
      <c r="FV164" s="610"/>
      <c r="FW164" s="610"/>
      <c r="FX164" s="610"/>
      <c r="FY164" s="610"/>
      <c r="FZ164" s="610"/>
      <c r="GA164" s="610"/>
      <c r="GB164" s="610"/>
      <c r="GC164" s="610"/>
      <c r="GD164" s="610"/>
      <c r="GE164" s="610"/>
      <c r="GF164" s="610"/>
      <c r="GG164" s="610"/>
      <c r="GH164" s="610"/>
      <c r="GI164" s="610"/>
      <c r="GJ164" s="610"/>
      <c r="GK164" s="610"/>
      <c r="GL164" s="610"/>
      <c r="GM164" s="610"/>
      <c r="GN164" s="610"/>
      <c r="GO164" s="610"/>
      <c r="GP164" s="610"/>
      <c r="GQ164" s="610"/>
      <c r="GR164" s="610"/>
      <c r="GS164" s="610"/>
      <c r="GT164" s="610"/>
      <c r="GU164" s="610"/>
      <c r="GV164" s="610"/>
      <c r="GW164" s="610"/>
      <c r="GX164" s="610"/>
      <c r="GY164" s="610"/>
      <c r="GZ164" s="610"/>
      <c r="HA164" s="610"/>
      <c r="HB164" s="610"/>
      <c r="HC164" s="610"/>
      <c r="HD164" s="610"/>
      <c r="HE164" s="610"/>
      <c r="HF164" s="610"/>
      <c r="HG164" s="610"/>
      <c r="HH164" s="610"/>
      <c r="HI164" s="610"/>
      <c r="HJ164" s="610"/>
      <c r="HK164" s="610"/>
      <c r="HL164" s="610"/>
      <c r="HM164" s="610"/>
      <c r="HN164" s="610"/>
      <c r="HO164" s="610"/>
      <c r="HP164" s="610"/>
      <c r="HQ164" s="610"/>
      <c r="HR164" s="610"/>
      <c r="HS164" s="610"/>
      <c r="HT164" s="610"/>
      <c r="HU164" s="610"/>
      <c r="HV164" s="610"/>
      <c r="HW164" s="610"/>
      <c r="HX164" s="610"/>
      <c r="HY164" s="610"/>
      <c r="HZ164" s="610"/>
      <c r="IA164" s="610"/>
      <c r="IB164" s="610"/>
      <c r="IC164" s="610"/>
      <c r="ID164" s="610"/>
      <c r="IE164" s="610"/>
      <c r="IF164" s="610"/>
      <c r="IG164" s="610"/>
      <c r="IH164" s="610"/>
      <c r="II164" s="610"/>
      <c r="IJ164" s="610"/>
      <c r="IK164" s="610"/>
      <c r="IL164" s="610"/>
      <c r="IM164" s="610"/>
      <c r="IN164" s="610"/>
      <c r="IO164" s="610"/>
      <c r="IP164" s="610"/>
      <c r="IQ164" s="610"/>
      <c r="IR164" s="610"/>
      <c r="IS164" s="610"/>
      <c r="IT164" s="610"/>
      <c r="IU164" s="610"/>
      <c r="IV164" s="610"/>
      <c r="IW164" s="610"/>
      <c r="IX164" s="610"/>
      <c r="IY164" s="610"/>
      <c r="IZ164" s="610"/>
      <c r="JA164" s="610"/>
      <c r="JB164" s="610"/>
      <c r="JC164" s="610"/>
      <c r="JD164" s="610"/>
      <c r="JE164" s="610"/>
      <c r="JF164" s="610"/>
      <c r="JG164" s="610"/>
      <c r="JH164" s="610"/>
      <c r="JI164" s="610"/>
      <c r="JJ164" s="610"/>
      <c r="JK164" s="610"/>
      <c r="JL164" s="610"/>
      <c r="JM164" s="610"/>
      <c r="JN164" s="610"/>
      <c r="JO164" s="610"/>
      <c r="JP164" s="610"/>
      <c r="JQ164" s="610"/>
      <c r="JR164" s="610"/>
      <c r="JS164" s="610"/>
      <c r="JT164" s="610"/>
      <c r="JU164" s="610"/>
      <c r="JV164" s="610"/>
      <c r="JW164" s="610"/>
      <c r="JX164" s="610"/>
      <c r="JY164" s="610"/>
      <c r="JZ164" s="610"/>
      <c r="KA164" s="610"/>
      <c r="KB164" s="610"/>
      <c r="KC164" s="610"/>
      <c r="KD164" s="610"/>
      <c r="KE164" s="610"/>
      <c r="KF164" s="610"/>
      <c r="KG164" s="610"/>
      <c r="KH164" s="610"/>
      <c r="KI164" s="610"/>
      <c r="KJ164" s="610"/>
      <c r="KK164" s="610"/>
      <c r="KL164" s="610"/>
      <c r="KM164" s="610"/>
      <c r="KN164" s="610"/>
      <c r="KO164" s="610"/>
      <c r="KP164" s="610"/>
      <c r="KQ164" s="610"/>
      <c r="KR164" s="610"/>
      <c r="KS164" s="610"/>
      <c r="KT164" s="610"/>
      <c r="KU164" s="610"/>
      <c r="KV164" s="610"/>
      <c r="KW164" s="610"/>
      <c r="KX164" s="610"/>
      <c r="KY164" s="610"/>
      <c r="KZ164" s="610"/>
      <c r="LA164" s="610"/>
      <c r="LB164" s="610"/>
      <c r="LC164" s="610"/>
      <c r="LD164" s="610"/>
      <c r="LE164" s="610"/>
      <c r="LF164" s="610"/>
      <c r="LG164" s="610"/>
      <c r="LH164" s="610"/>
      <c r="LI164" s="610"/>
      <c r="LJ164" s="610"/>
      <c r="LK164" s="610"/>
      <c r="LL164" s="610"/>
      <c r="LM164" s="610"/>
      <c r="LN164" s="610"/>
      <c r="LO164" s="610"/>
      <c r="LP164" s="610"/>
      <c r="LQ164" s="610"/>
      <c r="LR164" s="610"/>
      <c r="LS164" s="610"/>
      <c r="LT164" s="610"/>
      <c r="LU164" s="610"/>
      <c r="LV164" s="610"/>
      <c r="LW164" s="610"/>
      <c r="LX164" s="610"/>
      <c r="LY164" s="610"/>
      <c r="LZ164" s="610"/>
      <c r="MA164" s="610"/>
      <c r="MB164" s="610"/>
      <c r="MC164" s="610"/>
      <c r="MD164" s="610"/>
      <c r="ME164" s="610"/>
      <c r="MF164" s="610"/>
      <c r="MG164" s="610"/>
      <c r="MH164" s="610"/>
      <c r="MI164" s="610"/>
      <c r="MJ164" s="610"/>
      <c r="MK164" s="610"/>
      <c r="ML164" s="610"/>
      <c r="MM164" s="610"/>
      <c r="MN164" s="610"/>
      <c r="MO164" s="610"/>
      <c r="MP164" s="610"/>
      <c r="MQ164" s="610"/>
      <c r="MR164" s="610"/>
      <c r="MS164" s="610"/>
      <c r="MT164" s="610"/>
      <c r="MU164" s="610"/>
      <c r="MV164" s="610"/>
      <c r="MW164" s="610"/>
      <c r="MX164" s="610"/>
      <c r="MY164" s="610"/>
      <c r="MZ164" s="610"/>
      <c r="NA164" s="610"/>
      <c r="NB164" s="610"/>
      <c r="NC164" s="610"/>
      <c r="ND164" s="610"/>
      <c r="NE164" s="610"/>
      <c r="NF164" s="610"/>
      <c r="NG164" s="610"/>
      <c r="NH164" s="610"/>
      <c r="NI164" s="610"/>
      <c r="NJ164" s="610"/>
      <c r="NK164" s="610"/>
      <c r="NL164" s="610"/>
      <c r="NM164" s="610"/>
      <c r="NN164" s="610"/>
      <c r="NO164" s="610"/>
      <c r="NP164" s="610"/>
      <c r="NQ164" s="610"/>
      <c r="NR164" s="610"/>
      <c r="NS164" s="610"/>
      <c r="NT164" s="610"/>
      <c r="NU164" s="610"/>
      <c r="NV164" s="610"/>
      <c r="NW164" s="610"/>
      <c r="NX164" s="610"/>
      <c r="NY164" s="610"/>
      <c r="NZ164" s="610"/>
      <c r="OA164" s="610"/>
      <c r="OB164" s="610"/>
      <c r="OC164" s="610"/>
      <c r="OD164" s="610"/>
      <c r="OE164" s="610"/>
      <c r="OF164" s="610"/>
      <c r="OG164" s="610"/>
      <c r="OH164" s="610"/>
      <c r="OI164" s="610"/>
      <c r="OJ164" s="610"/>
      <c r="OK164" s="610"/>
      <c r="OL164" s="610"/>
      <c r="OM164" s="610"/>
      <c r="ON164" s="610"/>
      <c r="OO164" s="610"/>
      <c r="OP164" s="610"/>
      <c r="OQ164" s="610"/>
      <c r="OR164" s="610"/>
      <c r="OS164" s="610"/>
      <c r="OT164" s="610"/>
      <c r="OU164" s="610"/>
      <c r="OV164" s="610"/>
      <c r="OW164" s="610"/>
      <c r="OX164" s="610"/>
      <c r="OY164" s="610"/>
      <c r="OZ164" s="610"/>
      <c r="PA164" s="610"/>
      <c r="PB164" s="610"/>
      <c r="PC164" s="610"/>
      <c r="PD164" s="610"/>
      <c r="PE164" s="610"/>
      <c r="PF164" s="610"/>
      <c r="PG164" s="610"/>
      <c r="PH164" s="610"/>
      <c r="PI164" s="610"/>
      <c r="PJ164" s="610"/>
      <c r="PK164" s="610"/>
      <c r="PL164" s="610"/>
      <c r="PM164" s="610"/>
      <c r="PN164" s="610"/>
      <c r="PO164" s="610"/>
      <c r="PP164" s="610"/>
      <c r="PQ164" s="610"/>
      <c r="PR164" s="610"/>
      <c r="PS164" s="610"/>
      <c r="PT164" s="610"/>
      <c r="PU164" s="610"/>
      <c r="PV164" s="610"/>
      <c r="PW164" s="610"/>
      <c r="PX164" s="610"/>
      <c r="PY164" s="610"/>
      <c r="PZ164" s="610"/>
      <c r="QA164" s="610"/>
      <c r="QB164" s="610"/>
      <c r="QC164" s="610"/>
      <c r="QD164" s="610"/>
      <c r="QE164" s="610"/>
      <c r="QF164" s="610"/>
      <c r="QG164" s="610"/>
      <c r="QH164" s="610"/>
      <c r="QI164" s="610"/>
      <c r="QJ164" s="610"/>
    </row>
    <row r="165" spans="1:452" s="524" customFormat="1" ht="18" x14ac:dyDescent="0.35">
      <c r="A165" s="605"/>
      <c r="B165" s="558"/>
      <c r="C165" s="559"/>
      <c r="D165" s="606"/>
      <c r="E165" s="572" t="s">
        <v>86</v>
      </c>
      <c r="F165" s="571" cm="1">
        <f t="array" ref="F165">SUMPRODUCT(F$14:F$43,--($Q$14:$Q$43=FALSE),--($D$14:$D$43=$D164))</f>
        <v>0</v>
      </c>
      <c r="G165" s="571" cm="1">
        <f t="array" ref="G165">SUMPRODUCT(G$14:G$43,--($Q$14:$Q$43=FALSE),--($D$14:$D$43=$D164))</f>
        <v>0</v>
      </c>
      <c r="H165" s="571" cm="1">
        <f t="array" ref="H165">SUMPRODUCT(H$14:H$43,--($Q$14:$Q$43=FALSE),--($D$14:$D$43=$D164))</f>
        <v>0</v>
      </c>
      <c r="I165" s="571" cm="1">
        <f t="array" ref="I165">SUMPRODUCT(I$14:I$43,--($Q$14:$Q$43=FALSE),--($D$14:$D$43=$D164))</f>
        <v>0</v>
      </c>
      <c r="J165" s="571" cm="1">
        <f t="array" ref="J165">SUMPRODUCT(J$14:J$43,--($Q$14:$Q$43=FALSE),--($D$14:$D$43=$D164))</f>
        <v>0</v>
      </c>
      <c r="K165" s="571" cm="1">
        <f t="array" ref="K165">SUMPRODUCT(K$14:K$43,--($Q$14:$Q$43=FALSE),--($D$14:$D$43=$D164))</f>
        <v>0</v>
      </c>
      <c r="L165" s="571" cm="1">
        <f t="array" ref="L165">SUMPRODUCT(L$14:L$43,--($Q$14:$Q$43=FALSE),--($D$14:$D$43=$D164))</f>
        <v>0</v>
      </c>
      <c r="M165" s="571" cm="1">
        <f t="array" ref="M165">SUMPRODUCT(M$14:M$43,--($Q$14:$Q$43=FALSE),--($D$14:$D$43=$D164))</f>
        <v>0</v>
      </c>
      <c r="N165" s="571" cm="1">
        <f t="array" ref="N165">SUMPRODUCT(N$14:N$43,--($Q$14:$Q$43=FALSE),--($D$14:$D$43=$D164))</f>
        <v>0</v>
      </c>
      <c r="O165" s="571" cm="1">
        <f t="array" ref="O165">SUMPRODUCT(O$14:O$43,--($Q$14:$Q$43=FALSE),--($D$14:$D$43=$D164))</f>
        <v>0</v>
      </c>
      <c r="P165" s="607">
        <f t="shared" si="43"/>
        <v>0</v>
      </c>
      <c r="Q165" s="575"/>
      <c r="R165" s="576"/>
      <c r="S165" s="576"/>
      <c r="T165" s="576"/>
      <c r="U165" s="577"/>
    </row>
    <row r="166" spans="1:452" s="524" customFormat="1" ht="18" x14ac:dyDescent="0.35">
      <c r="A166" s="605"/>
      <c r="B166" s="558"/>
      <c r="C166" s="559"/>
      <c r="D166" s="606"/>
      <c r="E166" s="572" t="s">
        <v>87</v>
      </c>
      <c r="F166" s="571" cm="1">
        <f t="array" ref="F166">SUMPRODUCT(F$14:F$43,--($Q$14:$Q$43=FALSE),--($D$14:$D$43=$D164),--($R$14:$R$43="Yes"))*0.1</f>
        <v>0</v>
      </c>
      <c r="G166" s="571" cm="1">
        <f t="array" ref="G166">SUMPRODUCT(G$14:G$43,--($Q$14:$Q$43=FALSE),--($D$14:$D$43=$D164),--($R$14:$R$43="Yes"))*0.1</f>
        <v>0</v>
      </c>
      <c r="H166" s="571" cm="1">
        <f t="array" ref="H166">SUMPRODUCT(H$14:H$43,--($Q$14:$Q$43=FALSE),--($D$14:$D$43=$D164),--($R$14:$R$43="Yes"))*0.1</f>
        <v>0</v>
      </c>
      <c r="I166" s="571" cm="1">
        <f t="array" ref="I166">SUMPRODUCT(I$14:I$43,--($Q$14:$Q$43=FALSE),--($D$14:$D$43=$D164),--($R$14:$R$43="Yes"))*0.1</f>
        <v>0</v>
      </c>
      <c r="J166" s="571" cm="1">
        <f t="array" ref="J166">SUMPRODUCT(J$14:J$43,--($Q$14:$Q$43=FALSE),--($D$14:$D$43=$D164),--($R$14:$R$43="Yes"))*0.1</f>
        <v>0</v>
      </c>
      <c r="K166" s="571" cm="1">
        <f t="array" ref="K166">SUMPRODUCT(K$14:K$43,--($Q$14:$Q$43=FALSE),--($D$14:$D$43=$D164),--($R$14:$R$43="Yes"))*0.1</f>
        <v>0</v>
      </c>
      <c r="L166" s="571" cm="1">
        <f t="array" ref="L166">SUMPRODUCT(L$14:L$43,--($Q$14:$Q$43=FALSE),--($D$14:$D$43=$D164),--($R$14:$R$43="Yes"))*0.1</f>
        <v>0</v>
      </c>
      <c r="M166" s="571" cm="1">
        <f t="array" ref="M166">SUMPRODUCT(M$14:M$43,--($Q$14:$Q$43=FALSE),--($D$14:$D$43=$D164),--($R$14:$R$43="Yes"))*0.1</f>
        <v>0</v>
      </c>
      <c r="N166" s="571" cm="1">
        <f t="array" ref="N166">SUMPRODUCT(N$14:N$43,--($Q$14:$Q$43=FALSE),--($D$14:$D$43=$D164),--($R$14:$R$43="Yes"))*0.1</f>
        <v>0</v>
      </c>
      <c r="O166" s="571" cm="1">
        <f t="array" ref="O166">SUMPRODUCT(O$14:O$43,--($Q$14:$Q$43=FALSE),--($D$14:$D$43=$D164),--($R$14:$R$43="Yes"))*0.1</f>
        <v>0</v>
      </c>
      <c r="P166" s="607">
        <f t="shared" si="43"/>
        <v>0</v>
      </c>
      <c r="Q166" s="575"/>
      <c r="R166" s="576"/>
      <c r="S166" s="576"/>
      <c r="T166" s="576"/>
      <c r="U166" s="577"/>
    </row>
    <row r="167" spans="1:452" s="524" customFormat="1" ht="18" x14ac:dyDescent="0.35">
      <c r="A167" s="605"/>
      <c r="B167" s="558"/>
      <c r="C167" s="559"/>
      <c r="D167" s="606"/>
      <c r="E167" s="572" t="s">
        <v>88</v>
      </c>
      <c r="F167" s="571">
        <f t="shared" ref="F167:O167" si="47">F164-(F165+F166)</f>
        <v>0</v>
      </c>
      <c r="G167" s="571">
        <f t="shared" si="47"/>
        <v>0</v>
      </c>
      <c r="H167" s="571">
        <f t="shared" si="47"/>
        <v>0</v>
      </c>
      <c r="I167" s="571">
        <f t="shared" si="47"/>
        <v>0</v>
      </c>
      <c r="J167" s="571">
        <f t="shared" si="47"/>
        <v>0</v>
      </c>
      <c r="K167" s="571">
        <f t="shared" si="47"/>
        <v>0</v>
      </c>
      <c r="L167" s="571">
        <f t="shared" si="47"/>
        <v>0</v>
      </c>
      <c r="M167" s="571">
        <f t="shared" si="47"/>
        <v>0</v>
      </c>
      <c r="N167" s="571">
        <f t="shared" si="47"/>
        <v>0</v>
      </c>
      <c r="O167" s="571">
        <f t="shared" si="47"/>
        <v>0</v>
      </c>
      <c r="P167" s="607">
        <f t="shared" si="43"/>
        <v>0</v>
      </c>
      <c r="Q167" s="575"/>
      <c r="R167" s="576"/>
      <c r="S167" s="576"/>
      <c r="T167" s="576"/>
      <c r="U167" s="577"/>
    </row>
    <row r="168" spans="1:452" s="578" customFormat="1" ht="18" x14ac:dyDescent="0.35">
      <c r="A168" s="624"/>
      <c r="B168" s="625"/>
      <c r="C168" s="626"/>
      <c r="D168" s="625" t="s">
        <v>112</v>
      </c>
      <c r="E168" s="627"/>
      <c r="F168" s="628" cm="1">
        <f t="array" ref="F168">SUMPRODUCT(F$14:F$43,--($D$14:$D$43=$D164),--($Q$14:$Q$43=TRUE),$S$14:$S$43,--($S$14:$S$43&gt;0))+SUMPRODUCT(F$14:F$43,--($D$14:$D$43=$D164),--($Q$14:$Q$43=TRUE),$S$14:$S$43,--($S$14:$S$43&gt;0),--($R$14:$R$43="Yes"))*0.1+SUMPRODUCT(F$14:F$43,--($D$14:$D$43=$D164),--($Q$14:$Q$43=TRUE),--($S115:$S144=0))+SUMPRODUCT(F$14:F$43,--($D$14:$D$43=$D164),--($Q$14:$Q$43=TRUE),--($R$14:$R$43="Yes"),--($S$14:$S$43=0))*0.1</f>
        <v>0</v>
      </c>
      <c r="G168" s="628" cm="1">
        <f t="array" ref="G168">SUMPRODUCT(G$14:G$43,--($D$14:$D$43=$D164),--($Q$14:$Q$43=TRUE),$S$14:$S$43,--($S$14:$S$43&gt;0))+SUMPRODUCT(G$14:G$43,--($D$14:$D$43=$D164),--($Q$14:$Q$43=TRUE),$S$14:$S$43,--($S$14:$S$43&gt;0),--($R$14:$R$43="Yes"))*0.1+SUMPRODUCT(G$14:G$43,--($D$14:$D$43=$D164),--($Q$14:$Q$43=TRUE),--($S115:$S144=0))+SUMPRODUCT(G$14:G$43,--($D$14:$D$43=$D164),--($Q$14:$Q$43=TRUE),--($R$14:$R$43="Yes"),--($S$14:$S$43=0))*0.1</f>
        <v>0</v>
      </c>
      <c r="H168" s="628" cm="1">
        <f t="array" ref="H168">SUMPRODUCT(H$14:H$43,--($D$14:$D$43=$D164),--($Q$14:$Q$43=TRUE),$S$14:$S$43,--($S$14:$S$43&gt;0))+SUMPRODUCT(H$14:H$43,--($D$14:$D$43=$D164),--($Q$14:$Q$43=TRUE),$S$14:$S$43,--($S$14:$S$43&gt;0),--($R$14:$R$43="Yes"))*0.1+SUMPRODUCT(H$14:H$43,--($D$14:$D$43=$D164),--($Q$14:$Q$43=TRUE),--($S115:$S144=0))+SUMPRODUCT(H$14:H$43,--($D$14:$D$43=$D164),--($Q$14:$Q$43=TRUE),--($R$14:$R$43="Yes"),--($S$14:$S$43=0))*0.1</f>
        <v>0</v>
      </c>
      <c r="I168" s="628" cm="1">
        <f t="array" ref="I168">SUMPRODUCT(I$14:I$43,--($D$14:$D$43=$D164),--($Q$14:$Q$43=TRUE),$S$14:$S$43,--($S$14:$S$43&gt;0))+SUMPRODUCT(I$14:I$43,--($D$14:$D$43=$D164),--($Q$14:$Q$43=TRUE),$S$14:$S$43,--($S$14:$S$43&gt;0),--($R$14:$R$43="Yes"))*0.1+SUMPRODUCT(I$14:I$43,--($D$14:$D$43=$D164),--($Q$14:$Q$43=TRUE),--($S115:$S144=0))+SUMPRODUCT(I$14:I$43,--($D$14:$D$43=$D164),--($Q$14:$Q$43=TRUE),--($R$14:$R$43="Yes"),--($S$14:$S$43=0))*0.1</f>
        <v>0</v>
      </c>
      <c r="J168" s="628" cm="1">
        <f t="array" ref="J168">SUMPRODUCT(J$14:J$43,--($D$14:$D$43=$D164),--($Q$14:$Q$43=TRUE),$S$14:$S$43,--($S$14:$S$43&gt;0))+SUMPRODUCT(J$14:J$43,--($D$14:$D$43=$D164),--($Q$14:$Q$43=TRUE),$S$14:$S$43,--($S$14:$S$43&gt;0),--($R$14:$R$43="Yes"))*0.1+SUMPRODUCT(J$14:J$43,--($D$14:$D$43=$D164),--($Q$14:$Q$43=TRUE),--($S115:$S144=0))+SUMPRODUCT(J$14:J$43,--($D$14:$D$43=$D164),--($Q$14:$Q$43=TRUE),--($R$14:$R$43="Yes"),--($S$14:$S$43=0))*0.1</f>
        <v>0</v>
      </c>
      <c r="K168" s="628" cm="1">
        <f t="array" ref="K168">SUMPRODUCT(K$14:K$43,--($D$14:$D$43=$D164),--($Q$14:$Q$43=TRUE),$S$14:$S$43,--($S$14:$S$43&gt;0))+SUMPRODUCT(K$14:K$43,--($D$14:$D$43=$D164),--($Q$14:$Q$43=TRUE),$S$14:$S$43,--($S$14:$S$43&gt;0),--($R$14:$R$43="Yes"))*0.1+SUMPRODUCT(K$14:K$43,--($D$14:$D$43=$D164),--($Q$14:$Q$43=TRUE),--($S115:$S144=0))+SUMPRODUCT(K$14:K$43,--($D$14:$D$43=$D164),--($Q$14:$Q$43=TRUE),--($R$14:$R$43="Yes"),--($S$14:$S$43=0))*0.1</f>
        <v>0</v>
      </c>
      <c r="L168" s="628" cm="1">
        <f t="array" ref="L168">SUMPRODUCT(L$14:L$43,--($D$14:$D$43=$D164),--($Q$14:$Q$43=TRUE),$S$14:$S$43,--($S$14:$S$43&gt;0))+SUMPRODUCT(L$14:L$43,--($D$14:$D$43=$D164),--($Q$14:$Q$43=TRUE),$S$14:$S$43,--($S$14:$S$43&gt;0),--($R$14:$R$43="Yes"))*0.1+SUMPRODUCT(L$14:L$43,--($D$14:$D$43=$D164),--($Q$14:$Q$43=TRUE),--($S115:$S144=0))+SUMPRODUCT(L$14:L$43,--($D$14:$D$43=$D164),--($Q$14:$Q$43=TRUE),--($R$14:$R$43="Yes"),--($S$14:$S$43=0))*0.1</f>
        <v>0</v>
      </c>
      <c r="M168" s="628" cm="1">
        <f t="array" ref="M168">SUMPRODUCT(M$14:M$43,--($D$14:$D$43=$D164),--($Q$14:$Q$43=TRUE),$S$14:$S$43,--($S$14:$S$43&gt;0))+SUMPRODUCT(M$14:M$43,--($D$14:$D$43=$D164),--($Q$14:$Q$43=TRUE),$S$14:$S$43,--($S$14:$S$43&gt;0),--($R$14:$R$43="Yes"))*0.1+SUMPRODUCT(M$14:M$43,--($D$14:$D$43=$D164),--($Q$14:$Q$43=TRUE),--($S115:$S144=0))+SUMPRODUCT(M$14:M$43,--($D$14:$D$43=$D164),--($Q$14:$Q$43=TRUE),--($R$14:$R$43="Yes"),--($S$14:$S$43=0))*0.1</f>
        <v>0</v>
      </c>
      <c r="N168" s="628" cm="1">
        <f t="array" ref="N168">SUMPRODUCT(N$14:N$43,--($D$14:$D$43=$D164),--($Q$14:$Q$43=TRUE),$S$14:$S$43,--($S$14:$S$43&gt;0))+SUMPRODUCT(N$14:N$43,--($D$14:$D$43=$D164),--($Q$14:$Q$43=TRUE),$S$14:$S$43,--($S$14:$S$43&gt;0),--($R$14:$R$43="Yes"))*0.1+SUMPRODUCT(N$14:N$43,--($D$14:$D$43=$D164),--($Q$14:$Q$43=TRUE),--($S115:$S144=0))+SUMPRODUCT(N$14:N$43,--($D$14:$D$43=$D164),--($Q$14:$Q$43=TRUE),--($R$14:$R$43="Yes"),--($S$14:$S$43=0))*0.1</f>
        <v>0</v>
      </c>
      <c r="O168" s="628" cm="1">
        <f t="array" ref="O168">SUMPRODUCT(O$14:O$43,--($D$14:$D$43=$D164),--($Q$14:$Q$43=TRUE),$S$14:$S$43,--($S$14:$S$43&gt;0))+SUMPRODUCT(O$14:O$43,--($D$14:$D$43=$D164),--($Q$14:$Q$43=TRUE),$S$14:$S$43,--($S$14:$S$43&gt;0),--($R$14:$R$43="Yes"))*0.1+SUMPRODUCT(O$14:O$43,--($D$14:$D$43=$D164),--($Q$14:$Q$43=TRUE),--($S115:$S144=0))+SUMPRODUCT(O$14:O$43,--($D$14:$D$43=$D164),--($Q$14:$Q$43=TRUE),--($R$14:$R$43="Yes"),--($S$14:$S$43=0))*0.1</f>
        <v>0</v>
      </c>
      <c r="P168" s="629">
        <f t="shared" ref="P168:P187" si="48">SUM(F168:O168)</f>
        <v>0</v>
      </c>
      <c r="Q168" s="575"/>
      <c r="R168" s="576"/>
      <c r="S168" s="576"/>
      <c r="T168" s="576"/>
      <c r="U168" s="577"/>
      <c r="V168" s="610"/>
      <c r="W168" s="610"/>
      <c r="X168" s="610"/>
      <c r="Y168" s="610"/>
      <c r="Z168" s="610"/>
      <c r="AA168" s="610"/>
      <c r="AB168" s="610"/>
      <c r="AC168" s="610"/>
      <c r="AD168" s="610"/>
      <c r="AE168" s="610"/>
      <c r="AF168" s="610"/>
      <c r="AG168" s="610"/>
      <c r="AH168" s="610"/>
      <c r="AI168" s="610"/>
      <c r="AJ168" s="610"/>
      <c r="AK168" s="610"/>
      <c r="AL168" s="610"/>
      <c r="AM168" s="610"/>
      <c r="AN168" s="610"/>
      <c r="AO168" s="610"/>
      <c r="AP168" s="610"/>
      <c r="AQ168" s="610"/>
      <c r="AR168" s="610"/>
      <c r="AS168" s="610"/>
      <c r="AT168" s="610"/>
      <c r="AU168" s="610"/>
      <c r="AV168" s="610"/>
      <c r="AW168" s="610"/>
      <c r="AX168" s="610"/>
      <c r="AY168" s="610"/>
      <c r="AZ168" s="610"/>
      <c r="BA168" s="610"/>
      <c r="BB168" s="610"/>
      <c r="BC168" s="610"/>
      <c r="BD168" s="610"/>
      <c r="BE168" s="610"/>
      <c r="BF168" s="610"/>
      <c r="BG168" s="610"/>
      <c r="BH168" s="610"/>
      <c r="BI168" s="610"/>
      <c r="BJ168" s="610"/>
      <c r="BK168" s="610"/>
      <c r="BL168" s="610"/>
      <c r="BM168" s="610"/>
      <c r="BN168" s="610"/>
      <c r="BO168" s="610"/>
      <c r="BP168" s="610"/>
      <c r="BQ168" s="610"/>
      <c r="BR168" s="610"/>
      <c r="BS168" s="610"/>
      <c r="BT168" s="610"/>
      <c r="BU168" s="610"/>
      <c r="BV168" s="610"/>
      <c r="BW168" s="610"/>
      <c r="BX168" s="610"/>
      <c r="BY168" s="610"/>
      <c r="BZ168" s="610"/>
      <c r="CA168" s="610"/>
      <c r="CB168" s="610"/>
      <c r="CC168" s="610"/>
      <c r="CD168" s="610"/>
      <c r="CE168" s="610"/>
      <c r="CF168" s="610"/>
      <c r="CG168" s="610"/>
      <c r="CH168" s="610"/>
      <c r="CI168" s="610"/>
      <c r="CJ168" s="610"/>
      <c r="CK168" s="610"/>
      <c r="CL168" s="610"/>
      <c r="CM168" s="610"/>
      <c r="CN168" s="610"/>
      <c r="CO168" s="610"/>
      <c r="CP168" s="610"/>
      <c r="CQ168" s="610"/>
      <c r="CR168" s="610"/>
      <c r="CS168" s="610"/>
      <c r="CT168" s="610"/>
      <c r="CU168" s="610"/>
      <c r="CV168" s="610"/>
      <c r="CW168" s="610"/>
      <c r="CX168" s="610"/>
      <c r="CY168" s="610"/>
      <c r="CZ168" s="610"/>
      <c r="DA168" s="610"/>
      <c r="DB168" s="610"/>
      <c r="DC168" s="610"/>
      <c r="DD168" s="610"/>
      <c r="DE168" s="610"/>
      <c r="DF168" s="610"/>
      <c r="DG168" s="610"/>
      <c r="DH168" s="610"/>
      <c r="DI168" s="610"/>
      <c r="DJ168" s="610"/>
      <c r="DK168" s="610"/>
      <c r="DL168" s="610"/>
      <c r="DM168" s="610"/>
      <c r="DN168" s="610"/>
      <c r="DO168" s="610"/>
      <c r="DP168" s="610"/>
      <c r="DQ168" s="610"/>
      <c r="DR168" s="610"/>
      <c r="DS168" s="610"/>
      <c r="DT168" s="610"/>
      <c r="DU168" s="610"/>
      <c r="DV168" s="610"/>
      <c r="DW168" s="610"/>
      <c r="DX168" s="610"/>
      <c r="DY168" s="610"/>
      <c r="DZ168" s="610"/>
      <c r="EA168" s="610"/>
      <c r="EB168" s="610"/>
      <c r="EC168" s="610"/>
      <c r="ED168" s="610"/>
      <c r="EE168" s="610"/>
      <c r="EF168" s="610"/>
      <c r="EG168" s="610"/>
      <c r="EH168" s="610"/>
      <c r="EI168" s="610"/>
      <c r="EJ168" s="610"/>
      <c r="EK168" s="610"/>
      <c r="EL168" s="610"/>
      <c r="EM168" s="610"/>
      <c r="EN168" s="610"/>
      <c r="EO168" s="610"/>
      <c r="EP168" s="610"/>
      <c r="EQ168" s="610"/>
      <c r="ER168" s="610"/>
      <c r="ES168" s="610"/>
      <c r="ET168" s="610"/>
      <c r="EU168" s="610"/>
      <c r="EV168" s="610"/>
      <c r="EW168" s="610"/>
      <c r="EX168" s="610"/>
      <c r="EY168" s="610"/>
      <c r="EZ168" s="610"/>
      <c r="FA168" s="610"/>
      <c r="FB168" s="610"/>
      <c r="FC168" s="610"/>
      <c r="FD168" s="610"/>
      <c r="FE168" s="610"/>
      <c r="FF168" s="610"/>
      <c r="FG168" s="610"/>
      <c r="FH168" s="610"/>
      <c r="FI168" s="610"/>
      <c r="FJ168" s="610"/>
      <c r="FK168" s="610"/>
      <c r="FL168" s="610"/>
      <c r="FM168" s="610"/>
      <c r="FN168" s="610"/>
      <c r="FO168" s="610"/>
      <c r="FP168" s="610"/>
      <c r="FQ168" s="610"/>
      <c r="FR168" s="610"/>
      <c r="FS168" s="610"/>
      <c r="FT168" s="610"/>
      <c r="FU168" s="610"/>
      <c r="FV168" s="610"/>
      <c r="FW168" s="610"/>
      <c r="FX168" s="610"/>
      <c r="FY168" s="610"/>
      <c r="FZ168" s="610"/>
      <c r="GA168" s="610"/>
      <c r="GB168" s="610"/>
      <c r="GC168" s="610"/>
      <c r="GD168" s="610"/>
      <c r="GE168" s="610"/>
      <c r="GF168" s="610"/>
      <c r="GG168" s="610"/>
      <c r="GH168" s="610"/>
      <c r="GI168" s="610"/>
      <c r="GJ168" s="610"/>
      <c r="GK168" s="610"/>
      <c r="GL168" s="610"/>
      <c r="GM168" s="610"/>
      <c r="GN168" s="610"/>
      <c r="GO168" s="610"/>
      <c r="GP168" s="610"/>
      <c r="GQ168" s="610"/>
      <c r="GR168" s="610"/>
      <c r="GS168" s="610"/>
      <c r="GT168" s="610"/>
      <c r="GU168" s="610"/>
      <c r="GV168" s="610"/>
      <c r="GW168" s="610"/>
      <c r="GX168" s="610"/>
      <c r="GY168" s="610"/>
      <c r="GZ168" s="610"/>
      <c r="HA168" s="610"/>
      <c r="HB168" s="610"/>
      <c r="HC168" s="610"/>
      <c r="HD168" s="610"/>
      <c r="HE168" s="610"/>
      <c r="HF168" s="610"/>
      <c r="HG168" s="610"/>
      <c r="HH168" s="610"/>
      <c r="HI168" s="610"/>
      <c r="HJ168" s="610"/>
      <c r="HK168" s="610"/>
      <c r="HL168" s="610"/>
      <c r="HM168" s="610"/>
      <c r="HN168" s="610"/>
      <c r="HO168" s="610"/>
      <c r="HP168" s="610"/>
      <c r="HQ168" s="610"/>
      <c r="HR168" s="610"/>
      <c r="HS168" s="610"/>
      <c r="HT168" s="610"/>
      <c r="HU168" s="610"/>
      <c r="HV168" s="610"/>
      <c r="HW168" s="610"/>
      <c r="HX168" s="610"/>
      <c r="HY168" s="610"/>
      <c r="HZ168" s="610"/>
      <c r="IA168" s="610"/>
      <c r="IB168" s="610"/>
      <c r="IC168" s="610"/>
      <c r="ID168" s="610"/>
      <c r="IE168" s="610"/>
      <c r="IF168" s="610"/>
      <c r="IG168" s="610"/>
      <c r="IH168" s="610"/>
      <c r="II168" s="610"/>
      <c r="IJ168" s="610"/>
      <c r="IK168" s="610"/>
      <c r="IL168" s="610"/>
      <c r="IM168" s="610"/>
      <c r="IN168" s="610"/>
      <c r="IO168" s="610"/>
      <c r="IP168" s="610"/>
      <c r="IQ168" s="610"/>
      <c r="IR168" s="610"/>
      <c r="IS168" s="610"/>
      <c r="IT168" s="610"/>
      <c r="IU168" s="610"/>
      <c r="IV168" s="610"/>
      <c r="IW168" s="610"/>
      <c r="IX168" s="610"/>
      <c r="IY168" s="610"/>
      <c r="IZ168" s="610"/>
      <c r="JA168" s="610"/>
      <c r="JB168" s="610"/>
      <c r="JC168" s="610"/>
      <c r="JD168" s="610"/>
      <c r="JE168" s="610"/>
      <c r="JF168" s="610"/>
      <c r="JG168" s="610"/>
      <c r="JH168" s="610"/>
      <c r="JI168" s="610"/>
      <c r="JJ168" s="610"/>
      <c r="JK168" s="610"/>
      <c r="JL168" s="610"/>
      <c r="JM168" s="610"/>
      <c r="JN168" s="610"/>
      <c r="JO168" s="610"/>
      <c r="JP168" s="610"/>
      <c r="JQ168" s="610"/>
      <c r="JR168" s="610"/>
      <c r="JS168" s="610"/>
      <c r="JT168" s="610"/>
      <c r="JU168" s="610"/>
      <c r="JV168" s="610"/>
      <c r="JW168" s="610"/>
      <c r="JX168" s="610"/>
      <c r="JY168" s="610"/>
      <c r="JZ168" s="610"/>
      <c r="KA168" s="610"/>
      <c r="KB168" s="610"/>
      <c r="KC168" s="610"/>
      <c r="KD168" s="610"/>
      <c r="KE168" s="610"/>
      <c r="KF168" s="610"/>
      <c r="KG168" s="610"/>
      <c r="KH168" s="610"/>
      <c r="KI168" s="610"/>
      <c r="KJ168" s="610"/>
      <c r="KK168" s="610"/>
      <c r="KL168" s="610"/>
      <c r="KM168" s="610"/>
      <c r="KN168" s="610"/>
      <c r="KO168" s="610"/>
      <c r="KP168" s="610"/>
      <c r="KQ168" s="610"/>
      <c r="KR168" s="610"/>
      <c r="KS168" s="610"/>
      <c r="KT168" s="610"/>
      <c r="KU168" s="610"/>
      <c r="KV168" s="610"/>
      <c r="KW168" s="610"/>
      <c r="KX168" s="610"/>
      <c r="KY168" s="610"/>
      <c r="KZ168" s="610"/>
      <c r="LA168" s="610"/>
      <c r="LB168" s="610"/>
      <c r="LC168" s="610"/>
      <c r="LD168" s="610"/>
      <c r="LE168" s="610"/>
      <c r="LF168" s="610"/>
      <c r="LG168" s="610"/>
      <c r="LH168" s="610"/>
      <c r="LI168" s="610"/>
      <c r="LJ168" s="610"/>
      <c r="LK168" s="610"/>
      <c r="LL168" s="610"/>
      <c r="LM168" s="610"/>
      <c r="LN168" s="610"/>
      <c r="LO168" s="610"/>
      <c r="LP168" s="610"/>
      <c r="LQ168" s="610"/>
      <c r="LR168" s="610"/>
      <c r="LS168" s="610"/>
      <c r="LT168" s="610"/>
      <c r="LU168" s="610"/>
      <c r="LV168" s="610"/>
      <c r="LW168" s="610"/>
      <c r="LX168" s="610"/>
      <c r="LY168" s="610"/>
      <c r="LZ168" s="610"/>
      <c r="MA168" s="610"/>
      <c r="MB168" s="610"/>
      <c r="MC168" s="610"/>
      <c r="MD168" s="610"/>
      <c r="ME168" s="610"/>
      <c r="MF168" s="610"/>
      <c r="MG168" s="610"/>
      <c r="MH168" s="610"/>
      <c r="MI168" s="610"/>
      <c r="MJ168" s="610"/>
      <c r="MK168" s="610"/>
      <c r="ML168" s="610"/>
      <c r="MM168" s="610"/>
      <c r="MN168" s="610"/>
      <c r="MO168" s="610"/>
      <c r="MP168" s="610"/>
      <c r="MQ168" s="610"/>
      <c r="MR168" s="610"/>
      <c r="MS168" s="610"/>
      <c r="MT168" s="610"/>
      <c r="MU168" s="610"/>
      <c r="MV168" s="610"/>
      <c r="MW168" s="610"/>
      <c r="MX168" s="610"/>
      <c r="MY168" s="610"/>
      <c r="MZ168" s="610"/>
      <c r="NA168" s="610"/>
      <c r="NB168" s="610"/>
      <c r="NC168" s="610"/>
      <c r="ND168" s="610"/>
      <c r="NE168" s="610"/>
      <c r="NF168" s="610"/>
      <c r="NG168" s="610"/>
      <c r="NH168" s="610"/>
      <c r="NI168" s="610"/>
      <c r="NJ168" s="610"/>
      <c r="NK168" s="610"/>
      <c r="NL168" s="610"/>
      <c r="NM168" s="610"/>
      <c r="NN168" s="610"/>
      <c r="NO168" s="610"/>
      <c r="NP168" s="610"/>
      <c r="NQ168" s="610"/>
      <c r="NR168" s="610"/>
      <c r="NS168" s="610"/>
      <c r="NT168" s="610"/>
      <c r="NU168" s="610"/>
      <c r="NV168" s="610"/>
      <c r="NW168" s="610"/>
      <c r="NX168" s="610"/>
      <c r="NY168" s="610"/>
      <c r="NZ168" s="610"/>
      <c r="OA168" s="610"/>
      <c r="OB168" s="610"/>
      <c r="OC168" s="610"/>
      <c r="OD168" s="610"/>
      <c r="OE168" s="610"/>
      <c r="OF168" s="610"/>
      <c r="OG168" s="610"/>
      <c r="OH168" s="610"/>
      <c r="OI168" s="610"/>
      <c r="OJ168" s="610"/>
      <c r="OK168" s="610"/>
      <c r="OL168" s="610"/>
      <c r="OM168" s="610"/>
      <c r="ON168" s="610"/>
      <c r="OO168" s="610"/>
      <c r="OP168" s="610"/>
      <c r="OQ168" s="610"/>
      <c r="OR168" s="610"/>
      <c r="OS168" s="610"/>
      <c r="OT168" s="610"/>
      <c r="OU168" s="610"/>
      <c r="OV168" s="610"/>
      <c r="OW168" s="610"/>
      <c r="OX168" s="610"/>
      <c r="OY168" s="610"/>
      <c r="OZ168" s="610"/>
      <c r="PA168" s="610"/>
      <c r="PB168" s="610"/>
      <c r="PC168" s="610"/>
      <c r="PD168" s="610"/>
      <c r="PE168" s="610"/>
      <c r="PF168" s="610"/>
      <c r="PG168" s="610"/>
      <c r="PH168" s="610"/>
      <c r="PI168" s="610"/>
      <c r="PJ168" s="610"/>
      <c r="PK168" s="610"/>
      <c r="PL168" s="610"/>
      <c r="PM168" s="610"/>
      <c r="PN168" s="610"/>
      <c r="PO168" s="610"/>
      <c r="PP168" s="610"/>
      <c r="PQ168" s="610"/>
      <c r="PR168" s="610"/>
      <c r="PS168" s="610"/>
      <c r="PT168" s="610"/>
      <c r="PU168" s="610"/>
      <c r="PV168" s="610"/>
      <c r="PW168" s="610"/>
      <c r="PX168" s="610"/>
      <c r="PY168" s="610"/>
      <c r="PZ168" s="610"/>
      <c r="QA168" s="610"/>
      <c r="QB168" s="610"/>
      <c r="QC168" s="610"/>
      <c r="QD168" s="610"/>
      <c r="QE168" s="610"/>
      <c r="QF168" s="610"/>
      <c r="QG168" s="610"/>
      <c r="QH168" s="610"/>
      <c r="QI168" s="610"/>
      <c r="QJ168" s="610"/>
    </row>
    <row r="169" spans="1:452" s="524" customFormat="1" ht="18" x14ac:dyDescent="0.35">
      <c r="A169" s="605"/>
      <c r="B169" s="558"/>
      <c r="C169" s="559"/>
      <c r="D169" s="559"/>
      <c r="E169" s="572" t="s">
        <v>86</v>
      </c>
      <c r="F169" s="571" cm="1">
        <f t="array" ref="F169">SUMPRODUCT(F$14:F$43,--($Q$14:$Q$43=TRUE),--($D$14:$D$43=$D164))</f>
        <v>0</v>
      </c>
      <c r="G169" s="571" cm="1">
        <f t="array" ref="G169">SUMPRODUCT(G$14:G$43,--($Q$14:$Q$43=TRUE),--($D$14:$D$43=$D164))</f>
        <v>0</v>
      </c>
      <c r="H169" s="571" cm="1">
        <f t="array" ref="H169">SUMPRODUCT(H$14:H$43,--($Q$14:$Q$43=TRUE),--($D$14:$D$43=$D164))</f>
        <v>0</v>
      </c>
      <c r="I169" s="571" cm="1">
        <f t="array" ref="I169">SUMPRODUCT(I$14:I$43,--($Q$14:$Q$43=TRUE),--($D$14:$D$43=$D164))</f>
        <v>0</v>
      </c>
      <c r="J169" s="571" cm="1">
        <f t="array" ref="J169">SUMPRODUCT(J$14:J$43,--($Q$14:$Q$43=TRUE),--($D$14:$D$43=$D164))</f>
        <v>0</v>
      </c>
      <c r="K169" s="571" cm="1">
        <f t="array" ref="K169">SUMPRODUCT(K$14:K$43,--($Q$14:$Q$43=TRUE),--($D$14:$D$43=$D164))</f>
        <v>0</v>
      </c>
      <c r="L169" s="571" cm="1">
        <f t="array" ref="L169">SUMPRODUCT(L$14:L$43,--($Q$14:$Q$43=TRUE),--($D$14:$D$43=$D164))</f>
        <v>0</v>
      </c>
      <c r="M169" s="571" cm="1">
        <f t="array" ref="M169">SUMPRODUCT(M$14:M$43,--($Q$14:$Q$43=TRUE),--($D$14:$D$43=$D164))</f>
        <v>0</v>
      </c>
      <c r="N169" s="571" cm="1">
        <f t="array" ref="N169">SUMPRODUCT(N$14:N$43,--($Q$14:$Q$43=TRUE),--($D$14:$D$43=$D164))</f>
        <v>0</v>
      </c>
      <c r="O169" s="571" cm="1">
        <f t="array" ref="O169">SUMPRODUCT(O$14:O$43,--($Q$14:$Q$43=TRUE),--($D$14:$D$43=$D164))</f>
        <v>0</v>
      </c>
      <c r="P169" s="607">
        <f t="shared" si="48"/>
        <v>0</v>
      </c>
      <c r="Q169" s="575"/>
      <c r="R169" s="576"/>
      <c r="S169" s="576"/>
      <c r="T169" s="576"/>
      <c r="U169" s="577"/>
    </row>
    <row r="170" spans="1:452" s="524" customFormat="1" ht="18" x14ac:dyDescent="0.35">
      <c r="A170" s="605"/>
      <c r="C170" s="559"/>
      <c r="D170" s="559"/>
      <c r="E170" s="572" t="s">
        <v>87</v>
      </c>
      <c r="F170" s="571" cm="1">
        <f t="array" ref="F170">SUMPRODUCT(F$14:F$43,--($Q$14:$Q$43=TRUE),--($D$14:$D$43=$D168),--($R$14:$R$43="Yes"))*0.1</f>
        <v>0</v>
      </c>
      <c r="G170" s="571" cm="1">
        <f t="array" ref="G170">SUMPRODUCT(G$14:G$43,--($Q$14:$Q$43=TRUE),--($D$14:$D$43=$D168),--($R$14:$R$43="Yes"))*0.1</f>
        <v>0</v>
      </c>
      <c r="H170" s="571" cm="1">
        <f t="array" ref="H170">SUMPRODUCT(H$14:H$43,--($Q$14:$Q$43=TRUE),--($D$14:$D$43=$D168),--($R$14:$R$43="Yes"))*0.1</f>
        <v>0</v>
      </c>
      <c r="I170" s="571" cm="1">
        <f t="array" ref="I170">SUMPRODUCT(I$14:I$43,--($Q$14:$Q$43=TRUE),--($D$14:$D$43=$D168),--($R$14:$R$43="Yes"))*0.1</f>
        <v>0</v>
      </c>
      <c r="J170" s="571" cm="1">
        <f t="array" ref="J170">SUMPRODUCT(J$14:J$43,--($Q$14:$Q$43=TRUE),--($D$14:$D$43=$D168),--($R$14:$R$43="Yes"))*0.1</f>
        <v>0</v>
      </c>
      <c r="K170" s="571" cm="1">
        <f t="array" ref="K170">SUMPRODUCT(K$14:K$43,--($Q$14:$Q$43=TRUE),--($D$14:$D$43=$D168),--($R$14:$R$43="Yes"))*0.1</f>
        <v>0</v>
      </c>
      <c r="L170" s="571" cm="1">
        <f t="array" ref="L170">SUMPRODUCT(L$14:L$43,--($Q$14:$Q$43=TRUE),--($D$14:$D$43=$D168),--($R$14:$R$43="Yes"))*0.1</f>
        <v>0</v>
      </c>
      <c r="M170" s="571" cm="1">
        <f t="array" ref="M170">SUMPRODUCT(M$14:M$43,--($Q$14:$Q$43=TRUE),--($D$14:$D$43=$D168),--($R$14:$R$43="Yes"))*0.1</f>
        <v>0</v>
      </c>
      <c r="N170" s="571" cm="1">
        <f t="array" ref="N170">SUMPRODUCT(N$14:N$43,--($Q$14:$Q$43=TRUE),--($D$14:$D$43=$D168),--($R$14:$R$43="Yes"))*0.1</f>
        <v>0</v>
      </c>
      <c r="O170" s="571" cm="1">
        <f t="array" ref="O170">SUMPRODUCT(O$14:O$43,--($Q$14:$Q$43=TRUE),--($D$14:$D$43=$D168),--($R$14:$R$43="Yes"))*0.1</f>
        <v>0</v>
      </c>
      <c r="P170" s="607">
        <f t="shared" si="48"/>
        <v>0</v>
      </c>
      <c r="Q170" s="575"/>
      <c r="R170" s="576"/>
      <c r="S170" s="576"/>
      <c r="T170" s="576"/>
      <c r="U170" s="577"/>
    </row>
    <row r="171" spans="1:452" s="524" customFormat="1" ht="18" x14ac:dyDescent="0.35">
      <c r="A171" s="605"/>
      <c r="B171" s="558"/>
      <c r="C171" s="559"/>
      <c r="D171" s="559"/>
      <c r="E171" s="572" t="s">
        <v>88</v>
      </c>
      <c r="F171" s="571">
        <f>F168-(F169+F170)</f>
        <v>0</v>
      </c>
      <c r="G171" s="571">
        <f t="shared" ref="G171:O171" si="49">G168-(G169+G170)</f>
        <v>0</v>
      </c>
      <c r="H171" s="571">
        <f t="shared" si="49"/>
        <v>0</v>
      </c>
      <c r="I171" s="571">
        <f t="shared" si="49"/>
        <v>0</v>
      </c>
      <c r="J171" s="571">
        <f t="shared" si="49"/>
        <v>0</v>
      </c>
      <c r="K171" s="571">
        <f t="shared" si="49"/>
        <v>0</v>
      </c>
      <c r="L171" s="571">
        <f t="shared" si="49"/>
        <v>0</v>
      </c>
      <c r="M171" s="571">
        <f t="shared" si="49"/>
        <v>0</v>
      </c>
      <c r="N171" s="571">
        <f t="shared" si="49"/>
        <v>0</v>
      </c>
      <c r="O171" s="571">
        <f t="shared" si="49"/>
        <v>0</v>
      </c>
      <c r="P171" s="607">
        <f t="shared" si="48"/>
        <v>0</v>
      </c>
      <c r="Q171" s="575"/>
      <c r="R171" s="576"/>
      <c r="S171" s="576"/>
      <c r="T171" s="576"/>
      <c r="U171" s="577"/>
    </row>
    <row r="172" spans="1:452" s="592" customFormat="1" ht="18" x14ac:dyDescent="0.35">
      <c r="A172" s="618"/>
      <c r="B172" s="619"/>
      <c r="C172" s="620"/>
      <c r="D172" s="619" t="s">
        <v>113</v>
      </c>
      <c r="E172" s="621"/>
      <c r="F172" s="622" cm="1">
        <f t="array" ref="F172">SUMPRODUCT(F$14:F$43,--($D$14:$D$43=$D172),--($Q$14:$Q$43=FALSE),$S$14:$S$43,--($S$14:$S$43&gt;0))+SUMPRODUCT(F$14:F$43,--($D$14:$D$43=$D172),--($Q$14:$Q$43=FALSE),$S$14:$S$43,--($S$14:$S$43&gt;0),--($R$14:$R$43="Yes"))*0.1+SUMPRODUCT(F$14:F$43,--($D$14:$D$43=$D172),--($Q$14:$Q$43=FALSE),--($S$14:$S$43=0))+SUMPRODUCT(F$14:F$43,--($D$14:$D$43=$D172),--($Q$14:$Q$43=FALSE),--($R$14:$R$43="Yes"),--($S$14:$S$43=0))*0.1</f>
        <v>0</v>
      </c>
      <c r="G172" s="622" cm="1">
        <f t="array" ref="G172">SUMPRODUCT(G$14:G$43,--($D$14:$D$43=$D172),--($Q$14:$Q$43=FALSE),$S$14:$S$43,--($S$14:$S$43&gt;0))+SUMPRODUCT(G$14:G$43,--($D$14:$D$43=$D172),--($Q$14:$Q$43=FALSE),$S$14:$S$43,--($S$14:$S$43&gt;0),--($R$14:$R$43="Yes"))*0.1+SUMPRODUCT(G$14:G$43,--($D$14:$D$43=$D172),--($Q$14:$Q$43=FALSE),--($S$14:$S$43=0))+SUMPRODUCT(G$14:G$43,--($D$14:$D$43=$D172),--($Q$14:$Q$43=FALSE),--($R$14:$R$43="Yes"),--($S$14:$S$43=0))*0.1</f>
        <v>0</v>
      </c>
      <c r="H172" s="622" cm="1">
        <f t="array" ref="H172">SUMPRODUCT(H$14:H$43,--($D$14:$D$43=$D172),--($Q$14:$Q$43=FALSE),$S$14:$S$43,--($S$14:$S$43&gt;0))+SUMPRODUCT(H$14:H$43,--($D$14:$D$43=$D172),--($Q$14:$Q$43=FALSE),$S$14:$S$43,--($S$14:$S$43&gt;0),--($R$14:$R$43="Yes"))*0.1+SUMPRODUCT(H$14:H$43,--($D$14:$D$43=$D172),--($Q$14:$Q$43=FALSE),--($S$14:$S$43=0))+SUMPRODUCT(H$14:H$43,--($D$14:$D$43=$D172),--($Q$14:$Q$43=FALSE),--($R$14:$R$43="Yes"),--($S$14:$S$43=0))*0.1</f>
        <v>0</v>
      </c>
      <c r="I172" s="622" cm="1">
        <f t="array" ref="I172">SUMPRODUCT(I$14:I$43,--($D$14:$D$43=$D172),--($Q$14:$Q$43=FALSE),$S$14:$S$43,--($S$14:$S$43&gt;0))+SUMPRODUCT(I$14:I$43,--($D$14:$D$43=$D172),--($Q$14:$Q$43=FALSE),$S$14:$S$43,--($S$14:$S$43&gt;0),--($R$14:$R$43="Yes"))*0.1+SUMPRODUCT(I$14:I$43,--($D$14:$D$43=$D172),--($Q$14:$Q$43=FALSE),--($S$14:$S$43=0))+SUMPRODUCT(I$14:I$43,--($D$14:$D$43=$D172),--($Q$14:$Q$43=FALSE),--($R$14:$R$43="Yes"),--($S$14:$S$43=0))*0.1</f>
        <v>0</v>
      </c>
      <c r="J172" s="622" cm="1">
        <f t="array" ref="J172">SUMPRODUCT(J$14:J$43,--($D$14:$D$43=$D172),--($Q$14:$Q$43=FALSE),$S$14:$S$43,--($S$14:$S$43&gt;0))+SUMPRODUCT(J$14:J$43,--($D$14:$D$43=$D172),--($Q$14:$Q$43=FALSE),$S$14:$S$43,--($S$14:$S$43&gt;0),--($R$14:$R$43="Yes"))*0.1+SUMPRODUCT(J$14:J$43,--($D$14:$D$43=$D172),--($Q$14:$Q$43=FALSE),--($S$14:$S$43=0))+SUMPRODUCT(J$14:J$43,--($D$14:$D$43=$D172),--($Q$14:$Q$43=FALSE),--($R$14:$R$43="Yes"),--($S$14:$S$43=0))*0.1</f>
        <v>0</v>
      </c>
      <c r="K172" s="622" cm="1">
        <f t="array" ref="K172">SUMPRODUCT(K$14:K$43,--($D$14:$D$43=$D172),--($Q$14:$Q$43=FALSE),$S$14:$S$43,--($S$14:$S$43&gt;0))+SUMPRODUCT(K$14:K$43,--($D$14:$D$43=$D172),--($Q$14:$Q$43=FALSE),$S$14:$S$43,--($S$14:$S$43&gt;0),--($R$14:$R$43="Yes"))*0.1+SUMPRODUCT(K$14:K$43,--($D$14:$D$43=$D172),--($Q$14:$Q$43=FALSE),--($S$14:$S$43=0))+SUMPRODUCT(K$14:K$43,--($D$14:$D$43=$D172),--($Q$14:$Q$43=FALSE),--($R$14:$R$43="Yes"),--($S$14:$S$43=0))*0.1</f>
        <v>0</v>
      </c>
      <c r="L172" s="622" cm="1">
        <f t="array" ref="L172">SUMPRODUCT(L$14:L$43,--($D$14:$D$43=$D172),--($Q$14:$Q$43=FALSE),$S$14:$S$43,--($S$14:$S$43&gt;0))+SUMPRODUCT(L$14:L$43,--($D$14:$D$43=$D172),--($Q$14:$Q$43=FALSE),$S$14:$S$43,--($S$14:$S$43&gt;0),--($R$14:$R$43="Yes"))*0.1+SUMPRODUCT(L$14:L$43,--($D$14:$D$43=$D172),--($Q$14:$Q$43=FALSE),--($S$14:$S$43=0))+SUMPRODUCT(L$14:L$43,--($D$14:$D$43=$D172),--($Q$14:$Q$43=FALSE),--($R$14:$R$43="Yes"),--($S$14:$S$43=0))*0.1</f>
        <v>0</v>
      </c>
      <c r="M172" s="622" cm="1">
        <f t="array" ref="M172">SUMPRODUCT(M$14:M$43,--($D$14:$D$43=$D172),--($Q$14:$Q$43=FALSE),$S$14:$S$43,--($S$14:$S$43&gt;0))+SUMPRODUCT(M$14:M$43,--($D$14:$D$43=$D172),--($Q$14:$Q$43=FALSE),$S$14:$S$43,--($S$14:$S$43&gt;0),--($R$14:$R$43="Yes"))*0.1+SUMPRODUCT(M$14:M$43,--($D$14:$D$43=$D172),--($Q$14:$Q$43=FALSE),--($S$14:$S$43=0))+SUMPRODUCT(M$14:M$43,--($D$14:$D$43=$D172),--($Q$14:$Q$43=FALSE),--($R$14:$R$43="Yes"),--($S$14:$S$43=0))*0.1</f>
        <v>0</v>
      </c>
      <c r="N172" s="622" cm="1">
        <f t="array" ref="N172">SUMPRODUCT(N$14:N$43,--($D$14:$D$43=$D172),--($Q$14:$Q$43=FALSE),$S$14:$S$43,--($S$14:$S$43&gt;0))+SUMPRODUCT(N$14:N$43,--($D$14:$D$43=$D172),--($Q$14:$Q$43=FALSE),$S$14:$S$43,--($S$14:$S$43&gt;0),--($R$14:$R$43="Yes"))*0.1+SUMPRODUCT(N$14:N$43,--($D$14:$D$43=$D172),--($Q$14:$Q$43=FALSE),--($S$14:$S$43=0))+SUMPRODUCT(N$14:N$43,--($D$14:$D$43=$D172),--($Q$14:$Q$43=FALSE),--($R$14:$R$43="Yes"),--($S$14:$S$43=0))*0.1</f>
        <v>0</v>
      </c>
      <c r="O172" s="622" cm="1">
        <f t="array" ref="O172">SUMPRODUCT(O$14:O$43,--($D$14:$D$43=$D172),--($Q$14:$Q$43=FALSE),$S$14:$S$43,--($S$14:$S$43&gt;0))+SUMPRODUCT(O$14:O$43,--($D$14:$D$43=$D172),--($Q$14:$Q$43=FALSE),$S$14:$S$43,--($S$14:$S$43&gt;0),--($R$14:$R$43="Yes"))*0.1+SUMPRODUCT(O$14:O$43,--($D$14:$D$43=$D172),--($Q$14:$Q$43=FALSE),--($S$14:$S$43=0))+SUMPRODUCT(O$14:O$43,--($D$14:$D$43=$D172),--($Q$14:$Q$43=FALSE),--($R$14:$R$43="Yes"),--($S$14:$S$43=0))*0.1</f>
        <v>0</v>
      </c>
      <c r="P172" s="623">
        <f t="shared" si="48"/>
        <v>0</v>
      </c>
      <c r="Q172" s="575"/>
      <c r="R172" s="576"/>
      <c r="S172" s="576"/>
      <c r="T172" s="576"/>
      <c r="U172" s="577"/>
      <c r="V172" s="610"/>
      <c r="W172" s="610"/>
      <c r="X172" s="610"/>
      <c r="Y172" s="610"/>
      <c r="Z172" s="610"/>
      <c r="AA172" s="610"/>
      <c r="AB172" s="610"/>
      <c r="AC172" s="610"/>
      <c r="AD172" s="610"/>
      <c r="AE172" s="610"/>
      <c r="AF172" s="610"/>
      <c r="AG172" s="610"/>
      <c r="AH172" s="610"/>
      <c r="AI172" s="610"/>
      <c r="AJ172" s="610"/>
      <c r="AK172" s="610"/>
      <c r="AL172" s="610"/>
      <c r="AM172" s="610"/>
      <c r="AN172" s="610"/>
      <c r="AO172" s="610"/>
      <c r="AP172" s="610"/>
      <c r="AQ172" s="610"/>
      <c r="AR172" s="610"/>
      <c r="AS172" s="610"/>
      <c r="AT172" s="610"/>
      <c r="AU172" s="610"/>
      <c r="AV172" s="610"/>
      <c r="AW172" s="610"/>
      <c r="AX172" s="610"/>
      <c r="AY172" s="610"/>
      <c r="AZ172" s="610"/>
      <c r="BA172" s="610"/>
      <c r="BB172" s="610"/>
      <c r="BC172" s="610"/>
      <c r="BD172" s="610"/>
      <c r="BE172" s="610"/>
      <c r="BF172" s="610"/>
      <c r="BG172" s="610"/>
      <c r="BH172" s="610"/>
      <c r="BI172" s="610"/>
      <c r="BJ172" s="610"/>
      <c r="BK172" s="610"/>
      <c r="BL172" s="610"/>
      <c r="BM172" s="610"/>
      <c r="BN172" s="610"/>
      <c r="BO172" s="610"/>
      <c r="BP172" s="610"/>
      <c r="BQ172" s="610"/>
      <c r="BR172" s="610"/>
      <c r="BS172" s="610"/>
      <c r="BT172" s="610"/>
      <c r="BU172" s="610"/>
      <c r="BV172" s="610"/>
      <c r="BW172" s="610"/>
      <c r="BX172" s="610"/>
      <c r="BY172" s="610"/>
      <c r="BZ172" s="610"/>
      <c r="CA172" s="610"/>
      <c r="CB172" s="610"/>
      <c r="CC172" s="610"/>
      <c r="CD172" s="610"/>
      <c r="CE172" s="610"/>
      <c r="CF172" s="610"/>
      <c r="CG172" s="610"/>
      <c r="CH172" s="610"/>
      <c r="CI172" s="610"/>
      <c r="CJ172" s="610"/>
      <c r="CK172" s="610"/>
      <c r="CL172" s="610"/>
      <c r="CM172" s="610"/>
      <c r="CN172" s="610"/>
      <c r="CO172" s="610"/>
      <c r="CP172" s="610"/>
      <c r="CQ172" s="610"/>
      <c r="CR172" s="610"/>
      <c r="CS172" s="610"/>
      <c r="CT172" s="610"/>
      <c r="CU172" s="610"/>
      <c r="CV172" s="610"/>
      <c r="CW172" s="610"/>
      <c r="CX172" s="610"/>
      <c r="CY172" s="610"/>
      <c r="CZ172" s="610"/>
      <c r="DA172" s="610"/>
      <c r="DB172" s="610"/>
      <c r="DC172" s="610"/>
      <c r="DD172" s="610"/>
      <c r="DE172" s="610"/>
      <c r="DF172" s="610"/>
      <c r="DG172" s="610"/>
      <c r="DH172" s="610"/>
      <c r="DI172" s="610"/>
      <c r="DJ172" s="610"/>
      <c r="DK172" s="610"/>
      <c r="DL172" s="610"/>
      <c r="DM172" s="610"/>
      <c r="DN172" s="610"/>
      <c r="DO172" s="610"/>
      <c r="DP172" s="610"/>
      <c r="DQ172" s="610"/>
      <c r="DR172" s="610"/>
      <c r="DS172" s="610"/>
      <c r="DT172" s="610"/>
      <c r="DU172" s="610"/>
      <c r="DV172" s="610"/>
      <c r="DW172" s="610"/>
      <c r="DX172" s="610"/>
      <c r="DY172" s="610"/>
      <c r="DZ172" s="610"/>
      <c r="EA172" s="610"/>
      <c r="EB172" s="610"/>
      <c r="EC172" s="610"/>
      <c r="ED172" s="610"/>
      <c r="EE172" s="610"/>
      <c r="EF172" s="610"/>
      <c r="EG172" s="610"/>
      <c r="EH172" s="610"/>
      <c r="EI172" s="610"/>
      <c r="EJ172" s="610"/>
      <c r="EK172" s="610"/>
      <c r="EL172" s="610"/>
      <c r="EM172" s="610"/>
      <c r="EN172" s="610"/>
      <c r="EO172" s="610"/>
      <c r="EP172" s="610"/>
      <c r="EQ172" s="610"/>
      <c r="ER172" s="610"/>
      <c r="ES172" s="610"/>
      <c r="ET172" s="610"/>
      <c r="EU172" s="610"/>
      <c r="EV172" s="610"/>
      <c r="EW172" s="610"/>
      <c r="EX172" s="610"/>
      <c r="EY172" s="610"/>
      <c r="EZ172" s="610"/>
      <c r="FA172" s="610"/>
      <c r="FB172" s="610"/>
      <c r="FC172" s="610"/>
      <c r="FD172" s="610"/>
      <c r="FE172" s="610"/>
      <c r="FF172" s="610"/>
      <c r="FG172" s="610"/>
      <c r="FH172" s="610"/>
      <c r="FI172" s="610"/>
      <c r="FJ172" s="610"/>
      <c r="FK172" s="610"/>
      <c r="FL172" s="610"/>
      <c r="FM172" s="610"/>
      <c r="FN172" s="610"/>
      <c r="FO172" s="610"/>
      <c r="FP172" s="610"/>
      <c r="FQ172" s="610"/>
      <c r="FR172" s="610"/>
      <c r="FS172" s="610"/>
      <c r="FT172" s="610"/>
      <c r="FU172" s="610"/>
      <c r="FV172" s="610"/>
      <c r="FW172" s="610"/>
      <c r="FX172" s="610"/>
      <c r="FY172" s="610"/>
      <c r="FZ172" s="610"/>
      <c r="GA172" s="610"/>
      <c r="GB172" s="610"/>
      <c r="GC172" s="610"/>
      <c r="GD172" s="610"/>
      <c r="GE172" s="610"/>
      <c r="GF172" s="610"/>
      <c r="GG172" s="610"/>
      <c r="GH172" s="610"/>
      <c r="GI172" s="610"/>
      <c r="GJ172" s="610"/>
      <c r="GK172" s="610"/>
      <c r="GL172" s="610"/>
      <c r="GM172" s="610"/>
      <c r="GN172" s="610"/>
      <c r="GO172" s="610"/>
      <c r="GP172" s="610"/>
      <c r="GQ172" s="610"/>
      <c r="GR172" s="610"/>
      <c r="GS172" s="610"/>
      <c r="GT172" s="610"/>
      <c r="GU172" s="610"/>
      <c r="GV172" s="610"/>
      <c r="GW172" s="610"/>
      <c r="GX172" s="610"/>
      <c r="GY172" s="610"/>
      <c r="GZ172" s="610"/>
      <c r="HA172" s="610"/>
      <c r="HB172" s="610"/>
      <c r="HC172" s="610"/>
      <c r="HD172" s="610"/>
      <c r="HE172" s="610"/>
      <c r="HF172" s="610"/>
      <c r="HG172" s="610"/>
      <c r="HH172" s="610"/>
      <c r="HI172" s="610"/>
      <c r="HJ172" s="610"/>
      <c r="HK172" s="610"/>
      <c r="HL172" s="610"/>
      <c r="HM172" s="610"/>
      <c r="HN172" s="610"/>
      <c r="HO172" s="610"/>
      <c r="HP172" s="610"/>
      <c r="HQ172" s="610"/>
      <c r="HR172" s="610"/>
      <c r="HS172" s="610"/>
      <c r="HT172" s="610"/>
      <c r="HU172" s="610"/>
      <c r="HV172" s="610"/>
      <c r="HW172" s="610"/>
      <c r="HX172" s="610"/>
      <c r="HY172" s="610"/>
      <c r="HZ172" s="610"/>
      <c r="IA172" s="610"/>
      <c r="IB172" s="610"/>
      <c r="IC172" s="610"/>
      <c r="ID172" s="610"/>
      <c r="IE172" s="610"/>
      <c r="IF172" s="610"/>
      <c r="IG172" s="610"/>
      <c r="IH172" s="610"/>
      <c r="II172" s="610"/>
      <c r="IJ172" s="610"/>
      <c r="IK172" s="610"/>
      <c r="IL172" s="610"/>
      <c r="IM172" s="610"/>
      <c r="IN172" s="610"/>
      <c r="IO172" s="610"/>
      <c r="IP172" s="610"/>
      <c r="IQ172" s="610"/>
      <c r="IR172" s="610"/>
      <c r="IS172" s="610"/>
      <c r="IT172" s="610"/>
      <c r="IU172" s="610"/>
      <c r="IV172" s="610"/>
      <c r="IW172" s="610"/>
      <c r="IX172" s="610"/>
      <c r="IY172" s="610"/>
      <c r="IZ172" s="610"/>
      <c r="JA172" s="610"/>
      <c r="JB172" s="610"/>
      <c r="JC172" s="610"/>
      <c r="JD172" s="610"/>
      <c r="JE172" s="610"/>
      <c r="JF172" s="610"/>
      <c r="JG172" s="610"/>
      <c r="JH172" s="610"/>
      <c r="JI172" s="610"/>
      <c r="JJ172" s="610"/>
      <c r="JK172" s="610"/>
      <c r="JL172" s="610"/>
      <c r="JM172" s="610"/>
      <c r="JN172" s="610"/>
      <c r="JO172" s="610"/>
      <c r="JP172" s="610"/>
      <c r="JQ172" s="610"/>
      <c r="JR172" s="610"/>
      <c r="JS172" s="610"/>
      <c r="JT172" s="610"/>
      <c r="JU172" s="610"/>
      <c r="JV172" s="610"/>
      <c r="JW172" s="610"/>
      <c r="JX172" s="610"/>
      <c r="JY172" s="610"/>
      <c r="JZ172" s="610"/>
      <c r="KA172" s="610"/>
      <c r="KB172" s="610"/>
      <c r="KC172" s="610"/>
      <c r="KD172" s="610"/>
      <c r="KE172" s="610"/>
      <c r="KF172" s="610"/>
      <c r="KG172" s="610"/>
      <c r="KH172" s="610"/>
      <c r="KI172" s="610"/>
      <c r="KJ172" s="610"/>
      <c r="KK172" s="610"/>
      <c r="KL172" s="610"/>
      <c r="KM172" s="610"/>
      <c r="KN172" s="610"/>
      <c r="KO172" s="610"/>
      <c r="KP172" s="610"/>
      <c r="KQ172" s="610"/>
      <c r="KR172" s="610"/>
      <c r="KS172" s="610"/>
      <c r="KT172" s="610"/>
      <c r="KU172" s="610"/>
      <c r="KV172" s="610"/>
      <c r="KW172" s="610"/>
      <c r="KX172" s="610"/>
      <c r="KY172" s="610"/>
      <c r="KZ172" s="610"/>
      <c r="LA172" s="610"/>
      <c r="LB172" s="610"/>
      <c r="LC172" s="610"/>
      <c r="LD172" s="610"/>
      <c r="LE172" s="610"/>
      <c r="LF172" s="610"/>
      <c r="LG172" s="610"/>
      <c r="LH172" s="610"/>
      <c r="LI172" s="610"/>
      <c r="LJ172" s="610"/>
      <c r="LK172" s="610"/>
      <c r="LL172" s="610"/>
      <c r="LM172" s="610"/>
      <c r="LN172" s="610"/>
      <c r="LO172" s="610"/>
      <c r="LP172" s="610"/>
      <c r="LQ172" s="610"/>
      <c r="LR172" s="610"/>
      <c r="LS172" s="610"/>
      <c r="LT172" s="610"/>
      <c r="LU172" s="610"/>
      <c r="LV172" s="610"/>
      <c r="LW172" s="610"/>
      <c r="LX172" s="610"/>
      <c r="LY172" s="610"/>
      <c r="LZ172" s="610"/>
      <c r="MA172" s="610"/>
      <c r="MB172" s="610"/>
      <c r="MC172" s="610"/>
      <c r="MD172" s="610"/>
      <c r="ME172" s="610"/>
      <c r="MF172" s="610"/>
      <c r="MG172" s="610"/>
      <c r="MH172" s="610"/>
      <c r="MI172" s="610"/>
      <c r="MJ172" s="610"/>
      <c r="MK172" s="610"/>
      <c r="ML172" s="610"/>
      <c r="MM172" s="610"/>
      <c r="MN172" s="610"/>
      <c r="MO172" s="610"/>
      <c r="MP172" s="610"/>
      <c r="MQ172" s="610"/>
      <c r="MR172" s="610"/>
      <c r="MS172" s="610"/>
      <c r="MT172" s="610"/>
      <c r="MU172" s="610"/>
      <c r="MV172" s="610"/>
      <c r="MW172" s="610"/>
      <c r="MX172" s="610"/>
      <c r="MY172" s="610"/>
      <c r="MZ172" s="610"/>
      <c r="NA172" s="610"/>
      <c r="NB172" s="610"/>
      <c r="NC172" s="610"/>
      <c r="ND172" s="610"/>
      <c r="NE172" s="610"/>
      <c r="NF172" s="610"/>
      <c r="NG172" s="610"/>
      <c r="NH172" s="610"/>
      <c r="NI172" s="610"/>
      <c r="NJ172" s="610"/>
      <c r="NK172" s="610"/>
      <c r="NL172" s="610"/>
      <c r="NM172" s="610"/>
      <c r="NN172" s="610"/>
      <c r="NO172" s="610"/>
      <c r="NP172" s="610"/>
      <c r="NQ172" s="610"/>
      <c r="NR172" s="610"/>
      <c r="NS172" s="610"/>
      <c r="NT172" s="610"/>
      <c r="NU172" s="610"/>
      <c r="NV172" s="610"/>
      <c r="NW172" s="610"/>
      <c r="NX172" s="610"/>
      <c r="NY172" s="610"/>
      <c r="NZ172" s="610"/>
      <c r="OA172" s="610"/>
      <c r="OB172" s="610"/>
      <c r="OC172" s="610"/>
      <c r="OD172" s="610"/>
      <c r="OE172" s="610"/>
      <c r="OF172" s="610"/>
      <c r="OG172" s="610"/>
      <c r="OH172" s="610"/>
      <c r="OI172" s="610"/>
      <c r="OJ172" s="610"/>
      <c r="OK172" s="610"/>
      <c r="OL172" s="610"/>
      <c r="OM172" s="610"/>
      <c r="ON172" s="610"/>
      <c r="OO172" s="610"/>
      <c r="OP172" s="610"/>
      <c r="OQ172" s="610"/>
      <c r="OR172" s="610"/>
      <c r="OS172" s="610"/>
      <c r="OT172" s="610"/>
      <c r="OU172" s="610"/>
      <c r="OV172" s="610"/>
      <c r="OW172" s="610"/>
      <c r="OX172" s="610"/>
      <c r="OY172" s="610"/>
      <c r="OZ172" s="610"/>
      <c r="PA172" s="610"/>
      <c r="PB172" s="610"/>
      <c r="PC172" s="610"/>
      <c r="PD172" s="610"/>
      <c r="PE172" s="610"/>
      <c r="PF172" s="610"/>
      <c r="PG172" s="610"/>
      <c r="PH172" s="610"/>
      <c r="PI172" s="610"/>
      <c r="PJ172" s="610"/>
      <c r="PK172" s="610"/>
      <c r="PL172" s="610"/>
      <c r="PM172" s="610"/>
      <c r="PN172" s="610"/>
      <c r="PO172" s="610"/>
      <c r="PP172" s="610"/>
      <c r="PQ172" s="610"/>
      <c r="PR172" s="610"/>
      <c r="PS172" s="610"/>
      <c r="PT172" s="610"/>
      <c r="PU172" s="610"/>
      <c r="PV172" s="610"/>
      <c r="PW172" s="610"/>
      <c r="PX172" s="610"/>
      <c r="PY172" s="610"/>
      <c r="PZ172" s="610"/>
      <c r="QA172" s="610"/>
      <c r="QB172" s="610"/>
      <c r="QC172" s="610"/>
      <c r="QD172" s="610"/>
      <c r="QE172" s="610"/>
      <c r="QF172" s="610"/>
      <c r="QG172" s="610"/>
      <c r="QH172" s="610"/>
      <c r="QI172" s="610"/>
      <c r="QJ172" s="610"/>
    </row>
    <row r="173" spans="1:452" s="524" customFormat="1" ht="18" x14ac:dyDescent="0.35">
      <c r="A173" s="605"/>
      <c r="B173" s="558"/>
      <c r="C173" s="559"/>
      <c r="D173" s="606"/>
      <c r="E173" s="572" t="s">
        <v>86</v>
      </c>
      <c r="F173" s="571" cm="1">
        <f t="array" ref="F173">SUMPRODUCT(F$14:F$43,--($Q$14:$Q$43=FALSE),--($D$14:$D$43=$D172))</f>
        <v>0</v>
      </c>
      <c r="G173" s="571" cm="1">
        <f t="array" ref="G173">SUMPRODUCT(G$14:G$43,--($Q$14:$Q$43=FALSE),--($D$14:$D$43=$D172))</f>
        <v>0</v>
      </c>
      <c r="H173" s="571" cm="1">
        <f t="array" ref="H173">SUMPRODUCT(H$14:H$43,--($Q$14:$Q$43=FALSE),--($D$14:$D$43=$D172))</f>
        <v>0</v>
      </c>
      <c r="I173" s="571" cm="1">
        <f t="array" ref="I173">SUMPRODUCT(I$14:I$43,--($Q$14:$Q$43=FALSE),--($D$14:$D$43=$D172))</f>
        <v>0</v>
      </c>
      <c r="J173" s="571" cm="1">
        <f t="array" ref="J173">SUMPRODUCT(J$14:J$43,--($Q$14:$Q$43=FALSE),--($D$14:$D$43=$D172))</f>
        <v>0</v>
      </c>
      <c r="K173" s="571" cm="1">
        <f t="array" ref="K173">SUMPRODUCT(K$14:K$43,--($Q$14:$Q$43=FALSE),--($D$14:$D$43=$D172))</f>
        <v>0</v>
      </c>
      <c r="L173" s="571" cm="1">
        <f t="array" ref="L173">SUMPRODUCT(L$14:L$43,--($Q$14:$Q$43=FALSE),--($D$14:$D$43=$D172))</f>
        <v>0</v>
      </c>
      <c r="M173" s="571" cm="1">
        <f t="array" ref="M173">SUMPRODUCT(M$14:M$43,--($Q$14:$Q$43=FALSE),--($D$14:$D$43=$D172))</f>
        <v>0</v>
      </c>
      <c r="N173" s="571" cm="1">
        <f t="array" ref="N173">SUMPRODUCT(N$14:N$43,--($Q$14:$Q$43=FALSE),--($D$14:$D$43=$D172))</f>
        <v>0</v>
      </c>
      <c r="O173" s="571" cm="1">
        <f t="array" ref="O173">SUMPRODUCT(O$14:O$43,--($Q$14:$Q$43=FALSE),--($D$14:$D$43=$D172))</f>
        <v>0</v>
      </c>
      <c r="P173" s="607">
        <f t="shared" si="48"/>
        <v>0</v>
      </c>
      <c r="Q173" s="575"/>
      <c r="R173" s="576"/>
      <c r="S173" s="576"/>
      <c r="T173" s="576"/>
      <c r="U173" s="577"/>
    </row>
    <row r="174" spans="1:452" s="524" customFormat="1" ht="18" x14ac:dyDescent="0.35">
      <c r="A174" s="605"/>
      <c r="B174" s="558"/>
      <c r="C174" s="559"/>
      <c r="D174" s="606"/>
      <c r="E174" s="572" t="s">
        <v>87</v>
      </c>
      <c r="F174" s="571" cm="1">
        <f t="array" ref="F174">SUMPRODUCT(F$14:F$43,--($Q$14:$Q$43=FALSE),--($D$14:$D$43=$D172),--($R$14:$R$43="Yes"))*0.1</f>
        <v>0</v>
      </c>
      <c r="G174" s="571" cm="1">
        <f t="array" ref="G174">SUMPRODUCT(G$14:G$43,--($Q$14:$Q$43=FALSE),--($D$14:$D$43=$D172),--($R$14:$R$43="Yes"))*0.1</f>
        <v>0</v>
      </c>
      <c r="H174" s="571" cm="1">
        <f t="array" ref="H174">SUMPRODUCT(H$14:H$43,--($Q$14:$Q$43=FALSE),--($D$14:$D$43=$D172),--($R$14:$R$43="Yes"))*0.1</f>
        <v>0</v>
      </c>
      <c r="I174" s="571" cm="1">
        <f t="array" ref="I174">SUMPRODUCT(I$14:I$43,--($Q$14:$Q$43=FALSE),--($D$14:$D$43=$D172),--($R$14:$R$43="Yes"))*0.1</f>
        <v>0</v>
      </c>
      <c r="J174" s="571" cm="1">
        <f t="array" ref="J174">SUMPRODUCT(J$14:J$43,--($Q$14:$Q$43=FALSE),--($D$14:$D$43=$D172),--($R$14:$R$43="Yes"))*0.1</f>
        <v>0</v>
      </c>
      <c r="K174" s="571" cm="1">
        <f t="array" ref="K174">SUMPRODUCT(K$14:K$43,--($Q$14:$Q$43=FALSE),--($D$14:$D$43=$D172),--($R$14:$R$43="Yes"))*0.1</f>
        <v>0</v>
      </c>
      <c r="L174" s="571" cm="1">
        <f t="array" ref="L174">SUMPRODUCT(L$14:L$43,--($Q$14:$Q$43=FALSE),--($D$14:$D$43=$D172),--($R$14:$R$43="Yes"))*0.1</f>
        <v>0</v>
      </c>
      <c r="M174" s="571" cm="1">
        <f t="array" ref="M174">SUMPRODUCT(M$14:M$43,--($Q$14:$Q$43=FALSE),--($D$14:$D$43=$D172),--($R$14:$R$43="Yes"))*0.1</f>
        <v>0</v>
      </c>
      <c r="N174" s="571" cm="1">
        <f t="array" ref="N174">SUMPRODUCT(N$14:N$43,--($Q$14:$Q$43=FALSE),--($D$14:$D$43=$D172),--($R$14:$R$43="Yes"))*0.1</f>
        <v>0</v>
      </c>
      <c r="O174" s="571" cm="1">
        <f t="array" ref="O174">SUMPRODUCT(O$14:O$43,--($Q$14:$Q$43=FALSE),--($D$14:$D$43=$D172),--($R$14:$R$43="Yes"))*0.1</f>
        <v>0</v>
      </c>
      <c r="P174" s="607">
        <f t="shared" si="48"/>
        <v>0</v>
      </c>
      <c r="Q174" s="575"/>
      <c r="R174" s="576"/>
      <c r="S174" s="576"/>
      <c r="T174" s="576"/>
      <c r="U174" s="577"/>
    </row>
    <row r="175" spans="1:452" s="524" customFormat="1" ht="18" x14ac:dyDescent="0.35">
      <c r="A175" s="605"/>
      <c r="B175" s="558"/>
      <c r="C175" s="559"/>
      <c r="D175" s="606"/>
      <c r="E175" s="572" t="s">
        <v>88</v>
      </c>
      <c r="F175" s="571">
        <f t="shared" ref="F175:O175" si="50">F172-(F173+F174)</f>
        <v>0</v>
      </c>
      <c r="G175" s="571">
        <f t="shared" si="50"/>
        <v>0</v>
      </c>
      <c r="H175" s="571">
        <f t="shared" si="50"/>
        <v>0</v>
      </c>
      <c r="I175" s="571">
        <f t="shared" si="50"/>
        <v>0</v>
      </c>
      <c r="J175" s="571">
        <f t="shared" si="50"/>
        <v>0</v>
      </c>
      <c r="K175" s="571">
        <f t="shared" si="50"/>
        <v>0</v>
      </c>
      <c r="L175" s="571">
        <f t="shared" si="50"/>
        <v>0</v>
      </c>
      <c r="M175" s="571">
        <f t="shared" si="50"/>
        <v>0</v>
      </c>
      <c r="N175" s="571">
        <f t="shared" si="50"/>
        <v>0</v>
      </c>
      <c r="O175" s="571">
        <f t="shared" si="50"/>
        <v>0</v>
      </c>
      <c r="P175" s="607">
        <f t="shared" si="48"/>
        <v>0</v>
      </c>
      <c r="Q175" s="575"/>
      <c r="R175" s="576"/>
      <c r="S175" s="576"/>
      <c r="T175" s="576"/>
      <c r="U175" s="577"/>
    </row>
    <row r="176" spans="1:452" s="578" customFormat="1" ht="18" x14ac:dyDescent="0.35">
      <c r="A176" s="624"/>
      <c r="B176" s="625"/>
      <c r="C176" s="626"/>
      <c r="D176" s="625" t="s">
        <v>114</v>
      </c>
      <c r="E176" s="627"/>
      <c r="F176" s="628" cm="1">
        <f t="array" ref="F176">SUMPRODUCT(F$14:F$43,--($D$14:$D$43=$D172),--($Q$14:$Q$43=TRUE),$S$14:$S$43,--($S$14:$S$43&gt;0))+SUMPRODUCT(F$14:F$43,--($D$14:$D$43=$D172),--($Q$14:$Q$43=TRUE),$S$14:$S$43,--($S$14:$S$43&gt;0),--($R$14:$R$43="Yes"))*0.1+SUMPRODUCT(F$14:F$43,--($D$14:$D$43=$D172),--($Q$14:$Q$43=TRUE),--($S123:$S152=0))+SUMPRODUCT(F$14:F$43,--($D$14:$D$43=$D172),--($Q$14:$Q$43=TRUE),--($R$14:$R$43="Yes"),--($S$14:$S$43=0))*0.1</f>
        <v>0</v>
      </c>
      <c r="G176" s="628" cm="1">
        <f t="array" ref="G176">SUMPRODUCT(G$14:G$43,--($D$14:$D$43=$D172),--($Q$14:$Q$43=TRUE),$S$14:$S$43,--($S$14:$S$43&gt;0))+SUMPRODUCT(G$14:G$43,--($D$14:$D$43=$D172),--($Q$14:$Q$43=TRUE),$S$14:$S$43,--($S$14:$S$43&gt;0),--($R$14:$R$43="Yes"))*0.1+SUMPRODUCT(G$14:G$43,--($D$14:$D$43=$D172),--($Q$14:$Q$43=TRUE),--($S123:$S152=0))+SUMPRODUCT(G$14:G$43,--($D$14:$D$43=$D172),--($Q$14:$Q$43=TRUE),--($R$14:$R$43="Yes"),--($S$14:$S$43=0))*0.1</f>
        <v>0</v>
      </c>
      <c r="H176" s="628" cm="1">
        <f t="array" ref="H176">SUMPRODUCT(H$14:H$43,--($D$14:$D$43=$D172),--($Q$14:$Q$43=TRUE),$S$14:$S$43,--($S$14:$S$43&gt;0))+SUMPRODUCT(H$14:H$43,--($D$14:$D$43=$D172),--($Q$14:$Q$43=TRUE),$S$14:$S$43,--($S$14:$S$43&gt;0),--($R$14:$R$43="Yes"))*0.1+SUMPRODUCT(H$14:H$43,--($D$14:$D$43=$D172),--($Q$14:$Q$43=TRUE),--($S123:$S152=0))+SUMPRODUCT(H$14:H$43,--($D$14:$D$43=$D172),--($Q$14:$Q$43=TRUE),--($R$14:$R$43="Yes"),--($S$14:$S$43=0))*0.1</f>
        <v>0</v>
      </c>
      <c r="I176" s="628" cm="1">
        <f t="array" ref="I176">SUMPRODUCT(I$14:I$43,--($D$14:$D$43=$D172),--($Q$14:$Q$43=TRUE),$S$14:$S$43,--($S$14:$S$43&gt;0))+SUMPRODUCT(I$14:I$43,--($D$14:$D$43=$D172),--($Q$14:$Q$43=TRUE),$S$14:$S$43,--($S$14:$S$43&gt;0),--($R$14:$R$43="Yes"))*0.1+SUMPRODUCT(I$14:I$43,--($D$14:$D$43=$D172),--($Q$14:$Q$43=TRUE),--($S123:$S152=0))+SUMPRODUCT(I$14:I$43,--($D$14:$D$43=$D172),--($Q$14:$Q$43=TRUE),--($R$14:$R$43="Yes"),--($S$14:$S$43=0))*0.1</f>
        <v>0</v>
      </c>
      <c r="J176" s="628" cm="1">
        <f t="array" ref="J176">SUMPRODUCT(J$14:J$43,--($D$14:$D$43=$D172),--($Q$14:$Q$43=TRUE),$S$14:$S$43,--($S$14:$S$43&gt;0))+SUMPRODUCT(J$14:J$43,--($D$14:$D$43=$D172),--($Q$14:$Q$43=TRUE),$S$14:$S$43,--($S$14:$S$43&gt;0),--($R$14:$R$43="Yes"))*0.1+SUMPRODUCT(J$14:J$43,--($D$14:$D$43=$D172),--($Q$14:$Q$43=TRUE),--($S123:$S152=0))+SUMPRODUCT(J$14:J$43,--($D$14:$D$43=$D172),--($Q$14:$Q$43=TRUE),--($R$14:$R$43="Yes"),--($S$14:$S$43=0))*0.1</f>
        <v>0</v>
      </c>
      <c r="K176" s="628" cm="1">
        <f t="array" ref="K176">SUMPRODUCT(K$14:K$43,--($D$14:$D$43=$D172),--($Q$14:$Q$43=TRUE),$S$14:$S$43,--($S$14:$S$43&gt;0))+SUMPRODUCT(K$14:K$43,--($D$14:$D$43=$D172),--($Q$14:$Q$43=TRUE),$S$14:$S$43,--($S$14:$S$43&gt;0),--($R$14:$R$43="Yes"))*0.1+SUMPRODUCT(K$14:K$43,--($D$14:$D$43=$D172),--($Q$14:$Q$43=TRUE),--($S123:$S152=0))+SUMPRODUCT(K$14:K$43,--($D$14:$D$43=$D172),--($Q$14:$Q$43=TRUE),--($R$14:$R$43="Yes"),--($S$14:$S$43=0))*0.1</f>
        <v>0</v>
      </c>
      <c r="L176" s="628" cm="1">
        <f t="array" ref="L176">SUMPRODUCT(L$14:L$43,--($D$14:$D$43=$D172),--($Q$14:$Q$43=TRUE),$S$14:$S$43,--($S$14:$S$43&gt;0))+SUMPRODUCT(L$14:L$43,--($D$14:$D$43=$D172),--($Q$14:$Q$43=TRUE),$S$14:$S$43,--($S$14:$S$43&gt;0),--($R$14:$R$43="Yes"))*0.1+SUMPRODUCT(L$14:L$43,--($D$14:$D$43=$D172),--($Q$14:$Q$43=TRUE),--($S123:$S152=0))+SUMPRODUCT(L$14:L$43,--($D$14:$D$43=$D172),--($Q$14:$Q$43=TRUE),--($R$14:$R$43="Yes"),--($S$14:$S$43=0))*0.1</f>
        <v>0</v>
      </c>
      <c r="M176" s="628" cm="1">
        <f t="array" ref="M176">SUMPRODUCT(M$14:M$43,--($D$14:$D$43=$D172),--($Q$14:$Q$43=TRUE),$S$14:$S$43,--($S$14:$S$43&gt;0))+SUMPRODUCT(M$14:M$43,--($D$14:$D$43=$D172),--($Q$14:$Q$43=TRUE),$S$14:$S$43,--($S$14:$S$43&gt;0),--($R$14:$R$43="Yes"))*0.1+SUMPRODUCT(M$14:M$43,--($D$14:$D$43=$D172),--($Q$14:$Q$43=TRUE),--($S123:$S152=0))+SUMPRODUCT(M$14:M$43,--($D$14:$D$43=$D172),--($Q$14:$Q$43=TRUE),--($R$14:$R$43="Yes"),--($S$14:$S$43=0))*0.1</f>
        <v>0</v>
      </c>
      <c r="N176" s="628" cm="1">
        <f t="array" ref="N176">SUMPRODUCT(N$14:N$43,--($D$14:$D$43=$D172),--($Q$14:$Q$43=TRUE),$S$14:$S$43,--($S$14:$S$43&gt;0))+SUMPRODUCT(N$14:N$43,--($D$14:$D$43=$D172),--($Q$14:$Q$43=TRUE),$S$14:$S$43,--($S$14:$S$43&gt;0),--($R$14:$R$43="Yes"))*0.1+SUMPRODUCT(N$14:N$43,--($D$14:$D$43=$D172),--($Q$14:$Q$43=TRUE),--($S123:$S152=0))+SUMPRODUCT(N$14:N$43,--($D$14:$D$43=$D172),--($Q$14:$Q$43=TRUE),--($R$14:$R$43="Yes"),--($S$14:$S$43=0))*0.1</f>
        <v>0</v>
      </c>
      <c r="O176" s="628" cm="1">
        <f t="array" ref="O176">SUMPRODUCT(O$14:O$43,--($D$14:$D$43=$D172),--($Q$14:$Q$43=TRUE),$S$14:$S$43,--($S$14:$S$43&gt;0))+SUMPRODUCT(O$14:O$43,--($D$14:$D$43=$D172),--($Q$14:$Q$43=TRUE),$S$14:$S$43,--($S$14:$S$43&gt;0),--($R$14:$R$43="Yes"))*0.1+SUMPRODUCT(O$14:O$43,--($D$14:$D$43=$D172),--($Q$14:$Q$43=TRUE),--($S123:$S152=0))+SUMPRODUCT(O$14:O$43,--($D$14:$D$43=$D172),--($Q$14:$Q$43=TRUE),--($R$14:$R$43="Yes"),--($S$14:$S$43=0))*0.1</f>
        <v>0</v>
      </c>
      <c r="P176" s="629">
        <f t="shared" si="48"/>
        <v>0</v>
      </c>
      <c r="Q176" s="575"/>
      <c r="R176" s="576"/>
      <c r="S176" s="576"/>
      <c r="T176" s="576"/>
      <c r="U176" s="577"/>
      <c r="V176" s="610"/>
      <c r="W176" s="610"/>
      <c r="X176" s="610"/>
      <c r="Y176" s="610"/>
      <c r="Z176" s="610"/>
      <c r="AA176" s="610"/>
      <c r="AB176" s="610"/>
      <c r="AC176" s="610"/>
      <c r="AD176" s="610"/>
      <c r="AE176" s="610"/>
      <c r="AF176" s="610"/>
      <c r="AG176" s="610"/>
      <c r="AH176" s="610"/>
      <c r="AI176" s="610"/>
      <c r="AJ176" s="610"/>
      <c r="AK176" s="610"/>
      <c r="AL176" s="610"/>
      <c r="AM176" s="610"/>
      <c r="AN176" s="610"/>
      <c r="AO176" s="610"/>
      <c r="AP176" s="610"/>
      <c r="AQ176" s="610"/>
      <c r="AR176" s="610"/>
      <c r="AS176" s="610"/>
      <c r="AT176" s="610"/>
      <c r="AU176" s="610"/>
      <c r="AV176" s="610"/>
      <c r="AW176" s="610"/>
      <c r="AX176" s="610"/>
      <c r="AY176" s="610"/>
      <c r="AZ176" s="610"/>
      <c r="BA176" s="610"/>
      <c r="BB176" s="610"/>
      <c r="BC176" s="610"/>
      <c r="BD176" s="610"/>
      <c r="BE176" s="610"/>
      <c r="BF176" s="610"/>
      <c r="BG176" s="610"/>
      <c r="BH176" s="610"/>
      <c r="BI176" s="610"/>
      <c r="BJ176" s="610"/>
      <c r="BK176" s="610"/>
      <c r="BL176" s="610"/>
      <c r="BM176" s="610"/>
      <c r="BN176" s="610"/>
      <c r="BO176" s="610"/>
      <c r="BP176" s="610"/>
      <c r="BQ176" s="610"/>
      <c r="BR176" s="610"/>
      <c r="BS176" s="610"/>
      <c r="BT176" s="610"/>
      <c r="BU176" s="610"/>
      <c r="BV176" s="610"/>
      <c r="BW176" s="610"/>
      <c r="BX176" s="610"/>
      <c r="BY176" s="610"/>
      <c r="BZ176" s="610"/>
      <c r="CA176" s="610"/>
      <c r="CB176" s="610"/>
      <c r="CC176" s="610"/>
      <c r="CD176" s="610"/>
      <c r="CE176" s="610"/>
      <c r="CF176" s="610"/>
      <c r="CG176" s="610"/>
      <c r="CH176" s="610"/>
      <c r="CI176" s="610"/>
      <c r="CJ176" s="610"/>
      <c r="CK176" s="610"/>
      <c r="CL176" s="610"/>
      <c r="CM176" s="610"/>
      <c r="CN176" s="610"/>
      <c r="CO176" s="610"/>
      <c r="CP176" s="610"/>
      <c r="CQ176" s="610"/>
      <c r="CR176" s="610"/>
      <c r="CS176" s="610"/>
      <c r="CT176" s="610"/>
      <c r="CU176" s="610"/>
      <c r="CV176" s="610"/>
      <c r="CW176" s="610"/>
      <c r="CX176" s="610"/>
      <c r="CY176" s="610"/>
      <c r="CZ176" s="610"/>
      <c r="DA176" s="610"/>
      <c r="DB176" s="610"/>
      <c r="DC176" s="610"/>
      <c r="DD176" s="610"/>
      <c r="DE176" s="610"/>
      <c r="DF176" s="610"/>
      <c r="DG176" s="610"/>
      <c r="DH176" s="610"/>
      <c r="DI176" s="610"/>
      <c r="DJ176" s="610"/>
      <c r="DK176" s="610"/>
      <c r="DL176" s="610"/>
      <c r="DM176" s="610"/>
      <c r="DN176" s="610"/>
      <c r="DO176" s="610"/>
      <c r="DP176" s="610"/>
      <c r="DQ176" s="610"/>
      <c r="DR176" s="610"/>
      <c r="DS176" s="610"/>
      <c r="DT176" s="610"/>
      <c r="DU176" s="610"/>
      <c r="DV176" s="610"/>
      <c r="DW176" s="610"/>
      <c r="DX176" s="610"/>
      <c r="DY176" s="610"/>
      <c r="DZ176" s="610"/>
      <c r="EA176" s="610"/>
      <c r="EB176" s="610"/>
      <c r="EC176" s="610"/>
      <c r="ED176" s="610"/>
      <c r="EE176" s="610"/>
      <c r="EF176" s="610"/>
      <c r="EG176" s="610"/>
      <c r="EH176" s="610"/>
      <c r="EI176" s="610"/>
      <c r="EJ176" s="610"/>
      <c r="EK176" s="610"/>
      <c r="EL176" s="610"/>
      <c r="EM176" s="610"/>
      <c r="EN176" s="610"/>
      <c r="EO176" s="610"/>
      <c r="EP176" s="610"/>
      <c r="EQ176" s="610"/>
      <c r="ER176" s="610"/>
      <c r="ES176" s="610"/>
      <c r="ET176" s="610"/>
      <c r="EU176" s="610"/>
      <c r="EV176" s="610"/>
      <c r="EW176" s="610"/>
      <c r="EX176" s="610"/>
      <c r="EY176" s="610"/>
      <c r="EZ176" s="610"/>
      <c r="FA176" s="610"/>
      <c r="FB176" s="610"/>
      <c r="FC176" s="610"/>
      <c r="FD176" s="610"/>
      <c r="FE176" s="610"/>
      <c r="FF176" s="610"/>
      <c r="FG176" s="610"/>
      <c r="FH176" s="610"/>
      <c r="FI176" s="610"/>
      <c r="FJ176" s="610"/>
      <c r="FK176" s="610"/>
      <c r="FL176" s="610"/>
      <c r="FM176" s="610"/>
      <c r="FN176" s="610"/>
      <c r="FO176" s="610"/>
      <c r="FP176" s="610"/>
      <c r="FQ176" s="610"/>
      <c r="FR176" s="610"/>
      <c r="FS176" s="610"/>
      <c r="FT176" s="610"/>
      <c r="FU176" s="610"/>
      <c r="FV176" s="610"/>
      <c r="FW176" s="610"/>
      <c r="FX176" s="610"/>
      <c r="FY176" s="610"/>
      <c r="FZ176" s="610"/>
      <c r="GA176" s="610"/>
      <c r="GB176" s="610"/>
      <c r="GC176" s="610"/>
      <c r="GD176" s="610"/>
      <c r="GE176" s="610"/>
      <c r="GF176" s="610"/>
      <c r="GG176" s="610"/>
      <c r="GH176" s="610"/>
      <c r="GI176" s="610"/>
      <c r="GJ176" s="610"/>
      <c r="GK176" s="610"/>
      <c r="GL176" s="610"/>
      <c r="GM176" s="610"/>
      <c r="GN176" s="610"/>
      <c r="GO176" s="610"/>
      <c r="GP176" s="610"/>
      <c r="GQ176" s="610"/>
      <c r="GR176" s="610"/>
      <c r="GS176" s="610"/>
      <c r="GT176" s="610"/>
      <c r="GU176" s="610"/>
      <c r="GV176" s="610"/>
      <c r="GW176" s="610"/>
      <c r="GX176" s="610"/>
      <c r="GY176" s="610"/>
      <c r="GZ176" s="610"/>
      <c r="HA176" s="610"/>
      <c r="HB176" s="610"/>
      <c r="HC176" s="610"/>
      <c r="HD176" s="610"/>
      <c r="HE176" s="610"/>
      <c r="HF176" s="610"/>
      <c r="HG176" s="610"/>
      <c r="HH176" s="610"/>
      <c r="HI176" s="610"/>
      <c r="HJ176" s="610"/>
      <c r="HK176" s="610"/>
      <c r="HL176" s="610"/>
      <c r="HM176" s="610"/>
      <c r="HN176" s="610"/>
      <c r="HO176" s="610"/>
      <c r="HP176" s="610"/>
      <c r="HQ176" s="610"/>
      <c r="HR176" s="610"/>
      <c r="HS176" s="610"/>
      <c r="HT176" s="610"/>
      <c r="HU176" s="610"/>
      <c r="HV176" s="610"/>
      <c r="HW176" s="610"/>
      <c r="HX176" s="610"/>
      <c r="HY176" s="610"/>
      <c r="HZ176" s="610"/>
      <c r="IA176" s="610"/>
      <c r="IB176" s="610"/>
      <c r="IC176" s="610"/>
      <c r="ID176" s="610"/>
      <c r="IE176" s="610"/>
      <c r="IF176" s="610"/>
      <c r="IG176" s="610"/>
      <c r="IH176" s="610"/>
      <c r="II176" s="610"/>
      <c r="IJ176" s="610"/>
      <c r="IK176" s="610"/>
      <c r="IL176" s="610"/>
      <c r="IM176" s="610"/>
      <c r="IN176" s="610"/>
      <c r="IO176" s="610"/>
      <c r="IP176" s="610"/>
      <c r="IQ176" s="610"/>
      <c r="IR176" s="610"/>
      <c r="IS176" s="610"/>
      <c r="IT176" s="610"/>
      <c r="IU176" s="610"/>
      <c r="IV176" s="610"/>
      <c r="IW176" s="610"/>
      <c r="IX176" s="610"/>
      <c r="IY176" s="610"/>
      <c r="IZ176" s="610"/>
      <c r="JA176" s="610"/>
      <c r="JB176" s="610"/>
      <c r="JC176" s="610"/>
      <c r="JD176" s="610"/>
      <c r="JE176" s="610"/>
      <c r="JF176" s="610"/>
      <c r="JG176" s="610"/>
      <c r="JH176" s="610"/>
      <c r="JI176" s="610"/>
      <c r="JJ176" s="610"/>
      <c r="JK176" s="610"/>
      <c r="JL176" s="610"/>
      <c r="JM176" s="610"/>
      <c r="JN176" s="610"/>
      <c r="JO176" s="610"/>
      <c r="JP176" s="610"/>
      <c r="JQ176" s="610"/>
      <c r="JR176" s="610"/>
      <c r="JS176" s="610"/>
      <c r="JT176" s="610"/>
      <c r="JU176" s="610"/>
      <c r="JV176" s="610"/>
      <c r="JW176" s="610"/>
      <c r="JX176" s="610"/>
      <c r="JY176" s="610"/>
      <c r="JZ176" s="610"/>
      <c r="KA176" s="610"/>
      <c r="KB176" s="610"/>
      <c r="KC176" s="610"/>
      <c r="KD176" s="610"/>
      <c r="KE176" s="610"/>
      <c r="KF176" s="610"/>
      <c r="KG176" s="610"/>
      <c r="KH176" s="610"/>
      <c r="KI176" s="610"/>
      <c r="KJ176" s="610"/>
      <c r="KK176" s="610"/>
      <c r="KL176" s="610"/>
      <c r="KM176" s="610"/>
      <c r="KN176" s="610"/>
      <c r="KO176" s="610"/>
      <c r="KP176" s="610"/>
      <c r="KQ176" s="610"/>
      <c r="KR176" s="610"/>
      <c r="KS176" s="610"/>
      <c r="KT176" s="610"/>
      <c r="KU176" s="610"/>
      <c r="KV176" s="610"/>
      <c r="KW176" s="610"/>
      <c r="KX176" s="610"/>
      <c r="KY176" s="610"/>
      <c r="KZ176" s="610"/>
      <c r="LA176" s="610"/>
      <c r="LB176" s="610"/>
      <c r="LC176" s="610"/>
      <c r="LD176" s="610"/>
      <c r="LE176" s="610"/>
      <c r="LF176" s="610"/>
      <c r="LG176" s="610"/>
      <c r="LH176" s="610"/>
      <c r="LI176" s="610"/>
      <c r="LJ176" s="610"/>
      <c r="LK176" s="610"/>
      <c r="LL176" s="610"/>
      <c r="LM176" s="610"/>
      <c r="LN176" s="610"/>
      <c r="LO176" s="610"/>
      <c r="LP176" s="610"/>
      <c r="LQ176" s="610"/>
      <c r="LR176" s="610"/>
      <c r="LS176" s="610"/>
      <c r="LT176" s="610"/>
      <c r="LU176" s="610"/>
      <c r="LV176" s="610"/>
      <c r="LW176" s="610"/>
      <c r="LX176" s="610"/>
      <c r="LY176" s="610"/>
      <c r="LZ176" s="610"/>
      <c r="MA176" s="610"/>
      <c r="MB176" s="610"/>
      <c r="MC176" s="610"/>
      <c r="MD176" s="610"/>
      <c r="ME176" s="610"/>
      <c r="MF176" s="610"/>
      <c r="MG176" s="610"/>
      <c r="MH176" s="610"/>
      <c r="MI176" s="610"/>
      <c r="MJ176" s="610"/>
      <c r="MK176" s="610"/>
      <c r="ML176" s="610"/>
      <c r="MM176" s="610"/>
      <c r="MN176" s="610"/>
      <c r="MO176" s="610"/>
      <c r="MP176" s="610"/>
      <c r="MQ176" s="610"/>
      <c r="MR176" s="610"/>
      <c r="MS176" s="610"/>
      <c r="MT176" s="610"/>
      <c r="MU176" s="610"/>
      <c r="MV176" s="610"/>
      <c r="MW176" s="610"/>
      <c r="MX176" s="610"/>
      <c r="MY176" s="610"/>
      <c r="MZ176" s="610"/>
      <c r="NA176" s="610"/>
      <c r="NB176" s="610"/>
      <c r="NC176" s="610"/>
      <c r="ND176" s="610"/>
      <c r="NE176" s="610"/>
      <c r="NF176" s="610"/>
      <c r="NG176" s="610"/>
      <c r="NH176" s="610"/>
      <c r="NI176" s="610"/>
      <c r="NJ176" s="610"/>
      <c r="NK176" s="610"/>
      <c r="NL176" s="610"/>
      <c r="NM176" s="610"/>
      <c r="NN176" s="610"/>
      <c r="NO176" s="610"/>
      <c r="NP176" s="610"/>
      <c r="NQ176" s="610"/>
      <c r="NR176" s="610"/>
      <c r="NS176" s="610"/>
      <c r="NT176" s="610"/>
      <c r="NU176" s="610"/>
      <c r="NV176" s="610"/>
      <c r="NW176" s="610"/>
      <c r="NX176" s="610"/>
      <c r="NY176" s="610"/>
      <c r="NZ176" s="610"/>
      <c r="OA176" s="610"/>
      <c r="OB176" s="610"/>
      <c r="OC176" s="610"/>
      <c r="OD176" s="610"/>
      <c r="OE176" s="610"/>
      <c r="OF176" s="610"/>
      <c r="OG176" s="610"/>
      <c r="OH176" s="610"/>
      <c r="OI176" s="610"/>
      <c r="OJ176" s="610"/>
      <c r="OK176" s="610"/>
      <c r="OL176" s="610"/>
      <c r="OM176" s="610"/>
      <c r="ON176" s="610"/>
      <c r="OO176" s="610"/>
      <c r="OP176" s="610"/>
      <c r="OQ176" s="610"/>
      <c r="OR176" s="610"/>
      <c r="OS176" s="610"/>
      <c r="OT176" s="610"/>
      <c r="OU176" s="610"/>
      <c r="OV176" s="610"/>
      <c r="OW176" s="610"/>
      <c r="OX176" s="610"/>
      <c r="OY176" s="610"/>
      <c r="OZ176" s="610"/>
      <c r="PA176" s="610"/>
      <c r="PB176" s="610"/>
      <c r="PC176" s="610"/>
      <c r="PD176" s="610"/>
      <c r="PE176" s="610"/>
      <c r="PF176" s="610"/>
      <c r="PG176" s="610"/>
      <c r="PH176" s="610"/>
      <c r="PI176" s="610"/>
      <c r="PJ176" s="610"/>
      <c r="PK176" s="610"/>
      <c r="PL176" s="610"/>
      <c r="PM176" s="610"/>
      <c r="PN176" s="610"/>
      <c r="PO176" s="610"/>
      <c r="PP176" s="610"/>
      <c r="PQ176" s="610"/>
      <c r="PR176" s="610"/>
      <c r="PS176" s="610"/>
      <c r="PT176" s="610"/>
      <c r="PU176" s="610"/>
      <c r="PV176" s="610"/>
      <c r="PW176" s="610"/>
      <c r="PX176" s="610"/>
      <c r="PY176" s="610"/>
      <c r="PZ176" s="610"/>
      <c r="QA176" s="610"/>
      <c r="QB176" s="610"/>
      <c r="QC176" s="610"/>
      <c r="QD176" s="610"/>
      <c r="QE176" s="610"/>
      <c r="QF176" s="610"/>
      <c r="QG176" s="610"/>
      <c r="QH176" s="610"/>
      <c r="QI176" s="610"/>
      <c r="QJ176" s="610"/>
    </row>
    <row r="177" spans="1:452" s="524" customFormat="1" ht="18" x14ac:dyDescent="0.35">
      <c r="A177" s="605"/>
      <c r="B177" s="558"/>
      <c r="C177" s="559"/>
      <c r="D177" s="559"/>
      <c r="E177" s="572" t="s">
        <v>86</v>
      </c>
      <c r="F177" s="571" cm="1">
        <f t="array" ref="F177">SUMPRODUCT(F$14:F$43,--($Q$14:$Q$43=TRUE),--($D$14:$D$43=$D172))</f>
        <v>0</v>
      </c>
      <c r="G177" s="571" cm="1">
        <f t="array" ref="G177">SUMPRODUCT(G$14:G$43,--($Q$14:$Q$43=TRUE),--($D$14:$D$43=$D172))</f>
        <v>0</v>
      </c>
      <c r="H177" s="571" cm="1">
        <f t="array" ref="H177">SUMPRODUCT(H$14:H$43,--($Q$14:$Q$43=TRUE),--($D$14:$D$43=$D172))</f>
        <v>0</v>
      </c>
      <c r="I177" s="571" cm="1">
        <f t="array" ref="I177">SUMPRODUCT(I$14:I$43,--($Q$14:$Q$43=TRUE),--($D$14:$D$43=$D172))</f>
        <v>0</v>
      </c>
      <c r="J177" s="571" cm="1">
        <f t="array" ref="J177">SUMPRODUCT(J$14:J$43,--($Q$14:$Q$43=TRUE),--($D$14:$D$43=$D172))</f>
        <v>0</v>
      </c>
      <c r="K177" s="571" cm="1">
        <f t="array" ref="K177">SUMPRODUCT(K$14:K$43,--($Q$14:$Q$43=TRUE),--($D$14:$D$43=$D172))</f>
        <v>0</v>
      </c>
      <c r="L177" s="571" cm="1">
        <f t="array" ref="L177">SUMPRODUCT(L$14:L$43,--($Q$14:$Q$43=TRUE),--($D$14:$D$43=$D172))</f>
        <v>0</v>
      </c>
      <c r="M177" s="571" cm="1">
        <f t="array" ref="M177">SUMPRODUCT(M$14:M$43,--($Q$14:$Q$43=TRUE),--($D$14:$D$43=$D172))</f>
        <v>0</v>
      </c>
      <c r="N177" s="571" cm="1">
        <f t="array" ref="N177">SUMPRODUCT(N$14:N$43,--($Q$14:$Q$43=TRUE),--($D$14:$D$43=$D172))</f>
        <v>0</v>
      </c>
      <c r="O177" s="571" cm="1">
        <f t="array" ref="O177">SUMPRODUCT(O$14:O$43,--($Q$14:$Q$43=TRUE),--($D$14:$D$43=$D172))</f>
        <v>0</v>
      </c>
      <c r="P177" s="607">
        <f t="shared" si="48"/>
        <v>0</v>
      </c>
      <c r="Q177" s="575"/>
      <c r="R177" s="576"/>
      <c r="S177" s="576"/>
      <c r="T177" s="576"/>
      <c r="U177" s="577"/>
    </row>
    <row r="178" spans="1:452" s="524" customFormat="1" ht="18" x14ac:dyDescent="0.35">
      <c r="A178" s="605"/>
      <c r="C178" s="559"/>
      <c r="D178" s="559"/>
      <c r="E178" s="572" t="s">
        <v>87</v>
      </c>
      <c r="F178" s="571" cm="1">
        <f t="array" ref="F178">SUMPRODUCT(F$14:F$43,--($Q$14:$Q$43=TRUE),--($D$14:$D$43=$D176),--($R$14:$R$43="Yes"))*0.1</f>
        <v>0</v>
      </c>
      <c r="G178" s="571" cm="1">
        <f t="array" ref="G178">SUMPRODUCT(G$14:G$43,--($Q$14:$Q$43=TRUE),--($D$14:$D$43=$D176),--($R$14:$R$43="Yes"))*0.1</f>
        <v>0</v>
      </c>
      <c r="H178" s="571" cm="1">
        <f t="array" ref="H178">SUMPRODUCT(H$14:H$43,--($Q$14:$Q$43=TRUE),--($D$14:$D$43=$D176),--($R$14:$R$43="Yes"))*0.1</f>
        <v>0</v>
      </c>
      <c r="I178" s="571" cm="1">
        <f t="array" ref="I178">SUMPRODUCT(I$14:I$43,--($Q$14:$Q$43=TRUE),--($D$14:$D$43=$D176),--($R$14:$R$43="Yes"))*0.1</f>
        <v>0</v>
      </c>
      <c r="J178" s="571" cm="1">
        <f t="array" ref="J178">SUMPRODUCT(J$14:J$43,--($Q$14:$Q$43=TRUE),--($D$14:$D$43=$D176),--($R$14:$R$43="Yes"))*0.1</f>
        <v>0</v>
      </c>
      <c r="K178" s="571" cm="1">
        <f t="array" ref="K178">SUMPRODUCT(K$14:K$43,--($Q$14:$Q$43=TRUE),--($D$14:$D$43=$D176),--($R$14:$R$43="Yes"))*0.1</f>
        <v>0</v>
      </c>
      <c r="L178" s="571" cm="1">
        <f t="array" ref="L178">SUMPRODUCT(L$14:L$43,--($Q$14:$Q$43=TRUE),--($D$14:$D$43=$D176),--($R$14:$R$43="Yes"))*0.1</f>
        <v>0</v>
      </c>
      <c r="M178" s="571" cm="1">
        <f t="array" ref="M178">SUMPRODUCT(M$14:M$43,--($Q$14:$Q$43=TRUE),--($D$14:$D$43=$D176),--($R$14:$R$43="Yes"))*0.1</f>
        <v>0</v>
      </c>
      <c r="N178" s="571" cm="1">
        <f t="array" ref="N178">SUMPRODUCT(N$14:N$43,--($Q$14:$Q$43=TRUE),--($D$14:$D$43=$D176),--($R$14:$R$43="Yes"))*0.1</f>
        <v>0</v>
      </c>
      <c r="O178" s="571" cm="1">
        <f t="array" ref="O178">SUMPRODUCT(O$14:O$43,--($Q$14:$Q$43=TRUE),--($D$14:$D$43=$D176),--($R$14:$R$43="Yes"))*0.1</f>
        <v>0</v>
      </c>
      <c r="P178" s="607">
        <f t="shared" si="48"/>
        <v>0</v>
      </c>
      <c r="Q178" s="575"/>
      <c r="R178" s="576"/>
      <c r="S178" s="576"/>
      <c r="T178" s="576"/>
      <c r="U178" s="577"/>
    </row>
    <row r="179" spans="1:452" s="524" customFormat="1" ht="18" x14ac:dyDescent="0.35">
      <c r="A179" s="605"/>
      <c r="B179" s="558"/>
      <c r="C179" s="559"/>
      <c r="D179" s="559"/>
      <c r="E179" s="572" t="s">
        <v>88</v>
      </c>
      <c r="F179" s="571">
        <f>F176-(F177+F178)</f>
        <v>0</v>
      </c>
      <c r="G179" s="571">
        <f t="shared" ref="G179:O179" si="51">G176-(G177+G178)</f>
        <v>0</v>
      </c>
      <c r="H179" s="571">
        <f t="shared" si="51"/>
        <v>0</v>
      </c>
      <c r="I179" s="571">
        <f t="shared" si="51"/>
        <v>0</v>
      </c>
      <c r="J179" s="571">
        <f t="shared" si="51"/>
        <v>0</v>
      </c>
      <c r="K179" s="571">
        <f t="shared" si="51"/>
        <v>0</v>
      </c>
      <c r="L179" s="571">
        <f t="shared" si="51"/>
        <v>0</v>
      </c>
      <c r="M179" s="571">
        <f t="shared" si="51"/>
        <v>0</v>
      </c>
      <c r="N179" s="571">
        <f t="shared" si="51"/>
        <v>0</v>
      </c>
      <c r="O179" s="571">
        <f t="shared" si="51"/>
        <v>0</v>
      </c>
      <c r="P179" s="607">
        <f t="shared" si="48"/>
        <v>0</v>
      </c>
      <c r="Q179" s="575"/>
      <c r="R179" s="576"/>
      <c r="S179" s="576"/>
      <c r="T179" s="576"/>
      <c r="U179" s="577"/>
    </row>
    <row r="180" spans="1:452" s="592" customFormat="1" ht="18" x14ac:dyDescent="0.35">
      <c r="A180" s="618"/>
      <c r="B180" s="619"/>
      <c r="C180" s="620"/>
      <c r="D180" s="619" t="s">
        <v>115</v>
      </c>
      <c r="E180" s="621"/>
      <c r="F180" s="622" cm="1">
        <f t="array" ref="F180">SUMPRODUCT(F$14:F$43,--($D$14:$D$43=$D180),--($Q$14:$Q$43=FALSE),$S$14:$S$43,--($S$14:$S$43&gt;0))+SUMPRODUCT(F$14:F$43,--($D$14:$D$43=$D180),--($Q$14:$Q$43=FALSE),$S$14:$S$43,--($S$14:$S$43&gt;0),--($R$14:$R$43="Yes"))*0.1+SUMPRODUCT(F$14:F$43,--($D$14:$D$43=$D180),--($Q$14:$Q$43=FALSE),--($S$14:$S$43=0))+SUMPRODUCT(F$14:F$43,--($D$14:$D$43=$D180),--($Q$14:$Q$43=FALSE),--($R$14:$R$43="Yes"),--($S$14:$S$43=0))*0.1</f>
        <v>0</v>
      </c>
      <c r="G180" s="622" cm="1">
        <f t="array" ref="G180">SUMPRODUCT(G$14:G$43,--($D$14:$D$43=$D180),--($Q$14:$Q$43=FALSE),$S$14:$S$43,--($S$14:$S$43&gt;0))+SUMPRODUCT(G$14:G$43,--($D$14:$D$43=$D180),--($Q$14:$Q$43=FALSE),$S$14:$S$43,--($S$14:$S$43&gt;0),--($R$14:$R$43="Yes"))*0.1+SUMPRODUCT(G$14:G$43,--($D$14:$D$43=$D180),--($Q$14:$Q$43=FALSE),--($S$14:$S$43=0))+SUMPRODUCT(G$14:G$43,--($D$14:$D$43=$D180),--($Q$14:$Q$43=FALSE),--($R$14:$R$43="Yes"),--($S$14:$S$43=0))*0.1</f>
        <v>0</v>
      </c>
      <c r="H180" s="622" cm="1">
        <f t="array" ref="H180">SUMPRODUCT(H$14:H$43,--($D$14:$D$43=$D180),--($Q$14:$Q$43=FALSE),$S$14:$S$43,--($S$14:$S$43&gt;0))+SUMPRODUCT(H$14:H$43,--($D$14:$D$43=$D180),--($Q$14:$Q$43=FALSE),$S$14:$S$43,--($S$14:$S$43&gt;0),--($R$14:$R$43="Yes"))*0.1+SUMPRODUCT(H$14:H$43,--($D$14:$D$43=$D180),--($Q$14:$Q$43=FALSE),--($S$14:$S$43=0))+SUMPRODUCT(H$14:H$43,--($D$14:$D$43=$D180),--($Q$14:$Q$43=FALSE),--($R$14:$R$43="Yes"),--($S$14:$S$43=0))*0.1</f>
        <v>0</v>
      </c>
      <c r="I180" s="622" cm="1">
        <f t="array" ref="I180">SUMPRODUCT(I$14:I$43,--($D$14:$D$43=$D180),--($Q$14:$Q$43=FALSE),$S$14:$S$43,--($S$14:$S$43&gt;0))+SUMPRODUCT(I$14:I$43,--($D$14:$D$43=$D180),--($Q$14:$Q$43=FALSE),$S$14:$S$43,--($S$14:$S$43&gt;0),--($R$14:$R$43="Yes"))*0.1+SUMPRODUCT(I$14:I$43,--($D$14:$D$43=$D180),--($Q$14:$Q$43=FALSE),--($S$14:$S$43=0))+SUMPRODUCT(I$14:I$43,--($D$14:$D$43=$D180),--($Q$14:$Q$43=FALSE),--($R$14:$R$43="Yes"),--($S$14:$S$43=0))*0.1</f>
        <v>0</v>
      </c>
      <c r="J180" s="622" cm="1">
        <f t="array" ref="J180">SUMPRODUCT(J$14:J$43,--($D$14:$D$43=$D180),--($Q$14:$Q$43=FALSE),$S$14:$S$43,--($S$14:$S$43&gt;0))+SUMPRODUCT(J$14:J$43,--($D$14:$D$43=$D180),--($Q$14:$Q$43=FALSE),$S$14:$S$43,--($S$14:$S$43&gt;0),--($R$14:$R$43="Yes"))*0.1+SUMPRODUCT(J$14:J$43,--($D$14:$D$43=$D180),--($Q$14:$Q$43=FALSE),--($S$14:$S$43=0))+SUMPRODUCT(J$14:J$43,--($D$14:$D$43=$D180),--($Q$14:$Q$43=FALSE),--($R$14:$R$43="Yes"),--($S$14:$S$43=0))*0.1</f>
        <v>0</v>
      </c>
      <c r="K180" s="622" cm="1">
        <f t="array" ref="K180">SUMPRODUCT(K$14:K$43,--($D$14:$D$43=$D180),--($Q$14:$Q$43=FALSE),$S$14:$S$43,--($S$14:$S$43&gt;0))+SUMPRODUCT(K$14:K$43,--($D$14:$D$43=$D180),--($Q$14:$Q$43=FALSE),$S$14:$S$43,--($S$14:$S$43&gt;0),--($R$14:$R$43="Yes"))*0.1+SUMPRODUCT(K$14:K$43,--($D$14:$D$43=$D180),--($Q$14:$Q$43=FALSE),--($S$14:$S$43=0))+SUMPRODUCT(K$14:K$43,--($D$14:$D$43=$D180),--($Q$14:$Q$43=FALSE),--($R$14:$R$43="Yes"),--($S$14:$S$43=0))*0.1</f>
        <v>0</v>
      </c>
      <c r="L180" s="622" cm="1">
        <f t="array" ref="L180">SUMPRODUCT(L$14:L$43,--($D$14:$D$43=$D180),--($Q$14:$Q$43=FALSE),$S$14:$S$43,--($S$14:$S$43&gt;0))+SUMPRODUCT(L$14:L$43,--($D$14:$D$43=$D180),--($Q$14:$Q$43=FALSE),$S$14:$S$43,--($S$14:$S$43&gt;0),--($R$14:$R$43="Yes"))*0.1+SUMPRODUCT(L$14:L$43,--($D$14:$D$43=$D180),--($Q$14:$Q$43=FALSE),--($S$14:$S$43=0))+SUMPRODUCT(L$14:L$43,--($D$14:$D$43=$D180),--($Q$14:$Q$43=FALSE),--($R$14:$R$43="Yes"),--($S$14:$S$43=0))*0.1</f>
        <v>0</v>
      </c>
      <c r="M180" s="622" cm="1">
        <f t="array" ref="M180">SUMPRODUCT(M$14:M$43,--($D$14:$D$43=$D180),--($Q$14:$Q$43=FALSE),$S$14:$S$43,--($S$14:$S$43&gt;0))+SUMPRODUCT(M$14:M$43,--($D$14:$D$43=$D180),--($Q$14:$Q$43=FALSE),$S$14:$S$43,--($S$14:$S$43&gt;0),--($R$14:$R$43="Yes"))*0.1+SUMPRODUCT(M$14:M$43,--($D$14:$D$43=$D180),--($Q$14:$Q$43=FALSE),--($S$14:$S$43=0))+SUMPRODUCT(M$14:M$43,--($D$14:$D$43=$D180),--($Q$14:$Q$43=FALSE),--($R$14:$R$43="Yes"),--($S$14:$S$43=0))*0.1</f>
        <v>0</v>
      </c>
      <c r="N180" s="622" cm="1">
        <f t="array" ref="N180">SUMPRODUCT(N$14:N$43,--($D$14:$D$43=$D180),--($Q$14:$Q$43=FALSE),$S$14:$S$43,--($S$14:$S$43&gt;0))+SUMPRODUCT(N$14:N$43,--($D$14:$D$43=$D180),--($Q$14:$Q$43=FALSE),$S$14:$S$43,--($S$14:$S$43&gt;0),--($R$14:$R$43="Yes"))*0.1+SUMPRODUCT(N$14:N$43,--($D$14:$D$43=$D180),--($Q$14:$Q$43=FALSE),--($S$14:$S$43=0))+SUMPRODUCT(N$14:N$43,--($D$14:$D$43=$D180),--($Q$14:$Q$43=FALSE),--($R$14:$R$43="Yes"),--($S$14:$S$43=0))*0.1</f>
        <v>0</v>
      </c>
      <c r="O180" s="622" cm="1">
        <f t="array" ref="O180">SUMPRODUCT(O$14:O$43,--($D$14:$D$43=$D180),--($Q$14:$Q$43=FALSE),$S$14:$S$43,--($S$14:$S$43&gt;0))+SUMPRODUCT(O$14:O$43,--($D$14:$D$43=$D180),--($Q$14:$Q$43=FALSE),$S$14:$S$43,--($S$14:$S$43&gt;0),--($R$14:$R$43="Yes"))*0.1+SUMPRODUCT(O$14:O$43,--($D$14:$D$43=$D180),--($Q$14:$Q$43=FALSE),--($S$14:$S$43=0))+SUMPRODUCT(O$14:O$43,--($D$14:$D$43=$D180),--($Q$14:$Q$43=FALSE),--($R$14:$R$43="Yes"),--($S$14:$S$43=0))*0.1</f>
        <v>0</v>
      </c>
      <c r="P180" s="623">
        <f t="shared" si="48"/>
        <v>0</v>
      </c>
      <c r="Q180" s="575"/>
      <c r="R180" s="576"/>
      <c r="S180" s="576"/>
      <c r="T180" s="576"/>
      <c r="U180" s="577"/>
      <c r="V180" s="610"/>
      <c r="W180" s="610"/>
      <c r="X180" s="610"/>
      <c r="Y180" s="610"/>
      <c r="Z180" s="610"/>
      <c r="AA180" s="610"/>
      <c r="AB180" s="610"/>
      <c r="AC180" s="610"/>
      <c r="AD180" s="610"/>
      <c r="AE180" s="610"/>
      <c r="AF180" s="610"/>
      <c r="AG180" s="610"/>
      <c r="AH180" s="610"/>
      <c r="AI180" s="610"/>
      <c r="AJ180" s="610"/>
      <c r="AK180" s="610"/>
      <c r="AL180" s="610"/>
      <c r="AM180" s="610"/>
      <c r="AN180" s="610"/>
      <c r="AO180" s="610"/>
      <c r="AP180" s="610"/>
      <c r="AQ180" s="610"/>
      <c r="AR180" s="610"/>
      <c r="AS180" s="610"/>
      <c r="AT180" s="610"/>
      <c r="AU180" s="610"/>
      <c r="AV180" s="610"/>
      <c r="AW180" s="610"/>
      <c r="AX180" s="610"/>
      <c r="AY180" s="610"/>
      <c r="AZ180" s="610"/>
      <c r="BA180" s="610"/>
      <c r="BB180" s="610"/>
      <c r="BC180" s="610"/>
      <c r="BD180" s="610"/>
      <c r="BE180" s="610"/>
      <c r="BF180" s="610"/>
      <c r="BG180" s="610"/>
      <c r="BH180" s="610"/>
      <c r="BI180" s="610"/>
      <c r="BJ180" s="610"/>
      <c r="BK180" s="610"/>
      <c r="BL180" s="610"/>
      <c r="BM180" s="610"/>
      <c r="BN180" s="610"/>
      <c r="BO180" s="610"/>
      <c r="BP180" s="610"/>
      <c r="BQ180" s="610"/>
      <c r="BR180" s="610"/>
      <c r="BS180" s="610"/>
      <c r="BT180" s="610"/>
      <c r="BU180" s="610"/>
      <c r="BV180" s="610"/>
      <c r="BW180" s="610"/>
      <c r="BX180" s="610"/>
      <c r="BY180" s="610"/>
      <c r="BZ180" s="610"/>
      <c r="CA180" s="610"/>
      <c r="CB180" s="610"/>
      <c r="CC180" s="610"/>
      <c r="CD180" s="610"/>
      <c r="CE180" s="610"/>
      <c r="CF180" s="610"/>
      <c r="CG180" s="610"/>
      <c r="CH180" s="610"/>
      <c r="CI180" s="610"/>
      <c r="CJ180" s="610"/>
      <c r="CK180" s="610"/>
      <c r="CL180" s="610"/>
      <c r="CM180" s="610"/>
      <c r="CN180" s="610"/>
      <c r="CO180" s="610"/>
      <c r="CP180" s="610"/>
      <c r="CQ180" s="610"/>
      <c r="CR180" s="610"/>
      <c r="CS180" s="610"/>
      <c r="CT180" s="610"/>
      <c r="CU180" s="610"/>
      <c r="CV180" s="610"/>
      <c r="CW180" s="610"/>
      <c r="CX180" s="610"/>
      <c r="CY180" s="610"/>
      <c r="CZ180" s="610"/>
      <c r="DA180" s="610"/>
      <c r="DB180" s="610"/>
      <c r="DC180" s="610"/>
      <c r="DD180" s="610"/>
      <c r="DE180" s="610"/>
      <c r="DF180" s="610"/>
      <c r="DG180" s="610"/>
      <c r="DH180" s="610"/>
      <c r="DI180" s="610"/>
      <c r="DJ180" s="610"/>
      <c r="DK180" s="610"/>
      <c r="DL180" s="610"/>
      <c r="DM180" s="610"/>
      <c r="DN180" s="610"/>
      <c r="DO180" s="610"/>
      <c r="DP180" s="610"/>
      <c r="DQ180" s="610"/>
      <c r="DR180" s="610"/>
      <c r="DS180" s="610"/>
      <c r="DT180" s="610"/>
      <c r="DU180" s="610"/>
      <c r="DV180" s="610"/>
      <c r="DW180" s="610"/>
      <c r="DX180" s="610"/>
      <c r="DY180" s="610"/>
      <c r="DZ180" s="610"/>
      <c r="EA180" s="610"/>
      <c r="EB180" s="610"/>
      <c r="EC180" s="610"/>
      <c r="ED180" s="610"/>
      <c r="EE180" s="610"/>
      <c r="EF180" s="610"/>
      <c r="EG180" s="610"/>
      <c r="EH180" s="610"/>
      <c r="EI180" s="610"/>
      <c r="EJ180" s="610"/>
      <c r="EK180" s="610"/>
      <c r="EL180" s="610"/>
      <c r="EM180" s="610"/>
      <c r="EN180" s="610"/>
      <c r="EO180" s="610"/>
      <c r="EP180" s="610"/>
      <c r="EQ180" s="610"/>
      <c r="ER180" s="610"/>
      <c r="ES180" s="610"/>
      <c r="ET180" s="610"/>
      <c r="EU180" s="610"/>
      <c r="EV180" s="610"/>
      <c r="EW180" s="610"/>
      <c r="EX180" s="610"/>
      <c r="EY180" s="610"/>
      <c r="EZ180" s="610"/>
      <c r="FA180" s="610"/>
      <c r="FB180" s="610"/>
      <c r="FC180" s="610"/>
      <c r="FD180" s="610"/>
      <c r="FE180" s="610"/>
      <c r="FF180" s="610"/>
      <c r="FG180" s="610"/>
      <c r="FH180" s="610"/>
      <c r="FI180" s="610"/>
      <c r="FJ180" s="610"/>
      <c r="FK180" s="610"/>
      <c r="FL180" s="610"/>
      <c r="FM180" s="610"/>
      <c r="FN180" s="610"/>
      <c r="FO180" s="610"/>
      <c r="FP180" s="610"/>
      <c r="FQ180" s="610"/>
      <c r="FR180" s="610"/>
      <c r="FS180" s="610"/>
      <c r="FT180" s="610"/>
      <c r="FU180" s="610"/>
      <c r="FV180" s="610"/>
      <c r="FW180" s="610"/>
      <c r="FX180" s="610"/>
      <c r="FY180" s="610"/>
      <c r="FZ180" s="610"/>
      <c r="GA180" s="610"/>
      <c r="GB180" s="610"/>
      <c r="GC180" s="610"/>
      <c r="GD180" s="610"/>
      <c r="GE180" s="610"/>
      <c r="GF180" s="610"/>
      <c r="GG180" s="610"/>
      <c r="GH180" s="610"/>
      <c r="GI180" s="610"/>
      <c r="GJ180" s="610"/>
      <c r="GK180" s="610"/>
      <c r="GL180" s="610"/>
      <c r="GM180" s="610"/>
      <c r="GN180" s="610"/>
      <c r="GO180" s="610"/>
      <c r="GP180" s="610"/>
      <c r="GQ180" s="610"/>
      <c r="GR180" s="610"/>
      <c r="GS180" s="610"/>
      <c r="GT180" s="610"/>
      <c r="GU180" s="610"/>
      <c r="GV180" s="610"/>
      <c r="GW180" s="610"/>
      <c r="GX180" s="610"/>
      <c r="GY180" s="610"/>
      <c r="GZ180" s="610"/>
      <c r="HA180" s="610"/>
      <c r="HB180" s="610"/>
      <c r="HC180" s="610"/>
      <c r="HD180" s="610"/>
      <c r="HE180" s="610"/>
      <c r="HF180" s="610"/>
      <c r="HG180" s="610"/>
      <c r="HH180" s="610"/>
      <c r="HI180" s="610"/>
      <c r="HJ180" s="610"/>
      <c r="HK180" s="610"/>
      <c r="HL180" s="610"/>
      <c r="HM180" s="610"/>
      <c r="HN180" s="610"/>
      <c r="HO180" s="610"/>
      <c r="HP180" s="610"/>
      <c r="HQ180" s="610"/>
      <c r="HR180" s="610"/>
      <c r="HS180" s="610"/>
      <c r="HT180" s="610"/>
      <c r="HU180" s="610"/>
      <c r="HV180" s="610"/>
      <c r="HW180" s="610"/>
      <c r="HX180" s="610"/>
      <c r="HY180" s="610"/>
      <c r="HZ180" s="610"/>
      <c r="IA180" s="610"/>
      <c r="IB180" s="610"/>
      <c r="IC180" s="610"/>
      <c r="ID180" s="610"/>
      <c r="IE180" s="610"/>
      <c r="IF180" s="610"/>
      <c r="IG180" s="610"/>
      <c r="IH180" s="610"/>
      <c r="II180" s="610"/>
      <c r="IJ180" s="610"/>
      <c r="IK180" s="610"/>
      <c r="IL180" s="610"/>
      <c r="IM180" s="610"/>
      <c r="IN180" s="610"/>
      <c r="IO180" s="610"/>
      <c r="IP180" s="610"/>
      <c r="IQ180" s="610"/>
      <c r="IR180" s="610"/>
      <c r="IS180" s="610"/>
      <c r="IT180" s="610"/>
      <c r="IU180" s="610"/>
      <c r="IV180" s="610"/>
      <c r="IW180" s="610"/>
      <c r="IX180" s="610"/>
      <c r="IY180" s="610"/>
      <c r="IZ180" s="610"/>
      <c r="JA180" s="610"/>
      <c r="JB180" s="610"/>
      <c r="JC180" s="610"/>
      <c r="JD180" s="610"/>
      <c r="JE180" s="610"/>
      <c r="JF180" s="610"/>
      <c r="JG180" s="610"/>
      <c r="JH180" s="610"/>
      <c r="JI180" s="610"/>
      <c r="JJ180" s="610"/>
      <c r="JK180" s="610"/>
      <c r="JL180" s="610"/>
      <c r="JM180" s="610"/>
      <c r="JN180" s="610"/>
      <c r="JO180" s="610"/>
      <c r="JP180" s="610"/>
      <c r="JQ180" s="610"/>
      <c r="JR180" s="610"/>
      <c r="JS180" s="610"/>
      <c r="JT180" s="610"/>
      <c r="JU180" s="610"/>
      <c r="JV180" s="610"/>
      <c r="JW180" s="610"/>
      <c r="JX180" s="610"/>
      <c r="JY180" s="610"/>
      <c r="JZ180" s="610"/>
      <c r="KA180" s="610"/>
      <c r="KB180" s="610"/>
      <c r="KC180" s="610"/>
      <c r="KD180" s="610"/>
      <c r="KE180" s="610"/>
      <c r="KF180" s="610"/>
      <c r="KG180" s="610"/>
      <c r="KH180" s="610"/>
      <c r="KI180" s="610"/>
      <c r="KJ180" s="610"/>
      <c r="KK180" s="610"/>
      <c r="KL180" s="610"/>
      <c r="KM180" s="610"/>
      <c r="KN180" s="610"/>
      <c r="KO180" s="610"/>
      <c r="KP180" s="610"/>
      <c r="KQ180" s="610"/>
      <c r="KR180" s="610"/>
      <c r="KS180" s="610"/>
      <c r="KT180" s="610"/>
      <c r="KU180" s="610"/>
      <c r="KV180" s="610"/>
      <c r="KW180" s="610"/>
      <c r="KX180" s="610"/>
      <c r="KY180" s="610"/>
      <c r="KZ180" s="610"/>
      <c r="LA180" s="610"/>
      <c r="LB180" s="610"/>
      <c r="LC180" s="610"/>
      <c r="LD180" s="610"/>
      <c r="LE180" s="610"/>
      <c r="LF180" s="610"/>
      <c r="LG180" s="610"/>
      <c r="LH180" s="610"/>
      <c r="LI180" s="610"/>
      <c r="LJ180" s="610"/>
      <c r="LK180" s="610"/>
      <c r="LL180" s="610"/>
      <c r="LM180" s="610"/>
      <c r="LN180" s="610"/>
      <c r="LO180" s="610"/>
      <c r="LP180" s="610"/>
      <c r="LQ180" s="610"/>
      <c r="LR180" s="610"/>
      <c r="LS180" s="610"/>
      <c r="LT180" s="610"/>
      <c r="LU180" s="610"/>
      <c r="LV180" s="610"/>
      <c r="LW180" s="610"/>
      <c r="LX180" s="610"/>
      <c r="LY180" s="610"/>
      <c r="LZ180" s="610"/>
      <c r="MA180" s="610"/>
      <c r="MB180" s="610"/>
      <c r="MC180" s="610"/>
      <c r="MD180" s="610"/>
      <c r="ME180" s="610"/>
      <c r="MF180" s="610"/>
      <c r="MG180" s="610"/>
      <c r="MH180" s="610"/>
      <c r="MI180" s="610"/>
      <c r="MJ180" s="610"/>
      <c r="MK180" s="610"/>
      <c r="ML180" s="610"/>
      <c r="MM180" s="610"/>
      <c r="MN180" s="610"/>
      <c r="MO180" s="610"/>
      <c r="MP180" s="610"/>
      <c r="MQ180" s="610"/>
      <c r="MR180" s="610"/>
      <c r="MS180" s="610"/>
      <c r="MT180" s="610"/>
      <c r="MU180" s="610"/>
      <c r="MV180" s="610"/>
      <c r="MW180" s="610"/>
      <c r="MX180" s="610"/>
      <c r="MY180" s="610"/>
      <c r="MZ180" s="610"/>
      <c r="NA180" s="610"/>
      <c r="NB180" s="610"/>
      <c r="NC180" s="610"/>
      <c r="ND180" s="610"/>
      <c r="NE180" s="610"/>
      <c r="NF180" s="610"/>
      <c r="NG180" s="610"/>
      <c r="NH180" s="610"/>
      <c r="NI180" s="610"/>
      <c r="NJ180" s="610"/>
      <c r="NK180" s="610"/>
      <c r="NL180" s="610"/>
      <c r="NM180" s="610"/>
      <c r="NN180" s="610"/>
      <c r="NO180" s="610"/>
      <c r="NP180" s="610"/>
      <c r="NQ180" s="610"/>
      <c r="NR180" s="610"/>
      <c r="NS180" s="610"/>
      <c r="NT180" s="610"/>
      <c r="NU180" s="610"/>
      <c r="NV180" s="610"/>
      <c r="NW180" s="610"/>
      <c r="NX180" s="610"/>
      <c r="NY180" s="610"/>
      <c r="NZ180" s="610"/>
      <c r="OA180" s="610"/>
      <c r="OB180" s="610"/>
      <c r="OC180" s="610"/>
      <c r="OD180" s="610"/>
      <c r="OE180" s="610"/>
      <c r="OF180" s="610"/>
      <c r="OG180" s="610"/>
      <c r="OH180" s="610"/>
      <c r="OI180" s="610"/>
      <c r="OJ180" s="610"/>
      <c r="OK180" s="610"/>
      <c r="OL180" s="610"/>
      <c r="OM180" s="610"/>
      <c r="ON180" s="610"/>
      <c r="OO180" s="610"/>
      <c r="OP180" s="610"/>
      <c r="OQ180" s="610"/>
      <c r="OR180" s="610"/>
      <c r="OS180" s="610"/>
      <c r="OT180" s="610"/>
      <c r="OU180" s="610"/>
      <c r="OV180" s="610"/>
      <c r="OW180" s="610"/>
      <c r="OX180" s="610"/>
      <c r="OY180" s="610"/>
      <c r="OZ180" s="610"/>
      <c r="PA180" s="610"/>
      <c r="PB180" s="610"/>
      <c r="PC180" s="610"/>
      <c r="PD180" s="610"/>
      <c r="PE180" s="610"/>
      <c r="PF180" s="610"/>
      <c r="PG180" s="610"/>
      <c r="PH180" s="610"/>
      <c r="PI180" s="610"/>
      <c r="PJ180" s="610"/>
      <c r="PK180" s="610"/>
      <c r="PL180" s="610"/>
      <c r="PM180" s="610"/>
      <c r="PN180" s="610"/>
      <c r="PO180" s="610"/>
      <c r="PP180" s="610"/>
      <c r="PQ180" s="610"/>
      <c r="PR180" s="610"/>
      <c r="PS180" s="610"/>
      <c r="PT180" s="610"/>
      <c r="PU180" s="610"/>
      <c r="PV180" s="610"/>
      <c r="PW180" s="610"/>
      <c r="PX180" s="610"/>
      <c r="PY180" s="610"/>
      <c r="PZ180" s="610"/>
      <c r="QA180" s="610"/>
      <c r="QB180" s="610"/>
      <c r="QC180" s="610"/>
      <c r="QD180" s="610"/>
      <c r="QE180" s="610"/>
      <c r="QF180" s="610"/>
      <c r="QG180" s="610"/>
      <c r="QH180" s="610"/>
      <c r="QI180" s="610"/>
      <c r="QJ180" s="610"/>
    </row>
    <row r="181" spans="1:452" s="524" customFormat="1" ht="18" x14ac:dyDescent="0.35">
      <c r="A181" s="605"/>
      <c r="B181" s="558"/>
      <c r="C181" s="559"/>
      <c r="D181" s="606"/>
      <c r="E181" s="572" t="s">
        <v>86</v>
      </c>
      <c r="F181" s="571" cm="1">
        <f t="array" ref="F181">SUMPRODUCT(F$14:F$43,--($Q$14:$Q$43=FALSE),--($D$14:$D$43=$D180))</f>
        <v>0</v>
      </c>
      <c r="G181" s="571" cm="1">
        <f t="array" ref="G181">SUMPRODUCT(G$14:G$43,--($Q$14:$Q$43=FALSE),--($D$14:$D$43=$D180))</f>
        <v>0</v>
      </c>
      <c r="H181" s="571" cm="1">
        <f t="array" ref="H181">SUMPRODUCT(H$14:H$43,--($Q$14:$Q$43=FALSE),--($D$14:$D$43=$D180))</f>
        <v>0</v>
      </c>
      <c r="I181" s="571" cm="1">
        <f t="array" ref="I181">SUMPRODUCT(I$14:I$43,--($Q$14:$Q$43=FALSE),--($D$14:$D$43=$D180))</f>
        <v>0</v>
      </c>
      <c r="J181" s="571" cm="1">
        <f t="array" ref="J181">SUMPRODUCT(J$14:J$43,--($Q$14:$Q$43=FALSE),--($D$14:$D$43=$D180))</f>
        <v>0</v>
      </c>
      <c r="K181" s="571" cm="1">
        <f t="array" ref="K181">SUMPRODUCT(K$14:K$43,--($Q$14:$Q$43=FALSE),--($D$14:$D$43=$D180))</f>
        <v>0</v>
      </c>
      <c r="L181" s="571" cm="1">
        <f t="array" ref="L181">SUMPRODUCT(L$14:L$43,--($Q$14:$Q$43=FALSE),--($D$14:$D$43=$D180))</f>
        <v>0</v>
      </c>
      <c r="M181" s="571" cm="1">
        <f t="array" ref="M181">SUMPRODUCT(M$14:M$43,--($Q$14:$Q$43=FALSE),--($D$14:$D$43=$D180))</f>
        <v>0</v>
      </c>
      <c r="N181" s="571" cm="1">
        <f t="array" ref="N181">SUMPRODUCT(N$14:N$43,--($Q$14:$Q$43=FALSE),--($D$14:$D$43=$D180))</f>
        <v>0</v>
      </c>
      <c r="O181" s="571" cm="1">
        <f t="array" ref="O181">SUMPRODUCT(O$14:O$43,--($Q$14:$Q$43=FALSE),--($D$14:$D$43=$D180))</f>
        <v>0</v>
      </c>
      <c r="P181" s="607">
        <f t="shared" si="48"/>
        <v>0</v>
      </c>
      <c r="Q181" s="575"/>
      <c r="R181" s="576"/>
      <c r="S181" s="576"/>
      <c r="T181" s="576"/>
      <c r="U181" s="577"/>
    </row>
    <row r="182" spans="1:452" s="524" customFormat="1" ht="18" x14ac:dyDescent="0.35">
      <c r="A182" s="605"/>
      <c r="B182" s="558"/>
      <c r="C182" s="559"/>
      <c r="D182" s="606"/>
      <c r="E182" s="572" t="s">
        <v>87</v>
      </c>
      <c r="F182" s="571" cm="1">
        <f t="array" ref="F182">SUMPRODUCT(F$14:F$43,--($Q$14:$Q$43=FALSE),--($D$14:$D$43=$D180),--($R$14:$R$43="Yes"))*0.1</f>
        <v>0</v>
      </c>
      <c r="G182" s="571" cm="1">
        <f t="array" ref="G182">SUMPRODUCT(G$14:G$43,--($Q$14:$Q$43=FALSE),--($D$14:$D$43=$D180),--($R$14:$R$43="Yes"))*0.1</f>
        <v>0</v>
      </c>
      <c r="H182" s="571" cm="1">
        <f t="array" ref="H182">SUMPRODUCT(H$14:H$43,--($Q$14:$Q$43=FALSE),--($D$14:$D$43=$D180),--($R$14:$R$43="Yes"))*0.1</f>
        <v>0</v>
      </c>
      <c r="I182" s="571" cm="1">
        <f t="array" ref="I182">SUMPRODUCT(I$14:I$43,--($Q$14:$Q$43=FALSE),--($D$14:$D$43=$D180),--($R$14:$R$43="Yes"))*0.1</f>
        <v>0</v>
      </c>
      <c r="J182" s="571" cm="1">
        <f t="array" ref="J182">SUMPRODUCT(J$14:J$43,--($Q$14:$Q$43=FALSE),--($D$14:$D$43=$D180),--($R$14:$R$43="Yes"))*0.1</f>
        <v>0</v>
      </c>
      <c r="K182" s="571" cm="1">
        <f t="array" ref="K182">SUMPRODUCT(K$14:K$43,--($Q$14:$Q$43=FALSE),--($D$14:$D$43=$D180),--($R$14:$R$43="Yes"))*0.1</f>
        <v>0</v>
      </c>
      <c r="L182" s="571" cm="1">
        <f t="array" ref="L182">SUMPRODUCT(L$14:L$43,--($Q$14:$Q$43=FALSE),--($D$14:$D$43=$D180),--($R$14:$R$43="Yes"))*0.1</f>
        <v>0</v>
      </c>
      <c r="M182" s="571" cm="1">
        <f t="array" ref="M182">SUMPRODUCT(M$14:M$43,--($Q$14:$Q$43=FALSE),--($D$14:$D$43=$D180),--($R$14:$R$43="Yes"))*0.1</f>
        <v>0</v>
      </c>
      <c r="N182" s="571" cm="1">
        <f t="array" ref="N182">SUMPRODUCT(N$14:N$43,--($Q$14:$Q$43=FALSE),--($D$14:$D$43=$D180),--($R$14:$R$43="Yes"))*0.1</f>
        <v>0</v>
      </c>
      <c r="O182" s="571" cm="1">
        <f t="array" ref="O182">SUMPRODUCT(O$14:O$43,--($Q$14:$Q$43=FALSE),--($D$14:$D$43=$D180),--($R$14:$R$43="Yes"))*0.1</f>
        <v>0</v>
      </c>
      <c r="P182" s="607">
        <f t="shared" si="48"/>
        <v>0</v>
      </c>
      <c r="Q182" s="575"/>
      <c r="R182" s="576"/>
      <c r="S182" s="576"/>
      <c r="T182" s="576"/>
      <c r="U182" s="577"/>
    </row>
    <row r="183" spans="1:452" s="524" customFormat="1" ht="18" x14ac:dyDescent="0.35">
      <c r="A183" s="605"/>
      <c r="B183" s="558"/>
      <c r="C183" s="559"/>
      <c r="D183" s="606"/>
      <c r="E183" s="572" t="s">
        <v>88</v>
      </c>
      <c r="F183" s="571">
        <f t="shared" ref="F183:O183" si="52">F180-(F181+F182)</f>
        <v>0</v>
      </c>
      <c r="G183" s="571">
        <f t="shared" si="52"/>
        <v>0</v>
      </c>
      <c r="H183" s="571">
        <f t="shared" si="52"/>
        <v>0</v>
      </c>
      <c r="I183" s="571">
        <f t="shared" si="52"/>
        <v>0</v>
      </c>
      <c r="J183" s="571">
        <f t="shared" si="52"/>
        <v>0</v>
      </c>
      <c r="K183" s="571">
        <f t="shared" si="52"/>
        <v>0</v>
      </c>
      <c r="L183" s="571">
        <f t="shared" si="52"/>
        <v>0</v>
      </c>
      <c r="M183" s="571">
        <f t="shared" si="52"/>
        <v>0</v>
      </c>
      <c r="N183" s="571">
        <f t="shared" si="52"/>
        <v>0</v>
      </c>
      <c r="O183" s="571">
        <f t="shared" si="52"/>
        <v>0</v>
      </c>
      <c r="P183" s="607">
        <f t="shared" si="48"/>
        <v>0</v>
      </c>
      <c r="Q183" s="575"/>
      <c r="R183" s="576"/>
      <c r="S183" s="576"/>
      <c r="T183" s="576"/>
      <c r="U183" s="577"/>
    </row>
    <row r="184" spans="1:452" s="578" customFormat="1" ht="18" x14ac:dyDescent="0.35">
      <c r="A184" s="624"/>
      <c r="B184" s="625"/>
      <c r="C184" s="626"/>
      <c r="D184" s="625" t="s">
        <v>116</v>
      </c>
      <c r="E184" s="627"/>
      <c r="F184" s="628" cm="1">
        <f t="array" ref="F184">SUMPRODUCT(F$14:F$43,--($D$14:$D$43=$D180),--($Q$14:$Q$43=TRUE),$S$14:$S$43,--($S$14:$S$43&gt;0))+SUMPRODUCT(F$14:F$43,--($D$14:$D$43=$D180),--($Q$14:$Q$43=TRUE),$S$14:$S$43,--($S$14:$S$43&gt;0),--($R$14:$R$43="Yes"))*0.1+SUMPRODUCT(F$14:F$43,--($D$14:$D$43=$D180),--($Q$14:$Q$43=TRUE),--($S131:$S160=0))+SUMPRODUCT(F$14:F$43,--($D$14:$D$43=$D180),--($Q$14:$Q$43=TRUE),--($R$14:$R$43="Yes"),--($S$14:$S$43=0))*0.1</f>
        <v>0</v>
      </c>
      <c r="G184" s="628" cm="1">
        <f t="array" ref="G184">SUMPRODUCT(G$14:G$43,--($D$14:$D$43=$D180),--($Q$14:$Q$43=TRUE),$S$14:$S$43,--($S$14:$S$43&gt;0))+SUMPRODUCT(G$14:G$43,--($D$14:$D$43=$D180),--($Q$14:$Q$43=TRUE),$S$14:$S$43,--($S$14:$S$43&gt;0),--($R$14:$R$43="Yes"))*0.1+SUMPRODUCT(G$14:G$43,--($D$14:$D$43=$D180),--($Q$14:$Q$43=TRUE),--($S131:$S160=0))+SUMPRODUCT(G$14:G$43,--($D$14:$D$43=$D180),--($Q$14:$Q$43=TRUE),--($R$14:$R$43="Yes"),--($S$14:$S$43=0))*0.1</f>
        <v>0</v>
      </c>
      <c r="H184" s="628" cm="1">
        <f t="array" ref="H184">SUMPRODUCT(H$14:H$43,--($D$14:$D$43=$D180),--($Q$14:$Q$43=TRUE),$S$14:$S$43,--($S$14:$S$43&gt;0))+SUMPRODUCT(H$14:H$43,--($D$14:$D$43=$D180),--($Q$14:$Q$43=TRUE),$S$14:$S$43,--($S$14:$S$43&gt;0),--($R$14:$R$43="Yes"))*0.1+SUMPRODUCT(H$14:H$43,--($D$14:$D$43=$D180),--($Q$14:$Q$43=TRUE),--($S131:$S160=0))+SUMPRODUCT(H$14:H$43,--($D$14:$D$43=$D180),--($Q$14:$Q$43=TRUE),--($R$14:$R$43="Yes"),--($S$14:$S$43=0))*0.1</f>
        <v>0</v>
      </c>
      <c r="I184" s="628" cm="1">
        <f t="array" ref="I184">SUMPRODUCT(I$14:I$43,--($D$14:$D$43=$D180),--($Q$14:$Q$43=TRUE),$S$14:$S$43,--($S$14:$S$43&gt;0))+SUMPRODUCT(I$14:I$43,--($D$14:$D$43=$D180),--($Q$14:$Q$43=TRUE),$S$14:$S$43,--($S$14:$S$43&gt;0),--($R$14:$R$43="Yes"))*0.1+SUMPRODUCT(I$14:I$43,--($D$14:$D$43=$D180),--($Q$14:$Q$43=TRUE),--($S131:$S160=0))+SUMPRODUCT(I$14:I$43,--($D$14:$D$43=$D180),--($Q$14:$Q$43=TRUE),--($R$14:$R$43="Yes"),--($S$14:$S$43=0))*0.1</f>
        <v>0</v>
      </c>
      <c r="J184" s="628" cm="1">
        <f t="array" ref="J184">SUMPRODUCT(J$14:J$43,--($D$14:$D$43=$D180),--($Q$14:$Q$43=TRUE),$S$14:$S$43,--($S$14:$S$43&gt;0))+SUMPRODUCT(J$14:J$43,--($D$14:$D$43=$D180),--($Q$14:$Q$43=TRUE),$S$14:$S$43,--($S$14:$S$43&gt;0),--($R$14:$R$43="Yes"))*0.1+SUMPRODUCT(J$14:J$43,--($D$14:$D$43=$D180),--($Q$14:$Q$43=TRUE),--($S131:$S160=0))+SUMPRODUCT(J$14:J$43,--($D$14:$D$43=$D180),--($Q$14:$Q$43=TRUE),--($R$14:$R$43="Yes"),--($S$14:$S$43=0))*0.1</f>
        <v>0</v>
      </c>
      <c r="K184" s="628" cm="1">
        <f t="array" ref="K184">SUMPRODUCT(K$14:K$43,--($D$14:$D$43=$D180),--($Q$14:$Q$43=TRUE),$S$14:$S$43,--($S$14:$S$43&gt;0))+SUMPRODUCT(K$14:K$43,--($D$14:$D$43=$D180),--($Q$14:$Q$43=TRUE),$S$14:$S$43,--($S$14:$S$43&gt;0),--($R$14:$R$43="Yes"))*0.1+SUMPRODUCT(K$14:K$43,--($D$14:$D$43=$D180),--($Q$14:$Q$43=TRUE),--($S131:$S160=0))+SUMPRODUCT(K$14:K$43,--($D$14:$D$43=$D180),--($Q$14:$Q$43=TRUE),--($R$14:$R$43="Yes"),--($S$14:$S$43=0))*0.1</f>
        <v>0</v>
      </c>
      <c r="L184" s="628" cm="1">
        <f t="array" ref="L184">SUMPRODUCT(L$14:L$43,--($D$14:$D$43=$D180),--($Q$14:$Q$43=TRUE),$S$14:$S$43,--($S$14:$S$43&gt;0))+SUMPRODUCT(L$14:L$43,--($D$14:$D$43=$D180),--($Q$14:$Q$43=TRUE),$S$14:$S$43,--($S$14:$S$43&gt;0),--($R$14:$R$43="Yes"))*0.1+SUMPRODUCT(L$14:L$43,--($D$14:$D$43=$D180),--($Q$14:$Q$43=TRUE),--($S131:$S160=0))+SUMPRODUCT(L$14:L$43,--($D$14:$D$43=$D180),--($Q$14:$Q$43=TRUE),--($R$14:$R$43="Yes"),--($S$14:$S$43=0))*0.1</f>
        <v>0</v>
      </c>
      <c r="M184" s="628" cm="1">
        <f t="array" ref="M184">SUMPRODUCT(M$14:M$43,--($D$14:$D$43=$D180),--($Q$14:$Q$43=TRUE),$S$14:$S$43,--($S$14:$S$43&gt;0))+SUMPRODUCT(M$14:M$43,--($D$14:$D$43=$D180),--($Q$14:$Q$43=TRUE),$S$14:$S$43,--($S$14:$S$43&gt;0),--($R$14:$R$43="Yes"))*0.1+SUMPRODUCT(M$14:M$43,--($D$14:$D$43=$D180),--($Q$14:$Q$43=TRUE),--($S131:$S160=0))+SUMPRODUCT(M$14:M$43,--($D$14:$D$43=$D180),--($Q$14:$Q$43=TRUE),--($R$14:$R$43="Yes"),--($S$14:$S$43=0))*0.1</f>
        <v>0</v>
      </c>
      <c r="N184" s="628" cm="1">
        <f t="array" ref="N184">SUMPRODUCT(N$14:N$43,--($D$14:$D$43=$D180),--($Q$14:$Q$43=TRUE),$S$14:$S$43,--($S$14:$S$43&gt;0))+SUMPRODUCT(N$14:N$43,--($D$14:$D$43=$D180),--($Q$14:$Q$43=TRUE),$S$14:$S$43,--($S$14:$S$43&gt;0),--($R$14:$R$43="Yes"))*0.1+SUMPRODUCT(N$14:N$43,--($D$14:$D$43=$D180),--($Q$14:$Q$43=TRUE),--($S131:$S160=0))+SUMPRODUCT(N$14:N$43,--($D$14:$D$43=$D180),--($Q$14:$Q$43=TRUE),--($R$14:$R$43="Yes"),--($S$14:$S$43=0))*0.1</f>
        <v>0</v>
      </c>
      <c r="O184" s="628" cm="1">
        <f t="array" ref="O184">SUMPRODUCT(O$14:O$43,--($D$14:$D$43=$D180),--($Q$14:$Q$43=TRUE),$S$14:$S$43,--($S$14:$S$43&gt;0))+SUMPRODUCT(O$14:O$43,--($D$14:$D$43=$D180),--($Q$14:$Q$43=TRUE),$S$14:$S$43,--($S$14:$S$43&gt;0),--($R$14:$R$43="Yes"))*0.1+SUMPRODUCT(O$14:O$43,--($D$14:$D$43=$D180),--($Q$14:$Q$43=TRUE),--($S131:$S160=0))+SUMPRODUCT(O$14:O$43,--($D$14:$D$43=$D180),--($Q$14:$Q$43=TRUE),--($R$14:$R$43="Yes"),--($S$14:$S$43=0))*0.1</f>
        <v>0</v>
      </c>
      <c r="P184" s="629">
        <f t="shared" si="48"/>
        <v>0</v>
      </c>
      <c r="Q184" s="575"/>
      <c r="R184" s="576"/>
      <c r="S184" s="576"/>
      <c r="T184" s="576"/>
      <c r="U184" s="577"/>
      <c r="V184" s="610"/>
      <c r="W184" s="610"/>
      <c r="X184" s="610"/>
      <c r="Y184" s="610"/>
      <c r="Z184" s="610"/>
      <c r="AA184" s="610"/>
      <c r="AB184" s="610"/>
      <c r="AC184" s="610"/>
      <c r="AD184" s="610"/>
      <c r="AE184" s="610"/>
      <c r="AF184" s="610"/>
      <c r="AG184" s="610"/>
      <c r="AH184" s="610"/>
      <c r="AI184" s="610"/>
      <c r="AJ184" s="610"/>
      <c r="AK184" s="610"/>
      <c r="AL184" s="610"/>
      <c r="AM184" s="610"/>
      <c r="AN184" s="610"/>
      <c r="AO184" s="610"/>
      <c r="AP184" s="610"/>
      <c r="AQ184" s="610"/>
      <c r="AR184" s="610"/>
      <c r="AS184" s="610"/>
      <c r="AT184" s="610"/>
      <c r="AU184" s="610"/>
      <c r="AV184" s="610"/>
      <c r="AW184" s="610"/>
      <c r="AX184" s="610"/>
      <c r="AY184" s="610"/>
      <c r="AZ184" s="610"/>
      <c r="BA184" s="610"/>
      <c r="BB184" s="610"/>
      <c r="BC184" s="610"/>
      <c r="BD184" s="610"/>
      <c r="BE184" s="610"/>
      <c r="BF184" s="610"/>
      <c r="BG184" s="610"/>
      <c r="BH184" s="610"/>
      <c r="BI184" s="610"/>
      <c r="BJ184" s="610"/>
      <c r="BK184" s="610"/>
      <c r="BL184" s="610"/>
      <c r="BM184" s="610"/>
      <c r="BN184" s="610"/>
      <c r="BO184" s="610"/>
      <c r="BP184" s="610"/>
      <c r="BQ184" s="610"/>
      <c r="BR184" s="610"/>
      <c r="BS184" s="610"/>
      <c r="BT184" s="610"/>
      <c r="BU184" s="610"/>
      <c r="BV184" s="610"/>
      <c r="BW184" s="610"/>
      <c r="BX184" s="610"/>
      <c r="BY184" s="610"/>
      <c r="BZ184" s="610"/>
      <c r="CA184" s="610"/>
      <c r="CB184" s="610"/>
      <c r="CC184" s="610"/>
      <c r="CD184" s="610"/>
      <c r="CE184" s="610"/>
      <c r="CF184" s="610"/>
      <c r="CG184" s="610"/>
      <c r="CH184" s="610"/>
      <c r="CI184" s="610"/>
      <c r="CJ184" s="610"/>
      <c r="CK184" s="610"/>
      <c r="CL184" s="610"/>
      <c r="CM184" s="610"/>
      <c r="CN184" s="610"/>
      <c r="CO184" s="610"/>
      <c r="CP184" s="610"/>
      <c r="CQ184" s="610"/>
      <c r="CR184" s="610"/>
      <c r="CS184" s="610"/>
      <c r="CT184" s="610"/>
      <c r="CU184" s="610"/>
      <c r="CV184" s="610"/>
      <c r="CW184" s="610"/>
      <c r="CX184" s="610"/>
      <c r="CY184" s="610"/>
      <c r="CZ184" s="610"/>
      <c r="DA184" s="610"/>
      <c r="DB184" s="610"/>
      <c r="DC184" s="610"/>
      <c r="DD184" s="610"/>
      <c r="DE184" s="610"/>
      <c r="DF184" s="610"/>
      <c r="DG184" s="610"/>
      <c r="DH184" s="610"/>
      <c r="DI184" s="610"/>
      <c r="DJ184" s="610"/>
      <c r="DK184" s="610"/>
      <c r="DL184" s="610"/>
      <c r="DM184" s="610"/>
      <c r="DN184" s="610"/>
      <c r="DO184" s="610"/>
      <c r="DP184" s="610"/>
      <c r="DQ184" s="610"/>
      <c r="DR184" s="610"/>
      <c r="DS184" s="610"/>
      <c r="DT184" s="610"/>
      <c r="DU184" s="610"/>
      <c r="DV184" s="610"/>
      <c r="DW184" s="610"/>
      <c r="DX184" s="610"/>
      <c r="DY184" s="610"/>
      <c r="DZ184" s="610"/>
      <c r="EA184" s="610"/>
      <c r="EB184" s="610"/>
      <c r="EC184" s="610"/>
      <c r="ED184" s="610"/>
      <c r="EE184" s="610"/>
      <c r="EF184" s="610"/>
      <c r="EG184" s="610"/>
      <c r="EH184" s="610"/>
      <c r="EI184" s="610"/>
      <c r="EJ184" s="610"/>
      <c r="EK184" s="610"/>
      <c r="EL184" s="610"/>
      <c r="EM184" s="610"/>
      <c r="EN184" s="610"/>
      <c r="EO184" s="610"/>
      <c r="EP184" s="610"/>
      <c r="EQ184" s="610"/>
      <c r="ER184" s="610"/>
      <c r="ES184" s="610"/>
      <c r="ET184" s="610"/>
      <c r="EU184" s="610"/>
      <c r="EV184" s="610"/>
      <c r="EW184" s="610"/>
      <c r="EX184" s="610"/>
      <c r="EY184" s="610"/>
      <c r="EZ184" s="610"/>
      <c r="FA184" s="610"/>
      <c r="FB184" s="610"/>
      <c r="FC184" s="610"/>
      <c r="FD184" s="610"/>
      <c r="FE184" s="610"/>
      <c r="FF184" s="610"/>
      <c r="FG184" s="610"/>
      <c r="FH184" s="610"/>
      <c r="FI184" s="610"/>
      <c r="FJ184" s="610"/>
      <c r="FK184" s="610"/>
      <c r="FL184" s="610"/>
      <c r="FM184" s="610"/>
      <c r="FN184" s="610"/>
      <c r="FO184" s="610"/>
      <c r="FP184" s="610"/>
      <c r="FQ184" s="610"/>
      <c r="FR184" s="610"/>
      <c r="FS184" s="610"/>
      <c r="FT184" s="610"/>
      <c r="FU184" s="610"/>
      <c r="FV184" s="610"/>
      <c r="FW184" s="610"/>
      <c r="FX184" s="610"/>
      <c r="FY184" s="610"/>
      <c r="FZ184" s="610"/>
      <c r="GA184" s="610"/>
      <c r="GB184" s="610"/>
      <c r="GC184" s="610"/>
      <c r="GD184" s="610"/>
      <c r="GE184" s="610"/>
      <c r="GF184" s="610"/>
      <c r="GG184" s="610"/>
      <c r="GH184" s="610"/>
      <c r="GI184" s="610"/>
      <c r="GJ184" s="610"/>
      <c r="GK184" s="610"/>
      <c r="GL184" s="610"/>
      <c r="GM184" s="610"/>
      <c r="GN184" s="610"/>
      <c r="GO184" s="610"/>
      <c r="GP184" s="610"/>
      <c r="GQ184" s="610"/>
      <c r="GR184" s="610"/>
      <c r="GS184" s="610"/>
      <c r="GT184" s="610"/>
      <c r="GU184" s="610"/>
      <c r="GV184" s="610"/>
      <c r="GW184" s="610"/>
      <c r="GX184" s="610"/>
      <c r="GY184" s="610"/>
      <c r="GZ184" s="610"/>
      <c r="HA184" s="610"/>
      <c r="HB184" s="610"/>
      <c r="HC184" s="610"/>
      <c r="HD184" s="610"/>
      <c r="HE184" s="610"/>
      <c r="HF184" s="610"/>
      <c r="HG184" s="610"/>
      <c r="HH184" s="610"/>
      <c r="HI184" s="610"/>
      <c r="HJ184" s="610"/>
      <c r="HK184" s="610"/>
      <c r="HL184" s="610"/>
      <c r="HM184" s="610"/>
      <c r="HN184" s="610"/>
      <c r="HO184" s="610"/>
      <c r="HP184" s="610"/>
      <c r="HQ184" s="610"/>
      <c r="HR184" s="610"/>
      <c r="HS184" s="610"/>
      <c r="HT184" s="610"/>
      <c r="HU184" s="610"/>
      <c r="HV184" s="610"/>
      <c r="HW184" s="610"/>
      <c r="HX184" s="610"/>
      <c r="HY184" s="610"/>
      <c r="HZ184" s="610"/>
      <c r="IA184" s="610"/>
      <c r="IB184" s="610"/>
      <c r="IC184" s="610"/>
      <c r="ID184" s="610"/>
      <c r="IE184" s="610"/>
      <c r="IF184" s="610"/>
      <c r="IG184" s="610"/>
      <c r="IH184" s="610"/>
      <c r="II184" s="610"/>
      <c r="IJ184" s="610"/>
      <c r="IK184" s="610"/>
      <c r="IL184" s="610"/>
      <c r="IM184" s="610"/>
      <c r="IN184" s="610"/>
      <c r="IO184" s="610"/>
      <c r="IP184" s="610"/>
      <c r="IQ184" s="610"/>
      <c r="IR184" s="610"/>
      <c r="IS184" s="610"/>
      <c r="IT184" s="610"/>
      <c r="IU184" s="610"/>
      <c r="IV184" s="610"/>
      <c r="IW184" s="610"/>
      <c r="IX184" s="610"/>
      <c r="IY184" s="610"/>
      <c r="IZ184" s="610"/>
      <c r="JA184" s="610"/>
      <c r="JB184" s="610"/>
      <c r="JC184" s="610"/>
      <c r="JD184" s="610"/>
      <c r="JE184" s="610"/>
      <c r="JF184" s="610"/>
      <c r="JG184" s="610"/>
      <c r="JH184" s="610"/>
      <c r="JI184" s="610"/>
      <c r="JJ184" s="610"/>
      <c r="JK184" s="610"/>
      <c r="JL184" s="610"/>
      <c r="JM184" s="610"/>
      <c r="JN184" s="610"/>
      <c r="JO184" s="610"/>
      <c r="JP184" s="610"/>
      <c r="JQ184" s="610"/>
      <c r="JR184" s="610"/>
      <c r="JS184" s="610"/>
      <c r="JT184" s="610"/>
      <c r="JU184" s="610"/>
      <c r="JV184" s="610"/>
      <c r="JW184" s="610"/>
      <c r="JX184" s="610"/>
      <c r="JY184" s="610"/>
      <c r="JZ184" s="610"/>
      <c r="KA184" s="610"/>
      <c r="KB184" s="610"/>
      <c r="KC184" s="610"/>
      <c r="KD184" s="610"/>
      <c r="KE184" s="610"/>
      <c r="KF184" s="610"/>
      <c r="KG184" s="610"/>
      <c r="KH184" s="610"/>
      <c r="KI184" s="610"/>
      <c r="KJ184" s="610"/>
      <c r="KK184" s="610"/>
      <c r="KL184" s="610"/>
      <c r="KM184" s="610"/>
      <c r="KN184" s="610"/>
      <c r="KO184" s="610"/>
      <c r="KP184" s="610"/>
      <c r="KQ184" s="610"/>
      <c r="KR184" s="610"/>
      <c r="KS184" s="610"/>
      <c r="KT184" s="610"/>
      <c r="KU184" s="610"/>
      <c r="KV184" s="610"/>
      <c r="KW184" s="610"/>
      <c r="KX184" s="610"/>
      <c r="KY184" s="610"/>
      <c r="KZ184" s="610"/>
      <c r="LA184" s="610"/>
      <c r="LB184" s="610"/>
      <c r="LC184" s="610"/>
      <c r="LD184" s="610"/>
      <c r="LE184" s="610"/>
      <c r="LF184" s="610"/>
      <c r="LG184" s="610"/>
      <c r="LH184" s="610"/>
      <c r="LI184" s="610"/>
      <c r="LJ184" s="610"/>
      <c r="LK184" s="610"/>
      <c r="LL184" s="610"/>
      <c r="LM184" s="610"/>
      <c r="LN184" s="610"/>
      <c r="LO184" s="610"/>
      <c r="LP184" s="610"/>
      <c r="LQ184" s="610"/>
      <c r="LR184" s="610"/>
      <c r="LS184" s="610"/>
      <c r="LT184" s="610"/>
      <c r="LU184" s="610"/>
      <c r="LV184" s="610"/>
      <c r="LW184" s="610"/>
      <c r="LX184" s="610"/>
      <c r="LY184" s="610"/>
      <c r="LZ184" s="610"/>
      <c r="MA184" s="610"/>
      <c r="MB184" s="610"/>
      <c r="MC184" s="610"/>
      <c r="MD184" s="610"/>
      <c r="ME184" s="610"/>
      <c r="MF184" s="610"/>
      <c r="MG184" s="610"/>
      <c r="MH184" s="610"/>
      <c r="MI184" s="610"/>
      <c r="MJ184" s="610"/>
      <c r="MK184" s="610"/>
      <c r="ML184" s="610"/>
      <c r="MM184" s="610"/>
      <c r="MN184" s="610"/>
      <c r="MO184" s="610"/>
      <c r="MP184" s="610"/>
      <c r="MQ184" s="610"/>
      <c r="MR184" s="610"/>
      <c r="MS184" s="610"/>
      <c r="MT184" s="610"/>
      <c r="MU184" s="610"/>
      <c r="MV184" s="610"/>
      <c r="MW184" s="610"/>
      <c r="MX184" s="610"/>
      <c r="MY184" s="610"/>
      <c r="MZ184" s="610"/>
      <c r="NA184" s="610"/>
      <c r="NB184" s="610"/>
      <c r="NC184" s="610"/>
      <c r="ND184" s="610"/>
      <c r="NE184" s="610"/>
      <c r="NF184" s="610"/>
      <c r="NG184" s="610"/>
      <c r="NH184" s="610"/>
      <c r="NI184" s="610"/>
      <c r="NJ184" s="610"/>
      <c r="NK184" s="610"/>
      <c r="NL184" s="610"/>
      <c r="NM184" s="610"/>
      <c r="NN184" s="610"/>
      <c r="NO184" s="610"/>
      <c r="NP184" s="610"/>
      <c r="NQ184" s="610"/>
      <c r="NR184" s="610"/>
      <c r="NS184" s="610"/>
      <c r="NT184" s="610"/>
      <c r="NU184" s="610"/>
      <c r="NV184" s="610"/>
      <c r="NW184" s="610"/>
      <c r="NX184" s="610"/>
      <c r="NY184" s="610"/>
      <c r="NZ184" s="610"/>
      <c r="OA184" s="610"/>
      <c r="OB184" s="610"/>
      <c r="OC184" s="610"/>
      <c r="OD184" s="610"/>
      <c r="OE184" s="610"/>
      <c r="OF184" s="610"/>
      <c r="OG184" s="610"/>
      <c r="OH184" s="610"/>
      <c r="OI184" s="610"/>
      <c r="OJ184" s="610"/>
      <c r="OK184" s="610"/>
      <c r="OL184" s="610"/>
      <c r="OM184" s="610"/>
      <c r="ON184" s="610"/>
      <c r="OO184" s="610"/>
      <c r="OP184" s="610"/>
      <c r="OQ184" s="610"/>
      <c r="OR184" s="610"/>
      <c r="OS184" s="610"/>
      <c r="OT184" s="610"/>
      <c r="OU184" s="610"/>
      <c r="OV184" s="610"/>
      <c r="OW184" s="610"/>
      <c r="OX184" s="610"/>
      <c r="OY184" s="610"/>
      <c r="OZ184" s="610"/>
      <c r="PA184" s="610"/>
      <c r="PB184" s="610"/>
      <c r="PC184" s="610"/>
      <c r="PD184" s="610"/>
      <c r="PE184" s="610"/>
      <c r="PF184" s="610"/>
      <c r="PG184" s="610"/>
      <c r="PH184" s="610"/>
      <c r="PI184" s="610"/>
      <c r="PJ184" s="610"/>
      <c r="PK184" s="610"/>
      <c r="PL184" s="610"/>
      <c r="PM184" s="610"/>
      <c r="PN184" s="610"/>
      <c r="PO184" s="610"/>
      <c r="PP184" s="610"/>
      <c r="PQ184" s="610"/>
      <c r="PR184" s="610"/>
      <c r="PS184" s="610"/>
      <c r="PT184" s="610"/>
      <c r="PU184" s="610"/>
      <c r="PV184" s="610"/>
      <c r="PW184" s="610"/>
      <c r="PX184" s="610"/>
      <c r="PY184" s="610"/>
      <c r="PZ184" s="610"/>
      <c r="QA184" s="610"/>
      <c r="QB184" s="610"/>
      <c r="QC184" s="610"/>
      <c r="QD184" s="610"/>
      <c r="QE184" s="610"/>
      <c r="QF184" s="610"/>
      <c r="QG184" s="610"/>
      <c r="QH184" s="610"/>
      <c r="QI184" s="610"/>
      <c r="QJ184" s="610"/>
    </row>
    <row r="185" spans="1:452" s="524" customFormat="1" ht="18" x14ac:dyDescent="0.35">
      <c r="A185" s="605"/>
      <c r="B185" s="558"/>
      <c r="C185" s="559"/>
      <c r="D185" s="559"/>
      <c r="E185" s="572" t="s">
        <v>86</v>
      </c>
      <c r="F185" s="571" cm="1">
        <f t="array" ref="F185">SUMPRODUCT(F$14:F$43,--($Q$14:$Q$43=TRUE),--($D$14:$D$43=$D180))</f>
        <v>0</v>
      </c>
      <c r="G185" s="571" cm="1">
        <f t="array" ref="G185">SUMPRODUCT(G$14:G$43,--($Q$14:$Q$43=TRUE),--($D$14:$D$43=$D180))</f>
        <v>0</v>
      </c>
      <c r="H185" s="571" cm="1">
        <f t="array" ref="H185">SUMPRODUCT(H$14:H$43,--($Q$14:$Q$43=TRUE),--($D$14:$D$43=$D180))</f>
        <v>0</v>
      </c>
      <c r="I185" s="571" cm="1">
        <f t="array" ref="I185">SUMPRODUCT(I$14:I$43,--($Q$14:$Q$43=TRUE),--($D$14:$D$43=$D180))</f>
        <v>0</v>
      </c>
      <c r="J185" s="571" cm="1">
        <f t="array" ref="J185">SUMPRODUCT(J$14:J$43,--($Q$14:$Q$43=TRUE),--($D$14:$D$43=$D180))</f>
        <v>0</v>
      </c>
      <c r="K185" s="571" cm="1">
        <f t="array" ref="K185">SUMPRODUCT(K$14:K$43,--($Q$14:$Q$43=TRUE),--($D$14:$D$43=$D180))</f>
        <v>0</v>
      </c>
      <c r="L185" s="571" cm="1">
        <f t="array" ref="L185">SUMPRODUCT(L$14:L$43,--($Q$14:$Q$43=TRUE),--($D$14:$D$43=$D180))</f>
        <v>0</v>
      </c>
      <c r="M185" s="571" cm="1">
        <f t="array" ref="M185">SUMPRODUCT(M$14:M$43,--($Q$14:$Q$43=TRUE),--($D$14:$D$43=$D180))</f>
        <v>0</v>
      </c>
      <c r="N185" s="571" cm="1">
        <f t="array" ref="N185">SUMPRODUCT(N$14:N$43,--($Q$14:$Q$43=TRUE),--($D$14:$D$43=$D180))</f>
        <v>0</v>
      </c>
      <c r="O185" s="571" cm="1">
        <f t="array" ref="O185">SUMPRODUCT(O$14:O$43,--($Q$14:$Q$43=TRUE),--($D$14:$D$43=$D180))</f>
        <v>0</v>
      </c>
      <c r="P185" s="607">
        <f t="shared" si="48"/>
        <v>0</v>
      </c>
      <c r="Q185" s="575"/>
      <c r="R185" s="576"/>
      <c r="S185" s="576"/>
      <c r="T185" s="576"/>
      <c r="U185" s="577"/>
    </row>
    <row r="186" spans="1:452" s="524" customFormat="1" ht="18" x14ac:dyDescent="0.35">
      <c r="A186" s="605"/>
      <c r="C186" s="559"/>
      <c r="D186" s="559"/>
      <c r="E186" s="572" t="s">
        <v>87</v>
      </c>
      <c r="F186" s="571" cm="1">
        <f t="array" ref="F186">SUMPRODUCT(F$14:F$43,--($Q$14:$Q$43=TRUE),--($D$14:$D$43=$D184),--($R$14:$R$43="Yes"))*0.1</f>
        <v>0</v>
      </c>
      <c r="G186" s="571" cm="1">
        <f t="array" ref="G186">SUMPRODUCT(G$14:G$43,--($Q$14:$Q$43=TRUE),--($D$14:$D$43=$D184),--($R$14:$R$43="Yes"))*0.1</f>
        <v>0</v>
      </c>
      <c r="H186" s="571" cm="1">
        <f t="array" ref="H186">SUMPRODUCT(H$14:H$43,--($Q$14:$Q$43=TRUE),--($D$14:$D$43=$D184),--($R$14:$R$43="Yes"))*0.1</f>
        <v>0</v>
      </c>
      <c r="I186" s="571" cm="1">
        <f t="array" ref="I186">SUMPRODUCT(I$14:I$43,--($Q$14:$Q$43=TRUE),--($D$14:$D$43=$D184),--($R$14:$R$43="Yes"))*0.1</f>
        <v>0</v>
      </c>
      <c r="J186" s="571" cm="1">
        <f t="array" ref="J186">SUMPRODUCT(J$14:J$43,--($Q$14:$Q$43=TRUE),--($D$14:$D$43=$D184),--($R$14:$R$43="Yes"))*0.1</f>
        <v>0</v>
      </c>
      <c r="K186" s="571" cm="1">
        <f t="array" ref="K186">SUMPRODUCT(K$14:K$43,--($Q$14:$Q$43=TRUE),--($D$14:$D$43=$D184),--($R$14:$R$43="Yes"))*0.1</f>
        <v>0</v>
      </c>
      <c r="L186" s="571" cm="1">
        <f t="array" ref="L186">SUMPRODUCT(L$14:L$43,--($Q$14:$Q$43=TRUE),--($D$14:$D$43=$D184),--($R$14:$R$43="Yes"))*0.1</f>
        <v>0</v>
      </c>
      <c r="M186" s="571" cm="1">
        <f t="array" ref="M186">SUMPRODUCT(M$14:M$43,--($Q$14:$Q$43=TRUE),--($D$14:$D$43=$D184),--($R$14:$R$43="Yes"))*0.1</f>
        <v>0</v>
      </c>
      <c r="N186" s="571" cm="1">
        <f t="array" ref="N186">SUMPRODUCT(N$14:N$43,--($Q$14:$Q$43=TRUE),--($D$14:$D$43=$D184),--($R$14:$R$43="Yes"))*0.1</f>
        <v>0</v>
      </c>
      <c r="O186" s="571" cm="1">
        <f t="array" ref="O186">SUMPRODUCT(O$14:O$43,--($Q$14:$Q$43=TRUE),--($D$14:$D$43=$D184),--($R$14:$R$43="Yes"))*0.1</f>
        <v>0</v>
      </c>
      <c r="P186" s="607">
        <f t="shared" si="48"/>
        <v>0</v>
      </c>
      <c r="Q186" s="575"/>
      <c r="R186" s="576"/>
      <c r="S186" s="576"/>
      <c r="T186" s="576"/>
      <c r="U186" s="577"/>
    </row>
    <row r="187" spans="1:452" s="524" customFormat="1" ht="18" x14ac:dyDescent="0.35">
      <c r="A187" s="605"/>
      <c r="B187" s="558"/>
      <c r="C187" s="559"/>
      <c r="D187" s="559"/>
      <c r="E187" s="572" t="s">
        <v>88</v>
      </c>
      <c r="F187" s="571">
        <f>F184-(F185+F186)</f>
        <v>0</v>
      </c>
      <c r="G187" s="571">
        <f t="shared" ref="G187:O187" si="53">G184-(G185+G186)</f>
        <v>0</v>
      </c>
      <c r="H187" s="571">
        <f t="shared" si="53"/>
        <v>0</v>
      </c>
      <c r="I187" s="571">
        <f t="shared" si="53"/>
        <v>0</v>
      </c>
      <c r="J187" s="571">
        <f t="shared" si="53"/>
        <v>0</v>
      </c>
      <c r="K187" s="571">
        <f t="shared" si="53"/>
        <v>0</v>
      </c>
      <c r="L187" s="571">
        <f t="shared" si="53"/>
        <v>0</v>
      </c>
      <c r="M187" s="571">
        <f t="shared" si="53"/>
        <v>0</v>
      </c>
      <c r="N187" s="571">
        <f t="shared" si="53"/>
        <v>0</v>
      </c>
      <c r="O187" s="571">
        <f t="shared" si="53"/>
        <v>0</v>
      </c>
      <c r="P187" s="607">
        <f t="shared" si="48"/>
        <v>0</v>
      </c>
      <c r="Q187" s="575"/>
      <c r="R187" s="576"/>
      <c r="S187" s="576"/>
      <c r="T187" s="576"/>
      <c r="U187" s="577"/>
    </row>
    <row r="188" spans="1:452" s="524" customFormat="1" ht="18" x14ac:dyDescent="0.35">
      <c r="A188" s="605"/>
      <c r="B188" s="558"/>
      <c r="C188" s="559"/>
      <c r="D188" s="559"/>
      <c r="E188" s="560"/>
      <c r="F188" s="561"/>
      <c r="G188" s="561"/>
      <c r="H188" s="561"/>
      <c r="I188" s="561"/>
      <c r="J188" s="561"/>
      <c r="K188" s="561"/>
      <c r="L188" s="561"/>
      <c r="M188" s="561"/>
      <c r="N188" s="561"/>
      <c r="O188" s="561"/>
      <c r="P188" s="608"/>
      <c r="Q188" s="575"/>
      <c r="R188" s="576"/>
      <c r="S188" s="576"/>
      <c r="T188" s="576"/>
      <c r="U188" s="577"/>
    </row>
    <row r="189" spans="1:452" s="591" customFormat="1" ht="18" x14ac:dyDescent="0.35">
      <c r="A189" s="597"/>
      <c r="B189" s="598" t="s">
        <v>117</v>
      </c>
      <c r="C189" s="599"/>
      <c r="D189" s="599"/>
      <c r="E189" s="589"/>
      <c r="F189" s="590">
        <f>F193+F201</f>
        <v>0</v>
      </c>
      <c r="G189" s="590">
        <f t="shared" ref="G189:O189" si="54">G193+G201</f>
        <v>0</v>
      </c>
      <c r="H189" s="590">
        <f t="shared" si="54"/>
        <v>0</v>
      </c>
      <c r="I189" s="590">
        <f t="shared" si="54"/>
        <v>0</v>
      </c>
      <c r="J189" s="590">
        <f t="shared" si="54"/>
        <v>0</v>
      </c>
      <c r="K189" s="590">
        <f t="shared" si="54"/>
        <v>0</v>
      </c>
      <c r="L189" s="590">
        <f t="shared" si="54"/>
        <v>0</v>
      </c>
      <c r="M189" s="590">
        <f t="shared" si="54"/>
        <v>0</v>
      </c>
      <c r="N189" s="590">
        <f t="shared" si="54"/>
        <v>0</v>
      </c>
      <c r="O189" s="590">
        <f t="shared" si="54"/>
        <v>0</v>
      </c>
      <c r="P189" s="600">
        <f>SUM(F189:O189)</f>
        <v>0</v>
      </c>
      <c r="Q189" s="575"/>
      <c r="R189" s="576"/>
      <c r="S189" s="576"/>
      <c r="T189" s="576"/>
      <c r="U189" s="577"/>
      <c r="V189" s="524"/>
      <c r="W189" s="524"/>
      <c r="X189" s="524"/>
      <c r="Y189" s="524"/>
      <c r="Z189" s="524"/>
      <c r="AA189" s="524"/>
      <c r="AB189" s="524"/>
      <c r="AC189" s="524"/>
      <c r="AD189" s="524"/>
      <c r="AE189" s="524"/>
      <c r="AF189" s="524"/>
      <c r="AG189" s="524"/>
      <c r="AH189" s="524"/>
      <c r="AI189" s="524"/>
      <c r="AJ189" s="524"/>
      <c r="AK189" s="524"/>
      <c r="AL189" s="524"/>
      <c r="AM189" s="524"/>
      <c r="AN189" s="524"/>
      <c r="AO189" s="524"/>
      <c r="AP189" s="524"/>
      <c r="AQ189" s="524"/>
      <c r="AR189" s="524"/>
      <c r="AS189" s="524"/>
      <c r="AT189" s="524"/>
      <c r="AU189" s="524"/>
      <c r="AV189" s="524"/>
      <c r="AW189" s="524"/>
      <c r="AX189" s="524"/>
      <c r="AY189" s="524"/>
      <c r="AZ189" s="524"/>
      <c r="BA189" s="524"/>
      <c r="BB189" s="524"/>
      <c r="BC189" s="524"/>
      <c r="BD189" s="524"/>
      <c r="BE189" s="524"/>
      <c r="BF189" s="524"/>
      <c r="BG189" s="524"/>
      <c r="BH189" s="524"/>
      <c r="BI189" s="524"/>
      <c r="BJ189" s="524"/>
      <c r="BK189" s="524"/>
      <c r="BL189" s="524"/>
      <c r="BM189" s="524"/>
      <c r="BN189" s="524"/>
      <c r="BO189" s="524"/>
      <c r="BP189" s="524"/>
      <c r="BQ189" s="524"/>
      <c r="BR189" s="524"/>
      <c r="BS189" s="524"/>
      <c r="BT189" s="524"/>
      <c r="BU189" s="524"/>
      <c r="BV189" s="524"/>
      <c r="BW189" s="524"/>
      <c r="BX189" s="524"/>
      <c r="BY189" s="524"/>
      <c r="BZ189" s="524"/>
      <c r="CA189" s="524"/>
      <c r="CB189" s="524"/>
      <c r="CC189" s="524"/>
      <c r="CD189" s="524"/>
      <c r="CE189" s="524"/>
      <c r="CF189" s="524"/>
      <c r="CG189" s="524"/>
      <c r="CH189" s="524"/>
      <c r="CI189" s="524"/>
      <c r="CJ189" s="524"/>
      <c r="CK189" s="524"/>
      <c r="CL189" s="524"/>
      <c r="CM189" s="524"/>
      <c r="CN189" s="524"/>
      <c r="CO189" s="524"/>
      <c r="CP189" s="524"/>
      <c r="CQ189" s="524"/>
      <c r="CR189" s="524"/>
      <c r="CS189" s="524"/>
      <c r="CT189" s="524"/>
      <c r="CU189" s="524"/>
      <c r="CV189" s="524"/>
      <c r="CW189" s="524"/>
      <c r="CX189" s="524"/>
      <c r="CY189" s="524"/>
      <c r="CZ189" s="524"/>
      <c r="DA189" s="524"/>
      <c r="DB189" s="524"/>
      <c r="DC189" s="524"/>
      <c r="DD189" s="524"/>
      <c r="DE189" s="524"/>
      <c r="DF189" s="524"/>
      <c r="DG189" s="524"/>
      <c r="DH189" s="524"/>
      <c r="DI189" s="524"/>
      <c r="DJ189" s="524"/>
      <c r="DK189" s="524"/>
      <c r="DL189" s="524"/>
      <c r="DM189" s="524"/>
      <c r="DN189" s="524"/>
      <c r="DO189" s="524"/>
      <c r="DP189" s="524"/>
      <c r="DQ189" s="524"/>
      <c r="DR189" s="524"/>
      <c r="DS189" s="524"/>
      <c r="DT189" s="524"/>
      <c r="DU189" s="524"/>
      <c r="DV189" s="524"/>
      <c r="DW189" s="524"/>
      <c r="DX189" s="524"/>
      <c r="DY189" s="524"/>
      <c r="DZ189" s="524"/>
      <c r="EA189" s="524"/>
      <c r="EB189" s="524"/>
      <c r="EC189" s="524"/>
      <c r="ED189" s="524"/>
      <c r="EE189" s="524"/>
      <c r="EF189" s="524"/>
      <c r="EG189" s="524"/>
      <c r="EH189" s="524"/>
      <c r="EI189" s="524"/>
      <c r="EJ189" s="524"/>
      <c r="EK189" s="524"/>
      <c r="EL189" s="524"/>
      <c r="EM189" s="524"/>
      <c r="EN189" s="524"/>
      <c r="EO189" s="524"/>
      <c r="EP189" s="524"/>
      <c r="EQ189" s="524"/>
      <c r="ER189" s="524"/>
      <c r="ES189" s="524"/>
      <c r="ET189" s="524"/>
      <c r="EU189" s="524"/>
      <c r="EV189" s="524"/>
      <c r="EW189" s="524"/>
      <c r="EX189" s="524"/>
      <c r="EY189" s="524"/>
      <c r="EZ189" s="524"/>
      <c r="FA189" s="524"/>
      <c r="FB189" s="524"/>
      <c r="FC189" s="524"/>
      <c r="FD189" s="524"/>
      <c r="FE189" s="524"/>
      <c r="FF189" s="524"/>
      <c r="FG189" s="524"/>
      <c r="FH189" s="524"/>
      <c r="FI189" s="524"/>
      <c r="FJ189" s="524"/>
      <c r="FK189" s="524"/>
      <c r="FL189" s="524"/>
      <c r="FM189" s="524"/>
      <c r="FN189" s="524"/>
      <c r="FO189" s="524"/>
      <c r="FP189" s="524"/>
      <c r="FQ189" s="524"/>
      <c r="FR189" s="524"/>
      <c r="FS189" s="524"/>
      <c r="FT189" s="524"/>
      <c r="FU189" s="524"/>
      <c r="FV189" s="524"/>
      <c r="FW189" s="524"/>
      <c r="FX189" s="524"/>
      <c r="FY189" s="524"/>
      <c r="FZ189" s="524"/>
      <c r="GA189" s="524"/>
      <c r="GB189" s="524"/>
      <c r="GC189" s="524"/>
      <c r="GD189" s="524"/>
      <c r="GE189" s="524"/>
      <c r="GF189" s="524"/>
      <c r="GG189" s="524"/>
      <c r="GH189" s="524"/>
      <c r="GI189" s="524"/>
      <c r="GJ189" s="524"/>
      <c r="GK189" s="524"/>
      <c r="GL189" s="524"/>
      <c r="GM189" s="524"/>
      <c r="GN189" s="524"/>
      <c r="GO189" s="524"/>
      <c r="GP189" s="524"/>
      <c r="GQ189" s="524"/>
      <c r="GR189" s="524"/>
      <c r="GS189" s="524"/>
      <c r="GT189" s="524"/>
      <c r="GU189" s="524"/>
      <c r="GV189" s="524"/>
      <c r="GW189" s="524"/>
      <c r="GX189" s="524"/>
      <c r="GY189" s="524"/>
      <c r="GZ189" s="524"/>
      <c r="HA189" s="524"/>
      <c r="HB189" s="524"/>
      <c r="HC189" s="524"/>
      <c r="HD189" s="524"/>
      <c r="HE189" s="524"/>
      <c r="HF189" s="524"/>
      <c r="HG189" s="524"/>
      <c r="HH189" s="524"/>
      <c r="HI189" s="524"/>
      <c r="HJ189" s="524"/>
      <c r="HK189" s="524"/>
      <c r="HL189" s="524"/>
      <c r="HM189" s="524"/>
      <c r="HN189" s="524"/>
      <c r="HO189" s="524"/>
      <c r="HP189" s="524"/>
      <c r="HQ189" s="524"/>
      <c r="HR189" s="524"/>
      <c r="HS189" s="524"/>
      <c r="HT189" s="524"/>
      <c r="HU189" s="524"/>
      <c r="HV189" s="524"/>
      <c r="HW189" s="524"/>
      <c r="HX189" s="524"/>
      <c r="HY189" s="524"/>
      <c r="HZ189" s="524"/>
      <c r="IA189" s="524"/>
      <c r="IB189" s="524"/>
      <c r="IC189" s="524"/>
      <c r="ID189" s="524"/>
      <c r="IE189" s="524"/>
      <c r="IF189" s="524"/>
      <c r="IG189" s="524"/>
      <c r="IH189" s="524"/>
      <c r="II189" s="524"/>
      <c r="IJ189" s="524"/>
      <c r="IK189" s="524"/>
      <c r="IL189" s="524"/>
      <c r="IM189" s="524"/>
      <c r="IN189" s="524"/>
      <c r="IO189" s="524"/>
      <c r="IP189" s="524"/>
      <c r="IQ189" s="524"/>
      <c r="IR189" s="524"/>
      <c r="IS189" s="524"/>
      <c r="IT189" s="524"/>
      <c r="IU189" s="524"/>
      <c r="IV189" s="524"/>
      <c r="IW189" s="524"/>
      <c r="IX189" s="524"/>
      <c r="IY189" s="524"/>
      <c r="IZ189" s="524"/>
      <c r="JA189" s="524"/>
      <c r="JB189" s="524"/>
      <c r="JC189" s="524"/>
      <c r="JD189" s="524"/>
      <c r="JE189" s="524"/>
      <c r="JF189" s="524"/>
      <c r="JG189" s="524"/>
      <c r="JH189" s="524"/>
      <c r="JI189" s="524"/>
      <c r="JJ189" s="524"/>
      <c r="JK189" s="524"/>
      <c r="JL189" s="524"/>
      <c r="JM189" s="524"/>
      <c r="JN189" s="524"/>
      <c r="JO189" s="524"/>
      <c r="JP189" s="524"/>
      <c r="JQ189" s="524"/>
      <c r="JR189" s="524"/>
      <c r="JS189" s="524"/>
      <c r="JT189" s="524"/>
      <c r="JU189" s="524"/>
      <c r="JV189" s="524"/>
      <c r="JW189" s="524"/>
      <c r="JX189" s="524"/>
      <c r="JY189" s="524"/>
      <c r="JZ189" s="524"/>
      <c r="KA189" s="524"/>
      <c r="KB189" s="524"/>
      <c r="KC189" s="524"/>
      <c r="KD189" s="524"/>
      <c r="KE189" s="524"/>
      <c r="KF189" s="524"/>
      <c r="KG189" s="524"/>
      <c r="KH189" s="524"/>
      <c r="KI189" s="524"/>
      <c r="KJ189" s="524"/>
      <c r="KK189" s="524"/>
      <c r="KL189" s="524"/>
      <c r="KM189" s="524"/>
      <c r="KN189" s="524"/>
      <c r="KO189" s="524"/>
      <c r="KP189" s="524"/>
      <c r="KQ189" s="524"/>
      <c r="KR189" s="524"/>
      <c r="KS189" s="524"/>
      <c r="KT189" s="524"/>
      <c r="KU189" s="524"/>
      <c r="KV189" s="524"/>
      <c r="KW189" s="524"/>
      <c r="KX189" s="524"/>
      <c r="KY189" s="524"/>
      <c r="KZ189" s="524"/>
      <c r="LA189" s="524"/>
      <c r="LB189" s="524"/>
      <c r="LC189" s="524"/>
      <c r="LD189" s="524"/>
      <c r="LE189" s="524"/>
      <c r="LF189" s="524"/>
      <c r="LG189" s="524"/>
      <c r="LH189" s="524"/>
      <c r="LI189" s="524"/>
      <c r="LJ189" s="524"/>
      <c r="LK189" s="524"/>
      <c r="LL189" s="524"/>
      <c r="LM189" s="524"/>
      <c r="LN189" s="524"/>
      <c r="LO189" s="524"/>
      <c r="LP189" s="524"/>
      <c r="LQ189" s="524"/>
      <c r="LR189" s="524"/>
      <c r="LS189" s="524"/>
      <c r="LT189" s="524"/>
      <c r="LU189" s="524"/>
      <c r="LV189" s="524"/>
      <c r="LW189" s="524"/>
      <c r="LX189" s="524"/>
      <c r="LY189" s="524"/>
      <c r="LZ189" s="524"/>
      <c r="MA189" s="524"/>
      <c r="MB189" s="524"/>
      <c r="MC189" s="524"/>
      <c r="MD189" s="524"/>
      <c r="ME189" s="524"/>
      <c r="MF189" s="524"/>
      <c r="MG189" s="524"/>
      <c r="MH189" s="524"/>
      <c r="MI189" s="524"/>
      <c r="MJ189" s="524"/>
      <c r="MK189" s="524"/>
      <c r="ML189" s="524"/>
      <c r="MM189" s="524"/>
      <c r="MN189" s="524"/>
      <c r="MO189" s="524"/>
      <c r="MP189" s="524"/>
      <c r="MQ189" s="524"/>
      <c r="MR189" s="524"/>
      <c r="MS189" s="524"/>
      <c r="MT189" s="524"/>
      <c r="MU189" s="524"/>
      <c r="MV189" s="524"/>
      <c r="MW189" s="524"/>
      <c r="MX189" s="524"/>
      <c r="MY189" s="524"/>
      <c r="MZ189" s="524"/>
      <c r="NA189" s="524"/>
      <c r="NB189" s="524"/>
      <c r="NC189" s="524"/>
      <c r="ND189" s="524"/>
      <c r="NE189" s="524"/>
      <c r="NF189" s="524"/>
      <c r="NG189" s="524"/>
      <c r="NH189" s="524"/>
      <c r="NI189" s="524"/>
      <c r="NJ189" s="524"/>
      <c r="NK189" s="524"/>
      <c r="NL189" s="524"/>
      <c r="NM189" s="524"/>
      <c r="NN189" s="524"/>
      <c r="NO189" s="524"/>
      <c r="NP189" s="524"/>
      <c r="NQ189" s="524"/>
      <c r="NR189" s="524"/>
      <c r="NS189" s="524"/>
      <c r="NT189" s="524"/>
      <c r="NU189" s="524"/>
      <c r="NV189" s="524"/>
      <c r="NW189" s="524"/>
      <c r="NX189" s="524"/>
      <c r="NY189" s="524"/>
      <c r="NZ189" s="524"/>
      <c r="OA189" s="524"/>
      <c r="OB189" s="524"/>
      <c r="OC189" s="524"/>
      <c r="OD189" s="524"/>
      <c r="OE189" s="524"/>
      <c r="OF189" s="524"/>
      <c r="OG189" s="524"/>
      <c r="OH189" s="524"/>
      <c r="OI189" s="524"/>
      <c r="OJ189" s="524"/>
      <c r="OK189" s="524"/>
      <c r="OL189" s="524"/>
      <c r="OM189" s="524"/>
      <c r="ON189" s="524"/>
      <c r="OO189" s="524"/>
      <c r="OP189" s="524"/>
      <c r="OQ189" s="524"/>
      <c r="OR189" s="524"/>
      <c r="OS189" s="524"/>
      <c r="OT189" s="524"/>
      <c r="OU189" s="524"/>
      <c r="OV189" s="524"/>
      <c r="OW189" s="524"/>
      <c r="OX189" s="524"/>
      <c r="OY189" s="524"/>
      <c r="OZ189" s="524"/>
      <c r="PA189" s="524"/>
      <c r="PB189" s="524"/>
      <c r="PC189" s="524"/>
      <c r="PD189" s="524"/>
      <c r="PE189" s="524"/>
      <c r="PF189" s="524"/>
      <c r="PG189" s="524"/>
      <c r="PH189" s="524"/>
      <c r="PI189" s="524"/>
      <c r="PJ189" s="524"/>
      <c r="PK189" s="524"/>
      <c r="PL189" s="524"/>
      <c r="PM189" s="524"/>
      <c r="PN189" s="524"/>
      <c r="PO189" s="524"/>
      <c r="PP189" s="524"/>
      <c r="PQ189" s="524"/>
      <c r="PR189" s="524"/>
      <c r="PS189" s="524"/>
      <c r="PT189" s="524"/>
      <c r="PU189" s="524"/>
      <c r="PV189" s="524"/>
      <c r="PW189" s="524"/>
      <c r="PX189" s="524"/>
      <c r="PY189" s="524"/>
      <c r="PZ189" s="524"/>
      <c r="QA189" s="524"/>
      <c r="QB189" s="524"/>
      <c r="QC189" s="524"/>
      <c r="QD189" s="524"/>
      <c r="QE189" s="524"/>
      <c r="QF189" s="524"/>
      <c r="QG189" s="524"/>
      <c r="QH189" s="524"/>
      <c r="QI189" s="524"/>
      <c r="QJ189" s="524"/>
    </row>
    <row r="190" spans="1:452" s="588" customFormat="1" ht="18" x14ac:dyDescent="0.35">
      <c r="A190" s="601"/>
      <c r="B190" s="602"/>
      <c r="C190" s="603"/>
      <c r="D190" s="603"/>
      <c r="E190" s="586"/>
      <c r="F190" s="587"/>
      <c r="G190" s="587"/>
      <c r="H190" s="587"/>
      <c r="I190" s="587"/>
      <c r="J190" s="587"/>
      <c r="K190" s="587"/>
      <c r="L190" s="587"/>
      <c r="M190" s="587"/>
      <c r="N190" s="587"/>
      <c r="O190" s="587"/>
      <c r="P190" s="604">
        <f t="shared" ref="P190:P208" si="55">SUM(F190:O190)</f>
        <v>0</v>
      </c>
      <c r="Q190" s="575"/>
      <c r="R190" s="576"/>
      <c r="S190" s="576"/>
      <c r="T190" s="576"/>
      <c r="U190" s="577"/>
      <c r="V190" s="524"/>
      <c r="W190" s="524"/>
      <c r="X190" s="524"/>
      <c r="Y190" s="524"/>
      <c r="Z190" s="524"/>
      <c r="AA190" s="524"/>
      <c r="AB190" s="524"/>
      <c r="AC190" s="524"/>
      <c r="AD190" s="524"/>
      <c r="AE190" s="524"/>
      <c r="AF190" s="524"/>
      <c r="AG190" s="524"/>
      <c r="AH190" s="524"/>
      <c r="AI190" s="524"/>
      <c r="AJ190" s="524"/>
      <c r="AK190" s="524"/>
      <c r="AL190" s="524"/>
      <c r="AM190" s="524"/>
      <c r="AN190" s="524"/>
      <c r="AO190" s="524"/>
      <c r="AP190" s="524"/>
      <c r="AQ190" s="524"/>
      <c r="AR190" s="524"/>
      <c r="AS190" s="524"/>
      <c r="AT190" s="524"/>
      <c r="AU190" s="524"/>
      <c r="AV190" s="524"/>
      <c r="AW190" s="524"/>
      <c r="AX190" s="524"/>
      <c r="AY190" s="524"/>
      <c r="AZ190" s="524"/>
      <c r="BA190" s="524"/>
      <c r="BB190" s="524"/>
      <c r="BC190" s="524"/>
      <c r="BD190" s="524"/>
      <c r="BE190" s="524"/>
      <c r="BF190" s="524"/>
      <c r="BG190" s="524"/>
      <c r="BH190" s="524"/>
      <c r="BI190" s="524"/>
      <c r="BJ190" s="524"/>
      <c r="BK190" s="524"/>
      <c r="BL190" s="524"/>
      <c r="BM190" s="524"/>
      <c r="BN190" s="524"/>
      <c r="BO190" s="524"/>
      <c r="BP190" s="524"/>
      <c r="BQ190" s="524"/>
      <c r="BR190" s="524"/>
      <c r="BS190" s="524"/>
      <c r="BT190" s="524"/>
      <c r="BU190" s="524"/>
      <c r="BV190" s="524"/>
      <c r="BW190" s="524"/>
      <c r="BX190" s="524"/>
      <c r="BY190" s="524"/>
      <c r="BZ190" s="524"/>
      <c r="CA190" s="524"/>
      <c r="CB190" s="524"/>
      <c r="CC190" s="524"/>
      <c r="CD190" s="524"/>
      <c r="CE190" s="524"/>
      <c r="CF190" s="524"/>
      <c r="CG190" s="524"/>
      <c r="CH190" s="524"/>
      <c r="CI190" s="524"/>
      <c r="CJ190" s="524"/>
      <c r="CK190" s="524"/>
      <c r="CL190" s="524"/>
      <c r="CM190" s="524"/>
      <c r="CN190" s="524"/>
      <c r="CO190" s="524"/>
      <c r="CP190" s="524"/>
      <c r="CQ190" s="524"/>
      <c r="CR190" s="524"/>
      <c r="CS190" s="524"/>
      <c r="CT190" s="524"/>
      <c r="CU190" s="524"/>
      <c r="CV190" s="524"/>
      <c r="CW190" s="524"/>
      <c r="CX190" s="524"/>
      <c r="CY190" s="524"/>
      <c r="CZ190" s="524"/>
      <c r="DA190" s="524"/>
      <c r="DB190" s="524"/>
      <c r="DC190" s="524"/>
      <c r="DD190" s="524"/>
      <c r="DE190" s="524"/>
      <c r="DF190" s="524"/>
      <c r="DG190" s="524"/>
      <c r="DH190" s="524"/>
      <c r="DI190" s="524"/>
      <c r="DJ190" s="524"/>
      <c r="DK190" s="524"/>
      <c r="DL190" s="524"/>
      <c r="DM190" s="524"/>
      <c r="DN190" s="524"/>
      <c r="DO190" s="524"/>
      <c r="DP190" s="524"/>
      <c r="DQ190" s="524"/>
      <c r="DR190" s="524"/>
      <c r="DS190" s="524"/>
      <c r="DT190" s="524"/>
      <c r="DU190" s="524"/>
      <c r="DV190" s="524"/>
      <c r="DW190" s="524"/>
      <c r="DX190" s="524"/>
      <c r="DY190" s="524"/>
      <c r="DZ190" s="524"/>
      <c r="EA190" s="524"/>
      <c r="EB190" s="524"/>
      <c r="EC190" s="524"/>
      <c r="ED190" s="524"/>
      <c r="EE190" s="524"/>
      <c r="EF190" s="524"/>
      <c r="EG190" s="524"/>
      <c r="EH190" s="524"/>
      <c r="EI190" s="524"/>
      <c r="EJ190" s="524"/>
      <c r="EK190" s="524"/>
      <c r="EL190" s="524"/>
      <c r="EM190" s="524"/>
      <c r="EN190" s="524"/>
      <c r="EO190" s="524"/>
      <c r="EP190" s="524"/>
      <c r="EQ190" s="524"/>
      <c r="ER190" s="524"/>
      <c r="ES190" s="524"/>
      <c r="ET190" s="524"/>
      <c r="EU190" s="524"/>
      <c r="EV190" s="524"/>
      <c r="EW190" s="524"/>
      <c r="EX190" s="524"/>
      <c r="EY190" s="524"/>
      <c r="EZ190" s="524"/>
      <c r="FA190" s="524"/>
      <c r="FB190" s="524"/>
      <c r="FC190" s="524"/>
      <c r="FD190" s="524"/>
      <c r="FE190" s="524"/>
      <c r="FF190" s="524"/>
      <c r="FG190" s="524"/>
      <c r="FH190" s="524"/>
      <c r="FI190" s="524"/>
      <c r="FJ190" s="524"/>
      <c r="FK190" s="524"/>
      <c r="FL190" s="524"/>
      <c r="FM190" s="524"/>
      <c r="FN190" s="524"/>
      <c r="FO190" s="524"/>
      <c r="FP190" s="524"/>
      <c r="FQ190" s="524"/>
      <c r="FR190" s="524"/>
      <c r="FS190" s="524"/>
      <c r="FT190" s="524"/>
      <c r="FU190" s="524"/>
      <c r="FV190" s="524"/>
      <c r="FW190" s="524"/>
      <c r="FX190" s="524"/>
      <c r="FY190" s="524"/>
      <c r="FZ190" s="524"/>
      <c r="GA190" s="524"/>
      <c r="GB190" s="524"/>
      <c r="GC190" s="524"/>
      <c r="GD190" s="524"/>
      <c r="GE190" s="524"/>
      <c r="GF190" s="524"/>
      <c r="GG190" s="524"/>
      <c r="GH190" s="524"/>
      <c r="GI190" s="524"/>
      <c r="GJ190" s="524"/>
      <c r="GK190" s="524"/>
      <c r="GL190" s="524"/>
      <c r="GM190" s="524"/>
      <c r="GN190" s="524"/>
      <c r="GO190" s="524"/>
      <c r="GP190" s="524"/>
      <c r="GQ190" s="524"/>
      <c r="GR190" s="524"/>
      <c r="GS190" s="524"/>
      <c r="GT190" s="524"/>
      <c r="GU190" s="524"/>
      <c r="GV190" s="524"/>
      <c r="GW190" s="524"/>
      <c r="GX190" s="524"/>
      <c r="GY190" s="524"/>
      <c r="GZ190" s="524"/>
      <c r="HA190" s="524"/>
      <c r="HB190" s="524"/>
      <c r="HC190" s="524"/>
      <c r="HD190" s="524"/>
      <c r="HE190" s="524"/>
      <c r="HF190" s="524"/>
      <c r="HG190" s="524"/>
      <c r="HH190" s="524"/>
      <c r="HI190" s="524"/>
      <c r="HJ190" s="524"/>
      <c r="HK190" s="524"/>
      <c r="HL190" s="524"/>
      <c r="HM190" s="524"/>
      <c r="HN190" s="524"/>
      <c r="HO190" s="524"/>
      <c r="HP190" s="524"/>
      <c r="HQ190" s="524"/>
      <c r="HR190" s="524"/>
      <c r="HS190" s="524"/>
      <c r="HT190" s="524"/>
      <c r="HU190" s="524"/>
      <c r="HV190" s="524"/>
      <c r="HW190" s="524"/>
      <c r="HX190" s="524"/>
      <c r="HY190" s="524"/>
      <c r="HZ190" s="524"/>
      <c r="IA190" s="524"/>
      <c r="IB190" s="524"/>
      <c r="IC190" s="524"/>
      <c r="ID190" s="524"/>
      <c r="IE190" s="524"/>
      <c r="IF190" s="524"/>
      <c r="IG190" s="524"/>
      <c r="IH190" s="524"/>
      <c r="II190" s="524"/>
      <c r="IJ190" s="524"/>
      <c r="IK190" s="524"/>
      <c r="IL190" s="524"/>
      <c r="IM190" s="524"/>
      <c r="IN190" s="524"/>
      <c r="IO190" s="524"/>
      <c r="IP190" s="524"/>
      <c r="IQ190" s="524"/>
      <c r="IR190" s="524"/>
      <c r="IS190" s="524"/>
      <c r="IT190" s="524"/>
      <c r="IU190" s="524"/>
      <c r="IV190" s="524"/>
      <c r="IW190" s="524"/>
      <c r="IX190" s="524"/>
      <c r="IY190" s="524"/>
      <c r="IZ190" s="524"/>
      <c r="JA190" s="524"/>
      <c r="JB190" s="524"/>
      <c r="JC190" s="524"/>
      <c r="JD190" s="524"/>
      <c r="JE190" s="524"/>
      <c r="JF190" s="524"/>
      <c r="JG190" s="524"/>
      <c r="JH190" s="524"/>
      <c r="JI190" s="524"/>
      <c r="JJ190" s="524"/>
      <c r="JK190" s="524"/>
      <c r="JL190" s="524"/>
      <c r="JM190" s="524"/>
      <c r="JN190" s="524"/>
      <c r="JO190" s="524"/>
      <c r="JP190" s="524"/>
      <c r="JQ190" s="524"/>
      <c r="JR190" s="524"/>
      <c r="JS190" s="524"/>
      <c r="JT190" s="524"/>
      <c r="JU190" s="524"/>
      <c r="JV190" s="524"/>
      <c r="JW190" s="524"/>
      <c r="JX190" s="524"/>
      <c r="JY190" s="524"/>
      <c r="JZ190" s="524"/>
      <c r="KA190" s="524"/>
      <c r="KB190" s="524"/>
      <c r="KC190" s="524"/>
      <c r="KD190" s="524"/>
      <c r="KE190" s="524"/>
      <c r="KF190" s="524"/>
      <c r="KG190" s="524"/>
      <c r="KH190" s="524"/>
      <c r="KI190" s="524"/>
      <c r="KJ190" s="524"/>
      <c r="KK190" s="524"/>
      <c r="KL190" s="524"/>
      <c r="KM190" s="524"/>
      <c r="KN190" s="524"/>
      <c r="KO190" s="524"/>
      <c r="KP190" s="524"/>
      <c r="KQ190" s="524"/>
      <c r="KR190" s="524"/>
      <c r="KS190" s="524"/>
      <c r="KT190" s="524"/>
      <c r="KU190" s="524"/>
      <c r="KV190" s="524"/>
      <c r="KW190" s="524"/>
      <c r="KX190" s="524"/>
      <c r="KY190" s="524"/>
      <c r="KZ190" s="524"/>
      <c r="LA190" s="524"/>
      <c r="LB190" s="524"/>
      <c r="LC190" s="524"/>
      <c r="LD190" s="524"/>
      <c r="LE190" s="524"/>
      <c r="LF190" s="524"/>
      <c r="LG190" s="524"/>
      <c r="LH190" s="524"/>
      <c r="LI190" s="524"/>
      <c r="LJ190" s="524"/>
      <c r="LK190" s="524"/>
      <c r="LL190" s="524"/>
      <c r="LM190" s="524"/>
      <c r="LN190" s="524"/>
      <c r="LO190" s="524"/>
      <c r="LP190" s="524"/>
      <c r="LQ190" s="524"/>
      <c r="LR190" s="524"/>
      <c r="LS190" s="524"/>
      <c r="LT190" s="524"/>
      <c r="LU190" s="524"/>
      <c r="LV190" s="524"/>
      <c r="LW190" s="524"/>
      <c r="LX190" s="524"/>
      <c r="LY190" s="524"/>
      <c r="LZ190" s="524"/>
      <c r="MA190" s="524"/>
      <c r="MB190" s="524"/>
      <c r="MC190" s="524"/>
      <c r="MD190" s="524"/>
      <c r="ME190" s="524"/>
      <c r="MF190" s="524"/>
      <c r="MG190" s="524"/>
      <c r="MH190" s="524"/>
      <c r="MI190" s="524"/>
      <c r="MJ190" s="524"/>
      <c r="MK190" s="524"/>
      <c r="ML190" s="524"/>
      <c r="MM190" s="524"/>
      <c r="MN190" s="524"/>
      <c r="MO190" s="524"/>
      <c r="MP190" s="524"/>
      <c r="MQ190" s="524"/>
      <c r="MR190" s="524"/>
      <c r="MS190" s="524"/>
      <c r="MT190" s="524"/>
      <c r="MU190" s="524"/>
      <c r="MV190" s="524"/>
      <c r="MW190" s="524"/>
      <c r="MX190" s="524"/>
      <c r="MY190" s="524"/>
      <c r="MZ190" s="524"/>
      <c r="NA190" s="524"/>
      <c r="NB190" s="524"/>
      <c r="NC190" s="524"/>
      <c r="ND190" s="524"/>
      <c r="NE190" s="524"/>
      <c r="NF190" s="524"/>
      <c r="NG190" s="524"/>
      <c r="NH190" s="524"/>
      <c r="NI190" s="524"/>
      <c r="NJ190" s="524"/>
      <c r="NK190" s="524"/>
      <c r="NL190" s="524"/>
      <c r="NM190" s="524"/>
      <c r="NN190" s="524"/>
      <c r="NO190" s="524"/>
      <c r="NP190" s="524"/>
      <c r="NQ190" s="524"/>
      <c r="NR190" s="524"/>
      <c r="NS190" s="524"/>
      <c r="NT190" s="524"/>
      <c r="NU190" s="524"/>
      <c r="NV190" s="524"/>
      <c r="NW190" s="524"/>
      <c r="NX190" s="524"/>
      <c r="NY190" s="524"/>
      <c r="NZ190" s="524"/>
      <c r="OA190" s="524"/>
      <c r="OB190" s="524"/>
      <c r="OC190" s="524"/>
      <c r="OD190" s="524"/>
      <c r="OE190" s="524"/>
      <c r="OF190" s="524"/>
      <c r="OG190" s="524"/>
      <c r="OH190" s="524"/>
      <c r="OI190" s="524"/>
      <c r="OJ190" s="524"/>
      <c r="OK190" s="524"/>
      <c r="OL190" s="524"/>
      <c r="OM190" s="524"/>
      <c r="ON190" s="524"/>
      <c r="OO190" s="524"/>
      <c r="OP190" s="524"/>
      <c r="OQ190" s="524"/>
      <c r="OR190" s="524"/>
      <c r="OS190" s="524"/>
      <c r="OT190" s="524"/>
      <c r="OU190" s="524"/>
      <c r="OV190" s="524"/>
      <c r="OW190" s="524"/>
      <c r="OX190" s="524"/>
      <c r="OY190" s="524"/>
      <c r="OZ190" s="524"/>
      <c r="PA190" s="524"/>
      <c r="PB190" s="524"/>
      <c r="PC190" s="524"/>
      <c r="PD190" s="524"/>
      <c r="PE190" s="524"/>
      <c r="PF190" s="524"/>
      <c r="PG190" s="524"/>
      <c r="PH190" s="524"/>
      <c r="PI190" s="524"/>
      <c r="PJ190" s="524"/>
      <c r="PK190" s="524"/>
      <c r="PL190" s="524"/>
      <c r="PM190" s="524"/>
      <c r="PN190" s="524"/>
      <c r="PO190" s="524"/>
      <c r="PP190" s="524"/>
      <c r="PQ190" s="524"/>
      <c r="PR190" s="524"/>
      <c r="PS190" s="524"/>
      <c r="PT190" s="524"/>
      <c r="PU190" s="524"/>
      <c r="PV190" s="524"/>
      <c r="PW190" s="524"/>
      <c r="PX190" s="524"/>
      <c r="PY190" s="524"/>
      <c r="PZ190" s="524"/>
      <c r="QA190" s="524"/>
      <c r="QB190" s="524"/>
      <c r="QC190" s="524"/>
      <c r="QD190" s="524"/>
      <c r="QE190" s="524"/>
      <c r="QF190" s="524"/>
      <c r="QG190" s="524"/>
      <c r="QH190" s="524"/>
      <c r="QI190" s="524"/>
      <c r="QJ190" s="524"/>
    </row>
    <row r="191" spans="1:452" s="617" customFormat="1" ht="18" x14ac:dyDescent="0.35">
      <c r="A191" s="611"/>
      <c r="B191" s="612" t="s">
        <v>118</v>
      </c>
      <c r="C191" s="613"/>
      <c r="D191" s="613"/>
      <c r="E191" s="614"/>
      <c r="F191" s="615">
        <f>F197+F205</f>
        <v>0</v>
      </c>
      <c r="G191" s="615">
        <f t="shared" ref="G191:O191" si="56">G197+G205</f>
        <v>0</v>
      </c>
      <c r="H191" s="615">
        <f t="shared" si="56"/>
        <v>0</v>
      </c>
      <c r="I191" s="615">
        <f t="shared" si="56"/>
        <v>0</v>
      </c>
      <c r="J191" s="615">
        <f t="shared" si="56"/>
        <v>0</v>
      </c>
      <c r="K191" s="615">
        <f t="shared" si="56"/>
        <v>0</v>
      </c>
      <c r="L191" s="615">
        <f t="shared" si="56"/>
        <v>0</v>
      </c>
      <c r="M191" s="615">
        <f t="shared" si="56"/>
        <v>0</v>
      </c>
      <c r="N191" s="615">
        <f t="shared" si="56"/>
        <v>0</v>
      </c>
      <c r="O191" s="615">
        <f t="shared" si="56"/>
        <v>0</v>
      </c>
      <c r="P191" s="616">
        <f t="shared" si="55"/>
        <v>0</v>
      </c>
      <c r="Q191" s="575"/>
      <c r="R191" s="576"/>
      <c r="S191" s="576"/>
      <c r="T191" s="576"/>
      <c r="U191" s="577"/>
    </row>
    <row r="192" spans="1:452" s="588" customFormat="1" ht="18" x14ac:dyDescent="0.35">
      <c r="A192" s="601"/>
      <c r="B192" s="602"/>
      <c r="C192" s="603"/>
      <c r="D192" s="603"/>
      <c r="E192" s="586"/>
      <c r="F192" s="587"/>
      <c r="G192" s="587"/>
      <c r="H192" s="587"/>
      <c r="I192" s="587"/>
      <c r="J192" s="587"/>
      <c r="K192" s="587"/>
      <c r="L192" s="587"/>
      <c r="M192" s="587"/>
      <c r="N192" s="587"/>
      <c r="O192" s="587"/>
      <c r="P192" s="604">
        <f t="shared" si="55"/>
        <v>0</v>
      </c>
      <c r="Q192" s="575"/>
      <c r="R192" s="576"/>
      <c r="S192" s="576"/>
      <c r="T192" s="576"/>
      <c r="U192" s="577"/>
      <c r="V192" s="524"/>
      <c r="W192" s="524"/>
      <c r="X192" s="524"/>
      <c r="Y192" s="524"/>
      <c r="Z192" s="524"/>
      <c r="AA192" s="524"/>
      <c r="AB192" s="524"/>
      <c r="AC192" s="524"/>
      <c r="AD192" s="524"/>
      <c r="AE192" s="524"/>
      <c r="AF192" s="524"/>
      <c r="AG192" s="524"/>
      <c r="AH192" s="524"/>
      <c r="AI192" s="524"/>
      <c r="AJ192" s="524"/>
      <c r="AK192" s="524"/>
      <c r="AL192" s="524"/>
      <c r="AM192" s="524"/>
      <c r="AN192" s="524"/>
      <c r="AO192" s="524"/>
      <c r="AP192" s="524"/>
      <c r="AQ192" s="524"/>
      <c r="AR192" s="524"/>
      <c r="AS192" s="524"/>
      <c r="AT192" s="524"/>
      <c r="AU192" s="524"/>
      <c r="AV192" s="524"/>
      <c r="AW192" s="524"/>
      <c r="AX192" s="524"/>
      <c r="AY192" s="524"/>
      <c r="AZ192" s="524"/>
      <c r="BA192" s="524"/>
      <c r="BB192" s="524"/>
      <c r="BC192" s="524"/>
      <c r="BD192" s="524"/>
      <c r="BE192" s="524"/>
      <c r="BF192" s="524"/>
      <c r="BG192" s="524"/>
      <c r="BH192" s="524"/>
      <c r="BI192" s="524"/>
      <c r="BJ192" s="524"/>
      <c r="BK192" s="524"/>
      <c r="BL192" s="524"/>
      <c r="BM192" s="524"/>
      <c r="BN192" s="524"/>
      <c r="BO192" s="524"/>
      <c r="BP192" s="524"/>
      <c r="BQ192" s="524"/>
      <c r="BR192" s="524"/>
      <c r="BS192" s="524"/>
      <c r="BT192" s="524"/>
      <c r="BU192" s="524"/>
      <c r="BV192" s="524"/>
      <c r="BW192" s="524"/>
      <c r="BX192" s="524"/>
      <c r="BY192" s="524"/>
      <c r="BZ192" s="524"/>
      <c r="CA192" s="524"/>
      <c r="CB192" s="524"/>
      <c r="CC192" s="524"/>
      <c r="CD192" s="524"/>
      <c r="CE192" s="524"/>
      <c r="CF192" s="524"/>
      <c r="CG192" s="524"/>
      <c r="CH192" s="524"/>
      <c r="CI192" s="524"/>
      <c r="CJ192" s="524"/>
      <c r="CK192" s="524"/>
      <c r="CL192" s="524"/>
      <c r="CM192" s="524"/>
      <c r="CN192" s="524"/>
      <c r="CO192" s="524"/>
      <c r="CP192" s="524"/>
      <c r="CQ192" s="524"/>
      <c r="CR192" s="524"/>
      <c r="CS192" s="524"/>
      <c r="CT192" s="524"/>
      <c r="CU192" s="524"/>
      <c r="CV192" s="524"/>
      <c r="CW192" s="524"/>
      <c r="CX192" s="524"/>
      <c r="CY192" s="524"/>
      <c r="CZ192" s="524"/>
      <c r="DA192" s="524"/>
      <c r="DB192" s="524"/>
      <c r="DC192" s="524"/>
      <c r="DD192" s="524"/>
      <c r="DE192" s="524"/>
      <c r="DF192" s="524"/>
      <c r="DG192" s="524"/>
      <c r="DH192" s="524"/>
      <c r="DI192" s="524"/>
      <c r="DJ192" s="524"/>
      <c r="DK192" s="524"/>
      <c r="DL192" s="524"/>
      <c r="DM192" s="524"/>
      <c r="DN192" s="524"/>
      <c r="DO192" s="524"/>
      <c r="DP192" s="524"/>
      <c r="DQ192" s="524"/>
      <c r="DR192" s="524"/>
      <c r="DS192" s="524"/>
      <c r="DT192" s="524"/>
      <c r="DU192" s="524"/>
      <c r="DV192" s="524"/>
      <c r="DW192" s="524"/>
      <c r="DX192" s="524"/>
      <c r="DY192" s="524"/>
      <c r="DZ192" s="524"/>
      <c r="EA192" s="524"/>
      <c r="EB192" s="524"/>
      <c r="EC192" s="524"/>
      <c r="ED192" s="524"/>
      <c r="EE192" s="524"/>
      <c r="EF192" s="524"/>
      <c r="EG192" s="524"/>
      <c r="EH192" s="524"/>
      <c r="EI192" s="524"/>
      <c r="EJ192" s="524"/>
      <c r="EK192" s="524"/>
      <c r="EL192" s="524"/>
      <c r="EM192" s="524"/>
      <c r="EN192" s="524"/>
      <c r="EO192" s="524"/>
      <c r="EP192" s="524"/>
      <c r="EQ192" s="524"/>
      <c r="ER192" s="524"/>
      <c r="ES192" s="524"/>
      <c r="ET192" s="524"/>
      <c r="EU192" s="524"/>
      <c r="EV192" s="524"/>
      <c r="EW192" s="524"/>
      <c r="EX192" s="524"/>
      <c r="EY192" s="524"/>
      <c r="EZ192" s="524"/>
      <c r="FA192" s="524"/>
      <c r="FB192" s="524"/>
      <c r="FC192" s="524"/>
      <c r="FD192" s="524"/>
      <c r="FE192" s="524"/>
      <c r="FF192" s="524"/>
      <c r="FG192" s="524"/>
      <c r="FH192" s="524"/>
      <c r="FI192" s="524"/>
      <c r="FJ192" s="524"/>
      <c r="FK192" s="524"/>
      <c r="FL192" s="524"/>
      <c r="FM192" s="524"/>
      <c r="FN192" s="524"/>
      <c r="FO192" s="524"/>
      <c r="FP192" s="524"/>
      <c r="FQ192" s="524"/>
      <c r="FR192" s="524"/>
      <c r="FS192" s="524"/>
      <c r="FT192" s="524"/>
      <c r="FU192" s="524"/>
      <c r="FV192" s="524"/>
      <c r="FW192" s="524"/>
      <c r="FX192" s="524"/>
      <c r="FY192" s="524"/>
      <c r="FZ192" s="524"/>
      <c r="GA192" s="524"/>
      <c r="GB192" s="524"/>
      <c r="GC192" s="524"/>
      <c r="GD192" s="524"/>
      <c r="GE192" s="524"/>
      <c r="GF192" s="524"/>
      <c r="GG192" s="524"/>
      <c r="GH192" s="524"/>
      <c r="GI192" s="524"/>
      <c r="GJ192" s="524"/>
      <c r="GK192" s="524"/>
      <c r="GL192" s="524"/>
      <c r="GM192" s="524"/>
      <c r="GN192" s="524"/>
      <c r="GO192" s="524"/>
      <c r="GP192" s="524"/>
      <c r="GQ192" s="524"/>
      <c r="GR192" s="524"/>
      <c r="GS192" s="524"/>
      <c r="GT192" s="524"/>
      <c r="GU192" s="524"/>
      <c r="GV192" s="524"/>
      <c r="GW192" s="524"/>
      <c r="GX192" s="524"/>
      <c r="GY192" s="524"/>
      <c r="GZ192" s="524"/>
      <c r="HA192" s="524"/>
      <c r="HB192" s="524"/>
      <c r="HC192" s="524"/>
      <c r="HD192" s="524"/>
      <c r="HE192" s="524"/>
      <c r="HF192" s="524"/>
      <c r="HG192" s="524"/>
      <c r="HH192" s="524"/>
      <c r="HI192" s="524"/>
      <c r="HJ192" s="524"/>
      <c r="HK192" s="524"/>
      <c r="HL192" s="524"/>
      <c r="HM192" s="524"/>
      <c r="HN192" s="524"/>
      <c r="HO192" s="524"/>
      <c r="HP192" s="524"/>
      <c r="HQ192" s="524"/>
      <c r="HR192" s="524"/>
      <c r="HS192" s="524"/>
      <c r="HT192" s="524"/>
      <c r="HU192" s="524"/>
      <c r="HV192" s="524"/>
      <c r="HW192" s="524"/>
      <c r="HX192" s="524"/>
      <c r="HY192" s="524"/>
      <c r="HZ192" s="524"/>
      <c r="IA192" s="524"/>
      <c r="IB192" s="524"/>
      <c r="IC192" s="524"/>
      <c r="ID192" s="524"/>
      <c r="IE192" s="524"/>
      <c r="IF192" s="524"/>
      <c r="IG192" s="524"/>
      <c r="IH192" s="524"/>
      <c r="II192" s="524"/>
      <c r="IJ192" s="524"/>
      <c r="IK192" s="524"/>
      <c r="IL192" s="524"/>
      <c r="IM192" s="524"/>
      <c r="IN192" s="524"/>
      <c r="IO192" s="524"/>
      <c r="IP192" s="524"/>
      <c r="IQ192" s="524"/>
      <c r="IR192" s="524"/>
      <c r="IS192" s="524"/>
      <c r="IT192" s="524"/>
      <c r="IU192" s="524"/>
      <c r="IV192" s="524"/>
      <c r="IW192" s="524"/>
      <c r="IX192" s="524"/>
      <c r="IY192" s="524"/>
      <c r="IZ192" s="524"/>
      <c r="JA192" s="524"/>
      <c r="JB192" s="524"/>
      <c r="JC192" s="524"/>
      <c r="JD192" s="524"/>
      <c r="JE192" s="524"/>
      <c r="JF192" s="524"/>
      <c r="JG192" s="524"/>
      <c r="JH192" s="524"/>
      <c r="JI192" s="524"/>
      <c r="JJ192" s="524"/>
      <c r="JK192" s="524"/>
      <c r="JL192" s="524"/>
      <c r="JM192" s="524"/>
      <c r="JN192" s="524"/>
      <c r="JO192" s="524"/>
      <c r="JP192" s="524"/>
      <c r="JQ192" s="524"/>
      <c r="JR192" s="524"/>
      <c r="JS192" s="524"/>
      <c r="JT192" s="524"/>
      <c r="JU192" s="524"/>
      <c r="JV192" s="524"/>
      <c r="JW192" s="524"/>
      <c r="JX192" s="524"/>
      <c r="JY192" s="524"/>
      <c r="JZ192" s="524"/>
      <c r="KA192" s="524"/>
      <c r="KB192" s="524"/>
      <c r="KC192" s="524"/>
      <c r="KD192" s="524"/>
      <c r="KE192" s="524"/>
      <c r="KF192" s="524"/>
      <c r="KG192" s="524"/>
      <c r="KH192" s="524"/>
      <c r="KI192" s="524"/>
      <c r="KJ192" s="524"/>
      <c r="KK192" s="524"/>
      <c r="KL192" s="524"/>
      <c r="KM192" s="524"/>
      <c r="KN192" s="524"/>
      <c r="KO192" s="524"/>
      <c r="KP192" s="524"/>
      <c r="KQ192" s="524"/>
      <c r="KR192" s="524"/>
      <c r="KS192" s="524"/>
      <c r="KT192" s="524"/>
      <c r="KU192" s="524"/>
      <c r="KV192" s="524"/>
      <c r="KW192" s="524"/>
      <c r="KX192" s="524"/>
      <c r="KY192" s="524"/>
      <c r="KZ192" s="524"/>
      <c r="LA192" s="524"/>
      <c r="LB192" s="524"/>
      <c r="LC192" s="524"/>
      <c r="LD192" s="524"/>
      <c r="LE192" s="524"/>
      <c r="LF192" s="524"/>
      <c r="LG192" s="524"/>
      <c r="LH192" s="524"/>
      <c r="LI192" s="524"/>
      <c r="LJ192" s="524"/>
      <c r="LK192" s="524"/>
      <c r="LL192" s="524"/>
      <c r="LM192" s="524"/>
      <c r="LN192" s="524"/>
      <c r="LO192" s="524"/>
      <c r="LP192" s="524"/>
      <c r="LQ192" s="524"/>
      <c r="LR192" s="524"/>
      <c r="LS192" s="524"/>
      <c r="LT192" s="524"/>
      <c r="LU192" s="524"/>
      <c r="LV192" s="524"/>
      <c r="LW192" s="524"/>
      <c r="LX192" s="524"/>
      <c r="LY192" s="524"/>
      <c r="LZ192" s="524"/>
      <c r="MA192" s="524"/>
      <c r="MB192" s="524"/>
      <c r="MC192" s="524"/>
      <c r="MD192" s="524"/>
      <c r="ME192" s="524"/>
      <c r="MF192" s="524"/>
      <c r="MG192" s="524"/>
      <c r="MH192" s="524"/>
      <c r="MI192" s="524"/>
      <c r="MJ192" s="524"/>
      <c r="MK192" s="524"/>
      <c r="ML192" s="524"/>
      <c r="MM192" s="524"/>
      <c r="MN192" s="524"/>
      <c r="MO192" s="524"/>
      <c r="MP192" s="524"/>
      <c r="MQ192" s="524"/>
      <c r="MR192" s="524"/>
      <c r="MS192" s="524"/>
      <c r="MT192" s="524"/>
      <c r="MU192" s="524"/>
      <c r="MV192" s="524"/>
      <c r="MW192" s="524"/>
      <c r="MX192" s="524"/>
      <c r="MY192" s="524"/>
      <c r="MZ192" s="524"/>
      <c r="NA192" s="524"/>
      <c r="NB192" s="524"/>
      <c r="NC192" s="524"/>
      <c r="ND192" s="524"/>
      <c r="NE192" s="524"/>
      <c r="NF192" s="524"/>
      <c r="NG192" s="524"/>
      <c r="NH192" s="524"/>
      <c r="NI192" s="524"/>
      <c r="NJ192" s="524"/>
      <c r="NK192" s="524"/>
      <c r="NL192" s="524"/>
      <c r="NM192" s="524"/>
      <c r="NN192" s="524"/>
      <c r="NO192" s="524"/>
      <c r="NP192" s="524"/>
      <c r="NQ192" s="524"/>
      <c r="NR192" s="524"/>
      <c r="NS192" s="524"/>
      <c r="NT192" s="524"/>
      <c r="NU192" s="524"/>
      <c r="NV192" s="524"/>
      <c r="NW192" s="524"/>
      <c r="NX192" s="524"/>
      <c r="NY192" s="524"/>
      <c r="NZ192" s="524"/>
      <c r="OA192" s="524"/>
      <c r="OB192" s="524"/>
      <c r="OC192" s="524"/>
      <c r="OD192" s="524"/>
      <c r="OE192" s="524"/>
      <c r="OF192" s="524"/>
      <c r="OG192" s="524"/>
      <c r="OH192" s="524"/>
      <c r="OI192" s="524"/>
      <c r="OJ192" s="524"/>
      <c r="OK192" s="524"/>
      <c r="OL192" s="524"/>
      <c r="OM192" s="524"/>
      <c r="ON192" s="524"/>
      <c r="OO192" s="524"/>
      <c r="OP192" s="524"/>
      <c r="OQ192" s="524"/>
      <c r="OR192" s="524"/>
      <c r="OS192" s="524"/>
      <c r="OT192" s="524"/>
      <c r="OU192" s="524"/>
      <c r="OV192" s="524"/>
      <c r="OW192" s="524"/>
      <c r="OX192" s="524"/>
      <c r="OY192" s="524"/>
      <c r="OZ192" s="524"/>
      <c r="PA192" s="524"/>
      <c r="PB192" s="524"/>
      <c r="PC192" s="524"/>
      <c r="PD192" s="524"/>
      <c r="PE192" s="524"/>
      <c r="PF192" s="524"/>
      <c r="PG192" s="524"/>
      <c r="PH192" s="524"/>
      <c r="PI192" s="524"/>
      <c r="PJ192" s="524"/>
      <c r="PK192" s="524"/>
      <c r="PL192" s="524"/>
      <c r="PM192" s="524"/>
      <c r="PN192" s="524"/>
      <c r="PO192" s="524"/>
      <c r="PP192" s="524"/>
      <c r="PQ192" s="524"/>
      <c r="PR192" s="524"/>
      <c r="PS192" s="524"/>
      <c r="PT192" s="524"/>
      <c r="PU192" s="524"/>
      <c r="PV192" s="524"/>
      <c r="PW192" s="524"/>
      <c r="PX192" s="524"/>
      <c r="PY192" s="524"/>
      <c r="PZ192" s="524"/>
      <c r="QA192" s="524"/>
      <c r="QB192" s="524"/>
      <c r="QC192" s="524"/>
      <c r="QD192" s="524"/>
      <c r="QE192" s="524"/>
      <c r="QF192" s="524"/>
      <c r="QG192" s="524"/>
      <c r="QH192" s="524"/>
      <c r="QI192" s="524"/>
      <c r="QJ192" s="524"/>
    </row>
    <row r="193" spans="1:452" s="592" customFormat="1" ht="18" x14ac:dyDescent="0.35">
      <c r="A193" s="618"/>
      <c r="B193" s="619"/>
      <c r="C193" s="620"/>
      <c r="D193" s="619" t="s">
        <v>119</v>
      </c>
      <c r="E193" s="621"/>
      <c r="F193" s="622" cm="1">
        <f t="array" ref="F193">SUMPRODUCT(F$14:F$43,--($D$14:$D$43=$D193),--($Q$14:$Q$43=FALSE),$S$14:$S$43,--($S$14:$S$43&gt;0))+SUMPRODUCT(F$14:F$43,--($D$14:$D$43=$D193),--($Q$14:$Q$43=FALSE),$S$14:$S$43,--($S$14:$S$43&gt;0),--($R$14:$R$43="Yes"))*0.1+SUMPRODUCT(F$14:F$43,--($D$14:$D$43=$D193),--($Q$14:$Q$43=FALSE),--($S$14:$S$43=0))+SUMPRODUCT(F$14:F$43,--($D$14:$D$43=$D193),--($Q$14:$Q$43=FALSE),--($R$14:$R$43="Yes"),--($S$14:$S$43=0))*0.1</f>
        <v>0</v>
      </c>
      <c r="G193" s="622" cm="1">
        <f t="array" ref="G193">SUMPRODUCT(G$14:G$43,--($D$14:$D$43=$D193),--($Q$14:$Q$43=FALSE),$S$14:$S$43,--($S$14:$S$43&gt;0))+SUMPRODUCT(G$14:G$43,--($D$14:$D$43=$D193),--($Q$14:$Q$43=FALSE),$S$14:$S$43,--($S$14:$S$43&gt;0),--($R$14:$R$43="Yes"))*0.1+SUMPRODUCT(G$14:G$43,--($D$14:$D$43=$D193),--($Q$14:$Q$43=FALSE),--($S$14:$S$43=0))+SUMPRODUCT(G$14:G$43,--($D$14:$D$43=$D193),--($Q$14:$Q$43=FALSE),--($R$14:$R$43="Yes"),--($S$14:$S$43=0))*0.1</f>
        <v>0</v>
      </c>
      <c r="H193" s="622" cm="1">
        <f t="array" ref="H193">SUMPRODUCT(H$14:H$43,--($D$14:$D$43=$D193),--($Q$14:$Q$43=FALSE),$S$14:$S$43,--($S$14:$S$43&gt;0))+SUMPRODUCT(H$14:H$43,--($D$14:$D$43=$D193),--($Q$14:$Q$43=FALSE),$S$14:$S$43,--($S$14:$S$43&gt;0),--($R$14:$R$43="Yes"))*0.1+SUMPRODUCT(H$14:H$43,--($D$14:$D$43=$D193),--($Q$14:$Q$43=FALSE),--($S$14:$S$43=0))+SUMPRODUCT(H$14:H$43,--($D$14:$D$43=$D193),--($Q$14:$Q$43=FALSE),--($R$14:$R$43="Yes"),--($S$14:$S$43=0))*0.1</f>
        <v>0</v>
      </c>
      <c r="I193" s="622" cm="1">
        <f t="array" ref="I193">SUMPRODUCT(I$14:I$43,--($D$14:$D$43=$D193),--($Q$14:$Q$43=FALSE),$S$14:$S$43,--($S$14:$S$43&gt;0))+SUMPRODUCT(I$14:I$43,--($D$14:$D$43=$D193),--($Q$14:$Q$43=FALSE),$S$14:$S$43,--($S$14:$S$43&gt;0),--($R$14:$R$43="Yes"))*0.1+SUMPRODUCT(I$14:I$43,--($D$14:$D$43=$D193),--($Q$14:$Q$43=FALSE),--($S$14:$S$43=0))+SUMPRODUCT(I$14:I$43,--($D$14:$D$43=$D193),--($Q$14:$Q$43=FALSE),--($R$14:$R$43="Yes"),--($S$14:$S$43=0))*0.1</f>
        <v>0</v>
      </c>
      <c r="J193" s="622" cm="1">
        <f t="array" ref="J193">SUMPRODUCT(J$14:J$43,--($D$14:$D$43=$D193),--($Q$14:$Q$43=FALSE),$S$14:$S$43,--($S$14:$S$43&gt;0))+SUMPRODUCT(J$14:J$43,--($D$14:$D$43=$D193),--($Q$14:$Q$43=FALSE),$S$14:$S$43,--($S$14:$S$43&gt;0),--($R$14:$R$43="Yes"))*0.1+SUMPRODUCT(J$14:J$43,--($D$14:$D$43=$D193),--($Q$14:$Q$43=FALSE),--($S$14:$S$43=0))+SUMPRODUCT(J$14:J$43,--($D$14:$D$43=$D193),--($Q$14:$Q$43=FALSE),--($R$14:$R$43="Yes"),--($S$14:$S$43=0))*0.1</f>
        <v>0</v>
      </c>
      <c r="K193" s="622" cm="1">
        <f t="array" ref="K193">SUMPRODUCT(K$14:K$43,--($D$14:$D$43=$D193),--($Q$14:$Q$43=FALSE),$S$14:$S$43,--($S$14:$S$43&gt;0))+SUMPRODUCT(K$14:K$43,--($D$14:$D$43=$D193),--($Q$14:$Q$43=FALSE),$S$14:$S$43,--($S$14:$S$43&gt;0),--($R$14:$R$43="Yes"))*0.1+SUMPRODUCT(K$14:K$43,--($D$14:$D$43=$D193),--($Q$14:$Q$43=FALSE),--($S$14:$S$43=0))+SUMPRODUCT(K$14:K$43,--($D$14:$D$43=$D193),--($Q$14:$Q$43=FALSE),--($R$14:$R$43="Yes"),--($S$14:$S$43=0))*0.1</f>
        <v>0</v>
      </c>
      <c r="L193" s="622" cm="1">
        <f t="array" ref="L193">SUMPRODUCT(L$14:L$43,--($D$14:$D$43=$D193),--($Q$14:$Q$43=FALSE),$S$14:$S$43,--($S$14:$S$43&gt;0))+SUMPRODUCT(L$14:L$43,--($D$14:$D$43=$D193),--($Q$14:$Q$43=FALSE),$S$14:$S$43,--($S$14:$S$43&gt;0),--($R$14:$R$43="Yes"))*0.1+SUMPRODUCT(L$14:L$43,--($D$14:$D$43=$D193),--($Q$14:$Q$43=FALSE),--($S$14:$S$43=0))+SUMPRODUCT(L$14:L$43,--($D$14:$D$43=$D193),--($Q$14:$Q$43=FALSE),--($R$14:$R$43="Yes"),--($S$14:$S$43=0))*0.1</f>
        <v>0</v>
      </c>
      <c r="M193" s="622" cm="1">
        <f t="array" ref="M193">SUMPRODUCT(M$14:M$43,--($D$14:$D$43=$D193),--($Q$14:$Q$43=FALSE),$S$14:$S$43,--($S$14:$S$43&gt;0))+SUMPRODUCT(M$14:M$43,--($D$14:$D$43=$D193),--($Q$14:$Q$43=FALSE),$S$14:$S$43,--($S$14:$S$43&gt;0),--($R$14:$R$43="Yes"))*0.1+SUMPRODUCT(M$14:M$43,--($D$14:$D$43=$D193),--($Q$14:$Q$43=FALSE),--($S$14:$S$43=0))+SUMPRODUCT(M$14:M$43,--($D$14:$D$43=$D193),--($Q$14:$Q$43=FALSE),--($R$14:$R$43="Yes"),--($S$14:$S$43=0))*0.1</f>
        <v>0</v>
      </c>
      <c r="N193" s="622" cm="1">
        <f t="array" ref="N193">SUMPRODUCT(N$14:N$43,--($D$14:$D$43=$D193),--($Q$14:$Q$43=FALSE),$S$14:$S$43,--($S$14:$S$43&gt;0))+SUMPRODUCT(N$14:N$43,--($D$14:$D$43=$D193),--($Q$14:$Q$43=FALSE),$S$14:$S$43,--($S$14:$S$43&gt;0),--($R$14:$R$43="Yes"))*0.1+SUMPRODUCT(N$14:N$43,--($D$14:$D$43=$D193),--($Q$14:$Q$43=FALSE),--($S$14:$S$43=0))+SUMPRODUCT(N$14:N$43,--($D$14:$D$43=$D193),--($Q$14:$Q$43=FALSE),--($R$14:$R$43="Yes"),--($S$14:$S$43=0))*0.1</f>
        <v>0</v>
      </c>
      <c r="O193" s="622" cm="1">
        <f t="array" ref="O193">SUMPRODUCT(O$14:O$43,--($D$14:$D$43=$D193),--($Q$14:$Q$43=FALSE),$S$14:$S$43,--($S$14:$S$43&gt;0))+SUMPRODUCT(O$14:O$43,--($D$14:$D$43=$D193),--($Q$14:$Q$43=FALSE),$S$14:$S$43,--($S$14:$S$43&gt;0),--($R$14:$R$43="Yes"))*0.1+SUMPRODUCT(O$14:O$43,--($D$14:$D$43=$D193),--($Q$14:$Q$43=FALSE),--($S$14:$S$43=0))+SUMPRODUCT(O$14:O$43,--($D$14:$D$43=$D193),--($Q$14:$Q$43=FALSE),--($R$14:$R$43="Yes"),--($S$14:$S$43=0))*0.1</f>
        <v>0</v>
      </c>
      <c r="P193" s="623">
        <f t="shared" si="55"/>
        <v>0</v>
      </c>
      <c r="Q193" s="575"/>
      <c r="R193" s="576"/>
      <c r="S193" s="576"/>
      <c r="T193" s="576"/>
      <c r="U193" s="577"/>
      <c r="V193" s="610"/>
      <c r="W193" s="610"/>
      <c r="X193" s="610"/>
      <c r="Y193" s="610"/>
      <c r="Z193" s="610"/>
      <c r="AA193" s="610"/>
      <c r="AB193" s="610"/>
      <c r="AC193" s="610"/>
      <c r="AD193" s="610"/>
      <c r="AE193" s="610"/>
      <c r="AF193" s="610"/>
      <c r="AG193" s="610"/>
      <c r="AH193" s="610"/>
      <c r="AI193" s="610"/>
      <c r="AJ193" s="610"/>
      <c r="AK193" s="610"/>
      <c r="AL193" s="610"/>
      <c r="AM193" s="610"/>
      <c r="AN193" s="610"/>
      <c r="AO193" s="610"/>
      <c r="AP193" s="610"/>
      <c r="AQ193" s="610"/>
      <c r="AR193" s="610"/>
      <c r="AS193" s="610"/>
      <c r="AT193" s="610"/>
      <c r="AU193" s="610"/>
      <c r="AV193" s="610"/>
      <c r="AW193" s="610"/>
      <c r="AX193" s="610"/>
      <c r="AY193" s="610"/>
      <c r="AZ193" s="610"/>
      <c r="BA193" s="610"/>
      <c r="BB193" s="610"/>
      <c r="BC193" s="610"/>
      <c r="BD193" s="610"/>
      <c r="BE193" s="610"/>
      <c r="BF193" s="610"/>
      <c r="BG193" s="610"/>
      <c r="BH193" s="610"/>
      <c r="BI193" s="610"/>
      <c r="BJ193" s="610"/>
      <c r="BK193" s="610"/>
      <c r="BL193" s="610"/>
      <c r="BM193" s="610"/>
      <c r="BN193" s="610"/>
      <c r="BO193" s="610"/>
      <c r="BP193" s="610"/>
      <c r="BQ193" s="610"/>
      <c r="BR193" s="610"/>
      <c r="BS193" s="610"/>
      <c r="BT193" s="610"/>
      <c r="BU193" s="610"/>
      <c r="BV193" s="610"/>
      <c r="BW193" s="610"/>
      <c r="BX193" s="610"/>
      <c r="BY193" s="610"/>
      <c r="BZ193" s="610"/>
      <c r="CA193" s="610"/>
      <c r="CB193" s="610"/>
      <c r="CC193" s="610"/>
      <c r="CD193" s="610"/>
      <c r="CE193" s="610"/>
      <c r="CF193" s="610"/>
      <c r="CG193" s="610"/>
      <c r="CH193" s="610"/>
      <c r="CI193" s="610"/>
      <c r="CJ193" s="610"/>
      <c r="CK193" s="610"/>
      <c r="CL193" s="610"/>
      <c r="CM193" s="610"/>
      <c r="CN193" s="610"/>
      <c r="CO193" s="610"/>
      <c r="CP193" s="610"/>
      <c r="CQ193" s="610"/>
      <c r="CR193" s="610"/>
      <c r="CS193" s="610"/>
      <c r="CT193" s="610"/>
      <c r="CU193" s="610"/>
      <c r="CV193" s="610"/>
      <c r="CW193" s="610"/>
      <c r="CX193" s="610"/>
      <c r="CY193" s="610"/>
      <c r="CZ193" s="610"/>
      <c r="DA193" s="610"/>
      <c r="DB193" s="610"/>
      <c r="DC193" s="610"/>
      <c r="DD193" s="610"/>
      <c r="DE193" s="610"/>
      <c r="DF193" s="610"/>
      <c r="DG193" s="610"/>
      <c r="DH193" s="610"/>
      <c r="DI193" s="610"/>
      <c r="DJ193" s="610"/>
      <c r="DK193" s="610"/>
      <c r="DL193" s="610"/>
      <c r="DM193" s="610"/>
      <c r="DN193" s="610"/>
      <c r="DO193" s="610"/>
      <c r="DP193" s="610"/>
      <c r="DQ193" s="610"/>
      <c r="DR193" s="610"/>
      <c r="DS193" s="610"/>
      <c r="DT193" s="610"/>
      <c r="DU193" s="610"/>
      <c r="DV193" s="610"/>
      <c r="DW193" s="610"/>
      <c r="DX193" s="610"/>
      <c r="DY193" s="610"/>
      <c r="DZ193" s="610"/>
      <c r="EA193" s="610"/>
      <c r="EB193" s="610"/>
      <c r="EC193" s="610"/>
      <c r="ED193" s="610"/>
      <c r="EE193" s="610"/>
      <c r="EF193" s="610"/>
      <c r="EG193" s="610"/>
      <c r="EH193" s="610"/>
      <c r="EI193" s="610"/>
      <c r="EJ193" s="610"/>
      <c r="EK193" s="610"/>
      <c r="EL193" s="610"/>
      <c r="EM193" s="610"/>
      <c r="EN193" s="610"/>
      <c r="EO193" s="610"/>
      <c r="EP193" s="610"/>
      <c r="EQ193" s="610"/>
      <c r="ER193" s="610"/>
      <c r="ES193" s="610"/>
      <c r="ET193" s="610"/>
      <c r="EU193" s="610"/>
      <c r="EV193" s="610"/>
      <c r="EW193" s="610"/>
      <c r="EX193" s="610"/>
      <c r="EY193" s="610"/>
      <c r="EZ193" s="610"/>
      <c r="FA193" s="610"/>
      <c r="FB193" s="610"/>
      <c r="FC193" s="610"/>
      <c r="FD193" s="610"/>
      <c r="FE193" s="610"/>
      <c r="FF193" s="610"/>
      <c r="FG193" s="610"/>
      <c r="FH193" s="610"/>
      <c r="FI193" s="610"/>
      <c r="FJ193" s="610"/>
      <c r="FK193" s="610"/>
      <c r="FL193" s="610"/>
      <c r="FM193" s="610"/>
      <c r="FN193" s="610"/>
      <c r="FO193" s="610"/>
      <c r="FP193" s="610"/>
      <c r="FQ193" s="610"/>
      <c r="FR193" s="610"/>
      <c r="FS193" s="610"/>
      <c r="FT193" s="610"/>
      <c r="FU193" s="610"/>
      <c r="FV193" s="610"/>
      <c r="FW193" s="610"/>
      <c r="FX193" s="610"/>
      <c r="FY193" s="610"/>
      <c r="FZ193" s="610"/>
      <c r="GA193" s="610"/>
      <c r="GB193" s="610"/>
      <c r="GC193" s="610"/>
      <c r="GD193" s="610"/>
      <c r="GE193" s="610"/>
      <c r="GF193" s="610"/>
      <c r="GG193" s="610"/>
      <c r="GH193" s="610"/>
      <c r="GI193" s="610"/>
      <c r="GJ193" s="610"/>
      <c r="GK193" s="610"/>
      <c r="GL193" s="610"/>
      <c r="GM193" s="610"/>
      <c r="GN193" s="610"/>
      <c r="GO193" s="610"/>
      <c r="GP193" s="610"/>
      <c r="GQ193" s="610"/>
      <c r="GR193" s="610"/>
      <c r="GS193" s="610"/>
      <c r="GT193" s="610"/>
      <c r="GU193" s="610"/>
      <c r="GV193" s="610"/>
      <c r="GW193" s="610"/>
      <c r="GX193" s="610"/>
      <c r="GY193" s="610"/>
      <c r="GZ193" s="610"/>
      <c r="HA193" s="610"/>
      <c r="HB193" s="610"/>
      <c r="HC193" s="610"/>
      <c r="HD193" s="610"/>
      <c r="HE193" s="610"/>
      <c r="HF193" s="610"/>
      <c r="HG193" s="610"/>
      <c r="HH193" s="610"/>
      <c r="HI193" s="610"/>
      <c r="HJ193" s="610"/>
      <c r="HK193" s="610"/>
      <c r="HL193" s="610"/>
      <c r="HM193" s="610"/>
      <c r="HN193" s="610"/>
      <c r="HO193" s="610"/>
      <c r="HP193" s="610"/>
      <c r="HQ193" s="610"/>
      <c r="HR193" s="610"/>
      <c r="HS193" s="610"/>
      <c r="HT193" s="610"/>
      <c r="HU193" s="610"/>
      <c r="HV193" s="610"/>
      <c r="HW193" s="610"/>
      <c r="HX193" s="610"/>
      <c r="HY193" s="610"/>
      <c r="HZ193" s="610"/>
      <c r="IA193" s="610"/>
      <c r="IB193" s="610"/>
      <c r="IC193" s="610"/>
      <c r="ID193" s="610"/>
      <c r="IE193" s="610"/>
      <c r="IF193" s="610"/>
      <c r="IG193" s="610"/>
      <c r="IH193" s="610"/>
      <c r="II193" s="610"/>
      <c r="IJ193" s="610"/>
      <c r="IK193" s="610"/>
      <c r="IL193" s="610"/>
      <c r="IM193" s="610"/>
      <c r="IN193" s="610"/>
      <c r="IO193" s="610"/>
      <c r="IP193" s="610"/>
      <c r="IQ193" s="610"/>
      <c r="IR193" s="610"/>
      <c r="IS193" s="610"/>
      <c r="IT193" s="610"/>
      <c r="IU193" s="610"/>
      <c r="IV193" s="610"/>
      <c r="IW193" s="610"/>
      <c r="IX193" s="610"/>
      <c r="IY193" s="610"/>
      <c r="IZ193" s="610"/>
      <c r="JA193" s="610"/>
      <c r="JB193" s="610"/>
      <c r="JC193" s="610"/>
      <c r="JD193" s="610"/>
      <c r="JE193" s="610"/>
      <c r="JF193" s="610"/>
      <c r="JG193" s="610"/>
      <c r="JH193" s="610"/>
      <c r="JI193" s="610"/>
      <c r="JJ193" s="610"/>
      <c r="JK193" s="610"/>
      <c r="JL193" s="610"/>
      <c r="JM193" s="610"/>
      <c r="JN193" s="610"/>
      <c r="JO193" s="610"/>
      <c r="JP193" s="610"/>
      <c r="JQ193" s="610"/>
      <c r="JR193" s="610"/>
      <c r="JS193" s="610"/>
      <c r="JT193" s="610"/>
      <c r="JU193" s="610"/>
      <c r="JV193" s="610"/>
      <c r="JW193" s="610"/>
      <c r="JX193" s="610"/>
      <c r="JY193" s="610"/>
      <c r="JZ193" s="610"/>
      <c r="KA193" s="610"/>
      <c r="KB193" s="610"/>
      <c r="KC193" s="610"/>
      <c r="KD193" s="610"/>
      <c r="KE193" s="610"/>
      <c r="KF193" s="610"/>
      <c r="KG193" s="610"/>
      <c r="KH193" s="610"/>
      <c r="KI193" s="610"/>
      <c r="KJ193" s="610"/>
      <c r="KK193" s="610"/>
      <c r="KL193" s="610"/>
      <c r="KM193" s="610"/>
      <c r="KN193" s="610"/>
      <c r="KO193" s="610"/>
      <c r="KP193" s="610"/>
      <c r="KQ193" s="610"/>
      <c r="KR193" s="610"/>
      <c r="KS193" s="610"/>
      <c r="KT193" s="610"/>
      <c r="KU193" s="610"/>
      <c r="KV193" s="610"/>
      <c r="KW193" s="610"/>
      <c r="KX193" s="610"/>
      <c r="KY193" s="610"/>
      <c r="KZ193" s="610"/>
      <c r="LA193" s="610"/>
      <c r="LB193" s="610"/>
      <c r="LC193" s="610"/>
      <c r="LD193" s="610"/>
      <c r="LE193" s="610"/>
      <c r="LF193" s="610"/>
      <c r="LG193" s="610"/>
      <c r="LH193" s="610"/>
      <c r="LI193" s="610"/>
      <c r="LJ193" s="610"/>
      <c r="LK193" s="610"/>
      <c r="LL193" s="610"/>
      <c r="LM193" s="610"/>
      <c r="LN193" s="610"/>
      <c r="LO193" s="610"/>
      <c r="LP193" s="610"/>
      <c r="LQ193" s="610"/>
      <c r="LR193" s="610"/>
      <c r="LS193" s="610"/>
      <c r="LT193" s="610"/>
      <c r="LU193" s="610"/>
      <c r="LV193" s="610"/>
      <c r="LW193" s="610"/>
      <c r="LX193" s="610"/>
      <c r="LY193" s="610"/>
      <c r="LZ193" s="610"/>
      <c r="MA193" s="610"/>
      <c r="MB193" s="610"/>
      <c r="MC193" s="610"/>
      <c r="MD193" s="610"/>
      <c r="ME193" s="610"/>
      <c r="MF193" s="610"/>
      <c r="MG193" s="610"/>
      <c r="MH193" s="610"/>
      <c r="MI193" s="610"/>
      <c r="MJ193" s="610"/>
      <c r="MK193" s="610"/>
      <c r="ML193" s="610"/>
      <c r="MM193" s="610"/>
      <c r="MN193" s="610"/>
      <c r="MO193" s="610"/>
      <c r="MP193" s="610"/>
      <c r="MQ193" s="610"/>
      <c r="MR193" s="610"/>
      <c r="MS193" s="610"/>
      <c r="MT193" s="610"/>
      <c r="MU193" s="610"/>
      <c r="MV193" s="610"/>
      <c r="MW193" s="610"/>
      <c r="MX193" s="610"/>
      <c r="MY193" s="610"/>
      <c r="MZ193" s="610"/>
      <c r="NA193" s="610"/>
      <c r="NB193" s="610"/>
      <c r="NC193" s="610"/>
      <c r="ND193" s="610"/>
      <c r="NE193" s="610"/>
      <c r="NF193" s="610"/>
      <c r="NG193" s="610"/>
      <c r="NH193" s="610"/>
      <c r="NI193" s="610"/>
      <c r="NJ193" s="610"/>
      <c r="NK193" s="610"/>
      <c r="NL193" s="610"/>
      <c r="NM193" s="610"/>
      <c r="NN193" s="610"/>
      <c r="NO193" s="610"/>
      <c r="NP193" s="610"/>
      <c r="NQ193" s="610"/>
      <c r="NR193" s="610"/>
      <c r="NS193" s="610"/>
      <c r="NT193" s="610"/>
      <c r="NU193" s="610"/>
      <c r="NV193" s="610"/>
      <c r="NW193" s="610"/>
      <c r="NX193" s="610"/>
      <c r="NY193" s="610"/>
      <c r="NZ193" s="610"/>
      <c r="OA193" s="610"/>
      <c r="OB193" s="610"/>
      <c r="OC193" s="610"/>
      <c r="OD193" s="610"/>
      <c r="OE193" s="610"/>
      <c r="OF193" s="610"/>
      <c r="OG193" s="610"/>
      <c r="OH193" s="610"/>
      <c r="OI193" s="610"/>
      <c r="OJ193" s="610"/>
      <c r="OK193" s="610"/>
      <c r="OL193" s="610"/>
      <c r="OM193" s="610"/>
      <c r="ON193" s="610"/>
      <c r="OO193" s="610"/>
      <c r="OP193" s="610"/>
      <c r="OQ193" s="610"/>
      <c r="OR193" s="610"/>
      <c r="OS193" s="610"/>
      <c r="OT193" s="610"/>
      <c r="OU193" s="610"/>
      <c r="OV193" s="610"/>
      <c r="OW193" s="610"/>
      <c r="OX193" s="610"/>
      <c r="OY193" s="610"/>
      <c r="OZ193" s="610"/>
      <c r="PA193" s="610"/>
      <c r="PB193" s="610"/>
      <c r="PC193" s="610"/>
      <c r="PD193" s="610"/>
      <c r="PE193" s="610"/>
      <c r="PF193" s="610"/>
      <c r="PG193" s="610"/>
      <c r="PH193" s="610"/>
      <c r="PI193" s="610"/>
      <c r="PJ193" s="610"/>
      <c r="PK193" s="610"/>
      <c r="PL193" s="610"/>
      <c r="PM193" s="610"/>
      <c r="PN193" s="610"/>
      <c r="PO193" s="610"/>
      <c r="PP193" s="610"/>
      <c r="PQ193" s="610"/>
      <c r="PR193" s="610"/>
      <c r="PS193" s="610"/>
      <c r="PT193" s="610"/>
      <c r="PU193" s="610"/>
      <c r="PV193" s="610"/>
      <c r="PW193" s="610"/>
      <c r="PX193" s="610"/>
      <c r="PY193" s="610"/>
      <c r="PZ193" s="610"/>
      <c r="QA193" s="610"/>
      <c r="QB193" s="610"/>
      <c r="QC193" s="610"/>
      <c r="QD193" s="610"/>
      <c r="QE193" s="610"/>
      <c r="QF193" s="610"/>
      <c r="QG193" s="610"/>
      <c r="QH193" s="610"/>
      <c r="QI193" s="610"/>
      <c r="QJ193" s="610"/>
    </row>
    <row r="194" spans="1:452" s="524" customFormat="1" ht="18" x14ac:dyDescent="0.35">
      <c r="A194" s="605"/>
      <c r="B194" s="558"/>
      <c r="C194" s="559"/>
      <c r="D194" s="606"/>
      <c r="E194" s="572" t="s">
        <v>86</v>
      </c>
      <c r="F194" s="571" cm="1">
        <f t="array" ref="F194">SUMPRODUCT(F$14:F$43,--($Q$14:$Q$43=FALSE),--($D$14:$D$43=$D193))</f>
        <v>0</v>
      </c>
      <c r="G194" s="571" cm="1">
        <f t="array" ref="G194">SUMPRODUCT(G$14:G$43,--($Q$14:$Q$43=FALSE),--($D$14:$D$43=$D193))</f>
        <v>0</v>
      </c>
      <c r="H194" s="571" cm="1">
        <f t="array" ref="H194">SUMPRODUCT(H$14:H$43,--($Q$14:$Q$43=FALSE),--($D$14:$D$43=$D193))</f>
        <v>0</v>
      </c>
      <c r="I194" s="571" cm="1">
        <f t="array" ref="I194">SUMPRODUCT(I$14:I$43,--($Q$14:$Q$43=FALSE),--($D$14:$D$43=$D193))</f>
        <v>0</v>
      </c>
      <c r="J194" s="571" cm="1">
        <f t="array" ref="J194">SUMPRODUCT(J$14:J$43,--($Q$14:$Q$43=FALSE),--($D$14:$D$43=$D193))</f>
        <v>0</v>
      </c>
      <c r="K194" s="571" cm="1">
        <f t="array" ref="K194">SUMPRODUCT(K$14:K$43,--($Q$14:$Q$43=FALSE),--($D$14:$D$43=$D193))</f>
        <v>0</v>
      </c>
      <c r="L194" s="571" cm="1">
        <f t="array" ref="L194">SUMPRODUCT(L$14:L$43,--($Q$14:$Q$43=FALSE),--($D$14:$D$43=$D193))</f>
        <v>0</v>
      </c>
      <c r="M194" s="571" cm="1">
        <f t="array" ref="M194">SUMPRODUCT(M$14:M$43,--($Q$14:$Q$43=FALSE),--($D$14:$D$43=$D193))</f>
        <v>0</v>
      </c>
      <c r="N194" s="571" cm="1">
        <f t="array" ref="N194">SUMPRODUCT(N$14:N$43,--($Q$14:$Q$43=FALSE),--($D$14:$D$43=$D193))</f>
        <v>0</v>
      </c>
      <c r="O194" s="571" cm="1">
        <f t="array" ref="O194">SUMPRODUCT(O$14:O$43,--($Q$14:$Q$43=FALSE),--($D$14:$D$43=$D193))</f>
        <v>0</v>
      </c>
      <c r="P194" s="607">
        <f t="shared" si="55"/>
        <v>0</v>
      </c>
      <c r="Q194" s="575"/>
      <c r="R194" s="576"/>
      <c r="S194" s="576"/>
      <c r="T194" s="576"/>
      <c r="U194" s="577"/>
    </row>
    <row r="195" spans="1:452" s="524" customFormat="1" ht="18" x14ac:dyDescent="0.35">
      <c r="A195" s="605"/>
      <c r="B195" s="558"/>
      <c r="C195" s="559"/>
      <c r="D195" s="606"/>
      <c r="E195" s="572" t="s">
        <v>87</v>
      </c>
      <c r="F195" s="571" cm="1">
        <f t="array" ref="F195">SUMPRODUCT(F$14:F$43,--($Q$14:$Q$43=FALSE),--($D$14:$D$43=$D193),--($R$14:$R$43="Yes"))*0.1</f>
        <v>0</v>
      </c>
      <c r="G195" s="571" cm="1">
        <f t="array" ref="G195">SUMPRODUCT(G$14:G$43,--($Q$14:$Q$43=FALSE),--($D$14:$D$43=$D193),--($R$14:$R$43="Yes"))*0.1</f>
        <v>0</v>
      </c>
      <c r="H195" s="571" cm="1">
        <f t="array" ref="H195">SUMPRODUCT(H$14:H$43,--($Q$14:$Q$43=FALSE),--($D$14:$D$43=$D193),--($R$14:$R$43="Yes"))*0.1</f>
        <v>0</v>
      </c>
      <c r="I195" s="571" cm="1">
        <f t="array" ref="I195">SUMPRODUCT(I$14:I$43,--($Q$14:$Q$43=FALSE),--($D$14:$D$43=$D193),--($R$14:$R$43="Yes"))*0.1</f>
        <v>0</v>
      </c>
      <c r="J195" s="571" cm="1">
        <f t="array" ref="J195">SUMPRODUCT(J$14:J$43,--($Q$14:$Q$43=FALSE),--($D$14:$D$43=$D193),--($R$14:$R$43="Yes"))*0.1</f>
        <v>0</v>
      </c>
      <c r="K195" s="571" cm="1">
        <f t="array" ref="K195">SUMPRODUCT(K$14:K$43,--($Q$14:$Q$43=FALSE),--($D$14:$D$43=$D193),--($R$14:$R$43="Yes"))*0.1</f>
        <v>0</v>
      </c>
      <c r="L195" s="571" cm="1">
        <f t="array" ref="L195">SUMPRODUCT(L$14:L$43,--($Q$14:$Q$43=FALSE),--($D$14:$D$43=$D193),--($R$14:$R$43="Yes"))*0.1</f>
        <v>0</v>
      </c>
      <c r="M195" s="571" cm="1">
        <f t="array" ref="M195">SUMPRODUCT(M$14:M$43,--($Q$14:$Q$43=FALSE),--($D$14:$D$43=$D193),--($R$14:$R$43="Yes"))*0.1</f>
        <v>0</v>
      </c>
      <c r="N195" s="571" cm="1">
        <f t="array" ref="N195">SUMPRODUCT(N$14:N$43,--($Q$14:$Q$43=FALSE),--($D$14:$D$43=$D193),--($R$14:$R$43="Yes"))*0.1</f>
        <v>0</v>
      </c>
      <c r="O195" s="571" cm="1">
        <f t="array" ref="O195">SUMPRODUCT(O$14:O$43,--($Q$14:$Q$43=FALSE),--($D$14:$D$43=$D193),--($R$14:$R$43="Yes"))*0.1</f>
        <v>0</v>
      </c>
      <c r="P195" s="607">
        <f t="shared" si="55"/>
        <v>0</v>
      </c>
      <c r="Q195" s="575"/>
      <c r="R195" s="576"/>
      <c r="S195" s="576"/>
      <c r="T195" s="576"/>
      <c r="U195" s="577"/>
    </row>
    <row r="196" spans="1:452" s="524" customFormat="1" ht="18" x14ac:dyDescent="0.35">
      <c r="A196" s="605"/>
      <c r="B196" s="558"/>
      <c r="C196" s="559"/>
      <c r="D196" s="606"/>
      <c r="E196" s="572" t="s">
        <v>88</v>
      </c>
      <c r="F196" s="571">
        <f t="shared" ref="F196:O196" si="57">F193-(F194+F195)</f>
        <v>0</v>
      </c>
      <c r="G196" s="571">
        <f t="shared" si="57"/>
        <v>0</v>
      </c>
      <c r="H196" s="571">
        <f t="shared" si="57"/>
        <v>0</v>
      </c>
      <c r="I196" s="571">
        <f t="shared" si="57"/>
        <v>0</v>
      </c>
      <c r="J196" s="571">
        <f t="shared" si="57"/>
        <v>0</v>
      </c>
      <c r="K196" s="571">
        <f t="shared" si="57"/>
        <v>0</v>
      </c>
      <c r="L196" s="571">
        <f t="shared" si="57"/>
        <v>0</v>
      </c>
      <c r="M196" s="571">
        <f t="shared" si="57"/>
        <v>0</v>
      </c>
      <c r="N196" s="571">
        <f t="shared" si="57"/>
        <v>0</v>
      </c>
      <c r="O196" s="571">
        <f t="shared" si="57"/>
        <v>0</v>
      </c>
      <c r="P196" s="607">
        <f t="shared" si="55"/>
        <v>0</v>
      </c>
      <c r="Q196" s="575"/>
      <c r="R196" s="576"/>
      <c r="S196" s="576"/>
      <c r="T196" s="576"/>
      <c r="U196" s="577"/>
    </row>
    <row r="197" spans="1:452" s="578" customFormat="1" ht="18" x14ac:dyDescent="0.35">
      <c r="A197" s="624"/>
      <c r="B197" s="625"/>
      <c r="C197" s="626"/>
      <c r="D197" s="625" t="s">
        <v>120</v>
      </c>
      <c r="E197" s="627"/>
      <c r="F197" s="628" cm="1">
        <f t="array" ref="F197">SUMPRODUCT(F$14:F$43,--($D$14:$D$43=$D193),--($Q$14:$Q$43=TRUE),$S$14:$S$43,--($S$14:$S$43&gt;0))+SUMPRODUCT(F$14:F$43,--($D$14:$D$43=$D193),--($Q$14:$Q$43=TRUE),$S$14:$S$43,--($S$14:$S$43&gt;0),--($R$14:$R$43="Yes"))*0.1+SUMPRODUCT(F$14:F$43,--($D$14:$D$43=$D193),--($Q$14:$Q$43=TRUE),--($S144:$S173=0))+SUMPRODUCT(F$14:F$43,--($D$14:$D$43=$D193),--($Q$14:$Q$43=TRUE),--($R$14:$R$43="Yes"),--($S$14:$S$43=0))*0.1</f>
        <v>0</v>
      </c>
      <c r="G197" s="628" cm="1">
        <f t="array" ref="G197">SUMPRODUCT(G$14:G$43,--($D$14:$D$43=$D193),--($Q$14:$Q$43=TRUE),$S$14:$S$43,--($S$14:$S$43&gt;0))+SUMPRODUCT(G$14:G$43,--($D$14:$D$43=$D193),--($Q$14:$Q$43=TRUE),$S$14:$S$43,--($S$14:$S$43&gt;0),--($R$14:$R$43="Yes"))*0.1+SUMPRODUCT(G$14:G$43,--($D$14:$D$43=$D193),--($Q$14:$Q$43=TRUE),--($S144:$S173=0))+SUMPRODUCT(G$14:G$43,--($D$14:$D$43=$D193),--($Q$14:$Q$43=TRUE),--($R$14:$R$43="Yes"),--($S$14:$S$43=0))*0.1</f>
        <v>0</v>
      </c>
      <c r="H197" s="628" cm="1">
        <f t="array" ref="H197">SUMPRODUCT(H$14:H$43,--($D$14:$D$43=$D193),--($Q$14:$Q$43=TRUE),$S$14:$S$43,--($S$14:$S$43&gt;0))+SUMPRODUCT(H$14:H$43,--($D$14:$D$43=$D193),--($Q$14:$Q$43=TRUE),$S$14:$S$43,--($S$14:$S$43&gt;0),--($R$14:$R$43="Yes"))*0.1+SUMPRODUCT(H$14:H$43,--($D$14:$D$43=$D193),--($Q$14:$Q$43=TRUE),--($S144:$S173=0))+SUMPRODUCT(H$14:H$43,--($D$14:$D$43=$D193),--($Q$14:$Q$43=TRUE),--($R$14:$R$43="Yes"),--($S$14:$S$43=0))*0.1</f>
        <v>0</v>
      </c>
      <c r="I197" s="628" cm="1">
        <f t="array" ref="I197">SUMPRODUCT(I$14:I$43,--($D$14:$D$43=$D193),--($Q$14:$Q$43=TRUE),$S$14:$S$43,--($S$14:$S$43&gt;0))+SUMPRODUCT(I$14:I$43,--($D$14:$D$43=$D193),--($Q$14:$Q$43=TRUE),$S$14:$S$43,--($S$14:$S$43&gt;0),--($R$14:$R$43="Yes"))*0.1+SUMPRODUCT(I$14:I$43,--($D$14:$D$43=$D193),--($Q$14:$Q$43=TRUE),--($S144:$S173=0))+SUMPRODUCT(I$14:I$43,--($D$14:$D$43=$D193),--($Q$14:$Q$43=TRUE),--($R$14:$R$43="Yes"),--($S$14:$S$43=0))*0.1</f>
        <v>0</v>
      </c>
      <c r="J197" s="628" cm="1">
        <f t="array" ref="J197">SUMPRODUCT(J$14:J$43,--($D$14:$D$43=$D193),--($Q$14:$Q$43=TRUE),$S$14:$S$43,--($S$14:$S$43&gt;0))+SUMPRODUCT(J$14:J$43,--($D$14:$D$43=$D193),--($Q$14:$Q$43=TRUE),$S$14:$S$43,--($S$14:$S$43&gt;0),--($R$14:$R$43="Yes"))*0.1+SUMPRODUCT(J$14:J$43,--($D$14:$D$43=$D193),--($Q$14:$Q$43=TRUE),--($S144:$S173=0))+SUMPRODUCT(J$14:J$43,--($D$14:$D$43=$D193),--($Q$14:$Q$43=TRUE),--($R$14:$R$43="Yes"),--($S$14:$S$43=0))*0.1</f>
        <v>0</v>
      </c>
      <c r="K197" s="628" cm="1">
        <f t="array" ref="K197">SUMPRODUCT(K$14:K$43,--($D$14:$D$43=$D193),--($Q$14:$Q$43=TRUE),$S$14:$S$43,--($S$14:$S$43&gt;0))+SUMPRODUCT(K$14:K$43,--($D$14:$D$43=$D193),--($Q$14:$Q$43=TRUE),$S$14:$S$43,--($S$14:$S$43&gt;0),--($R$14:$R$43="Yes"))*0.1+SUMPRODUCT(K$14:K$43,--($D$14:$D$43=$D193),--($Q$14:$Q$43=TRUE),--($S144:$S173=0))+SUMPRODUCT(K$14:K$43,--($D$14:$D$43=$D193),--($Q$14:$Q$43=TRUE),--($R$14:$R$43="Yes"),--($S$14:$S$43=0))*0.1</f>
        <v>0</v>
      </c>
      <c r="L197" s="628" cm="1">
        <f t="array" ref="L197">SUMPRODUCT(L$14:L$43,--($D$14:$D$43=$D193),--($Q$14:$Q$43=TRUE),$S$14:$S$43,--($S$14:$S$43&gt;0))+SUMPRODUCT(L$14:L$43,--($D$14:$D$43=$D193),--($Q$14:$Q$43=TRUE),$S$14:$S$43,--($S$14:$S$43&gt;0),--($R$14:$R$43="Yes"))*0.1+SUMPRODUCT(L$14:L$43,--($D$14:$D$43=$D193),--($Q$14:$Q$43=TRUE),--($S144:$S173=0))+SUMPRODUCT(L$14:L$43,--($D$14:$D$43=$D193),--($Q$14:$Q$43=TRUE),--($R$14:$R$43="Yes"),--($S$14:$S$43=0))*0.1</f>
        <v>0</v>
      </c>
      <c r="M197" s="628" cm="1">
        <f t="array" ref="M197">SUMPRODUCT(M$14:M$43,--($D$14:$D$43=$D193),--($Q$14:$Q$43=TRUE),$S$14:$S$43,--($S$14:$S$43&gt;0))+SUMPRODUCT(M$14:M$43,--($D$14:$D$43=$D193),--($Q$14:$Q$43=TRUE),$S$14:$S$43,--($S$14:$S$43&gt;0),--($R$14:$R$43="Yes"))*0.1+SUMPRODUCT(M$14:M$43,--($D$14:$D$43=$D193),--($Q$14:$Q$43=TRUE),--($S144:$S173=0))+SUMPRODUCT(M$14:M$43,--($D$14:$D$43=$D193),--($Q$14:$Q$43=TRUE),--($R$14:$R$43="Yes"),--($S$14:$S$43=0))*0.1</f>
        <v>0</v>
      </c>
      <c r="N197" s="628" cm="1">
        <f t="array" ref="N197">SUMPRODUCT(N$14:N$43,--($D$14:$D$43=$D193),--($Q$14:$Q$43=TRUE),$S$14:$S$43,--($S$14:$S$43&gt;0))+SUMPRODUCT(N$14:N$43,--($D$14:$D$43=$D193),--($Q$14:$Q$43=TRUE),$S$14:$S$43,--($S$14:$S$43&gt;0),--($R$14:$R$43="Yes"))*0.1+SUMPRODUCT(N$14:N$43,--($D$14:$D$43=$D193),--($Q$14:$Q$43=TRUE),--($S144:$S173=0))+SUMPRODUCT(N$14:N$43,--($D$14:$D$43=$D193),--($Q$14:$Q$43=TRUE),--($R$14:$R$43="Yes"),--($S$14:$S$43=0))*0.1</f>
        <v>0</v>
      </c>
      <c r="O197" s="628" cm="1">
        <f t="array" ref="O197">SUMPRODUCT(O$14:O$43,--($D$14:$D$43=$D193),--($Q$14:$Q$43=TRUE),$S$14:$S$43,--($S$14:$S$43&gt;0))+SUMPRODUCT(O$14:O$43,--($D$14:$D$43=$D193),--($Q$14:$Q$43=TRUE),$S$14:$S$43,--($S$14:$S$43&gt;0),--($R$14:$R$43="Yes"))*0.1+SUMPRODUCT(O$14:O$43,--($D$14:$D$43=$D193),--($Q$14:$Q$43=TRUE),--($S144:$S173=0))+SUMPRODUCT(O$14:O$43,--($D$14:$D$43=$D193),--($Q$14:$Q$43=TRUE),--($R$14:$R$43="Yes"),--($S$14:$S$43=0))*0.1</f>
        <v>0</v>
      </c>
      <c r="P197" s="629">
        <f t="shared" si="55"/>
        <v>0</v>
      </c>
      <c r="Q197" s="575"/>
      <c r="R197" s="576"/>
      <c r="S197" s="576"/>
      <c r="T197" s="576"/>
      <c r="U197" s="577"/>
      <c r="V197" s="610"/>
      <c r="W197" s="610"/>
      <c r="X197" s="610"/>
      <c r="Y197" s="610"/>
      <c r="Z197" s="610"/>
      <c r="AA197" s="610"/>
      <c r="AB197" s="610"/>
      <c r="AC197" s="610"/>
      <c r="AD197" s="610"/>
      <c r="AE197" s="610"/>
      <c r="AF197" s="610"/>
      <c r="AG197" s="610"/>
      <c r="AH197" s="610"/>
      <c r="AI197" s="610"/>
      <c r="AJ197" s="610"/>
      <c r="AK197" s="610"/>
      <c r="AL197" s="610"/>
      <c r="AM197" s="610"/>
      <c r="AN197" s="610"/>
      <c r="AO197" s="610"/>
      <c r="AP197" s="610"/>
      <c r="AQ197" s="610"/>
      <c r="AR197" s="610"/>
      <c r="AS197" s="610"/>
      <c r="AT197" s="610"/>
      <c r="AU197" s="610"/>
      <c r="AV197" s="610"/>
      <c r="AW197" s="610"/>
      <c r="AX197" s="610"/>
      <c r="AY197" s="610"/>
      <c r="AZ197" s="610"/>
      <c r="BA197" s="610"/>
      <c r="BB197" s="610"/>
      <c r="BC197" s="610"/>
      <c r="BD197" s="610"/>
      <c r="BE197" s="610"/>
      <c r="BF197" s="610"/>
      <c r="BG197" s="610"/>
      <c r="BH197" s="610"/>
      <c r="BI197" s="610"/>
      <c r="BJ197" s="610"/>
      <c r="BK197" s="610"/>
      <c r="BL197" s="610"/>
      <c r="BM197" s="610"/>
      <c r="BN197" s="610"/>
      <c r="BO197" s="610"/>
      <c r="BP197" s="610"/>
      <c r="BQ197" s="610"/>
      <c r="BR197" s="610"/>
      <c r="BS197" s="610"/>
      <c r="BT197" s="610"/>
      <c r="BU197" s="610"/>
      <c r="BV197" s="610"/>
      <c r="BW197" s="610"/>
      <c r="BX197" s="610"/>
      <c r="BY197" s="610"/>
      <c r="BZ197" s="610"/>
      <c r="CA197" s="610"/>
      <c r="CB197" s="610"/>
      <c r="CC197" s="610"/>
      <c r="CD197" s="610"/>
      <c r="CE197" s="610"/>
      <c r="CF197" s="610"/>
      <c r="CG197" s="610"/>
      <c r="CH197" s="610"/>
      <c r="CI197" s="610"/>
      <c r="CJ197" s="610"/>
      <c r="CK197" s="610"/>
      <c r="CL197" s="610"/>
      <c r="CM197" s="610"/>
      <c r="CN197" s="610"/>
      <c r="CO197" s="610"/>
      <c r="CP197" s="610"/>
      <c r="CQ197" s="610"/>
      <c r="CR197" s="610"/>
      <c r="CS197" s="610"/>
      <c r="CT197" s="610"/>
      <c r="CU197" s="610"/>
      <c r="CV197" s="610"/>
      <c r="CW197" s="610"/>
      <c r="CX197" s="610"/>
      <c r="CY197" s="610"/>
      <c r="CZ197" s="610"/>
      <c r="DA197" s="610"/>
      <c r="DB197" s="610"/>
      <c r="DC197" s="610"/>
      <c r="DD197" s="610"/>
      <c r="DE197" s="610"/>
      <c r="DF197" s="610"/>
      <c r="DG197" s="610"/>
      <c r="DH197" s="610"/>
      <c r="DI197" s="610"/>
      <c r="DJ197" s="610"/>
      <c r="DK197" s="610"/>
      <c r="DL197" s="610"/>
      <c r="DM197" s="610"/>
      <c r="DN197" s="610"/>
      <c r="DO197" s="610"/>
      <c r="DP197" s="610"/>
      <c r="DQ197" s="610"/>
      <c r="DR197" s="610"/>
      <c r="DS197" s="610"/>
      <c r="DT197" s="610"/>
      <c r="DU197" s="610"/>
      <c r="DV197" s="610"/>
      <c r="DW197" s="610"/>
      <c r="DX197" s="610"/>
      <c r="DY197" s="610"/>
      <c r="DZ197" s="610"/>
      <c r="EA197" s="610"/>
      <c r="EB197" s="610"/>
      <c r="EC197" s="610"/>
      <c r="ED197" s="610"/>
      <c r="EE197" s="610"/>
      <c r="EF197" s="610"/>
      <c r="EG197" s="610"/>
      <c r="EH197" s="610"/>
      <c r="EI197" s="610"/>
      <c r="EJ197" s="610"/>
      <c r="EK197" s="610"/>
      <c r="EL197" s="610"/>
      <c r="EM197" s="610"/>
      <c r="EN197" s="610"/>
      <c r="EO197" s="610"/>
      <c r="EP197" s="610"/>
      <c r="EQ197" s="610"/>
      <c r="ER197" s="610"/>
      <c r="ES197" s="610"/>
      <c r="ET197" s="610"/>
      <c r="EU197" s="610"/>
      <c r="EV197" s="610"/>
      <c r="EW197" s="610"/>
      <c r="EX197" s="610"/>
      <c r="EY197" s="610"/>
      <c r="EZ197" s="610"/>
      <c r="FA197" s="610"/>
      <c r="FB197" s="610"/>
      <c r="FC197" s="610"/>
      <c r="FD197" s="610"/>
      <c r="FE197" s="610"/>
      <c r="FF197" s="610"/>
      <c r="FG197" s="610"/>
      <c r="FH197" s="610"/>
      <c r="FI197" s="610"/>
      <c r="FJ197" s="610"/>
      <c r="FK197" s="610"/>
      <c r="FL197" s="610"/>
      <c r="FM197" s="610"/>
      <c r="FN197" s="610"/>
      <c r="FO197" s="610"/>
      <c r="FP197" s="610"/>
      <c r="FQ197" s="610"/>
      <c r="FR197" s="610"/>
      <c r="FS197" s="610"/>
      <c r="FT197" s="610"/>
      <c r="FU197" s="610"/>
      <c r="FV197" s="610"/>
      <c r="FW197" s="610"/>
      <c r="FX197" s="610"/>
      <c r="FY197" s="610"/>
      <c r="FZ197" s="610"/>
      <c r="GA197" s="610"/>
      <c r="GB197" s="610"/>
      <c r="GC197" s="610"/>
      <c r="GD197" s="610"/>
      <c r="GE197" s="610"/>
      <c r="GF197" s="610"/>
      <c r="GG197" s="610"/>
      <c r="GH197" s="610"/>
      <c r="GI197" s="610"/>
      <c r="GJ197" s="610"/>
      <c r="GK197" s="610"/>
      <c r="GL197" s="610"/>
      <c r="GM197" s="610"/>
      <c r="GN197" s="610"/>
      <c r="GO197" s="610"/>
      <c r="GP197" s="610"/>
      <c r="GQ197" s="610"/>
      <c r="GR197" s="610"/>
      <c r="GS197" s="610"/>
      <c r="GT197" s="610"/>
      <c r="GU197" s="610"/>
      <c r="GV197" s="610"/>
      <c r="GW197" s="610"/>
      <c r="GX197" s="610"/>
      <c r="GY197" s="610"/>
      <c r="GZ197" s="610"/>
      <c r="HA197" s="610"/>
      <c r="HB197" s="610"/>
      <c r="HC197" s="610"/>
      <c r="HD197" s="610"/>
      <c r="HE197" s="610"/>
      <c r="HF197" s="610"/>
      <c r="HG197" s="610"/>
      <c r="HH197" s="610"/>
      <c r="HI197" s="610"/>
      <c r="HJ197" s="610"/>
      <c r="HK197" s="610"/>
      <c r="HL197" s="610"/>
      <c r="HM197" s="610"/>
      <c r="HN197" s="610"/>
      <c r="HO197" s="610"/>
      <c r="HP197" s="610"/>
      <c r="HQ197" s="610"/>
      <c r="HR197" s="610"/>
      <c r="HS197" s="610"/>
      <c r="HT197" s="610"/>
      <c r="HU197" s="610"/>
      <c r="HV197" s="610"/>
      <c r="HW197" s="610"/>
      <c r="HX197" s="610"/>
      <c r="HY197" s="610"/>
      <c r="HZ197" s="610"/>
      <c r="IA197" s="610"/>
      <c r="IB197" s="610"/>
      <c r="IC197" s="610"/>
      <c r="ID197" s="610"/>
      <c r="IE197" s="610"/>
      <c r="IF197" s="610"/>
      <c r="IG197" s="610"/>
      <c r="IH197" s="610"/>
      <c r="II197" s="610"/>
      <c r="IJ197" s="610"/>
      <c r="IK197" s="610"/>
      <c r="IL197" s="610"/>
      <c r="IM197" s="610"/>
      <c r="IN197" s="610"/>
      <c r="IO197" s="610"/>
      <c r="IP197" s="610"/>
      <c r="IQ197" s="610"/>
      <c r="IR197" s="610"/>
      <c r="IS197" s="610"/>
      <c r="IT197" s="610"/>
      <c r="IU197" s="610"/>
      <c r="IV197" s="610"/>
      <c r="IW197" s="610"/>
      <c r="IX197" s="610"/>
      <c r="IY197" s="610"/>
      <c r="IZ197" s="610"/>
      <c r="JA197" s="610"/>
      <c r="JB197" s="610"/>
      <c r="JC197" s="610"/>
      <c r="JD197" s="610"/>
      <c r="JE197" s="610"/>
      <c r="JF197" s="610"/>
      <c r="JG197" s="610"/>
      <c r="JH197" s="610"/>
      <c r="JI197" s="610"/>
      <c r="JJ197" s="610"/>
      <c r="JK197" s="610"/>
      <c r="JL197" s="610"/>
      <c r="JM197" s="610"/>
      <c r="JN197" s="610"/>
      <c r="JO197" s="610"/>
      <c r="JP197" s="610"/>
      <c r="JQ197" s="610"/>
      <c r="JR197" s="610"/>
      <c r="JS197" s="610"/>
      <c r="JT197" s="610"/>
      <c r="JU197" s="610"/>
      <c r="JV197" s="610"/>
      <c r="JW197" s="610"/>
      <c r="JX197" s="610"/>
      <c r="JY197" s="610"/>
      <c r="JZ197" s="610"/>
      <c r="KA197" s="610"/>
      <c r="KB197" s="610"/>
      <c r="KC197" s="610"/>
      <c r="KD197" s="610"/>
      <c r="KE197" s="610"/>
      <c r="KF197" s="610"/>
      <c r="KG197" s="610"/>
      <c r="KH197" s="610"/>
      <c r="KI197" s="610"/>
      <c r="KJ197" s="610"/>
      <c r="KK197" s="610"/>
      <c r="KL197" s="610"/>
      <c r="KM197" s="610"/>
      <c r="KN197" s="610"/>
      <c r="KO197" s="610"/>
      <c r="KP197" s="610"/>
      <c r="KQ197" s="610"/>
      <c r="KR197" s="610"/>
      <c r="KS197" s="610"/>
      <c r="KT197" s="610"/>
      <c r="KU197" s="610"/>
      <c r="KV197" s="610"/>
      <c r="KW197" s="610"/>
      <c r="KX197" s="610"/>
      <c r="KY197" s="610"/>
      <c r="KZ197" s="610"/>
      <c r="LA197" s="610"/>
      <c r="LB197" s="610"/>
      <c r="LC197" s="610"/>
      <c r="LD197" s="610"/>
      <c r="LE197" s="610"/>
      <c r="LF197" s="610"/>
      <c r="LG197" s="610"/>
      <c r="LH197" s="610"/>
      <c r="LI197" s="610"/>
      <c r="LJ197" s="610"/>
      <c r="LK197" s="610"/>
      <c r="LL197" s="610"/>
      <c r="LM197" s="610"/>
      <c r="LN197" s="610"/>
      <c r="LO197" s="610"/>
      <c r="LP197" s="610"/>
      <c r="LQ197" s="610"/>
      <c r="LR197" s="610"/>
      <c r="LS197" s="610"/>
      <c r="LT197" s="610"/>
      <c r="LU197" s="610"/>
      <c r="LV197" s="610"/>
      <c r="LW197" s="610"/>
      <c r="LX197" s="610"/>
      <c r="LY197" s="610"/>
      <c r="LZ197" s="610"/>
      <c r="MA197" s="610"/>
      <c r="MB197" s="610"/>
      <c r="MC197" s="610"/>
      <c r="MD197" s="610"/>
      <c r="ME197" s="610"/>
      <c r="MF197" s="610"/>
      <c r="MG197" s="610"/>
      <c r="MH197" s="610"/>
      <c r="MI197" s="610"/>
      <c r="MJ197" s="610"/>
      <c r="MK197" s="610"/>
      <c r="ML197" s="610"/>
      <c r="MM197" s="610"/>
      <c r="MN197" s="610"/>
      <c r="MO197" s="610"/>
      <c r="MP197" s="610"/>
      <c r="MQ197" s="610"/>
      <c r="MR197" s="610"/>
      <c r="MS197" s="610"/>
      <c r="MT197" s="610"/>
      <c r="MU197" s="610"/>
      <c r="MV197" s="610"/>
      <c r="MW197" s="610"/>
      <c r="MX197" s="610"/>
      <c r="MY197" s="610"/>
      <c r="MZ197" s="610"/>
      <c r="NA197" s="610"/>
      <c r="NB197" s="610"/>
      <c r="NC197" s="610"/>
      <c r="ND197" s="610"/>
      <c r="NE197" s="610"/>
      <c r="NF197" s="610"/>
      <c r="NG197" s="610"/>
      <c r="NH197" s="610"/>
      <c r="NI197" s="610"/>
      <c r="NJ197" s="610"/>
      <c r="NK197" s="610"/>
      <c r="NL197" s="610"/>
      <c r="NM197" s="610"/>
      <c r="NN197" s="610"/>
      <c r="NO197" s="610"/>
      <c r="NP197" s="610"/>
      <c r="NQ197" s="610"/>
      <c r="NR197" s="610"/>
      <c r="NS197" s="610"/>
      <c r="NT197" s="610"/>
      <c r="NU197" s="610"/>
      <c r="NV197" s="610"/>
      <c r="NW197" s="610"/>
      <c r="NX197" s="610"/>
      <c r="NY197" s="610"/>
      <c r="NZ197" s="610"/>
      <c r="OA197" s="610"/>
      <c r="OB197" s="610"/>
      <c r="OC197" s="610"/>
      <c r="OD197" s="610"/>
      <c r="OE197" s="610"/>
      <c r="OF197" s="610"/>
      <c r="OG197" s="610"/>
      <c r="OH197" s="610"/>
      <c r="OI197" s="610"/>
      <c r="OJ197" s="610"/>
      <c r="OK197" s="610"/>
      <c r="OL197" s="610"/>
      <c r="OM197" s="610"/>
      <c r="ON197" s="610"/>
      <c r="OO197" s="610"/>
      <c r="OP197" s="610"/>
      <c r="OQ197" s="610"/>
      <c r="OR197" s="610"/>
      <c r="OS197" s="610"/>
      <c r="OT197" s="610"/>
      <c r="OU197" s="610"/>
      <c r="OV197" s="610"/>
      <c r="OW197" s="610"/>
      <c r="OX197" s="610"/>
      <c r="OY197" s="610"/>
      <c r="OZ197" s="610"/>
      <c r="PA197" s="610"/>
      <c r="PB197" s="610"/>
      <c r="PC197" s="610"/>
      <c r="PD197" s="610"/>
      <c r="PE197" s="610"/>
      <c r="PF197" s="610"/>
      <c r="PG197" s="610"/>
      <c r="PH197" s="610"/>
      <c r="PI197" s="610"/>
      <c r="PJ197" s="610"/>
      <c r="PK197" s="610"/>
      <c r="PL197" s="610"/>
      <c r="PM197" s="610"/>
      <c r="PN197" s="610"/>
      <c r="PO197" s="610"/>
      <c r="PP197" s="610"/>
      <c r="PQ197" s="610"/>
      <c r="PR197" s="610"/>
      <c r="PS197" s="610"/>
      <c r="PT197" s="610"/>
      <c r="PU197" s="610"/>
      <c r="PV197" s="610"/>
      <c r="PW197" s="610"/>
      <c r="PX197" s="610"/>
      <c r="PY197" s="610"/>
      <c r="PZ197" s="610"/>
      <c r="QA197" s="610"/>
      <c r="QB197" s="610"/>
      <c r="QC197" s="610"/>
      <c r="QD197" s="610"/>
      <c r="QE197" s="610"/>
      <c r="QF197" s="610"/>
      <c r="QG197" s="610"/>
      <c r="QH197" s="610"/>
      <c r="QI197" s="610"/>
      <c r="QJ197" s="610"/>
    </row>
    <row r="198" spans="1:452" s="524" customFormat="1" ht="18" x14ac:dyDescent="0.35">
      <c r="A198" s="605"/>
      <c r="B198" s="558"/>
      <c r="C198" s="559"/>
      <c r="D198" s="559"/>
      <c r="E198" s="572" t="s">
        <v>86</v>
      </c>
      <c r="F198" s="571" cm="1">
        <f t="array" ref="F198">SUMPRODUCT(F$14:F$43,--($Q$14:$Q$43=TRUE),--($D$14:$D$43=$D193))</f>
        <v>0</v>
      </c>
      <c r="G198" s="571" cm="1">
        <f t="array" ref="G198">SUMPRODUCT(G$14:G$43,--($Q$14:$Q$43=TRUE),--($D$14:$D$43=$D193))</f>
        <v>0</v>
      </c>
      <c r="H198" s="571" cm="1">
        <f t="array" ref="H198">SUMPRODUCT(H$14:H$43,--($Q$14:$Q$43=TRUE),--($D$14:$D$43=$D193))</f>
        <v>0</v>
      </c>
      <c r="I198" s="571" cm="1">
        <f t="array" ref="I198">SUMPRODUCT(I$14:I$43,--($Q$14:$Q$43=TRUE),--($D$14:$D$43=$D193))</f>
        <v>0</v>
      </c>
      <c r="J198" s="571" cm="1">
        <f t="array" ref="J198">SUMPRODUCT(J$14:J$43,--($Q$14:$Q$43=TRUE),--($D$14:$D$43=$D193))</f>
        <v>0</v>
      </c>
      <c r="K198" s="571" cm="1">
        <f t="array" ref="K198">SUMPRODUCT(K$14:K$43,--($Q$14:$Q$43=TRUE),--($D$14:$D$43=$D193))</f>
        <v>0</v>
      </c>
      <c r="L198" s="571" cm="1">
        <f t="array" ref="L198">SUMPRODUCT(L$14:L$43,--($Q$14:$Q$43=TRUE),--($D$14:$D$43=$D193))</f>
        <v>0</v>
      </c>
      <c r="M198" s="571" cm="1">
        <f t="array" ref="M198">SUMPRODUCT(M$14:M$43,--($Q$14:$Q$43=TRUE),--($D$14:$D$43=$D193))</f>
        <v>0</v>
      </c>
      <c r="N198" s="571" cm="1">
        <f t="array" ref="N198">SUMPRODUCT(N$14:N$43,--($Q$14:$Q$43=TRUE),--($D$14:$D$43=$D193))</f>
        <v>0</v>
      </c>
      <c r="O198" s="571" cm="1">
        <f t="array" ref="O198">SUMPRODUCT(O$14:O$43,--($Q$14:$Q$43=TRUE),--($D$14:$D$43=$D193))</f>
        <v>0</v>
      </c>
      <c r="P198" s="607">
        <f t="shared" si="55"/>
        <v>0</v>
      </c>
      <c r="Q198" s="575"/>
      <c r="R198" s="576"/>
      <c r="S198" s="576"/>
      <c r="T198" s="576"/>
      <c r="U198" s="577"/>
    </row>
    <row r="199" spans="1:452" s="524" customFormat="1" ht="18" x14ac:dyDescent="0.35">
      <c r="A199" s="605"/>
      <c r="C199" s="559"/>
      <c r="D199" s="559"/>
      <c r="E199" s="572" t="s">
        <v>87</v>
      </c>
      <c r="F199" s="571" cm="1">
        <f t="array" ref="F199">SUMPRODUCT(F$14:F$43,--($Q$14:$Q$43=TRUE),--($D$14:$D$43=$D197),--($R$14:$R$43="Yes"))*0.1</f>
        <v>0</v>
      </c>
      <c r="G199" s="571" cm="1">
        <f t="array" ref="G199">SUMPRODUCT(G$14:G$43,--($Q$14:$Q$43=TRUE),--($D$14:$D$43=$D197),--($R$14:$R$43="Yes"))*0.1</f>
        <v>0</v>
      </c>
      <c r="H199" s="571" cm="1">
        <f t="array" ref="H199">SUMPRODUCT(H$14:H$43,--($Q$14:$Q$43=TRUE),--($D$14:$D$43=$D197),--($R$14:$R$43="Yes"))*0.1</f>
        <v>0</v>
      </c>
      <c r="I199" s="571" cm="1">
        <f t="array" ref="I199">SUMPRODUCT(I$14:I$43,--($Q$14:$Q$43=TRUE),--($D$14:$D$43=$D197),--($R$14:$R$43="Yes"))*0.1</f>
        <v>0</v>
      </c>
      <c r="J199" s="571" cm="1">
        <f t="array" ref="J199">SUMPRODUCT(J$14:J$43,--($Q$14:$Q$43=TRUE),--($D$14:$D$43=$D197),--($R$14:$R$43="Yes"))*0.1</f>
        <v>0</v>
      </c>
      <c r="K199" s="571" cm="1">
        <f t="array" ref="K199">SUMPRODUCT(K$14:K$43,--($Q$14:$Q$43=TRUE),--($D$14:$D$43=$D197),--($R$14:$R$43="Yes"))*0.1</f>
        <v>0</v>
      </c>
      <c r="L199" s="571" cm="1">
        <f t="array" ref="L199">SUMPRODUCT(L$14:L$43,--($Q$14:$Q$43=TRUE),--($D$14:$D$43=$D197),--($R$14:$R$43="Yes"))*0.1</f>
        <v>0</v>
      </c>
      <c r="M199" s="571" cm="1">
        <f t="array" ref="M199">SUMPRODUCT(M$14:M$43,--($Q$14:$Q$43=TRUE),--($D$14:$D$43=$D197),--($R$14:$R$43="Yes"))*0.1</f>
        <v>0</v>
      </c>
      <c r="N199" s="571" cm="1">
        <f t="array" ref="N199">SUMPRODUCT(N$14:N$43,--($Q$14:$Q$43=TRUE),--($D$14:$D$43=$D197),--($R$14:$R$43="Yes"))*0.1</f>
        <v>0</v>
      </c>
      <c r="O199" s="571" cm="1">
        <f t="array" ref="O199">SUMPRODUCT(O$14:O$43,--($Q$14:$Q$43=TRUE),--($D$14:$D$43=$D197),--($R$14:$R$43="Yes"))*0.1</f>
        <v>0</v>
      </c>
      <c r="P199" s="607">
        <f t="shared" si="55"/>
        <v>0</v>
      </c>
      <c r="Q199" s="575"/>
      <c r="R199" s="576"/>
      <c r="S199" s="576"/>
      <c r="T199" s="576"/>
      <c r="U199" s="577"/>
    </row>
    <row r="200" spans="1:452" s="524" customFormat="1" ht="18" x14ac:dyDescent="0.35">
      <c r="A200" s="605"/>
      <c r="B200" s="558"/>
      <c r="C200" s="559"/>
      <c r="D200" s="559"/>
      <c r="E200" s="572" t="s">
        <v>88</v>
      </c>
      <c r="F200" s="571">
        <f>F197-(F198+F199)</f>
        <v>0</v>
      </c>
      <c r="G200" s="571">
        <f t="shared" ref="G200:O200" si="58">G197-(G198+G199)</f>
        <v>0</v>
      </c>
      <c r="H200" s="571">
        <f t="shared" si="58"/>
        <v>0</v>
      </c>
      <c r="I200" s="571">
        <f t="shared" si="58"/>
        <v>0</v>
      </c>
      <c r="J200" s="571">
        <f t="shared" si="58"/>
        <v>0</v>
      </c>
      <c r="K200" s="571">
        <f t="shared" si="58"/>
        <v>0</v>
      </c>
      <c r="L200" s="571">
        <f t="shared" si="58"/>
        <v>0</v>
      </c>
      <c r="M200" s="571">
        <f t="shared" si="58"/>
        <v>0</v>
      </c>
      <c r="N200" s="571">
        <f t="shared" si="58"/>
        <v>0</v>
      </c>
      <c r="O200" s="571">
        <f t="shared" si="58"/>
        <v>0</v>
      </c>
      <c r="P200" s="607">
        <f t="shared" si="55"/>
        <v>0</v>
      </c>
      <c r="Q200" s="575"/>
      <c r="R200" s="576"/>
      <c r="S200" s="576"/>
      <c r="T200" s="576"/>
      <c r="U200" s="577"/>
    </row>
    <row r="201" spans="1:452" s="592" customFormat="1" ht="18" x14ac:dyDescent="0.35">
      <c r="A201" s="618"/>
      <c r="B201" s="619"/>
      <c r="C201" s="620"/>
      <c r="D201" s="619" t="s">
        <v>121</v>
      </c>
      <c r="E201" s="621"/>
      <c r="F201" s="622" cm="1">
        <f t="array" ref="F201">SUMPRODUCT(F$14:F$43,--($D$14:$D$43=$D201),--($Q$14:$Q$43=FALSE),$S$14:$S$43,--($S$14:$S$43&gt;0))+SUMPRODUCT(F$14:F$43,--($D$14:$D$43=$D201),--($Q$14:$Q$43=FALSE),$S$14:$S$43,--($S$14:$S$43&gt;0),--($R$14:$R$43="Yes"))*0.1+SUMPRODUCT(F$14:F$43,--($D$14:$D$43=$D201),--($Q$14:$Q$43=FALSE),--($S$14:$S$43=0))+SUMPRODUCT(F$14:F$43,--($D$14:$D$43=$D201),--($Q$14:$Q$43=FALSE),--($R$14:$R$43="Yes"),--($S$14:$S$43=0))*0.1</f>
        <v>0</v>
      </c>
      <c r="G201" s="622" cm="1">
        <f t="array" ref="G201">SUMPRODUCT(G$14:G$43,--($D$14:$D$43=$D201),--($Q$14:$Q$43=FALSE),$S$14:$S$43,--($S$14:$S$43&gt;0))+SUMPRODUCT(G$14:G$43,--($D$14:$D$43=$D201),--($Q$14:$Q$43=FALSE),$S$14:$S$43,--($S$14:$S$43&gt;0),--($R$14:$R$43="Yes"))*0.1+SUMPRODUCT(G$14:G$43,--($D$14:$D$43=$D201),--($Q$14:$Q$43=FALSE),--($S$14:$S$43=0))+SUMPRODUCT(G$14:G$43,--($D$14:$D$43=$D201),--($Q$14:$Q$43=FALSE),--($R$14:$R$43="Yes"),--($S$14:$S$43=0))*0.1</f>
        <v>0</v>
      </c>
      <c r="H201" s="622" cm="1">
        <f t="array" ref="H201">SUMPRODUCT(H$14:H$43,--($D$14:$D$43=$D201),--($Q$14:$Q$43=FALSE),$S$14:$S$43,--($S$14:$S$43&gt;0))+SUMPRODUCT(H$14:H$43,--($D$14:$D$43=$D201),--($Q$14:$Q$43=FALSE),$S$14:$S$43,--($S$14:$S$43&gt;0),--($R$14:$R$43="Yes"))*0.1+SUMPRODUCT(H$14:H$43,--($D$14:$D$43=$D201),--($Q$14:$Q$43=FALSE),--($S$14:$S$43=0))+SUMPRODUCT(H$14:H$43,--($D$14:$D$43=$D201),--($Q$14:$Q$43=FALSE),--($R$14:$R$43="Yes"),--($S$14:$S$43=0))*0.1</f>
        <v>0</v>
      </c>
      <c r="I201" s="622" cm="1">
        <f t="array" ref="I201">SUMPRODUCT(I$14:I$43,--($D$14:$D$43=$D201),--($Q$14:$Q$43=FALSE),$S$14:$S$43,--($S$14:$S$43&gt;0))+SUMPRODUCT(I$14:I$43,--($D$14:$D$43=$D201),--($Q$14:$Q$43=FALSE),$S$14:$S$43,--($S$14:$S$43&gt;0),--($R$14:$R$43="Yes"))*0.1+SUMPRODUCT(I$14:I$43,--($D$14:$D$43=$D201),--($Q$14:$Q$43=FALSE),--($S$14:$S$43=0))+SUMPRODUCT(I$14:I$43,--($D$14:$D$43=$D201),--($Q$14:$Q$43=FALSE),--($R$14:$R$43="Yes"),--($S$14:$S$43=0))*0.1</f>
        <v>0</v>
      </c>
      <c r="J201" s="622" cm="1">
        <f t="array" ref="J201">SUMPRODUCT(J$14:J$43,--($D$14:$D$43=$D201),--($Q$14:$Q$43=FALSE),$S$14:$S$43,--($S$14:$S$43&gt;0))+SUMPRODUCT(J$14:J$43,--($D$14:$D$43=$D201),--($Q$14:$Q$43=FALSE),$S$14:$S$43,--($S$14:$S$43&gt;0),--($R$14:$R$43="Yes"))*0.1+SUMPRODUCT(J$14:J$43,--($D$14:$D$43=$D201),--($Q$14:$Q$43=FALSE),--($S$14:$S$43=0))+SUMPRODUCT(J$14:J$43,--($D$14:$D$43=$D201),--($Q$14:$Q$43=FALSE),--($R$14:$R$43="Yes"),--($S$14:$S$43=0))*0.1</f>
        <v>0</v>
      </c>
      <c r="K201" s="622" cm="1">
        <f t="array" ref="K201">SUMPRODUCT(K$14:K$43,--($D$14:$D$43=$D201),--($Q$14:$Q$43=FALSE),$S$14:$S$43,--($S$14:$S$43&gt;0))+SUMPRODUCT(K$14:K$43,--($D$14:$D$43=$D201),--($Q$14:$Q$43=FALSE),$S$14:$S$43,--($S$14:$S$43&gt;0),--($R$14:$R$43="Yes"))*0.1+SUMPRODUCT(K$14:K$43,--($D$14:$D$43=$D201),--($Q$14:$Q$43=FALSE),--($S$14:$S$43=0))+SUMPRODUCT(K$14:K$43,--($D$14:$D$43=$D201),--($Q$14:$Q$43=FALSE),--($R$14:$R$43="Yes"),--($S$14:$S$43=0))*0.1</f>
        <v>0</v>
      </c>
      <c r="L201" s="622" cm="1">
        <f t="array" ref="L201">SUMPRODUCT(L$14:L$43,--($D$14:$D$43=$D201),--($Q$14:$Q$43=FALSE),$S$14:$S$43,--($S$14:$S$43&gt;0))+SUMPRODUCT(L$14:L$43,--($D$14:$D$43=$D201),--($Q$14:$Q$43=FALSE),$S$14:$S$43,--($S$14:$S$43&gt;0),--($R$14:$R$43="Yes"))*0.1+SUMPRODUCT(L$14:L$43,--($D$14:$D$43=$D201),--($Q$14:$Q$43=FALSE),--($S$14:$S$43=0))+SUMPRODUCT(L$14:L$43,--($D$14:$D$43=$D201),--($Q$14:$Q$43=FALSE),--($R$14:$R$43="Yes"),--($S$14:$S$43=0))*0.1</f>
        <v>0</v>
      </c>
      <c r="M201" s="622" cm="1">
        <f t="array" ref="M201">SUMPRODUCT(M$14:M$43,--($D$14:$D$43=$D201),--($Q$14:$Q$43=FALSE),$S$14:$S$43,--($S$14:$S$43&gt;0))+SUMPRODUCT(M$14:M$43,--($D$14:$D$43=$D201),--($Q$14:$Q$43=FALSE),$S$14:$S$43,--($S$14:$S$43&gt;0),--($R$14:$R$43="Yes"))*0.1+SUMPRODUCT(M$14:M$43,--($D$14:$D$43=$D201),--($Q$14:$Q$43=FALSE),--($S$14:$S$43=0))+SUMPRODUCT(M$14:M$43,--($D$14:$D$43=$D201),--($Q$14:$Q$43=FALSE),--($R$14:$R$43="Yes"),--($S$14:$S$43=0))*0.1</f>
        <v>0</v>
      </c>
      <c r="N201" s="622" cm="1">
        <f t="array" ref="N201">SUMPRODUCT(N$14:N$43,--($D$14:$D$43=$D201),--($Q$14:$Q$43=FALSE),$S$14:$S$43,--($S$14:$S$43&gt;0))+SUMPRODUCT(N$14:N$43,--($D$14:$D$43=$D201),--($Q$14:$Q$43=FALSE),$S$14:$S$43,--($S$14:$S$43&gt;0),--($R$14:$R$43="Yes"))*0.1+SUMPRODUCT(N$14:N$43,--($D$14:$D$43=$D201),--($Q$14:$Q$43=FALSE),--($S$14:$S$43=0))+SUMPRODUCT(N$14:N$43,--($D$14:$D$43=$D201),--($Q$14:$Q$43=FALSE),--($R$14:$R$43="Yes"),--($S$14:$S$43=0))*0.1</f>
        <v>0</v>
      </c>
      <c r="O201" s="622" cm="1">
        <f t="array" ref="O201">SUMPRODUCT(O$14:O$43,--($D$14:$D$43=$D201),--($Q$14:$Q$43=FALSE),$S$14:$S$43,--($S$14:$S$43&gt;0))+SUMPRODUCT(O$14:O$43,--($D$14:$D$43=$D201),--($Q$14:$Q$43=FALSE),$S$14:$S$43,--($S$14:$S$43&gt;0),--($R$14:$R$43="Yes"))*0.1+SUMPRODUCT(O$14:O$43,--($D$14:$D$43=$D201),--($Q$14:$Q$43=FALSE),--($S$14:$S$43=0))+SUMPRODUCT(O$14:O$43,--($D$14:$D$43=$D201),--($Q$14:$Q$43=FALSE),--($R$14:$R$43="Yes"),--($S$14:$S$43=0))*0.1</f>
        <v>0</v>
      </c>
      <c r="P201" s="623">
        <f t="shared" si="55"/>
        <v>0</v>
      </c>
      <c r="Q201" s="575"/>
      <c r="R201" s="576"/>
      <c r="S201" s="576"/>
      <c r="T201" s="576"/>
      <c r="U201" s="577"/>
      <c r="V201" s="610"/>
      <c r="W201" s="610"/>
      <c r="X201" s="610"/>
      <c r="Y201" s="610"/>
      <c r="Z201" s="610"/>
      <c r="AA201" s="610"/>
      <c r="AB201" s="610"/>
      <c r="AC201" s="610"/>
      <c r="AD201" s="610"/>
      <c r="AE201" s="610"/>
      <c r="AF201" s="610"/>
      <c r="AG201" s="610"/>
      <c r="AH201" s="610"/>
      <c r="AI201" s="610"/>
      <c r="AJ201" s="610"/>
      <c r="AK201" s="610"/>
      <c r="AL201" s="610"/>
      <c r="AM201" s="610"/>
      <c r="AN201" s="610"/>
      <c r="AO201" s="610"/>
      <c r="AP201" s="610"/>
      <c r="AQ201" s="610"/>
      <c r="AR201" s="610"/>
      <c r="AS201" s="610"/>
      <c r="AT201" s="610"/>
      <c r="AU201" s="610"/>
      <c r="AV201" s="610"/>
      <c r="AW201" s="610"/>
      <c r="AX201" s="610"/>
      <c r="AY201" s="610"/>
      <c r="AZ201" s="610"/>
      <c r="BA201" s="610"/>
      <c r="BB201" s="610"/>
      <c r="BC201" s="610"/>
      <c r="BD201" s="610"/>
      <c r="BE201" s="610"/>
      <c r="BF201" s="610"/>
      <c r="BG201" s="610"/>
      <c r="BH201" s="610"/>
      <c r="BI201" s="610"/>
      <c r="BJ201" s="610"/>
      <c r="BK201" s="610"/>
      <c r="BL201" s="610"/>
      <c r="BM201" s="610"/>
      <c r="BN201" s="610"/>
      <c r="BO201" s="610"/>
      <c r="BP201" s="610"/>
      <c r="BQ201" s="610"/>
      <c r="BR201" s="610"/>
      <c r="BS201" s="610"/>
      <c r="BT201" s="610"/>
      <c r="BU201" s="610"/>
      <c r="BV201" s="610"/>
      <c r="BW201" s="610"/>
      <c r="BX201" s="610"/>
      <c r="BY201" s="610"/>
      <c r="BZ201" s="610"/>
      <c r="CA201" s="610"/>
      <c r="CB201" s="610"/>
      <c r="CC201" s="610"/>
      <c r="CD201" s="610"/>
      <c r="CE201" s="610"/>
      <c r="CF201" s="610"/>
      <c r="CG201" s="610"/>
      <c r="CH201" s="610"/>
      <c r="CI201" s="610"/>
      <c r="CJ201" s="610"/>
      <c r="CK201" s="610"/>
      <c r="CL201" s="610"/>
      <c r="CM201" s="610"/>
      <c r="CN201" s="610"/>
      <c r="CO201" s="610"/>
      <c r="CP201" s="610"/>
      <c r="CQ201" s="610"/>
      <c r="CR201" s="610"/>
      <c r="CS201" s="610"/>
      <c r="CT201" s="610"/>
      <c r="CU201" s="610"/>
      <c r="CV201" s="610"/>
      <c r="CW201" s="610"/>
      <c r="CX201" s="610"/>
      <c r="CY201" s="610"/>
      <c r="CZ201" s="610"/>
      <c r="DA201" s="610"/>
      <c r="DB201" s="610"/>
      <c r="DC201" s="610"/>
      <c r="DD201" s="610"/>
      <c r="DE201" s="610"/>
      <c r="DF201" s="610"/>
      <c r="DG201" s="610"/>
      <c r="DH201" s="610"/>
      <c r="DI201" s="610"/>
      <c r="DJ201" s="610"/>
      <c r="DK201" s="610"/>
      <c r="DL201" s="610"/>
      <c r="DM201" s="610"/>
      <c r="DN201" s="610"/>
      <c r="DO201" s="610"/>
      <c r="DP201" s="610"/>
      <c r="DQ201" s="610"/>
      <c r="DR201" s="610"/>
      <c r="DS201" s="610"/>
      <c r="DT201" s="610"/>
      <c r="DU201" s="610"/>
      <c r="DV201" s="610"/>
      <c r="DW201" s="610"/>
      <c r="DX201" s="610"/>
      <c r="DY201" s="610"/>
      <c r="DZ201" s="610"/>
      <c r="EA201" s="610"/>
      <c r="EB201" s="610"/>
      <c r="EC201" s="610"/>
      <c r="ED201" s="610"/>
      <c r="EE201" s="610"/>
      <c r="EF201" s="610"/>
      <c r="EG201" s="610"/>
      <c r="EH201" s="610"/>
      <c r="EI201" s="610"/>
      <c r="EJ201" s="610"/>
      <c r="EK201" s="610"/>
      <c r="EL201" s="610"/>
      <c r="EM201" s="610"/>
      <c r="EN201" s="610"/>
      <c r="EO201" s="610"/>
      <c r="EP201" s="610"/>
      <c r="EQ201" s="610"/>
      <c r="ER201" s="610"/>
      <c r="ES201" s="610"/>
      <c r="ET201" s="610"/>
      <c r="EU201" s="610"/>
      <c r="EV201" s="610"/>
      <c r="EW201" s="610"/>
      <c r="EX201" s="610"/>
      <c r="EY201" s="610"/>
      <c r="EZ201" s="610"/>
      <c r="FA201" s="610"/>
      <c r="FB201" s="610"/>
      <c r="FC201" s="610"/>
      <c r="FD201" s="610"/>
      <c r="FE201" s="610"/>
      <c r="FF201" s="610"/>
      <c r="FG201" s="610"/>
      <c r="FH201" s="610"/>
      <c r="FI201" s="610"/>
      <c r="FJ201" s="610"/>
      <c r="FK201" s="610"/>
      <c r="FL201" s="610"/>
      <c r="FM201" s="610"/>
      <c r="FN201" s="610"/>
      <c r="FO201" s="610"/>
      <c r="FP201" s="610"/>
      <c r="FQ201" s="610"/>
      <c r="FR201" s="610"/>
      <c r="FS201" s="610"/>
      <c r="FT201" s="610"/>
      <c r="FU201" s="610"/>
      <c r="FV201" s="610"/>
      <c r="FW201" s="610"/>
      <c r="FX201" s="610"/>
      <c r="FY201" s="610"/>
      <c r="FZ201" s="610"/>
      <c r="GA201" s="610"/>
      <c r="GB201" s="610"/>
      <c r="GC201" s="610"/>
      <c r="GD201" s="610"/>
      <c r="GE201" s="610"/>
      <c r="GF201" s="610"/>
      <c r="GG201" s="610"/>
      <c r="GH201" s="610"/>
      <c r="GI201" s="610"/>
      <c r="GJ201" s="610"/>
      <c r="GK201" s="610"/>
      <c r="GL201" s="610"/>
      <c r="GM201" s="610"/>
      <c r="GN201" s="610"/>
      <c r="GO201" s="610"/>
      <c r="GP201" s="610"/>
      <c r="GQ201" s="610"/>
      <c r="GR201" s="610"/>
      <c r="GS201" s="610"/>
      <c r="GT201" s="610"/>
      <c r="GU201" s="610"/>
      <c r="GV201" s="610"/>
      <c r="GW201" s="610"/>
      <c r="GX201" s="610"/>
      <c r="GY201" s="610"/>
      <c r="GZ201" s="610"/>
      <c r="HA201" s="610"/>
      <c r="HB201" s="610"/>
      <c r="HC201" s="610"/>
      <c r="HD201" s="610"/>
      <c r="HE201" s="610"/>
      <c r="HF201" s="610"/>
      <c r="HG201" s="610"/>
      <c r="HH201" s="610"/>
      <c r="HI201" s="610"/>
      <c r="HJ201" s="610"/>
      <c r="HK201" s="610"/>
      <c r="HL201" s="610"/>
      <c r="HM201" s="610"/>
      <c r="HN201" s="610"/>
      <c r="HO201" s="610"/>
      <c r="HP201" s="610"/>
      <c r="HQ201" s="610"/>
      <c r="HR201" s="610"/>
      <c r="HS201" s="610"/>
      <c r="HT201" s="610"/>
      <c r="HU201" s="610"/>
      <c r="HV201" s="610"/>
      <c r="HW201" s="610"/>
      <c r="HX201" s="610"/>
      <c r="HY201" s="610"/>
      <c r="HZ201" s="610"/>
      <c r="IA201" s="610"/>
      <c r="IB201" s="610"/>
      <c r="IC201" s="610"/>
      <c r="ID201" s="610"/>
      <c r="IE201" s="610"/>
      <c r="IF201" s="610"/>
      <c r="IG201" s="610"/>
      <c r="IH201" s="610"/>
      <c r="II201" s="610"/>
      <c r="IJ201" s="610"/>
      <c r="IK201" s="610"/>
      <c r="IL201" s="610"/>
      <c r="IM201" s="610"/>
      <c r="IN201" s="610"/>
      <c r="IO201" s="610"/>
      <c r="IP201" s="610"/>
      <c r="IQ201" s="610"/>
      <c r="IR201" s="610"/>
      <c r="IS201" s="610"/>
      <c r="IT201" s="610"/>
      <c r="IU201" s="610"/>
      <c r="IV201" s="610"/>
      <c r="IW201" s="610"/>
      <c r="IX201" s="610"/>
      <c r="IY201" s="610"/>
      <c r="IZ201" s="610"/>
      <c r="JA201" s="610"/>
      <c r="JB201" s="610"/>
      <c r="JC201" s="610"/>
      <c r="JD201" s="610"/>
      <c r="JE201" s="610"/>
      <c r="JF201" s="610"/>
      <c r="JG201" s="610"/>
      <c r="JH201" s="610"/>
      <c r="JI201" s="610"/>
      <c r="JJ201" s="610"/>
      <c r="JK201" s="610"/>
      <c r="JL201" s="610"/>
      <c r="JM201" s="610"/>
      <c r="JN201" s="610"/>
      <c r="JO201" s="610"/>
      <c r="JP201" s="610"/>
      <c r="JQ201" s="610"/>
      <c r="JR201" s="610"/>
      <c r="JS201" s="610"/>
      <c r="JT201" s="610"/>
      <c r="JU201" s="610"/>
      <c r="JV201" s="610"/>
      <c r="JW201" s="610"/>
      <c r="JX201" s="610"/>
      <c r="JY201" s="610"/>
      <c r="JZ201" s="610"/>
      <c r="KA201" s="610"/>
      <c r="KB201" s="610"/>
      <c r="KC201" s="610"/>
      <c r="KD201" s="610"/>
      <c r="KE201" s="610"/>
      <c r="KF201" s="610"/>
      <c r="KG201" s="610"/>
      <c r="KH201" s="610"/>
      <c r="KI201" s="610"/>
      <c r="KJ201" s="610"/>
      <c r="KK201" s="610"/>
      <c r="KL201" s="610"/>
      <c r="KM201" s="610"/>
      <c r="KN201" s="610"/>
      <c r="KO201" s="610"/>
      <c r="KP201" s="610"/>
      <c r="KQ201" s="610"/>
      <c r="KR201" s="610"/>
      <c r="KS201" s="610"/>
      <c r="KT201" s="610"/>
      <c r="KU201" s="610"/>
      <c r="KV201" s="610"/>
      <c r="KW201" s="610"/>
      <c r="KX201" s="610"/>
      <c r="KY201" s="610"/>
      <c r="KZ201" s="610"/>
      <c r="LA201" s="610"/>
      <c r="LB201" s="610"/>
      <c r="LC201" s="610"/>
      <c r="LD201" s="610"/>
      <c r="LE201" s="610"/>
      <c r="LF201" s="610"/>
      <c r="LG201" s="610"/>
      <c r="LH201" s="610"/>
      <c r="LI201" s="610"/>
      <c r="LJ201" s="610"/>
      <c r="LK201" s="610"/>
      <c r="LL201" s="610"/>
      <c r="LM201" s="610"/>
      <c r="LN201" s="610"/>
      <c r="LO201" s="610"/>
      <c r="LP201" s="610"/>
      <c r="LQ201" s="610"/>
      <c r="LR201" s="610"/>
      <c r="LS201" s="610"/>
      <c r="LT201" s="610"/>
      <c r="LU201" s="610"/>
      <c r="LV201" s="610"/>
      <c r="LW201" s="610"/>
      <c r="LX201" s="610"/>
      <c r="LY201" s="610"/>
      <c r="LZ201" s="610"/>
      <c r="MA201" s="610"/>
      <c r="MB201" s="610"/>
      <c r="MC201" s="610"/>
      <c r="MD201" s="610"/>
      <c r="ME201" s="610"/>
      <c r="MF201" s="610"/>
      <c r="MG201" s="610"/>
      <c r="MH201" s="610"/>
      <c r="MI201" s="610"/>
      <c r="MJ201" s="610"/>
      <c r="MK201" s="610"/>
      <c r="ML201" s="610"/>
      <c r="MM201" s="610"/>
      <c r="MN201" s="610"/>
      <c r="MO201" s="610"/>
      <c r="MP201" s="610"/>
      <c r="MQ201" s="610"/>
      <c r="MR201" s="610"/>
      <c r="MS201" s="610"/>
      <c r="MT201" s="610"/>
      <c r="MU201" s="610"/>
      <c r="MV201" s="610"/>
      <c r="MW201" s="610"/>
      <c r="MX201" s="610"/>
      <c r="MY201" s="610"/>
      <c r="MZ201" s="610"/>
      <c r="NA201" s="610"/>
      <c r="NB201" s="610"/>
      <c r="NC201" s="610"/>
      <c r="ND201" s="610"/>
      <c r="NE201" s="610"/>
      <c r="NF201" s="610"/>
      <c r="NG201" s="610"/>
      <c r="NH201" s="610"/>
      <c r="NI201" s="610"/>
      <c r="NJ201" s="610"/>
      <c r="NK201" s="610"/>
      <c r="NL201" s="610"/>
      <c r="NM201" s="610"/>
      <c r="NN201" s="610"/>
      <c r="NO201" s="610"/>
      <c r="NP201" s="610"/>
      <c r="NQ201" s="610"/>
      <c r="NR201" s="610"/>
      <c r="NS201" s="610"/>
      <c r="NT201" s="610"/>
      <c r="NU201" s="610"/>
      <c r="NV201" s="610"/>
      <c r="NW201" s="610"/>
      <c r="NX201" s="610"/>
      <c r="NY201" s="610"/>
      <c r="NZ201" s="610"/>
      <c r="OA201" s="610"/>
      <c r="OB201" s="610"/>
      <c r="OC201" s="610"/>
      <c r="OD201" s="610"/>
      <c r="OE201" s="610"/>
      <c r="OF201" s="610"/>
      <c r="OG201" s="610"/>
      <c r="OH201" s="610"/>
      <c r="OI201" s="610"/>
      <c r="OJ201" s="610"/>
      <c r="OK201" s="610"/>
      <c r="OL201" s="610"/>
      <c r="OM201" s="610"/>
      <c r="ON201" s="610"/>
      <c r="OO201" s="610"/>
      <c r="OP201" s="610"/>
      <c r="OQ201" s="610"/>
      <c r="OR201" s="610"/>
      <c r="OS201" s="610"/>
      <c r="OT201" s="610"/>
      <c r="OU201" s="610"/>
      <c r="OV201" s="610"/>
      <c r="OW201" s="610"/>
      <c r="OX201" s="610"/>
      <c r="OY201" s="610"/>
      <c r="OZ201" s="610"/>
      <c r="PA201" s="610"/>
      <c r="PB201" s="610"/>
      <c r="PC201" s="610"/>
      <c r="PD201" s="610"/>
      <c r="PE201" s="610"/>
      <c r="PF201" s="610"/>
      <c r="PG201" s="610"/>
      <c r="PH201" s="610"/>
      <c r="PI201" s="610"/>
      <c r="PJ201" s="610"/>
      <c r="PK201" s="610"/>
      <c r="PL201" s="610"/>
      <c r="PM201" s="610"/>
      <c r="PN201" s="610"/>
      <c r="PO201" s="610"/>
      <c r="PP201" s="610"/>
      <c r="PQ201" s="610"/>
      <c r="PR201" s="610"/>
      <c r="PS201" s="610"/>
      <c r="PT201" s="610"/>
      <c r="PU201" s="610"/>
      <c r="PV201" s="610"/>
      <c r="PW201" s="610"/>
      <c r="PX201" s="610"/>
      <c r="PY201" s="610"/>
      <c r="PZ201" s="610"/>
      <c r="QA201" s="610"/>
      <c r="QB201" s="610"/>
      <c r="QC201" s="610"/>
      <c r="QD201" s="610"/>
      <c r="QE201" s="610"/>
      <c r="QF201" s="610"/>
      <c r="QG201" s="610"/>
      <c r="QH201" s="610"/>
      <c r="QI201" s="610"/>
      <c r="QJ201" s="610"/>
    </row>
    <row r="202" spans="1:452" s="524" customFormat="1" ht="18" x14ac:dyDescent="0.35">
      <c r="A202" s="605"/>
      <c r="B202" s="558"/>
      <c r="C202" s="559"/>
      <c r="D202" s="606"/>
      <c r="E202" s="572" t="s">
        <v>86</v>
      </c>
      <c r="F202" s="571" cm="1">
        <f t="array" ref="F202">SUMPRODUCT(F$14:F$43,--($Q$14:$Q$43=FALSE),--($D$14:$D$43=$D201))</f>
        <v>0</v>
      </c>
      <c r="G202" s="571" cm="1">
        <f t="array" ref="G202">SUMPRODUCT(G$14:G$43,--($Q$14:$Q$43=FALSE),--($D$14:$D$43=$D201))</f>
        <v>0</v>
      </c>
      <c r="H202" s="571" cm="1">
        <f t="array" ref="H202">SUMPRODUCT(H$14:H$43,--($Q$14:$Q$43=FALSE),--($D$14:$D$43=$D201))</f>
        <v>0</v>
      </c>
      <c r="I202" s="571" cm="1">
        <f t="array" ref="I202">SUMPRODUCT(I$14:I$43,--($Q$14:$Q$43=FALSE),--($D$14:$D$43=$D201))</f>
        <v>0</v>
      </c>
      <c r="J202" s="571" cm="1">
        <f t="array" ref="J202">SUMPRODUCT(J$14:J$43,--($Q$14:$Q$43=FALSE),--($D$14:$D$43=$D201))</f>
        <v>0</v>
      </c>
      <c r="K202" s="571" cm="1">
        <f t="array" ref="K202">SUMPRODUCT(K$14:K$43,--($Q$14:$Q$43=FALSE),--($D$14:$D$43=$D201))</f>
        <v>0</v>
      </c>
      <c r="L202" s="571" cm="1">
        <f t="array" ref="L202">SUMPRODUCT(L$14:L$43,--($Q$14:$Q$43=FALSE),--($D$14:$D$43=$D201))</f>
        <v>0</v>
      </c>
      <c r="M202" s="571" cm="1">
        <f t="array" ref="M202">SUMPRODUCT(M$14:M$43,--($Q$14:$Q$43=FALSE),--($D$14:$D$43=$D201))</f>
        <v>0</v>
      </c>
      <c r="N202" s="571" cm="1">
        <f t="array" ref="N202">SUMPRODUCT(N$14:N$43,--($Q$14:$Q$43=FALSE),--($D$14:$D$43=$D201))</f>
        <v>0</v>
      </c>
      <c r="O202" s="571" cm="1">
        <f t="array" ref="O202">SUMPRODUCT(O$14:O$43,--($Q$14:$Q$43=FALSE),--($D$14:$D$43=$D201))</f>
        <v>0</v>
      </c>
      <c r="P202" s="607">
        <f t="shared" si="55"/>
        <v>0</v>
      </c>
      <c r="Q202" s="575"/>
      <c r="R202" s="576"/>
      <c r="S202" s="576"/>
      <c r="T202" s="576"/>
      <c r="U202" s="577"/>
    </row>
    <row r="203" spans="1:452" s="524" customFormat="1" ht="18" x14ac:dyDescent="0.35">
      <c r="A203" s="605"/>
      <c r="B203" s="558"/>
      <c r="C203" s="559"/>
      <c r="D203" s="606"/>
      <c r="E203" s="572" t="s">
        <v>87</v>
      </c>
      <c r="F203" s="571" cm="1">
        <f t="array" ref="F203">SUMPRODUCT(F$14:F$43,--($Q$14:$Q$43=FALSE),--($D$14:$D$43=$D201),--($R$14:$R$43="Yes"))*0.1</f>
        <v>0</v>
      </c>
      <c r="G203" s="571" cm="1">
        <f t="array" ref="G203">SUMPRODUCT(G$14:G$43,--($Q$14:$Q$43=FALSE),--($D$14:$D$43=$D201),--($R$14:$R$43="Yes"))*0.1</f>
        <v>0</v>
      </c>
      <c r="H203" s="571" cm="1">
        <f t="array" ref="H203">SUMPRODUCT(H$14:H$43,--($Q$14:$Q$43=FALSE),--($D$14:$D$43=$D201),--($R$14:$R$43="Yes"))*0.1</f>
        <v>0</v>
      </c>
      <c r="I203" s="571" cm="1">
        <f t="array" ref="I203">SUMPRODUCT(I$14:I$43,--($Q$14:$Q$43=FALSE),--($D$14:$D$43=$D201),--($R$14:$R$43="Yes"))*0.1</f>
        <v>0</v>
      </c>
      <c r="J203" s="571" cm="1">
        <f t="array" ref="J203">SUMPRODUCT(J$14:J$43,--($Q$14:$Q$43=FALSE),--($D$14:$D$43=$D201),--($R$14:$R$43="Yes"))*0.1</f>
        <v>0</v>
      </c>
      <c r="K203" s="571" cm="1">
        <f t="array" ref="K203">SUMPRODUCT(K$14:K$43,--($Q$14:$Q$43=FALSE),--($D$14:$D$43=$D201),--($R$14:$R$43="Yes"))*0.1</f>
        <v>0</v>
      </c>
      <c r="L203" s="571" cm="1">
        <f t="array" ref="L203">SUMPRODUCT(L$14:L$43,--($Q$14:$Q$43=FALSE),--($D$14:$D$43=$D201),--($R$14:$R$43="Yes"))*0.1</f>
        <v>0</v>
      </c>
      <c r="M203" s="571" cm="1">
        <f t="array" ref="M203">SUMPRODUCT(M$14:M$43,--($Q$14:$Q$43=FALSE),--($D$14:$D$43=$D201),--($R$14:$R$43="Yes"))*0.1</f>
        <v>0</v>
      </c>
      <c r="N203" s="571" cm="1">
        <f t="array" ref="N203">SUMPRODUCT(N$14:N$43,--($Q$14:$Q$43=FALSE),--($D$14:$D$43=$D201),--($R$14:$R$43="Yes"))*0.1</f>
        <v>0</v>
      </c>
      <c r="O203" s="571" cm="1">
        <f t="array" ref="O203">SUMPRODUCT(O$14:O$43,--($Q$14:$Q$43=FALSE),--($D$14:$D$43=$D201),--($R$14:$R$43="Yes"))*0.1</f>
        <v>0</v>
      </c>
      <c r="P203" s="607">
        <f t="shared" si="55"/>
        <v>0</v>
      </c>
      <c r="Q203" s="575"/>
      <c r="R203" s="576"/>
      <c r="S203" s="576"/>
      <c r="T203" s="576"/>
      <c r="U203" s="577"/>
    </row>
    <row r="204" spans="1:452" s="524" customFormat="1" ht="18" x14ac:dyDescent="0.35">
      <c r="A204" s="605"/>
      <c r="B204" s="558"/>
      <c r="C204" s="559"/>
      <c r="D204" s="606"/>
      <c r="E204" s="572" t="s">
        <v>88</v>
      </c>
      <c r="F204" s="571">
        <f t="shared" ref="F204:O204" si="59">F201-(F202+F203)</f>
        <v>0</v>
      </c>
      <c r="G204" s="571">
        <f t="shared" si="59"/>
        <v>0</v>
      </c>
      <c r="H204" s="571">
        <f t="shared" si="59"/>
        <v>0</v>
      </c>
      <c r="I204" s="571">
        <f t="shared" si="59"/>
        <v>0</v>
      </c>
      <c r="J204" s="571">
        <f t="shared" si="59"/>
        <v>0</v>
      </c>
      <c r="K204" s="571">
        <f t="shared" si="59"/>
        <v>0</v>
      </c>
      <c r="L204" s="571">
        <f t="shared" si="59"/>
        <v>0</v>
      </c>
      <c r="M204" s="571">
        <f t="shared" si="59"/>
        <v>0</v>
      </c>
      <c r="N204" s="571">
        <f t="shared" si="59"/>
        <v>0</v>
      </c>
      <c r="O204" s="571">
        <f t="shared" si="59"/>
        <v>0</v>
      </c>
      <c r="P204" s="607">
        <f t="shared" si="55"/>
        <v>0</v>
      </c>
      <c r="Q204" s="575"/>
      <c r="R204" s="576"/>
      <c r="S204" s="576"/>
      <c r="T204" s="576"/>
      <c r="U204" s="577"/>
    </row>
    <row r="205" spans="1:452" s="578" customFormat="1" ht="18" x14ac:dyDescent="0.35">
      <c r="A205" s="624"/>
      <c r="B205" s="625"/>
      <c r="C205" s="626"/>
      <c r="D205" s="625" t="s">
        <v>122</v>
      </c>
      <c r="E205" s="627"/>
      <c r="F205" s="628" cm="1">
        <f t="array" ref="F205">SUMPRODUCT(F$14:F$43,--($D$14:$D$43=$D201),--($Q$14:$Q$43=TRUE),$S$14:$S$43,--($S$14:$S$43&gt;0))+SUMPRODUCT(F$14:F$43,--($D$14:$D$43=$D201),--($Q$14:$Q$43=TRUE),$S$14:$S$43,--($S$14:$S$43&gt;0),--($R$14:$R$43="Yes"))*0.1+SUMPRODUCT(F$14:F$43,--($D$14:$D$43=$D201),--($Q$14:$Q$43=TRUE),--($S152:$S181=0))+SUMPRODUCT(F$14:F$43,--($D$14:$D$43=$D201),--($Q$14:$Q$43=TRUE),--($R$14:$R$43="Yes"),--($S$14:$S$43=0))*0.1</f>
        <v>0</v>
      </c>
      <c r="G205" s="628" cm="1">
        <f t="array" ref="G205">SUMPRODUCT(G$14:G$43,--($D$14:$D$43=$D201),--($Q$14:$Q$43=TRUE),$S$14:$S$43,--($S$14:$S$43&gt;0))+SUMPRODUCT(G$14:G$43,--($D$14:$D$43=$D201),--($Q$14:$Q$43=TRUE),$S$14:$S$43,--($S$14:$S$43&gt;0),--($R$14:$R$43="Yes"))*0.1+SUMPRODUCT(G$14:G$43,--($D$14:$D$43=$D201),--($Q$14:$Q$43=TRUE),--($S152:$S181=0))+SUMPRODUCT(G$14:G$43,--($D$14:$D$43=$D201),--($Q$14:$Q$43=TRUE),--($R$14:$R$43="Yes"),--($S$14:$S$43=0))*0.1</f>
        <v>0</v>
      </c>
      <c r="H205" s="628" cm="1">
        <f t="array" ref="H205">SUMPRODUCT(H$14:H$43,--($D$14:$D$43=$D201),--($Q$14:$Q$43=TRUE),$S$14:$S$43,--($S$14:$S$43&gt;0))+SUMPRODUCT(H$14:H$43,--($D$14:$D$43=$D201),--($Q$14:$Q$43=TRUE),$S$14:$S$43,--($S$14:$S$43&gt;0),--($R$14:$R$43="Yes"))*0.1+SUMPRODUCT(H$14:H$43,--($D$14:$D$43=$D201),--($Q$14:$Q$43=TRUE),--($S152:$S181=0))+SUMPRODUCT(H$14:H$43,--($D$14:$D$43=$D201),--($Q$14:$Q$43=TRUE),--($R$14:$R$43="Yes"),--($S$14:$S$43=0))*0.1</f>
        <v>0</v>
      </c>
      <c r="I205" s="628" cm="1">
        <f t="array" ref="I205">SUMPRODUCT(I$14:I$43,--($D$14:$D$43=$D201),--($Q$14:$Q$43=TRUE),$S$14:$S$43,--($S$14:$S$43&gt;0))+SUMPRODUCT(I$14:I$43,--($D$14:$D$43=$D201),--($Q$14:$Q$43=TRUE),$S$14:$S$43,--($S$14:$S$43&gt;0),--($R$14:$R$43="Yes"))*0.1+SUMPRODUCT(I$14:I$43,--($D$14:$D$43=$D201),--($Q$14:$Q$43=TRUE),--($S152:$S181=0))+SUMPRODUCT(I$14:I$43,--($D$14:$D$43=$D201),--($Q$14:$Q$43=TRUE),--($R$14:$R$43="Yes"),--($S$14:$S$43=0))*0.1</f>
        <v>0</v>
      </c>
      <c r="J205" s="628" cm="1">
        <f t="array" ref="J205">SUMPRODUCT(J$14:J$43,--($D$14:$D$43=$D201),--($Q$14:$Q$43=TRUE),$S$14:$S$43,--($S$14:$S$43&gt;0))+SUMPRODUCT(J$14:J$43,--($D$14:$D$43=$D201),--($Q$14:$Q$43=TRUE),$S$14:$S$43,--($S$14:$S$43&gt;0),--($R$14:$R$43="Yes"))*0.1+SUMPRODUCT(J$14:J$43,--($D$14:$D$43=$D201),--($Q$14:$Q$43=TRUE),--($S152:$S181=0))+SUMPRODUCT(J$14:J$43,--($D$14:$D$43=$D201),--($Q$14:$Q$43=TRUE),--($R$14:$R$43="Yes"),--($S$14:$S$43=0))*0.1</f>
        <v>0</v>
      </c>
      <c r="K205" s="628" cm="1">
        <f t="array" ref="K205">SUMPRODUCT(K$14:K$43,--($D$14:$D$43=$D201),--($Q$14:$Q$43=TRUE),$S$14:$S$43,--($S$14:$S$43&gt;0))+SUMPRODUCT(K$14:K$43,--($D$14:$D$43=$D201),--($Q$14:$Q$43=TRUE),$S$14:$S$43,--($S$14:$S$43&gt;0),--($R$14:$R$43="Yes"))*0.1+SUMPRODUCT(K$14:K$43,--($D$14:$D$43=$D201),--($Q$14:$Q$43=TRUE),--($S152:$S181=0))+SUMPRODUCT(K$14:K$43,--($D$14:$D$43=$D201),--($Q$14:$Q$43=TRUE),--($R$14:$R$43="Yes"),--($S$14:$S$43=0))*0.1</f>
        <v>0</v>
      </c>
      <c r="L205" s="628" cm="1">
        <f t="array" ref="L205">SUMPRODUCT(L$14:L$43,--($D$14:$D$43=$D201),--($Q$14:$Q$43=TRUE),$S$14:$S$43,--($S$14:$S$43&gt;0))+SUMPRODUCT(L$14:L$43,--($D$14:$D$43=$D201),--($Q$14:$Q$43=TRUE),$S$14:$S$43,--($S$14:$S$43&gt;0),--($R$14:$R$43="Yes"))*0.1+SUMPRODUCT(L$14:L$43,--($D$14:$D$43=$D201),--($Q$14:$Q$43=TRUE),--($S152:$S181=0))+SUMPRODUCT(L$14:L$43,--($D$14:$D$43=$D201),--($Q$14:$Q$43=TRUE),--($R$14:$R$43="Yes"),--($S$14:$S$43=0))*0.1</f>
        <v>0</v>
      </c>
      <c r="M205" s="628" cm="1">
        <f t="array" ref="M205">SUMPRODUCT(M$14:M$43,--($D$14:$D$43=$D201),--($Q$14:$Q$43=TRUE),$S$14:$S$43,--($S$14:$S$43&gt;0))+SUMPRODUCT(M$14:M$43,--($D$14:$D$43=$D201),--($Q$14:$Q$43=TRUE),$S$14:$S$43,--($S$14:$S$43&gt;0),--($R$14:$R$43="Yes"))*0.1+SUMPRODUCT(M$14:M$43,--($D$14:$D$43=$D201),--($Q$14:$Q$43=TRUE),--($S152:$S181=0))+SUMPRODUCT(M$14:M$43,--($D$14:$D$43=$D201),--($Q$14:$Q$43=TRUE),--($R$14:$R$43="Yes"),--($S$14:$S$43=0))*0.1</f>
        <v>0</v>
      </c>
      <c r="N205" s="628" cm="1">
        <f t="array" ref="N205">SUMPRODUCT(N$14:N$43,--($D$14:$D$43=$D201),--($Q$14:$Q$43=TRUE),$S$14:$S$43,--($S$14:$S$43&gt;0))+SUMPRODUCT(N$14:N$43,--($D$14:$D$43=$D201),--($Q$14:$Q$43=TRUE),$S$14:$S$43,--($S$14:$S$43&gt;0),--($R$14:$R$43="Yes"))*0.1+SUMPRODUCT(N$14:N$43,--($D$14:$D$43=$D201),--($Q$14:$Q$43=TRUE),--($S152:$S181=0))+SUMPRODUCT(N$14:N$43,--($D$14:$D$43=$D201),--($Q$14:$Q$43=TRUE),--($R$14:$R$43="Yes"),--($S$14:$S$43=0))*0.1</f>
        <v>0</v>
      </c>
      <c r="O205" s="628" cm="1">
        <f t="array" ref="O205">SUMPRODUCT(O$14:O$43,--($D$14:$D$43=$D201),--($Q$14:$Q$43=TRUE),$S$14:$S$43,--($S$14:$S$43&gt;0))+SUMPRODUCT(O$14:O$43,--($D$14:$D$43=$D201),--($Q$14:$Q$43=TRUE),$S$14:$S$43,--($S$14:$S$43&gt;0),--($R$14:$R$43="Yes"))*0.1+SUMPRODUCT(O$14:O$43,--($D$14:$D$43=$D201),--($Q$14:$Q$43=TRUE),--($S152:$S181=0))+SUMPRODUCT(O$14:O$43,--($D$14:$D$43=$D201),--($Q$14:$Q$43=TRUE),--($R$14:$R$43="Yes"),--($S$14:$S$43=0))*0.1</f>
        <v>0</v>
      </c>
      <c r="P205" s="629">
        <f t="shared" si="55"/>
        <v>0</v>
      </c>
      <c r="Q205" s="575"/>
      <c r="R205" s="576"/>
      <c r="S205" s="576"/>
      <c r="T205" s="576"/>
      <c r="U205" s="577"/>
      <c r="V205" s="610"/>
      <c r="W205" s="610"/>
      <c r="X205" s="610"/>
      <c r="Y205" s="610"/>
      <c r="Z205" s="610"/>
      <c r="AA205" s="610"/>
      <c r="AB205" s="610"/>
      <c r="AC205" s="610"/>
      <c r="AD205" s="610"/>
      <c r="AE205" s="610"/>
      <c r="AF205" s="610"/>
      <c r="AG205" s="610"/>
      <c r="AH205" s="610"/>
      <c r="AI205" s="610"/>
      <c r="AJ205" s="610"/>
      <c r="AK205" s="610"/>
      <c r="AL205" s="610"/>
      <c r="AM205" s="610"/>
      <c r="AN205" s="610"/>
      <c r="AO205" s="610"/>
      <c r="AP205" s="610"/>
      <c r="AQ205" s="610"/>
      <c r="AR205" s="610"/>
      <c r="AS205" s="610"/>
      <c r="AT205" s="610"/>
      <c r="AU205" s="610"/>
      <c r="AV205" s="610"/>
      <c r="AW205" s="610"/>
      <c r="AX205" s="610"/>
      <c r="AY205" s="610"/>
      <c r="AZ205" s="610"/>
      <c r="BA205" s="610"/>
      <c r="BB205" s="610"/>
      <c r="BC205" s="610"/>
      <c r="BD205" s="610"/>
      <c r="BE205" s="610"/>
      <c r="BF205" s="610"/>
      <c r="BG205" s="610"/>
      <c r="BH205" s="610"/>
      <c r="BI205" s="610"/>
      <c r="BJ205" s="610"/>
      <c r="BK205" s="610"/>
      <c r="BL205" s="610"/>
      <c r="BM205" s="610"/>
      <c r="BN205" s="610"/>
      <c r="BO205" s="610"/>
      <c r="BP205" s="610"/>
      <c r="BQ205" s="610"/>
      <c r="BR205" s="610"/>
      <c r="BS205" s="610"/>
      <c r="BT205" s="610"/>
      <c r="BU205" s="610"/>
      <c r="BV205" s="610"/>
      <c r="BW205" s="610"/>
      <c r="BX205" s="610"/>
      <c r="BY205" s="610"/>
      <c r="BZ205" s="610"/>
      <c r="CA205" s="610"/>
      <c r="CB205" s="610"/>
      <c r="CC205" s="610"/>
      <c r="CD205" s="610"/>
      <c r="CE205" s="610"/>
      <c r="CF205" s="610"/>
      <c r="CG205" s="610"/>
      <c r="CH205" s="610"/>
      <c r="CI205" s="610"/>
      <c r="CJ205" s="610"/>
      <c r="CK205" s="610"/>
      <c r="CL205" s="610"/>
      <c r="CM205" s="610"/>
      <c r="CN205" s="610"/>
      <c r="CO205" s="610"/>
      <c r="CP205" s="610"/>
      <c r="CQ205" s="610"/>
      <c r="CR205" s="610"/>
      <c r="CS205" s="610"/>
      <c r="CT205" s="610"/>
      <c r="CU205" s="610"/>
      <c r="CV205" s="610"/>
      <c r="CW205" s="610"/>
      <c r="CX205" s="610"/>
      <c r="CY205" s="610"/>
      <c r="CZ205" s="610"/>
      <c r="DA205" s="610"/>
      <c r="DB205" s="610"/>
      <c r="DC205" s="610"/>
      <c r="DD205" s="610"/>
      <c r="DE205" s="610"/>
      <c r="DF205" s="610"/>
      <c r="DG205" s="610"/>
      <c r="DH205" s="610"/>
      <c r="DI205" s="610"/>
      <c r="DJ205" s="610"/>
      <c r="DK205" s="610"/>
      <c r="DL205" s="610"/>
      <c r="DM205" s="610"/>
      <c r="DN205" s="610"/>
      <c r="DO205" s="610"/>
      <c r="DP205" s="610"/>
      <c r="DQ205" s="610"/>
      <c r="DR205" s="610"/>
      <c r="DS205" s="610"/>
      <c r="DT205" s="610"/>
      <c r="DU205" s="610"/>
      <c r="DV205" s="610"/>
      <c r="DW205" s="610"/>
      <c r="DX205" s="610"/>
      <c r="DY205" s="610"/>
      <c r="DZ205" s="610"/>
      <c r="EA205" s="610"/>
      <c r="EB205" s="610"/>
      <c r="EC205" s="610"/>
      <c r="ED205" s="610"/>
      <c r="EE205" s="610"/>
      <c r="EF205" s="610"/>
      <c r="EG205" s="610"/>
      <c r="EH205" s="610"/>
      <c r="EI205" s="610"/>
      <c r="EJ205" s="610"/>
      <c r="EK205" s="610"/>
      <c r="EL205" s="610"/>
      <c r="EM205" s="610"/>
      <c r="EN205" s="610"/>
      <c r="EO205" s="610"/>
      <c r="EP205" s="610"/>
      <c r="EQ205" s="610"/>
      <c r="ER205" s="610"/>
      <c r="ES205" s="610"/>
      <c r="ET205" s="610"/>
      <c r="EU205" s="610"/>
      <c r="EV205" s="610"/>
      <c r="EW205" s="610"/>
      <c r="EX205" s="610"/>
      <c r="EY205" s="610"/>
      <c r="EZ205" s="610"/>
      <c r="FA205" s="610"/>
      <c r="FB205" s="610"/>
      <c r="FC205" s="610"/>
      <c r="FD205" s="610"/>
      <c r="FE205" s="610"/>
      <c r="FF205" s="610"/>
      <c r="FG205" s="610"/>
      <c r="FH205" s="610"/>
      <c r="FI205" s="610"/>
      <c r="FJ205" s="610"/>
      <c r="FK205" s="610"/>
      <c r="FL205" s="610"/>
      <c r="FM205" s="610"/>
      <c r="FN205" s="610"/>
      <c r="FO205" s="610"/>
      <c r="FP205" s="610"/>
      <c r="FQ205" s="610"/>
      <c r="FR205" s="610"/>
      <c r="FS205" s="610"/>
      <c r="FT205" s="610"/>
      <c r="FU205" s="610"/>
      <c r="FV205" s="610"/>
      <c r="FW205" s="610"/>
      <c r="FX205" s="610"/>
      <c r="FY205" s="610"/>
      <c r="FZ205" s="610"/>
      <c r="GA205" s="610"/>
      <c r="GB205" s="610"/>
      <c r="GC205" s="610"/>
      <c r="GD205" s="610"/>
      <c r="GE205" s="610"/>
      <c r="GF205" s="610"/>
      <c r="GG205" s="610"/>
      <c r="GH205" s="610"/>
      <c r="GI205" s="610"/>
      <c r="GJ205" s="610"/>
      <c r="GK205" s="610"/>
      <c r="GL205" s="610"/>
      <c r="GM205" s="610"/>
      <c r="GN205" s="610"/>
      <c r="GO205" s="610"/>
      <c r="GP205" s="610"/>
      <c r="GQ205" s="610"/>
      <c r="GR205" s="610"/>
      <c r="GS205" s="610"/>
      <c r="GT205" s="610"/>
      <c r="GU205" s="610"/>
      <c r="GV205" s="610"/>
      <c r="GW205" s="610"/>
      <c r="GX205" s="610"/>
      <c r="GY205" s="610"/>
      <c r="GZ205" s="610"/>
      <c r="HA205" s="610"/>
      <c r="HB205" s="610"/>
      <c r="HC205" s="610"/>
      <c r="HD205" s="610"/>
      <c r="HE205" s="610"/>
      <c r="HF205" s="610"/>
      <c r="HG205" s="610"/>
      <c r="HH205" s="610"/>
      <c r="HI205" s="610"/>
      <c r="HJ205" s="610"/>
      <c r="HK205" s="610"/>
      <c r="HL205" s="610"/>
      <c r="HM205" s="610"/>
      <c r="HN205" s="610"/>
      <c r="HO205" s="610"/>
      <c r="HP205" s="610"/>
      <c r="HQ205" s="610"/>
      <c r="HR205" s="610"/>
      <c r="HS205" s="610"/>
      <c r="HT205" s="610"/>
      <c r="HU205" s="610"/>
      <c r="HV205" s="610"/>
      <c r="HW205" s="610"/>
      <c r="HX205" s="610"/>
      <c r="HY205" s="610"/>
      <c r="HZ205" s="610"/>
      <c r="IA205" s="610"/>
      <c r="IB205" s="610"/>
      <c r="IC205" s="610"/>
      <c r="ID205" s="610"/>
      <c r="IE205" s="610"/>
      <c r="IF205" s="610"/>
      <c r="IG205" s="610"/>
      <c r="IH205" s="610"/>
      <c r="II205" s="610"/>
      <c r="IJ205" s="610"/>
      <c r="IK205" s="610"/>
      <c r="IL205" s="610"/>
      <c r="IM205" s="610"/>
      <c r="IN205" s="610"/>
      <c r="IO205" s="610"/>
      <c r="IP205" s="610"/>
      <c r="IQ205" s="610"/>
      <c r="IR205" s="610"/>
      <c r="IS205" s="610"/>
      <c r="IT205" s="610"/>
      <c r="IU205" s="610"/>
      <c r="IV205" s="610"/>
      <c r="IW205" s="610"/>
      <c r="IX205" s="610"/>
      <c r="IY205" s="610"/>
      <c r="IZ205" s="610"/>
      <c r="JA205" s="610"/>
      <c r="JB205" s="610"/>
      <c r="JC205" s="610"/>
      <c r="JD205" s="610"/>
      <c r="JE205" s="610"/>
      <c r="JF205" s="610"/>
      <c r="JG205" s="610"/>
      <c r="JH205" s="610"/>
      <c r="JI205" s="610"/>
      <c r="JJ205" s="610"/>
      <c r="JK205" s="610"/>
      <c r="JL205" s="610"/>
      <c r="JM205" s="610"/>
      <c r="JN205" s="610"/>
      <c r="JO205" s="610"/>
      <c r="JP205" s="610"/>
      <c r="JQ205" s="610"/>
      <c r="JR205" s="610"/>
      <c r="JS205" s="610"/>
      <c r="JT205" s="610"/>
      <c r="JU205" s="610"/>
      <c r="JV205" s="610"/>
      <c r="JW205" s="610"/>
      <c r="JX205" s="610"/>
      <c r="JY205" s="610"/>
      <c r="JZ205" s="610"/>
      <c r="KA205" s="610"/>
      <c r="KB205" s="610"/>
      <c r="KC205" s="610"/>
      <c r="KD205" s="610"/>
      <c r="KE205" s="610"/>
      <c r="KF205" s="610"/>
      <c r="KG205" s="610"/>
      <c r="KH205" s="610"/>
      <c r="KI205" s="610"/>
      <c r="KJ205" s="610"/>
      <c r="KK205" s="610"/>
      <c r="KL205" s="610"/>
      <c r="KM205" s="610"/>
      <c r="KN205" s="610"/>
      <c r="KO205" s="610"/>
      <c r="KP205" s="610"/>
      <c r="KQ205" s="610"/>
      <c r="KR205" s="610"/>
      <c r="KS205" s="610"/>
      <c r="KT205" s="610"/>
      <c r="KU205" s="610"/>
      <c r="KV205" s="610"/>
      <c r="KW205" s="610"/>
      <c r="KX205" s="610"/>
      <c r="KY205" s="610"/>
      <c r="KZ205" s="610"/>
      <c r="LA205" s="610"/>
      <c r="LB205" s="610"/>
      <c r="LC205" s="610"/>
      <c r="LD205" s="610"/>
      <c r="LE205" s="610"/>
      <c r="LF205" s="610"/>
      <c r="LG205" s="610"/>
      <c r="LH205" s="610"/>
      <c r="LI205" s="610"/>
      <c r="LJ205" s="610"/>
      <c r="LK205" s="610"/>
      <c r="LL205" s="610"/>
      <c r="LM205" s="610"/>
      <c r="LN205" s="610"/>
      <c r="LO205" s="610"/>
      <c r="LP205" s="610"/>
      <c r="LQ205" s="610"/>
      <c r="LR205" s="610"/>
      <c r="LS205" s="610"/>
      <c r="LT205" s="610"/>
      <c r="LU205" s="610"/>
      <c r="LV205" s="610"/>
      <c r="LW205" s="610"/>
      <c r="LX205" s="610"/>
      <c r="LY205" s="610"/>
      <c r="LZ205" s="610"/>
      <c r="MA205" s="610"/>
      <c r="MB205" s="610"/>
      <c r="MC205" s="610"/>
      <c r="MD205" s="610"/>
      <c r="ME205" s="610"/>
      <c r="MF205" s="610"/>
      <c r="MG205" s="610"/>
      <c r="MH205" s="610"/>
      <c r="MI205" s="610"/>
      <c r="MJ205" s="610"/>
      <c r="MK205" s="610"/>
      <c r="ML205" s="610"/>
      <c r="MM205" s="610"/>
      <c r="MN205" s="610"/>
      <c r="MO205" s="610"/>
      <c r="MP205" s="610"/>
      <c r="MQ205" s="610"/>
      <c r="MR205" s="610"/>
      <c r="MS205" s="610"/>
      <c r="MT205" s="610"/>
      <c r="MU205" s="610"/>
      <c r="MV205" s="610"/>
      <c r="MW205" s="610"/>
      <c r="MX205" s="610"/>
      <c r="MY205" s="610"/>
      <c r="MZ205" s="610"/>
      <c r="NA205" s="610"/>
      <c r="NB205" s="610"/>
      <c r="NC205" s="610"/>
      <c r="ND205" s="610"/>
      <c r="NE205" s="610"/>
      <c r="NF205" s="610"/>
      <c r="NG205" s="610"/>
      <c r="NH205" s="610"/>
      <c r="NI205" s="610"/>
      <c r="NJ205" s="610"/>
      <c r="NK205" s="610"/>
      <c r="NL205" s="610"/>
      <c r="NM205" s="610"/>
      <c r="NN205" s="610"/>
      <c r="NO205" s="610"/>
      <c r="NP205" s="610"/>
      <c r="NQ205" s="610"/>
      <c r="NR205" s="610"/>
      <c r="NS205" s="610"/>
      <c r="NT205" s="610"/>
      <c r="NU205" s="610"/>
      <c r="NV205" s="610"/>
      <c r="NW205" s="610"/>
      <c r="NX205" s="610"/>
      <c r="NY205" s="610"/>
      <c r="NZ205" s="610"/>
      <c r="OA205" s="610"/>
      <c r="OB205" s="610"/>
      <c r="OC205" s="610"/>
      <c r="OD205" s="610"/>
      <c r="OE205" s="610"/>
      <c r="OF205" s="610"/>
      <c r="OG205" s="610"/>
      <c r="OH205" s="610"/>
      <c r="OI205" s="610"/>
      <c r="OJ205" s="610"/>
      <c r="OK205" s="610"/>
      <c r="OL205" s="610"/>
      <c r="OM205" s="610"/>
      <c r="ON205" s="610"/>
      <c r="OO205" s="610"/>
      <c r="OP205" s="610"/>
      <c r="OQ205" s="610"/>
      <c r="OR205" s="610"/>
      <c r="OS205" s="610"/>
      <c r="OT205" s="610"/>
      <c r="OU205" s="610"/>
      <c r="OV205" s="610"/>
      <c r="OW205" s="610"/>
      <c r="OX205" s="610"/>
      <c r="OY205" s="610"/>
      <c r="OZ205" s="610"/>
      <c r="PA205" s="610"/>
      <c r="PB205" s="610"/>
      <c r="PC205" s="610"/>
      <c r="PD205" s="610"/>
      <c r="PE205" s="610"/>
      <c r="PF205" s="610"/>
      <c r="PG205" s="610"/>
      <c r="PH205" s="610"/>
      <c r="PI205" s="610"/>
      <c r="PJ205" s="610"/>
      <c r="PK205" s="610"/>
      <c r="PL205" s="610"/>
      <c r="PM205" s="610"/>
      <c r="PN205" s="610"/>
      <c r="PO205" s="610"/>
      <c r="PP205" s="610"/>
      <c r="PQ205" s="610"/>
      <c r="PR205" s="610"/>
      <c r="PS205" s="610"/>
      <c r="PT205" s="610"/>
      <c r="PU205" s="610"/>
      <c r="PV205" s="610"/>
      <c r="PW205" s="610"/>
      <c r="PX205" s="610"/>
      <c r="PY205" s="610"/>
      <c r="PZ205" s="610"/>
      <c r="QA205" s="610"/>
      <c r="QB205" s="610"/>
      <c r="QC205" s="610"/>
      <c r="QD205" s="610"/>
      <c r="QE205" s="610"/>
      <c r="QF205" s="610"/>
      <c r="QG205" s="610"/>
      <c r="QH205" s="610"/>
      <c r="QI205" s="610"/>
      <c r="QJ205" s="610"/>
    </row>
    <row r="206" spans="1:452" s="524" customFormat="1" ht="18" x14ac:dyDescent="0.35">
      <c r="A206" s="605"/>
      <c r="B206" s="558"/>
      <c r="C206" s="559"/>
      <c r="D206" s="559"/>
      <c r="E206" s="572" t="s">
        <v>86</v>
      </c>
      <c r="F206" s="571" cm="1">
        <f t="array" ref="F206">SUMPRODUCT(F$14:F$43,--($Q$14:$Q$43=TRUE),--($D$14:$D$43=$D201))</f>
        <v>0</v>
      </c>
      <c r="G206" s="571" cm="1">
        <f t="array" ref="G206">SUMPRODUCT(G$14:G$43,--($Q$14:$Q$43=TRUE),--($D$14:$D$43=$D201))</f>
        <v>0</v>
      </c>
      <c r="H206" s="571" cm="1">
        <f t="array" ref="H206">SUMPRODUCT(H$14:H$43,--($Q$14:$Q$43=TRUE),--($D$14:$D$43=$D201))</f>
        <v>0</v>
      </c>
      <c r="I206" s="571" cm="1">
        <f t="array" ref="I206">SUMPRODUCT(I$14:I$43,--($Q$14:$Q$43=TRUE),--($D$14:$D$43=$D201))</f>
        <v>0</v>
      </c>
      <c r="J206" s="571" cm="1">
        <f t="array" ref="J206">SUMPRODUCT(J$14:J$43,--($Q$14:$Q$43=TRUE),--($D$14:$D$43=$D201))</f>
        <v>0</v>
      </c>
      <c r="K206" s="571" cm="1">
        <f t="array" ref="K206">SUMPRODUCT(K$14:K$43,--($Q$14:$Q$43=TRUE),--($D$14:$D$43=$D201))</f>
        <v>0</v>
      </c>
      <c r="L206" s="571" cm="1">
        <f t="array" ref="L206">SUMPRODUCT(L$14:L$43,--($Q$14:$Q$43=TRUE),--($D$14:$D$43=$D201))</f>
        <v>0</v>
      </c>
      <c r="M206" s="571" cm="1">
        <f t="array" ref="M206">SUMPRODUCT(M$14:M$43,--($Q$14:$Q$43=TRUE),--($D$14:$D$43=$D201))</f>
        <v>0</v>
      </c>
      <c r="N206" s="571" cm="1">
        <f t="array" ref="N206">SUMPRODUCT(N$14:N$43,--($Q$14:$Q$43=TRUE),--($D$14:$D$43=$D201))</f>
        <v>0</v>
      </c>
      <c r="O206" s="571" cm="1">
        <f t="array" ref="O206">SUMPRODUCT(O$14:O$43,--($Q$14:$Q$43=TRUE),--($D$14:$D$43=$D201))</f>
        <v>0</v>
      </c>
      <c r="P206" s="607">
        <f t="shared" si="55"/>
        <v>0</v>
      </c>
      <c r="Q206" s="575"/>
      <c r="R206" s="576"/>
      <c r="S206" s="576"/>
      <c r="T206" s="576"/>
      <c r="U206" s="577"/>
    </row>
    <row r="207" spans="1:452" s="524" customFormat="1" ht="18" x14ac:dyDescent="0.35">
      <c r="A207" s="605"/>
      <c r="C207" s="559"/>
      <c r="D207" s="559"/>
      <c r="E207" s="572" t="s">
        <v>87</v>
      </c>
      <c r="F207" s="571" cm="1">
        <f t="array" ref="F207">SUMPRODUCT(F$14:F$43,--($Q$14:$Q$43=TRUE),--($D$14:$D$43=$D205),--($R$14:$R$43="Yes"))*0.1</f>
        <v>0</v>
      </c>
      <c r="G207" s="571" cm="1">
        <f t="array" ref="G207">SUMPRODUCT(G$14:G$43,--($Q$14:$Q$43=TRUE),--($D$14:$D$43=$D205),--($R$14:$R$43="Yes"))*0.1</f>
        <v>0</v>
      </c>
      <c r="H207" s="571" cm="1">
        <f t="array" ref="H207">SUMPRODUCT(H$14:H$43,--($Q$14:$Q$43=TRUE),--($D$14:$D$43=$D205),--($R$14:$R$43="Yes"))*0.1</f>
        <v>0</v>
      </c>
      <c r="I207" s="571" cm="1">
        <f t="array" ref="I207">SUMPRODUCT(I$14:I$43,--($Q$14:$Q$43=TRUE),--($D$14:$D$43=$D205),--($R$14:$R$43="Yes"))*0.1</f>
        <v>0</v>
      </c>
      <c r="J207" s="571" cm="1">
        <f t="array" ref="J207">SUMPRODUCT(J$14:J$43,--($Q$14:$Q$43=TRUE),--($D$14:$D$43=$D205),--($R$14:$R$43="Yes"))*0.1</f>
        <v>0</v>
      </c>
      <c r="K207" s="571" cm="1">
        <f t="array" ref="K207">SUMPRODUCT(K$14:K$43,--($Q$14:$Q$43=TRUE),--($D$14:$D$43=$D205),--($R$14:$R$43="Yes"))*0.1</f>
        <v>0</v>
      </c>
      <c r="L207" s="571" cm="1">
        <f t="array" ref="L207">SUMPRODUCT(L$14:L$43,--($Q$14:$Q$43=TRUE),--($D$14:$D$43=$D205),--($R$14:$R$43="Yes"))*0.1</f>
        <v>0</v>
      </c>
      <c r="M207" s="571" cm="1">
        <f t="array" ref="M207">SUMPRODUCT(M$14:M$43,--($Q$14:$Q$43=TRUE),--($D$14:$D$43=$D205),--($R$14:$R$43="Yes"))*0.1</f>
        <v>0</v>
      </c>
      <c r="N207" s="571" cm="1">
        <f t="array" ref="N207">SUMPRODUCT(N$14:N$43,--($Q$14:$Q$43=TRUE),--($D$14:$D$43=$D205),--($R$14:$R$43="Yes"))*0.1</f>
        <v>0</v>
      </c>
      <c r="O207" s="571" cm="1">
        <f t="array" ref="O207">SUMPRODUCT(O$14:O$43,--($Q$14:$Q$43=TRUE),--($D$14:$D$43=$D205),--($R$14:$R$43="Yes"))*0.1</f>
        <v>0</v>
      </c>
      <c r="P207" s="607">
        <f t="shared" si="55"/>
        <v>0</v>
      </c>
      <c r="Q207" s="575"/>
      <c r="R207" s="576"/>
      <c r="S207" s="576"/>
      <c r="T207" s="576"/>
      <c r="U207" s="577"/>
    </row>
    <row r="208" spans="1:452" s="524" customFormat="1" ht="18" x14ac:dyDescent="0.35">
      <c r="A208" s="605"/>
      <c r="B208" s="558"/>
      <c r="C208" s="559"/>
      <c r="D208" s="559"/>
      <c r="E208" s="572" t="s">
        <v>88</v>
      </c>
      <c r="F208" s="571">
        <f>F205-(F206+F207)</f>
        <v>0</v>
      </c>
      <c r="G208" s="571">
        <f t="shared" ref="G208:O208" si="60">G205-(G206+G207)</f>
        <v>0</v>
      </c>
      <c r="H208" s="571">
        <f t="shared" si="60"/>
        <v>0</v>
      </c>
      <c r="I208" s="571">
        <f t="shared" si="60"/>
        <v>0</v>
      </c>
      <c r="J208" s="571">
        <f t="shared" si="60"/>
        <v>0</v>
      </c>
      <c r="K208" s="571">
        <f t="shared" si="60"/>
        <v>0</v>
      </c>
      <c r="L208" s="571">
        <f t="shared" si="60"/>
        <v>0</v>
      </c>
      <c r="M208" s="571">
        <f t="shared" si="60"/>
        <v>0</v>
      </c>
      <c r="N208" s="571">
        <f t="shared" si="60"/>
        <v>0</v>
      </c>
      <c r="O208" s="571">
        <f t="shared" si="60"/>
        <v>0</v>
      </c>
      <c r="P208" s="607">
        <f t="shared" si="55"/>
        <v>0</v>
      </c>
      <c r="Q208" s="575"/>
      <c r="R208" s="576"/>
      <c r="S208" s="576"/>
      <c r="T208" s="576"/>
      <c r="U208" s="577"/>
    </row>
    <row r="209" spans="1:452" s="524" customFormat="1" ht="17.25" customHeight="1" x14ac:dyDescent="0.35">
      <c r="A209" s="605"/>
      <c r="B209" s="558"/>
      <c r="C209" s="559"/>
      <c r="D209" s="559"/>
      <c r="E209" s="560"/>
      <c r="F209" s="440"/>
      <c r="G209" s="440"/>
      <c r="H209" s="440"/>
      <c r="I209" s="440"/>
      <c r="J209" s="440"/>
      <c r="K209" s="440"/>
      <c r="L209" s="440"/>
      <c r="M209" s="440"/>
      <c r="N209" s="440"/>
      <c r="O209" s="440"/>
      <c r="P209" s="609"/>
      <c r="Q209" s="575"/>
      <c r="R209" s="576"/>
      <c r="S209" s="576"/>
      <c r="T209" s="576"/>
      <c r="U209" s="577"/>
    </row>
    <row r="210" spans="1:452" s="591" customFormat="1" ht="18" x14ac:dyDescent="0.35">
      <c r="A210" s="597"/>
      <c r="B210" s="598" t="s">
        <v>123</v>
      </c>
      <c r="C210" s="599"/>
      <c r="D210" s="599"/>
      <c r="E210" s="589"/>
      <c r="F210" s="590">
        <f>F214</f>
        <v>0</v>
      </c>
      <c r="G210" s="590">
        <f t="shared" ref="G210:O210" si="61">G214</f>
        <v>0</v>
      </c>
      <c r="H210" s="590">
        <f t="shared" si="61"/>
        <v>0</v>
      </c>
      <c r="I210" s="590">
        <f t="shared" si="61"/>
        <v>0</v>
      </c>
      <c r="J210" s="590">
        <f t="shared" si="61"/>
        <v>0</v>
      </c>
      <c r="K210" s="590">
        <f t="shared" si="61"/>
        <v>0</v>
      </c>
      <c r="L210" s="590">
        <f t="shared" si="61"/>
        <v>0</v>
      </c>
      <c r="M210" s="590">
        <f t="shared" si="61"/>
        <v>0</v>
      </c>
      <c r="N210" s="590">
        <f t="shared" si="61"/>
        <v>0</v>
      </c>
      <c r="O210" s="590">
        <f t="shared" si="61"/>
        <v>0</v>
      </c>
      <c r="P210" s="600">
        <f>SUM(F210:O210)</f>
        <v>0</v>
      </c>
      <c r="Q210" s="575"/>
      <c r="R210" s="576"/>
      <c r="S210" s="576"/>
      <c r="T210" s="576"/>
      <c r="U210" s="577"/>
      <c r="V210" s="524"/>
      <c r="W210" s="524"/>
      <c r="X210" s="524"/>
      <c r="Y210" s="524"/>
      <c r="Z210" s="524"/>
      <c r="AA210" s="524"/>
      <c r="AB210" s="524"/>
      <c r="AC210" s="524"/>
      <c r="AD210" s="524"/>
      <c r="AE210" s="524"/>
      <c r="AF210" s="524"/>
      <c r="AG210" s="524"/>
      <c r="AH210" s="524"/>
      <c r="AI210" s="524"/>
      <c r="AJ210" s="524"/>
      <c r="AK210" s="524"/>
      <c r="AL210" s="524"/>
      <c r="AM210" s="524"/>
      <c r="AN210" s="524"/>
      <c r="AO210" s="524"/>
      <c r="AP210" s="524"/>
      <c r="AQ210" s="524"/>
      <c r="AR210" s="524"/>
      <c r="AS210" s="524"/>
      <c r="AT210" s="524"/>
      <c r="AU210" s="524"/>
      <c r="AV210" s="524"/>
      <c r="AW210" s="524"/>
      <c r="AX210" s="524"/>
      <c r="AY210" s="524"/>
      <c r="AZ210" s="524"/>
      <c r="BA210" s="524"/>
      <c r="BB210" s="524"/>
      <c r="BC210" s="524"/>
      <c r="BD210" s="524"/>
      <c r="BE210" s="524"/>
      <c r="BF210" s="524"/>
      <c r="BG210" s="524"/>
      <c r="BH210" s="524"/>
      <c r="BI210" s="524"/>
      <c r="BJ210" s="524"/>
      <c r="BK210" s="524"/>
      <c r="BL210" s="524"/>
      <c r="BM210" s="524"/>
      <c r="BN210" s="524"/>
      <c r="BO210" s="524"/>
      <c r="BP210" s="524"/>
      <c r="BQ210" s="524"/>
      <c r="BR210" s="524"/>
      <c r="BS210" s="524"/>
      <c r="BT210" s="524"/>
      <c r="BU210" s="524"/>
      <c r="BV210" s="524"/>
      <c r="BW210" s="524"/>
      <c r="BX210" s="524"/>
      <c r="BY210" s="524"/>
      <c r="BZ210" s="524"/>
      <c r="CA210" s="524"/>
      <c r="CB210" s="524"/>
      <c r="CC210" s="524"/>
      <c r="CD210" s="524"/>
      <c r="CE210" s="524"/>
      <c r="CF210" s="524"/>
      <c r="CG210" s="524"/>
      <c r="CH210" s="524"/>
      <c r="CI210" s="524"/>
      <c r="CJ210" s="524"/>
      <c r="CK210" s="524"/>
      <c r="CL210" s="524"/>
      <c r="CM210" s="524"/>
      <c r="CN210" s="524"/>
      <c r="CO210" s="524"/>
      <c r="CP210" s="524"/>
      <c r="CQ210" s="524"/>
      <c r="CR210" s="524"/>
      <c r="CS210" s="524"/>
      <c r="CT210" s="524"/>
      <c r="CU210" s="524"/>
      <c r="CV210" s="524"/>
      <c r="CW210" s="524"/>
      <c r="CX210" s="524"/>
      <c r="CY210" s="524"/>
      <c r="CZ210" s="524"/>
      <c r="DA210" s="524"/>
      <c r="DB210" s="524"/>
      <c r="DC210" s="524"/>
      <c r="DD210" s="524"/>
      <c r="DE210" s="524"/>
      <c r="DF210" s="524"/>
      <c r="DG210" s="524"/>
      <c r="DH210" s="524"/>
      <c r="DI210" s="524"/>
      <c r="DJ210" s="524"/>
      <c r="DK210" s="524"/>
      <c r="DL210" s="524"/>
      <c r="DM210" s="524"/>
      <c r="DN210" s="524"/>
      <c r="DO210" s="524"/>
      <c r="DP210" s="524"/>
      <c r="DQ210" s="524"/>
      <c r="DR210" s="524"/>
      <c r="DS210" s="524"/>
      <c r="DT210" s="524"/>
      <c r="DU210" s="524"/>
      <c r="DV210" s="524"/>
      <c r="DW210" s="524"/>
      <c r="DX210" s="524"/>
      <c r="DY210" s="524"/>
      <c r="DZ210" s="524"/>
      <c r="EA210" s="524"/>
      <c r="EB210" s="524"/>
      <c r="EC210" s="524"/>
      <c r="ED210" s="524"/>
      <c r="EE210" s="524"/>
      <c r="EF210" s="524"/>
      <c r="EG210" s="524"/>
      <c r="EH210" s="524"/>
      <c r="EI210" s="524"/>
      <c r="EJ210" s="524"/>
      <c r="EK210" s="524"/>
      <c r="EL210" s="524"/>
      <c r="EM210" s="524"/>
      <c r="EN210" s="524"/>
      <c r="EO210" s="524"/>
      <c r="EP210" s="524"/>
      <c r="EQ210" s="524"/>
      <c r="ER210" s="524"/>
      <c r="ES210" s="524"/>
      <c r="ET210" s="524"/>
      <c r="EU210" s="524"/>
      <c r="EV210" s="524"/>
      <c r="EW210" s="524"/>
      <c r="EX210" s="524"/>
      <c r="EY210" s="524"/>
      <c r="EZ210" s="524"/>
      <c r="FA210" s="524"/>
      <c r="FB210" s="524"/>
      <c r="FC210" s="524"/>
      <c r="FD210" s="524"/>
      <c r="FE210" s="524"/>
      <c r="FF210" s="524"/>
      <c r="FG210" s="524"/>
      <c r="FH210" s="524"/>
      <c r="FI210" s="524"/>
      <c r="FJ210" s="524"/>
      <c r="FK210" s="524"/>
      <c r="FL210" s="524"/>
      <c r="FM210" s="524"/>
      <c r="FN210" s="524"/>
      <c r="FO210" s="524"/>
      <c r="FP210" s="524"/>
      <c r="FQ210" s="524"/>
      <c r="FR210" s="524"/>
      <c r="FS210" s="524"/>
      <c r="FT210" s="524"/>
      <c r="FU210" s="524"/>
      <c r="FV210" s="524"/>
      <c r="FW210" s="524"/>
      <c r="FX210" s="524"/>
      <c r="FY210" s="524"/>
      <c r="FZ210" s="524"/>
      <c r="GA210" s="524"/>
      <c r="GB210" s="524"/>
      <c r="GC210" s="524"/>
      <c r="GD210" s="524"/>
      <c r="GE210" s="524"/>
      <c r="GF210" s="524"/>
      <c r="GG210" s="524"/>
      <c r="GH210" s="524"/>
      <c r="GI210" s="524"/>
      <c r="GJ210" s="524"/>
      <c r="GK210" s="524"/>
      <c r="GL210" s="524"/>
      <c r="GM210" s="524"/>
      <c r="GN210" s="524"/>
      <c r="GO210" s="524"/>
      <c r="GP210" s="524"/>
      <c r="GQ210" s="524"/>
      <c r="GR210" s="524"/>
      <c r="GS210" s="524"/>
      <c r="GT210" s="524"/>
      <c r="GU210" s="524"/>
      <c r="GV210" s="524"/>
      <c r="GW210" s="524"/>
      <c r="GX210" s="524"/>
      <c r="GY210" s="524"/>
      <c r="GZ210" s="524"/>
      <c r="HA210" s="524"/>
      <c r="HB210" s="524"/>
      <c r="HC210" s="524"/>
      <c r="HD210" s="524"/>
      <c r="HE210" s="524"/>
      <c r="HF210" s="524"/>
      <c r="HG210" s="524"/>
      <c r="HH210" s="524"/>
      <c r="HI210" s="524"/>
      <c r="HJ210" s="524"/>
      <c r="HK210" s="524"/>
      <c r="HL210" s="524"/>
      <c r="HM210" s="524"/>
      <c r="HN210" s="524"/>
      <c r="HO210" s="524"/>
      <c r="HP210" s="524"/>
      <c r="HQ210" s="524"/>
      <c r="HR210" s="524"/>
      <c r="HS210" s="524"/>
      <c r="HT210" s="524"/>
      <c r="HU210" s="524"/>
      <c r="HV210" s="524"/>
      <c r="HW210" s="524"/>
      <c r="HX210" s="524"/>
      <c r="HY210" s="524"/>
      <c r="HZ210" s="524"/>
      <c r="IA210" s="524"/>
      <c r="IB210" s="524"/>
      <c r="IC210" s="524"/>
      <c r="ID210" s="524"/>
      <c r="IE210" s="524"/>
      <c r="IF210" s="524"/>
      <c r="IG210" s="524"/>
      <c r="IH210" s="524"/>
      <c r="II210" s="524"/>
      <c r="IJ210" s="524"/>
      <c r="IK210" s="524"/>
      <c r="IL210" s="524"/>
      <c r="IM210" s="524"/>
      <c r="IN210" s="524"/>
      <c r="IO210" s="524"/>
      <c r="IP210" s="524"/>
      <c r="IQ210" s="524"/>
      <c r="IR210" s="524"/>
      <c r="IS210" s="524"/>
      <c r="IT210" s="524"/>
      <c r="IU210" s="524"/>
      <c r="IV210" s="524"/>
      <c r="IW210" s="524"/>
      <c r="IX210" s="524"/>
      <c r="IY210" s="524"/>
      <c r="IZ210" s="524"/>
      <c r="JA210" s="524"/>
      <c r="JB210" s="524"/>
      <c r="JC210" s="524"/>
      <c r="JD210" s="524"/>
      <c r="JE210" s="524"/>
      <c r="JF210" s="524"/>
      <c r="JG210" s="524"/>
      <c r="JH210" s="524"/>
      <c r="JI210" s="524"/>
      <c r="JJ210" s="524"/>
      <c r="JK210" s="524"/>
      <c r="JL210" s="524"/>
      <c r="JM210" s="524"/>
      <c r="JN210" s="524"/>
      <c r="JO210" s="524"/>
      <c r="JP210" s="524"/>
      <c r="JQ210" s="524"/>
      <c r="JR210" s="524"/>
      <c r="JS210" s="524"/>
      <c r="JT210" s="524"/>
      <c r="JU210" s="524"/>
      <c r="JV210" s="524"/>
      <c r="JW210" s="524"/>
      <c r="JX210" s="524"/>
      <c r="JY210" s="524"/>
      <c r="JZ210" s="524"/>
      <c r="KA210" s="524"/>
      <c r="KB210" s="524"/>
      <c r="KC210" s="524"/>
      <c r="KD210" s="524"/>
      <c r="KE210" s="524"/>
      <c r="KF210" s="524"/>
      <c r="KG210" s="524"/>
      <c r="KH210" s="524"/>
      <c r="KI210" s="524"/>
      <c r="KJ210" s="524"/>
      <c r="KK210" s="524"/>
      <c r="KL210" s="524"/>
      <c r="KM210" s="524"/>
      <c r="KN210" s="524"/>
      <c r="KO210" s="524"/>
      <c r="KP210" s="524"/>
      <c r="KQ210" s="524"/>
      <c r="KR210" s="524"/>
      <c r="KS210" s="524"/>
      <c r="KT210" s="524"/>
      <c r="KU210" s="524"/>
      <c r="KV210" s="524"/>
      <c r="KW210" s="524"/>
      <c r="KX210" s="524"/>
      <c r="KY210" s="524"/>
      <c r="KZ210" s="524"/>
      <c r="LA210" s="524"/>
      <c r="LB210" s="524"/>
      <c r="LC210" s="524"/>
      <c r="LD210" s="524"/>
      <c r="LE210" s="524"/>
      <c r="LF210" s="524"/>
      <c r="LG210" s="524"/>
      <c r="LH210" s="524"/>
      <c r="LI210" s="524"/>
      <c r="LJ210" s="524"/>
      <c r="LK210" s="524"/>
      <c r="LL210" s="524"/>
      <c r="LM210" s="524"/>
      <c r="LN210" s="524"/>
      <c r="LO210" s="524"/>
      <c r="LP210" s="524"/>
      <c r="LQ210" s="524"/>
      <c r="LR210" s="524"/>
      <c r="LS210" s="524"/>
      <c r="LT210" s="524"/>
      <c r="LU210" s="524"/>
      <c r="LV210" s="524"/>
      <c r="LW210" s="524"/>
      <c r="LX210" s="524"/>
      <c r="LY210" s="524"/>
      <c r="LZ210" s="524"/>
      <c r="MA210" s="524"/>
      <c r="MB210" s="524"/>
      <c r="MC210" s="524"/>
      <c r="MD210" s="524"/>
      <c r="ME210" s="524"/>
      <c r="MF210" s="524"/>
      <c r="MG210" s="524"/>
      <c r="MH210" s="524"/>
      <c r="MI210" s="524"/>
      <c r="MJ210" s="524"/>
      <c r="MK210" s="524"/>
      <c r="ML210" s="524"/>
      <c r="MM210" s="524"/>
      <c r="MN210" s="524"/>
      <c r="MO210" s="524"/>
      <c r="MP210" s="524"/>
      <c r="MQ210" s="524"/>
      <c r="MR210" s="524"/>
      <c r="MS210" s="524"/>
      <c r="MT210" s="524"/>
      <c r="MU210" s="524"/>
      <c r="MV210" s="524"/>
      <c r="MW210" s="524"/>
      <c r="MX210" s="524"/>
      <c r="MY210" s="524"/>
      <c r="MZ210" s="524"/>
      <c r="NA210" s="524"/>
      <c r="NB210" s="524"/>
      <c r="NC210" s="524"/>
      <c r="ND210" s="524"/>
      <c r="NE210" s="524"/>
      <c r="NF210" s="524"/>
      <c r="NG210" s="524"/>
      <c r="NH210" s="524"/>
      <c r="NI210" s="524"/>
      <c r="NJ210" s="524"/>
      <c r="NK210" s="524"/>
      <c r="NL210" s="524"/>
      <c r="NM210" s="524"/>
      <c r="NN210" s="524"/>
      <c r="NO210" s="524"/>
      <c r="NP210" s="524"/>
      <c r="NQ210" s="524"/>
      <c r="NR210" s="524"/>
      <c r="NS210" s="524"/>
      <c r="NT210" s="524"/>
      <c r="NU210" s="524"/>
      <c r="NV210" s="524"/>
      <c r="NW210" s="524"/>
      <c r="NX210" s="524"/>
      <c r="NY210" s="524"/>
      <c r="NZ210" s="524"/>
      <c r="OA210" s="524"/>
      <c r="OB210" s="524"/>
      <c r="OC210" s="524"/>
      <c r="OD210" s="524"/>
      <c r="OE210" s="524"/>
      <c r="OF210" s="524"/>
      <c r="OG210" s="524"/>
      <c r="OH210" s="524"/>
      <c r="OI210" s="524"/>
      <c r="OJ210" s="524"/>
      <c r="OK210" s="524"/>
      <c r="OL210" s="524"/>
      <c r="OM210" s="524"/>
      <c r="ON210" s="524"/>
      <c r="OO210" s="524"/>
      <c r="OP210" s="524"/>
      <c r="OQ210" s="524"/>
      <c r="OR210" s="524"/>
      <c r="OS210" s="524"/>
      <c r="OT210" s="524"/>
      <c r="OU210" s="524"/>
      <c r="OV210" s="524"/>
      <c r="OW210" s="524"/>
      <c r="OX210" s="524"/>
      <c r="OY210" s="524"/>
      <c r="OZ210" s="524"/>
      <c r="PA210" s="524"/>
      <c r="PB210" s="524"/>
      <c r="PC210" s="524"/>
      <c r="PD210" s="524"/>
      <c r="PE210" s="524"/>
      <c r="PF210" s="524"/>
      <c r="PG210" s="524"/>
      <c r="PH210" s="524"/>
      <c r="PI210" s="524"/>
      <c r="PJ210" s="524"/>
      <c r="PK210" s="524"/>
      <c r="PL210" s="524"/>
      <c r="PM210" s="524"/>
      <c r="PN210" s="524"/>
      <c r="PO210" s="524"/>
      <c r="PP210" s="524"/>
      <c r="PQ210" s="524"/>
      <c r="PR210" s="524"/>
      <c r="PS210" s="524"/>
      <c r="PT210" s="524"/>
      <c r="PU210" s="524"/>
      <c r="PV210" s="524"/>
      <c r="PW210" s="524"/>
      <c r="PX210" s="524"/>
      <c r="PY210" s="524"/>
      <c r="PZ210" s="524"/>
      <c r="QA210" s="524"/>
      <c r="QB210" s="524"/>
      <c r="QC210" s="524"/>
      <c r="QD210" s="524"/>
      <c r="QE210" s="524"/>
      <c r="QF210" s="524"/>
      <c r="QG210" s="524"/>
      <c r="QH210" s="524"/>
      <c r="QI210" s="524"/>
      <c r="QJ210" s="524"/>
    </row>
    <row r="211" spans="1:452" s="588" customFormat="1" ht="18" x14ac:dyDescent="0.35">
      <c r="A211" s="601"/>
      <c r="B211" s="602"/>
      <c r="C211" s="603"/>
      <c r="D211" s="603"/>
      <c r="E211" s="586"/>
      <c r="F211" s="587"/>
      <c r="G211" s="587"/>
      <c r="H211" s="587"/>
      <c r="I211" s="587"/>
      <c r="J211" s="587"/>
      <c r="K211" s="587"/>
      <c r="L211" s="587"/>
      <c r="M211" s="587"/>
      <c r="N211" s="587"/>
      <c r="O211" s="587"/>
      <c r="P211" s="604">
        <f t="shared" ref="P211:P221" si="62">SUM(F211:O211)</f>
        <v>0</v>
      </c>
      <c r="Q211" s="575"/>
      <c r="R211" s="576"/>
      <c r="S211" s="576"/>
      <c r="T211" s="576"/>
      <c r="U211" s="577"/>
      <c r="V211" s="524"/>
      <c r="W211" s="524"/>
      <c r="X211" s="524"/>
      <c r="Y211" s="524"/>
      <c r="Z211" s="524"/>
      <c r="AA211" s="524"/>
      <c r="AB211" s="524"/>
      <c r="AC211" s="524"/>
      <c r="AD211" s="524"/>
      <c r="AE211" s="524"/>
      <c r="AF211" s="524"/>
      <c r="AG211" s="524"/>
      <c r="AH211" s="524"/>
      <c r="AI211" s="524"/>
      <c r="AJ211" s="524"/>
      <c r="AK211" s="524"/>
      <c r="AL211" s="524"/>
      <c r="AM211" s="524"/>
      <c r="AN211" s="524"/>
      <c r="AO211" s="524"/>
      <c r="AP211" s="524"/>
      <c r="AQ211" s="524"/>
      <c r="AR211" s="524"/>
      <c r="AS211" s="524"/>
      <c r="AT211" s="524"/>
      <c r="AU211" s="524"/>
      <c r="AV211" s="524"/>
      <c r="AW211" s="524"/>
      <c r="AX211" s="524"/>
      <c r="AY211" s="524"/>
      <c r="AZ211" s="524"/>
      <c r="BA211" s="524"/>
      <c r="BB211" s="524"/>
      <c r="BC211" s="524"/>
      <c r="BD211" s="524"/>
      <c r="BE211" s="524"/>
      <c r="BF211" s="524"/>
      <c r="BG211" s="524"/>
      <c r="BH211" s="524"/>
      <c r="BI211" s="524"/>
      <c r="BJ211" s="524"/>
      <c r="BK211" s="524"/>
      <c r="BL211" s="524"/>
      <c r="BM211" s="524"/>
      <c r="BN211" s="524"/>
      <c r="BO211" s="524"/>
      <c r="BP211" s="524"/>
      <c r="BQ211" s="524"/>
      <c r="BR211" s="524"/>
      <c r="BS211" s="524"/>
      <c r="BT211" s="524"/>
      <c r="BU211" s="524"/>
      <c r="BV211" s="524"/>
      <c r="BW211" s="524"/>
      <c r="BX211" s="524"/>
      <c r="BY211" s="524"/>
      <c r="BZ211" s="524"/>
      <c r="CA211" s="524"/>
      <c r="CB211" s="524"/>
      <c r="CC211" s="524"/>
      <c r="CD211" s="524"/>
      <c r="CE211" s="524"/>
      <c r="CF211" s="524"/>
      <c r="CG211" s="524"/>
      <c r="CH211" s="524"/>
      <c r="CI211" s="524"/>
      <c r="CJ211" s="524"/>
      <c r="CK211" s="524"/>
      <c r="CL211" s="524"/>
      <c r="CM211" s="524"/>
      <c r="CN211" s="524"/>
      <c r="CO211" s="524"/>
      <c r="CP211" s="524"/>
      <c r="CQ211" s="524"/>
      <c r="CR211" s="524"/>
      <c r="CS211" s="524"/>
      <c r="CT211" s="524"/>
      <c r="CU211" s="524"/>
      <c r="CV211" s="524"/>
      <c r="CW211" s="524"/>
      <c r="CX211" s="524"/>
      <c r="CY211" s="524"/>
      <c r="CZ211" s="524"/>
      <c r="DA211" s="524"/>
      <c r="DB211" s="524"/>
      <c r="DC211" s="524"/>
      <c r="DD211" s="524"/>
      <c r="DE211" s="524"/>
      <c r="DF211" s="524"/>
      <c r="DG211" s="524"/>
      <c r="DH211" s="524"/>
      <c r="DI211" s="524"/>
      <c r="DJ211" s="524"/>
      <c r="DK211" s="524"/>
      <c r="DL211" s="524"/>
      <c r="DM211" s="524"/>
      <c r="DN211" s="524"/>
      <c r="DO211" s="524"/>
      <c r="DP211" s="524"/>
      <c r="DQ211" s="524"/>
      <c r="DR211" s="524"/>
      <c r="DS211" s="524"/>
      <c r="DT211" s="524"/>
      <c r="DU211" s="524"/>
      <c r="DV211" s="524"/>
      <c r="DW211" s="524"/>
      <c r="DX211" s="524"/>
      <c r="DY211" s="524"/>
      <c r="DZ211" s="524"/>
      <c r="EA211" s="524"/>
      <c r="EB211" s="524"/>
      <c r="EC211" s="524"/>
      <c r="ED211" s="524"/>
      <c r="EE211" s="524"/>
      <c r="EF211" s="524"/>
      <c r="EG211" s="524"/>
      <c r="EH211" s="524"/>
      <c r="EI211" s="524"/>
      <c r="EJ211" s="524"/>
      <c r="EK211" s="524"/>
      <c r="EL211" s="524"/>
      <c r="EM211" s="524"/>
      <c r="EN211" s="524"/>
      <c r="EO211" s="524"/>
      <c r="EP211" s="524"/>
      <c r="EQ211" s="524"/>
      <c r="ER211" s="524"/>
      <c r="ES211" s="524"/>
      <c r="ET211" s="524"/>
      <c r="EU211" s="524"/>
      <c r="EV211" s="524"/>
      <c r="EW211" s="524"/>
      <c r="EX211" s="524"/>
      <c r="EY211" s="524"/>
      <c r="EZ211" s="524"/>
      <c r="FA211" s="524"/>
      <c r="FB211" s="524"/>
      <c r="FC211" s="524"/>
      <c r="FD211" s="524"/>
      <c r="FE211" s="524"/>
      <c r="FF211" s="524"/>
      <c r="FG211" s="524"/>
      <c r="FH211" s="524"/>
      <c r="FI211" s="524"/>
      <c r="FJ211" s="524"/>
      <c r="FK211" s="524"/>
      <c r="FL211" s="524"/>
      <c r="FM211" s="524"/>
      <c r="FN211" s="524"/>
      <c r="FO211" s="524"/>
      <c r="FP211" s="524"/>
      <c r="FQ211" s="524"/>
      <c r="FR211" s="524"/>
      <c r="FS211" s="524"/>
      <c r="FT211" s="524"/>
      <c r="FU211" s="524"/>
      <c r="FV211" s="524"/>
      <c r="FW211" s="524"/>
      <c r="FX211" s="524"/>
      <c r="FY211" s="524"/>
      <c r="FZ211" s="524"/>
      <c r="GA211" s="524"/>
      <c r="GB211" s="524"/>
      <c r="GC211" s="524"/>
      <c r="GD211" s="524"/>
      <c r="GE211" s="524"/>
      <c r="GF211" s="524"/>
      <c r="GG211" s="524"/>
      <c r="GH211" s="524"/>
      <c r="GI211" s="524"/>
      <c r="GJ211" s="524"/>
      <c r="GK211" s="524"/>
      <c r="GL211" s="524"/>
      <c r="GM211" s="524"/>
      <c r="GN211" s="524"/>
      <c r="GO211" s="524"/>
      <c r="GP211" s="524"/>
      <c r="GQ211" s="524"/>
      <c r="GR211" s="524"/>
      <c r="GS211" s="524"/>
      <c r="GT211" s="524"/>
      <c r="GU211" s="524"/>
      <c r="GV211" s="524"/>
      <c r="GW211" s="524"/>
      <c r="GX211" s="524"/>
      <c r="GY211" s="524"/>
      <c r="GZ211" s="524"/>
      <c r="HA211" s="524"/>
      <c r="HB211" s="524"/>
      <c r="HC211" s="524"/>
      <c r="HD211" s="524"/>
      <c r="HE211" s="524"/>
      <c r="HF211" s="524"/>
      <c r="HG211" s="524"/>
      <c r="HH211" s="524"/>
      <c r="HI211" s="524"/>
      <c r="HJ211" s="524"/>
      <c r="HK211" s="524"/>
      <c r="HL211" s="524"/>
      <c r="HM211" s="524"/>
      <c r="HN211" s="524"/>
      <c r="HO211" s="524"/>
      <c r="HP211" s="524"/>
      <c r="HQ211" s="524"/>
      <c r="HR211" s="524"/>
      <c r="HS211" s="524"/>
      <c r="HT211" s="524"/>
      <c r="HU211" s="524"/>
      <c r="HV211" s="524"/>
      <c r="HW211" s="524"/>
      <c r="HX211" s="524"/>
      <c r="HY211" s="524"/>
      <c r="HZ211" s="524"/>
      <c r="IA211" s="524"/>
      <c r="IB211" s="524"/>
      <c r="IC211" s="524"/>
      <c r="ID211" s="524"/>
      <c r="IE211" s="524"/>
      <c r="IF211" s="524"/>
      <c r="IG211" s="524"/>
      <c r="IH211" s="524"/>
      <c r="II211" s="524"/>
      <c r="IJ211" s="524"/>
      <c r="IK211" s="524"/>
      <c r="IL211" s="524"/>
      <c r="IM211" s="524"/>
      <c r="IN211" s="524"/>
      <c r="IO211" s="524"/>
      <c r="IP211" s="524"/>
      <c r="IQ211" s="524"/>
      <c r="IR211" s="524"/>
      <c r="IS211" s="524"/>
      <c r="IT211" s="524"/>
      <c r="IU211" s="524"/>
      <c r="IV211" s="524"/>
      <c r="IW211" s="524"/>
      <c r="IX211" s="524"/>
      <c r="IY211" s="524"/>
      <c r="IZ211" s="524"/>
      <c r="JA211" s="524"/>
      <c r="JB211" s="524"/>
      <c r="JC211" s="524"/>
      <c r="JD211" s="524"/>
      <c r="JE211" s="524"/>
      <c r="JF211" s="524"/>
      <c r="JG211" s="524"/>
      <c r="JH211" s="524"/>
      <c r="JI211" s="524"/>
      <c r="JJ211" s="524"/>
      <c r="JK211" s="524"/>
      <c r="JL211" s="524"/>
      <c r="JM211" s="524"/>
      <c r="JN211" s="524"/>
      <c r="JO211" s="524"/>
      <c r="JP211" s="524"/>
      <c r="JQ211" s="524"/>
      <c r="JR211" s="524"/>
      <c r="JS211" s="524"/>
      <c r="JT211" s="524"/>
      <c r="JU211" s="524"/>
      <c r="JV211" s="524"/>
      <c r="JW211" s="524"/>
      <c r="JX211" s="524"/>
      <c r="JY211" s="524"/>
      <c r="JZ211" s="524"/>
      <c r="KA211" s="524"/>
      <c r="KB211" s="524"/>
      <c r="KC211" s="524"/>
      <c r="KD211" s="524"/>
      <c r="KE211" s="524"/>
      <c r="KF211" s="524"/>
      <c r="KG211" s="524"/>
      <c r="KH211" s="524"/>
      <c r="KI211" s="524"/>
      <c r="KJ211" s="524"/>
      <c r="KK211" s="524"/>
      <c r="KL211" s="524"/>
      <c r="KM211" s="524"/>
      <c r="KN211" s="524"/>
      <c r="KO211" s="524"/>
      <c r="KP211" s="524"/>
      <c r="KQ211" s="524"/>
      <c r="KR211" s="524"/>
      <c r="KS211" s="524"/>
      <c r="KT211" s="524"/>
      <c r="KU211" s="524"/>
      <c r="KV211" s="524"/>
      <c r="KW211" s="524"/>
      <c r="KX211" s="524"/>
      <c r="KY211" s="524"/>
      <c r="KZ211" s="524"/>
      <c r="LA211" s="524"/>
      <c r="LB211" s="524"/>
      <c r="LC211" s="524"/>
      <c r="LD211" s="524"/>
      <c r="LE211" s="524"/>
      <c r="LF211" s="524"/>
      <c r="LG211" s="524"/>
      <c r="LH211" s="524"/>
      <c r="LI211" s="524"/>
      <c r="LJ211" s="524"/>
      <c r="LK211" s="524"/>
      <c r="LL211" s="524"/>
      <c r="LM211" s="524"/>
      <c r="LN211" s="524"/>
      <c r="LO211" s="524"/>
      <c r="LP211" s="524"/>
      <c r="LQ211" s="524"/>
      <c r="LR211" s="524"/>
      <c r="LS211" s="524"/>
      <c r="LT211" s="524"/>
      <c r="LU211" s="524"/>
      <c r="LV211" s="524"/>
      <c r="LW211" s="524"/>
      <c r="LX211" s="524"/>
      <c r="LY211" s="524"/>
      <c r="LZ211" s="524"/>
      <c r="MA211" s="524"/>
      <c r="MB211" s="524"/>
      <c r="MC211" s="524"/>
      <c r="MD211" s="524"/>
      <c r="ME211" s="524"/>
      <c r="MF211" s="524"/>
      <c r="MG211" s="524"/>
      <c r="MH211" s="524"/>
      <c r="MI211" s="524"/>
      <c r="MJ211" s="524"/>
      <c r="MK211" s="524"/>
      <c r="ML211" s="524"/>
      <c r="MM211" s="524"/>
      <c r="MN211" s="524"/>
      <c r="MO211" s="524"/>
      <c r="MP211" s="524"/>
      <c r="MQ211" s="524"/>
      <c r="MR211" s="524"/>
      <c r="MS211" s="524"/>
      <c r="MT211" s="524"/>
      <c r="MU211" s="524"/>
      <c r="MV211" s="524"/>
      <c r="MW211" s="524"/>
      <c r="MX211" s="524"/>
      <c r="MY211" s="524"/>
      <c r="MZ211" s="524"/>
      <c r="NA211" s="524"/>
      <c r="NB211" s="524"/>
      <c r="NC211" s="524"/>
      <c r="ND211" s="524"/>
      <c r="NE211" s="524"/>
      <c r="NF211" s="524"/>
      <c r="NG211" s="524"/>
      <c r="NH211" s="524"/>
      <c r="NI211" s="524"/>
      <c r="NJ211" s="524"/>
      <c r="NK211" s="524"/>
      <c r="NL211" s="524"/>
      <c r="NM211" s="524"/>
      <c r="NN211" s="524"/>
      <c r="NO211" s="524"/>
      <c r="NP211" s="524"/>
      <c r="NQ211" s="524"/>
      <c r="NR211" s="524"/>
      <c r="NS211" s="524"/>
      <c r="NT211" s="524"/>
      <c r="NU211" s="524"/>
      <c r="NV211" s="524"/>
      <c r="NW211" s="524"/>
      <c r="NX211" s="524"/>
      <c r="NY211" s="524"/>
      <c r="NZ211" s="524"/>
      <c r="OA211" s="524"/>
      <c r="OB211" s="524"/>
      <c r="OC211" s="524"/>
      <c r="OD211" s="524"/>
      <c r="OE211" s="524"/>
      <c r="OF211" s="524"/>
      <c r="OG211" s="524"/>
      <c r="OH211" s="524"/>
      <c r="OI211" s="524"/>
      <c r="OJ211" s="524"/>
      <c r="OK211" s="524"/>
      <c r="OL211" s="524"/>
      <c r="OM211" s="524"/>
      <c r="ON211" s="524"/>
      <c r="OO211" s="524"/>
      <c r="OP211" s="524"/>
      <c r="OQ211" s="524"/>
      <c r="OR211" s="524"/>
      <c r="OS211" s="524"/>
      <c r="OT211" s="524"/>
      <c r="OU211" s="524"/>
      <c r="OV211" s="524"/>
      <c r="OW211" s="524"/>
      <c r="OX211" s="524"/>
      <c r="OY211" s="524"/>
      <c r="OZ211" s="524"/>
      <c r="PA211" s="524"/>
      <c r="PB211" s="524"/>
      <c r="PC211" s="524"/>
      <c r="PD211" s="524"/>
      <c r="PE211" s="524"/>
      <c r="PF211" s="524"/>
      <c r="PG211" s="524"/>
      <c r="PH211" s="524"/>
      <c r="PI211" s="524"/>
      <c r="PJ211" s="524"/>
      <c r="PK211" s="524"/>
      <c r="PL211" s="524"/>
      <c r="PM211" s="524"/>
      <c r="PN211" s="524"/>
      <c r="PO211" s="524"/>
      <c r="PP211" s="524"/>
      <c r="PQ211" s="524"/>
      <c r="PR211" s="524"/>
      <c r="PS211" s="524"/>
      <c r="PT211" s="524"/>
      <c r="PU211" s="524"/>
      <c r="PV211" s="524"/>
      <c r="PW211" s="524"/>
      <c r="PX211" s="524"/>
      <c r="PY211" s="524"/>
      <c r="PZ211" s="524"/>
      <c r="QA211" s="524"/>
      <c r="QB211" s="524"/>
      <c r="QC211" s="524"/>
      <c r="QD211" s="524"/>
      <c r="QE211" s="524"/>
      <c r="QF211" s="524"/>
      <c r="QG211" s="524"/>
      <c r="QH211" s="524"/>
      <c r="QI211" s="524"/>
      <c r="QJ211" s="524"/>
    </row>
    <row r="212" spans="1:452" s="617" customFormat="1" ht="18" x14ac:dyDescent="0.35">
      <c r="A212" s="611"/>
      <c r="B212" s="612" t="s">
        <v>124</v>
      </c>
      <c r="C212" s="613"/>
      <c r="D212" s="613"/>
      <c r="E212" s="614"/>
      <c r="F212" s="615">
        <f>F218</f>
        <v>0</v>
      </c>
      <c r="G212" s="615">
        <f t="shared" ref="G212:O212" si="63">G218</f>
        <v>0</v>
      </c>
      <c r="H212" s="615">
        <f t="shared" si="63"/>
        <v>0</v>
      </c>
      <c r="I212" s="615">
        <f t="shared" si="63"/>
        <v>0</v>
      </c>
      <c r="J212" s="615">
        <f t="shared" si="63"/>
        <v>0</v>
      </c>
      <c r="K212" s="615">
        <f t="shared" si="63"/>
        <v>0</v>
      </c>
      <c r="L212" s="615">
        <f t="shared" si="63"/>
        <v>0</v>
      </c>
      <c r="M212" s="615">
        <f t="shared" si="63"/>
        <v>0</v>
      </c>
      <c r="N212" s="615">
        <f t="shared" si="63"/>
        <v>0</v>
      </c>
      <c r="O212" s="615">
        <f t="shared" si="63"/>
        <v>0</v>
      </c>
      <c r="P212" s="616">
        <f t="shared" si="62"/>
        <v>0</v>
      </c>
      <c r="Q212" s="575"/>
      <c r="R212" s="576"/>
      <c r="S212" s="576"/>
      <c r="T212" s="576"/>
      <c r="U212" s="577"/>
    </row>
    <row r="213" spans="1:452" s="588" customFormat="1" ht="18" x14ac:dyDescent="0.35">
      <c r="A213" s="601"/>
      <c r="B213" s="602"/>
      <c r="C213" s="603"/>
      <c r="D213" s="603"/>
      <c r="E213" s="586"/>
      <c r="F213" s="587"/>
      <c r="G213" s="587"/>
      <c r="H213" s="587"/>
      <c r="I213" s="587"/>
      <c r="J213" s="587"/>
      <c r="K213" s="587"/>
      <c r="L213" s="587"/>
      <c r="M213" s="587"/>
      <c r="N213" s="587"/>
      <c r="O213" s="587"/>
      <c r="P213" s="604">
        <f t="shared" si="62"/>
        <v>0</v>
      </c>
      <c r="Q213" s="575"/>
      <c r="R213" s="576"/>
      <c r="S213" s="576"/>
      <c r="T213" s="576"/>
      <c r="U213" s="577"/>
      <c r="V213" s="524"/>
      <c r="W213" s="524"/>
      <c r="X213" s="524"/>
      <c r="Y213" s="524"/>
      <c r="Z213" s="524"/>
      <c r="AA213" s="524"/>
      <c r="AB213" s="524"/>
      <c r="AC213" s="524"/>
      <c r="AD213" s="524"/>
      <c r="AE213" s="524"/>
      <c r="AF213" s="524"/>
      <c r="AG213" s="524"/>
      <c r="AH213" s="524"/>
      <c r="AI213" s="524"/>
      <c r="AJ213" s="524"/>
      <c r="AK213" s="524"/>
      <c r="AL213" s="524"/>
      <c r="AM213" s="524"/>
      <c r="AN213" s="524"/>
      <c r="AO213" s="524"/>
      <c r="AP213" s="524"/>
      <c r="AQ213" s="524"/>
      <c r="AR213" s="524"/>
      <c r="AS213" s="524"/>
      <c r="AT213" s="524"/>
      <c r="AU213" s="524"/>
      <c r="AV213" s="524"/>
      <c r="AW213" s="524"/>
      <c r="AX213" s="524"/>
      <c r="AY213" s="524"/>
      <c r="AZ213" s="524"/>
      <c r="BA213" s="524"/>
      <c r="BB213" s="524"/>
      <c r="BC213" s="524"/>
      <c r="BD213" s="524"/>
      <c r="BE213" s="524"/>
      <c r="BF213" s="524"/>
      <c r="BG213" s="524"/>
      <c r="BH213" s="524"/>
      <c r="BI213" s="524"/>
      <c r="BJ213" s="524"/>
      <c r="BK213" s="524"/>
      <c r="BL213" s="524"/>
      <c r="BM213" s="524"/>
      <c r="BN213" s="524"/>
      <c r="BO213" s="524"/>
      <c r="BP213" s="524"/>
      <c r="BQ213" s="524"/>
      <c r="BR213" s="524"/>
      <c r="BS213" s="524"/>
      <c r="BT213" s="524"/>
      <c r="BU213" s="524"/>
      <c r="BV213" s="524"/>
      <c r="BW213" s="524"/>
      <c r="BX213" s="524"/>
      <c r="BY213" s="524"/>
      <c r="BZ213" s="524"/>
      <c r="CA213" s="524"/>
      <c r="CB213" s="524"/>
      <c r="CC213" s="524"/>
      <c r="CD213" s="524"/>
      <c r="CE213" s="524"/>
      <c r="CF213" s="524"/>
      <c r="CG213" s="524"/>
      <c r="CH213" s="524"/>
      <c r="CI213" s="524"/>
      <c r="CJ213" s="524"/>
      <c r="CK213" s="524"/>
      <c r="CL213" s="524"/>
      <c r="CM213" s="524"/>
      <c r="CN213" s="524"/>
      <c r="CO213" s="524"/>
      <c r="CP213" s="524"/>
      <c r="CQ213" s="524"/>
      <c r="CR213" s="524"/>
      <c r="CS213" s="524"/>
      <c r="CT213" s="524"/>
      <c r="CU213" s="524"/>
      <c r="CV213" s="524"/>
      <c r="CW213" s="524"/>
      <c r="CX213" s="524"/>
      <c r="CY213" s="524"/>
      <c r="CZ213" s="524"/>
      <c r="DA213" s="524"/>
      <c r="DB213" s="524"/>
      <c r="DC213" s="524"/>
      <c r="DD213" s="524"/>
      <c r="DE213" s="524"/>
      <c r="DF213" s="524"/>
      <c r="DG213" s="524"/>
      <c r="DH213" s="524"/>
      <c r="DI213" s="524"/>
      <c r="DJ213" s="524"/>
      <c r="DK213" s="524"/>
      <c r="DL213" s="524"/>
      <c r="DM213" s="524"/>
      <c r="DN213" s="524"/>
      <c r="DO213" s="524"/>
      <c r="DP213" s="524"/>
      <c r="DQ213" s="524"/>
      <c r="DR213" s="524"/>
      <c r="DS213" s="524"/>
      <c r="DT213" s="524"/>
      <c r="DU213" s="524"/>
      <c r="DV213" s="524"/>
      <c r="DW213" s="524"/>
      <c r="DX213" s="524"/>
      <c r="DY213" s="524"/>
      <c r="DZ213" s="524"/>
      <c r="EA213" s="524"/>
      <c r="EB213" s="524"/>
      <c r="EC213" s="524"/>
      <c r="ED213" s="524"/>
      <c r="EE213" s="524"/>
      <c r="EF213" s="524"/>
      <c r="EG213" s="524"/>
      <c r="EH213" s="524"/>
      <c r="EI213" s="524"/>
      <c r="EJ213" s="524"/>
      <c r="EK213" s="524"/>
      <c r="EL213" s="524"/>
      <c r="EM213" s="524"/>
      <c r="EN213" s="524"/>
      <c r="EO213" s="524"/>
      <c r="EP213" s="524"/>
      <c r="EQ213" s="524"/>
      <c r="ER213" s="524"/>
      <c r="ES213" s="524"/>
      <c r="ET213" s="524"/>
      <c r="EU213" s="524"/>
      <c r="EV213" s="524"/>
      <c r="EW213" s="524"/>
      <c r="EX213" s="524"/>
      <c r="EY213" s="524"/>
      <c r="EZ213" s="524"/>
      <c r="FA213" s="524"/>
      <c r="FB213" s="524"/>
      <c r="FC213" s="524"/>
      <c r="FD213" s="524"/>
      <c r="FE213" s="524"/>
      <c r="FF213" s="524"/>
      <c r="FG213" s="524"/>
      <c r="FH213" s="524"/>
      <c r="FI213" s="524"/>
      <c r="FJ213" s="524"/>
      <c r="FK213" s="524"/>
      <c r="FL213" s="524"/>
      <c r="FM213" s="524"/>
      <c r="FN213" s="524"/>
      <c r="FO213" s="524"/>
      <c r="FP213" s="524"/>
      <c r="FQ213" s="524"/>
      <c r="FR213" s="524"/>
      <c r="FS213" s="524"/>
      <c r="FT213" s="524"/>
      <c r="FU213" s="524"/>
      <c r="FV213" s="524"/>
      <c r="FW213" s="524"/>
      <c r="FX213" s="524"/>
      <c r="FY213" s="524"/>
      <c r="FZ213" s="524"/>
      <c r="GA213" s="524"/>
      <c r="GB213" s="524"/>
      <c r="GC213" s="524"/>
      <c r="GD213" s="524"/>
      <c r="GE213" s="524"/>
      <c r="GF213" s="524"/>
      <c r="GG213" s="524"/>
      <c r="GH213" s="524"/>
      <c r="GI213" s="524"/>
      <c r="GJ213" s="524"/>
      <c r="GK213" s="524"/>
      <c r="GL213" s="524"/>
      <c r="GM213" s="524"/>
      <c r="GN213" s="524"/>
      <c r="GO213" s="524"/>
      <c r="GP213" s="524"/>
      <c r="GQ213" s="524"/>
      <c r="GR213" s="524"/>
      <c r="GS213" s="524"/>
      <c r="GT213" s="524"/>
      <c r="GU213" s="524"/>
      <c r="GV213" s="524"/>
      <c r="GW213" s="524"/>
      <c r="GX213" s="524"/>
      <c r="GY213" s="524"/>
      <c r="GZ213" s="524"/>
      <c r="HA213" s="524"/>
      <c r="HB213" s="524"/>
      <c r="HC213" s="524"/>
      <c r="HD213" s="524"/>
      <c r="HE213" s="524"/>
      <c r="HF213" s="524"/>
      <c r="HG213" s="524"/>
      <c r="HH213" s="524"/>
      <c r="HI213" s="524"/>
      <c r="HJ213" s="524"/>
      <c r="HK213" s="524"/>
      <c r="HL213" s="524"/>
      <c r="HM213" s="524"/>
      <c r="HN213" s="524"/>
      <c r="HO213" s="524"/>
      <c r="HP213" s="524"/>
      <c r="HQ213" s="524"/>
      <c r="HR213" s="524"/>
      <c r="HS213" s="524"/>
      <c r="HT213" s="524"/>
      <c r="HU213" s="524"/>
      <c r="HV213" s="524"/>
      <c r="HW213" s="524"/>
      <c r="HX213" s="524"/>
      <c r="HY213" s="524"/>
      <c r="HZ213" s="524"/>
      <c r="IA213" s="524"/>
      <c r="IB213" s="524"/>
      <c r="IC213" s="524"/>
      <c r="ID213" s="524"/>
      <c r="IE213" s="524"/>
      <c r="IF213" s="524"/>
      <c r="IG213" s="524"/>
      <c r="IH213" s="524"/>
      <c r="II213" s="524"/>
      <c r="IJ213" s="524"/>
      <c r="IK213" s="524"/>
      <c r="IL213" s="524"/>
      <c r="IM213" s="524"/>
      <c r="IN213" s="524"/>
      <c r="IO213" s="524"/>
      <c r="IP213" s="524"/>
      <c r="IQ213" s="524"/>
      <c r="IR213" s="524"/>
      <c r="IS213" s="524"/>
      <c r="IT213" s="524"/>
      <c r="IU213" s="524"/>
      <c r="IV213" s="524"/>
      <c r="IW213" s="524"/>
      <c r="IX213" s="524"/>
      <c r="IY213" s="524"/>
      <c r="IZ213" s="524"/>
      <c r="JA213" s="524"/>
      <c r="JB213" s="524"/>
      <c r="JC213" s="524"/>
      <c r="JD213" s="524"/>
      <c r="JE213" s="524"/>
      <c r="JF213" s="524"/>
      <c r="JG213" s="524"/>
      <c r="JH213" s="524"/>
      <c r="JI213" s="524"/>
      <c r="JJ213" s="524"/>
      <c r="JK213" s="524"/>
      <c r="JL213" s="524"/>
      <c r="JM213" s="524"/>
      <c r="JN213" s="524"/>
      <c r="JO213" s="524"/>
      <c r="JP213" s="524"/>
      <c r="JQ213" s="524"/>
      <c r="JR213" s="524"/>
      <c r="JS213" s="524"/>
      <c r="JT213" s="524"/>
      <c r="JU213" s="524"/>
      <c r="JV213" s="524"/>
      <c r="JW213" s="524"/>
      <c r="JX213" s="524"/>
      <c r="JY213" s="524"/>
      <c r="JZ213" s="524"/>
      <c r="KA213" s="524"/>
      <c r="KB213" s="524"/>
      <c r="KC213" s="524"/>
      <c r="KD213" s="524"/>
      <c r="KE213" s="524"/>
      <c r="KF213" s="524"/>
      <c r="KG213" s="524"/>
      <c r="KH213" s="524"/>
      <c r="KI213" s="524"/>
      <c r="KJ213" s="524"/>
      <c r="KK213" s="524"/>
      <c r="KL213" s="524"/>
      <c r="KM213" s="524"/>
      <c r="KN213" s="524"/>
      <c r="KO213" s="524"/>
      <c r="KP213" s="524"/>
      <c r="KQ213" s="524"/>
      <c r="KR213" s="524"/>
      <c r="KS213" s="524"/>
      <c r="KT213" s="524"/>
      <c r="KU213" s="524"/>
      <c r="KV213" s="524"/>
      <c r="KW213" s="524"/>
      <c r="KX213" s="524"/>
      <c r="KY213" s="524"/>
      <c r="KZ213" s="524"/>
      <c r="LA213" s="524"/>
      <c r="LB213" s="524"/>
      <c r="LC213" s="524"/>
      <c r="LD213" s="524"/>
      <c r="LE213" s="524"/>
      <c r="LF213" s="524"/>
      <c r="LG213" s="524"/>
      <c r="LH213" s="524"/>
      <c r="LI213" s="524"/>
      <c r="LJ213" s="524"/>
      <c r="LK213" s="524"/>
      <c r="LL213" s="524"/>
      <c r="LM213" s="524"/>
      <c r="LN213" s="524"/>
      <c r="LO213" s="524"/>
      <c r="LP213" s="524"/>
      <c r="LQ213" s="524"/>
      <c r="LR213" s="524"/>
      <c r="LS213" s="524"/>
      <c r="LT213" s="524"/>
      <c r="LU213" s="524"/>
      <c r="LV213" s="524"/>
      <c r="LW213" s="524"/>
      <c r="LX213" s="524"/>
      <c r="LY213" s="524"/>
      <c r="LZ213" s="524"/>
      <c r="MA213" s="524"/>
      <c r="MB213" s="524"/>
      <c r="MC213" s="524"/>
      <c r="MD213" s="524"/>
      <c r="ME213" s="524"/>
      <c r="MF213" s="524"/>
      <c r="MG213" s="524"/>
      <c r="MH213" s="524"/>
      <c r="MI213" s="524"/>
      <c r="MJ213" s="524"/>
      <c r="MK213" s="524"/>
      <c r="ML213" s="524"/>
      <c r="MM213" s="524"/>
      <c r="MN213" s="524"/>
      <c r="MO213" s="524"/>
      <c r="MP213" s="524"/>
      <c r="MQ213" s="524"/>
      <c r="MR213" s="524"/>
      <c r="MS213" s="524"/>
      <c r="MT213" s="524"/>
      <c r="MU213" s="524"/>
      <c r="MV213" s="524"/>
      <c r="MW213" s="524"/>
      <c r="MX213" s="524"/>
      <c r="MY213" s="524"/>
      <c r="MZ213" s="524"/>
      <c r="NA213" s="524"/>
      <c r="NB213" s="524"/>
      <c r="NC213" s="524"/>
      <c r="ND213" s="524"/>
      <c r="NE213" s="524"/>
      <c r="NF213" s="524"/>
      <c r="NG213" s="524"/>
      <c r="NH213" s="524"/>
      <c r="NI213" s="524"/>
      <c r="NJ213" s="524"/>
      <c r="NK213" s="524"/>
      <c r="NL213" s="524"/>
      <c r="NM213" s="524"/>
      <c r="NN213" s="524"/>
      <c r="NO213" s="524"/>
      <c r="NP213" s="524"/>
      <c r="NQ213" s="524"/>
      <c r="NR213" s="524"/>
      <c r="NS213" s="524"/>
      <c r="NT213" s="524"/>
      <c r="NU213" s="524"/>
      <c r="NV213" s="524"/>
      <c r="NW213" s="524"/>
      <c r="NX213" s="524"/>
      <c r="NY213" s="524"/>
      <c r="NZ213" s="524"/>
      <c r="OA213" s="524"/>
      <c r="OB213" s="524"/>
      <c r="OC213" s="524"/>
      <c r="OD213" s="524"/>
      <c r="OE213" s="524"/>
      <c r="OF213" s="524"/>
      <c r="OG213" s="524"/>
      <c r="OH213" s="524"/>
      <c r="OI213" s="524"/>
      <c r="OJ213" s="524"/>
      <c r="OK213" s="524"/>
      <c r="OL213" s="524"/>
      <c r="OM213" s="524"/>
      <c r="ON213" s="524"/>
      <c r="OO213" s="524"/>
      <c r="OP213" s="524"/>
      <c r="OQ213" s="524"/>
      <c r="OR213" s="524"/>
      <c r="OS213" s="524"/>
      <c r="OT213" s="524"/>
      <c r="OU213" s="524"/>
      <c r="OV213" s="524"/>
      <c r="OW213" s="524"/>
      <c r="OX213" s="524"/>
      <c r="OY213" s="524"/>
      <c r="OZ213" s="524"/>
      <c r="PA213" s="524"/>
      <c r="PB213" s="524"/>
      <c r="PC213" s="524"/>
      <c r="PD213" s="524"/>
      <c r="PE213" s="524"/>
      <c r="PF213" s="524"/>
      <c r="PG213" s="524"/>
      <c r="PH213" s="524"/>
      <c r="PI213" s="524"/>
      <c r="PJ213" s="524"/>
      <c r="PK213" s="524"/>
      <c r="PL213" s="524"/>
      <c r="PM213" s="524"/>
      <c r="PN213" s="524"/>
      <c r="PO213" s="524"/>
      <c r="PP213" s="524"/>
      <c r="PQ213" s="524"/>
      <c r="PR213" s="524"/>
      <c r="PS213" s="524"/>
      <c r="PT213" s="524"/>
      <c r="PU213" s="524"/>
      <c r="PV213" s="524"/>
      <c r="PW213" s="524"/>
      <c r="PX213" s="524"/>
      <c r="PY213" s="524"/>
      <c r="PZ213" s="524"/>
      <c r="QA213" s="524"/>
      <c r="QB213" s="524"/>
      <c r="QC213" s="524"/>
      <c r="QD213" s="524"/>
      <c r="QE213" s="524"/>
      <c r="QF213" s="524"/>
      <c r="QG213" s="524"/>
      <c r="QH213" s="524"/>
      <c r="QI213" s="524"/>
      <c r="QJ213" s="524"/>
    </row>
    <row r="214" spans="1:452" s="592" customFormat="1" ht="18" x14ac:dyDescent="0.35">
      <c r="A214" s="618"/>
      <c r="B214" s="619"/>
      <c r="C214" s="620"/>
      <c r="D214" s="619" t="s">
        <v>125</v>
      </c>
      <c r="E214" s="621"/>
      <c r="F214" s="622" cm="1">
        <f t="array" ref="F214">SUMPRODUCT(F$14:F$43,--($D$14:$D$43=$D214),--($Q$14:$Q$43=FALSE),$S$14:$S$43,--($S$14:$S$43&gt;0))+SUMPRODUCT(F$14:F$43,--($D$14:$D$43=$D214),--($Q$14:$Q$43=FALSE),$S$14:$S$43,--($S$14:$S$43&gt;0),--($R$14:$R$43="Yes"))*0.1+SUMPRODUCT(F$14:F$43,--($D$14:$D$43=$D214),--($Q$14:$Q$43=FALSE),--($S$14:$S$43=0))+SUMPRODUCT(F$14:F$43,--($D$14:$D$43=$D214),--($Q$14:$Q$43=FALSE),--($R$14:$R$43="Yes"),--($S$14:$S$43=0))*0.1</f>
        <v>0</v>
      </c>
      <c r="G214" s="622" cm="1">
        <f t="array" ref="G214">SUMPRODUCT(G$14:G$43,--($D$14:$D$43=$D214),--($Q$14:$Q$43=FALSE),$S$14:$S$43,--($S$14:$S$43&gt;0))+SUMPRODUCT(G$14:G$43,--($D$14:$D$43=$D214),--($Q$14:$Q$43=FALSE),$S$14:$S$43,--($S$14:$S$43&gt;0),--($R$14:$R$43="Yes"))*0.1+SUMPRODUCT(G$14:G$43,--($D$14:$D$43=$D214),--($Q$14:$Q$43=FALSE),--($S$14:$S$43=0))+SUMPRODUCT(G$14:G$43,--($D$14:$D$43=$D214),--($Q$14:$Q$43=FALSE),--($R$14:$R$43="Yes"),--($S$14:$S$43=0))*0.1</f>
        <v>0</v>
      </c>
      <c r="H214" s="622" cm="1">
        <f t="array" ref="H214">SUMPRODUCT(H$14:H$43,--($D$14:$D$43=$D214),--($Q$14:$Q$43=FALSE),$S$14:$S$43,--($S$14:$S$43&gt;0))+SUMPRODUCT(H$14:H$43,--($D$14:$D$43=$D214),--($Q$14:$Q$43=FALSE),$S$14:$S$43,--($S$14:$S$43&gt;0),--($R$14:$R$43="Yes"))*0.1+SUMPRODUCT(H$14:H$43,--($D$14:$D$43=$D214),--($Q$14:$Q$43=FALSE),--($S$14:$S$43=0))+SUMPRODUCT(H$14:H$43,--($D$14:$D$43=$D214),--($Q$14:$Q$43=FALSE),--($R$14:$R$43="Yes"),--($S$14:$S$43=0))*0.1</f>
        <v>0</v>
      </c>
      <c r="I214" s="622" cm="1">
        <f t="array" ref="I214">SUMPRODUCT(I$14:I$43,--($D$14:$D$43=$D214),--($Q$14:$Q$43=FALSE),$S$14:$S$43,--($S$14:$S$43&gt;0))+SUMPRODUCT(I$14:I$43,--($D$14:$D$43=$D214),--($Q$14:$Q$43=FALSE),$S$14:$S$43,--($S$14:$S$43&gt;0),--($R$14:$R$43="Yes"))*0.1+SUMPRODUCT(I$14:I$43,--($D$14:$D$43=$D214),--($Q$14:$Q$43=FALSE),--($S$14:$S$43=0))+SUMPRODUCT(I$14:I$43,--($D$14:$D$43=$D214),--($Q$14:$Q$43=FALSE),--($R$14:$R$43="Yes"),--($S$14:$S$43=0))*0.1</f>
        <v>0</v>
      </c>
      <c r="J214" s="622" cm="1">
        <f t="array" ref="J214">SUMPRODUCT(J$14:J$43,--($D$14:$D$43=$D214),--($Q$14:$Q$43=FALSE),$S$14:$S$43,--($S$14:$S$43&gt;0))+SUMPRODUCT(J$14:J$43,--($D$14:$D$43=$D214),--($Q$14:$Q$43=FALSE),$S$14:$S$43,--($S$14:$S$43&gt;0),--($R$14:$R$43="Yes"))*0.1+SUMPRODUCT(J$14:J$43,--($D$14:$D$43=$D214),--($Q$14:$Q$43=FALSE),--($S$14:$S$43=0))+SUMPRODUCT(J$14:J$43,--($D$14:$D$43=$D214),--($Q$14:$Q$43=FALSE),--($R$14:$R$43="Yes"),--($S$14:$S$43=0))*0.1</f>
        <v>0</v>
      </c>
      <c r="K214" s="622" cm="1">
        <f t="array" ref="K214">SUMPRODUCT(K$14:K$43,--($D$14:$D$43=$D214),--($Q$14:$Q$43=FALSE),$S$14:$S$43,--($S$14:$S$43&gt;0))+SUMPRODUCT(K$14:K$43,--($D$14:$D$43=$D214),--($Q$14:$Q$43=FALSE),$S$14:$S$43,--($S$14:$S$43&gt;0),--($R$14:$R$43="Yes"))*0.1+SUMPRODUCT(K$14:K$43,--($D$14:$D$43=$D214),--($Q$14:$Q$43=FALSE),--($S$14:$S$43=0))+SUMPRODUCT(K$14:K$43,--($D$14:$D$43=$D214),--($Q$14:$Q$43=FALSE),--($R$14:$R$43="Yes"),--($S$14:$S$43=0))*0.1</f>
        <v>0</v>
      </c>
      <c r="L214" s="622" cm="1">
        <f t="array" ref="L214">SUMPRODUCT(L$14:L$43,--($D$14:$D$43=$D214),--($Q$14:$Q$43=FALSE),$S$14:$S$43,--($S$14:$S$43&gt;0))+SUMPRODUCT(L$14:L$43,--($D$14:$D$43=$D214),--($Q$14:$Q$43=FALSE),$S$14:$S$43,--($S$14:$S$43&gt;0),--($R$14:$R$43="Yes"))*0.1+SUMPRODUCT(L$14:L$43,--($D$14:$D$43=$D214),--($Q$14:$Q$43=FALSE),--($S$14:$S$43=0))+SUMPRODUCT(L$14:L$43,--($D$14:$D$43=$D214),--($Q$14:$Q$43=FALSE),--($R$14:$R$43="Yes"),--($S$14:$S$43=0))*0.1</f>
        <v>0</v>
      </c>
      <c r="M214" s="622" cm="1">
        <f t="array" ref="M214">SUMPRODUCT(M$14:M$43,--($D$14:$D$43=$D214),--($Q$14:$Q$43=FALSE),$S$14:$S$43,--($S$14:$S$43&gt;0))+SUMPRODUCT(M$14:M$43,--($D$14:$D$43=$D214),--($Q$14:$Q$43=FALSE),$S$14:$S$43,--($S$14:$S$43&gt;0),--($R$14:$R$43="Yes"))*0.1+SUMPRODUCT(M$14:M$43,--($D$14:$D$43=$D214),--($Q$14:$Q$43=FALSE),--($S$14:$S$43=0))+SUMPRODUCT(M$14:M$43,--($D$14:$D$43=$D214),--($Q$14:$Q$43=FALSE),--($R$14:$R$43="Yes"),--($S$14:$S$43=0))*0.1</f>
        <v>0</v>
      </c>
      <c r="N214" s="622" cm="1">
        <f t="array" ref="N214">SUMPRODUCT(N$14:N$43,--($D$14:$D$43=$D214),--($Q$14:$Q$43=FALSE),$S$14:$S$43,--($S$14:$S$43&gt;0))+SUMPRODUCT(N$14:N$43,--($D$14:$D$43=$D214),--($Q$14:$Q$43=FALSE),$S$14:$S$43,--($S$14:$S$43&gt;0),--($R$14:$R$43="Yes"))*0.1+SUMPRODUCT(N$14:N$43,--($D$14:$D$43=$D214),--($Q$14:$Q$43=FALSE),--($S$14:$S$43=0))+SUMPRODUCT(N$14:N$43,--($D$14:$D$43=$D214),--($Q$14:$Q$43=FALSE),--($R$14:$R$43="Yes"),--($S$14:$S$43=0))*0.1</f>
        <v>0</v>
      </c>
      <c r="O214" s="622" cm="1">
        <f t="array" ref="O214">SUMPRODUCT(O$14:O$43,--($D$14:$D$43=$D214),--($Q$14:$Q$43=FALSE),$S$14:$S$43,--($S$14:$S$43&gt;0))+SUMPRODUCT(O$14:O$43,--($D$14:$D$43=$D214),--($Q$14:$Q$43=FALSE),$S$14:$S$43,--($S$14:$S$43&gt;0),--($R$14:$R$43="Yes"))*0.1+SUMPRODUCT(O$14:O$43,--($D$14:$D$43=$D214),--($Q$14:$Q$43=FALSE),--($S$14:$S$43=0))+SUMPRODUCT(O$14:O$43,--($D$14:$D$43=$D214),--($Q$14:$Q$43=FALSE),--($R$14:$R$43="Yes"),--($S$14:$S$43=0))*0.1</f>
        <v>0</v>
      </c>
      <c r="P214" s="623">
        <f t="shared" si="62"/>
        <v>0</v>
      </c>
      <c r="Q214" s="575"/>
      <c r="R214" s="576"/>
      <c r="S214" s="576"/>
      <c r="T214" s="576"/>
      <c r="U214" s="577"/>
      <c r="V214" s="610"/>
      <c r="W214" s="610"/>
      <c r="X214" s="610"/>
      <c r="Y214" s="610"/>
      <c r="Z214" s="610"/>
      <c r="AA214" s="610"/>
      <c r="AB214" s="610"/>
      <c r="AC214" s="610"/>
      <c r="AD214" s="610"/>
      <c r="AE214" s="610"/>
      <c r="AF214" s="610"/>
      <c r="AG214" s="610"/>
      <c r="AH214" s="610"/>
      <c r="AI214" s="610"/>
      <c r="AJ214" s="610"/>
      <c r="AK214" s="610"/>
      <c r="AL214" s="610"/>
      <c r="AM214" s="610"/>
      <c r="AN214" s="610"/>
      <c r="AO214" s="610"/>
      <c r="AP214" s="610"/>
      <c r="AQ214" s="610"/>
      <c r="AR214" s="610"/>
      <c r="AS214" s="610"/>
      <c r="AT214" s="610"/>
      <c r="AU214" s="610"/>
      <c r="AV214" s="610"/>
      <c r="AW214" s="610"/>
      <c r="AX214" s="610"/>
      <c r="AY214" s="610"/>
      <c r="AZ214" s="610"/>
      <c r="BA214" s="610"/>
      <c r="BB214" s="610"/>
      <c r="BC214" s="610"/>
      <c r="BD214" s="610"/>
      <c r="BE214" s="610"/>
      <c r="BF214" s="610"/>
      <c r="BG214" s="610"/>
      <c r="BH214" s="610"/>
      <c r="BI214" s="610"/>
      <c r="BJ214" s="610"/>
      <c r="BK214" s="610"/>
      <c r="BL214" s="610"/>
      <c r="BM214" s="610"/>
      <c r="BN214" s="610"/>
      <c r="BO214" s="610"/>
      <c r="BP214" s="610"/>
      <c r="BQ214" s="610"/>
      <c r="BR214" s="610"/>
      <c r="BS214" s="610"/>
      <c r="BT214" s="610"/>
      <c r="BU214" s="610"/>
      <c r="BV214" s="610"/>
      <c r="BW214" s="610"/>
      <c r="BX214" s="610"/>
      <c r="BY214" s="610"/>
      <c r="BZ214" s="610"/>
      <c r="CA214" s="610"/>
      <c r="CB214" s="610"/>
      <c r="CC214" s="610"/>
      <c r="CD214" s="610"/>
      <c r="CE214" s="610"/>
      <c r="CF214" s="610"/>
      <c r="CG214" s="610"/>
      <c r="CH214" s="610"/>
      <c r="CI214" s="610"/>
      <c r="CJ214" s="610"/>
      <c r="CK214" s="610"/>
      <c r="CL214" s="610"/>
      <c r="CM214" s="610"/>
      <c r="CN214" s="610"/>
      <c r="CO214" s="610"/>
      <c r="CP214" s="610"/>
      <c r="CQ214" s="610"/>
      <c r="CR214" s="610"/>
      <c r="CS214" s="610"/>
      <c r="CT214" s="610"/>
      <c r="CU214" s="610"/>
      <c r="CV214" s="610"/>
      <c r="CW214" s="610"/>
      <c r="CX214" s="610"/>
      <c r="CY214" s="610"/>
      <c r="CZ214" s="610"/>
      <c r="DA214" s="610"/>
      <c r="DB214" s="610"/>
      <c r="DC214" s="610"/>
      <c r="DD214" s="610"/>
      <c r="DE214" s="610"/>
      <c r="DF214" s="610"/>
      <c r="DG214" s="610"/>
      <c r="DH214" s="610"/>
      <c r="DI214" s="610"/>
      <c r="DJ214" s="610"/>
      <c r="DK214" s="610"/>
      <c r="DL214" s="610"/>
      <c r="DM214" s="610"/>
      <c r="DN214" s="610"/>
      <c r="DO214" s="610"/>
      <c r="DP214" s="610"/>
      <c r="DQ214" s="610"/>
      <c r="DR214" s="610"/>
      <c r="DS214" s="610"/>
      <c r="DT214" s="610"/>
      <c r="DU214" s="610"/>
      <c r="DV214" s="610"/>
      <c r="DW214" s="610"/>
      <c r="DX214" s="610"/>
      <c r="DY214" s="610"/>
      <c r="DZ214" s="610"/>
      <c r="EA214" s="610"/>
      <c r="EB214" s="610"/>
      <c r="EC214" s="610"/>
      <c r="ED214" s="610"/>
      <c r="EE214" s="610"/>
      <c r="EF214" s="610"/>
      <c r="EG214" s="610"/>
      <c r="EH214" s="610"/>
      <c r="EI214" s="610"/>
      <c r="EJ214" s="610"/>
      <c r="EK214" s="610"/>
      <c r="EL214" s="610"/>
      <c r="EM214" s="610"/>
      <c r="EN214" s="610"/>
      <c r="EO214" s="610"/>
      <c r="EP214" s="610"/>
      <c r="EQ214" s="610"/>
      <c r="ER214" s="610"/>
      <c r="ES214" s="610"/>
      <c r="ET214" s="610"/>
      <c r="EU214" s="610"/>
      <c r="EV214" s="610"/>
      <c r="EW214" s="610"/>
      <c r="EX214" s="610"/>
      <c r="EY214" s="610"/>
      <c r="EZ214" s="610"/>
      <c r="FA214" s="610"/>
      <c r="FB214" s="610"/>
      <c r="FC214" s="610"/>
      <c r="FD214" s="610"/>
      <c r="FE214" s="610"/>
      <c r="FF214" s="610"/>
      <c r="FG214" s="610"/>
      <c r="FH214" s="610"/>
      <c r="FI214" s="610"/>
      <c r="FJ214" s="610"/>
      <c r="FK214" s="610"/>
      <c r="FL214" s="610"/>
      <c r="FM214" s="610"/>
      <c r="FN214" s="610"/>
      <c r="FO214" s="610"/>
      <c r="FP214" s="610"/>
      <c r="FQ214" s="610"/>
      <c r="FR214" s="610"/>
      <c r="FS214" s="610"/>
      <c r="FT214" s="610"/>
      <c r="FU214" s="610"/>
      <c r="FV214" s="610"/>
      <c r="FW214" s="610"/>
      <c r="FX214" s="610"/>
      <c r="FY214" s="610"/>
      <c r="FZ214" s="610"/>
      <c r="GA214" s="610"/>
      <c r="GB214" s="610"/>
      <c r="GC214" s="610"/>
      <c r="GD214" s="610"/>
      <c r="GE214" s="610"/>
      <c r="GF214" s="610"/>
      <c r="GG214" s="610"/>
      <c r="GH214" s="610"/>
      <c r="GI214" s="610"/>
      <c r="GJ214" s="610"/>
      <c r="GK214" s="610"/>
      <c r="GL214" s="610"/>
      <c r="GM214" s="610"/>
      <c r="GN214" s="610"/>
      <c r="GO214" s="610"/>
      <c r="GP214" s="610"/>
      <c r="GQ214" s="610"/>
      <c r="GR214" s="610"/>
      <c r="GS214" s="610"/>
      <c r="GT214" s="610"/>
      <c r="GU214" s="610"/>
      <c r="GV214" s="610"/>
      <c r="GW214" s="610"/>
      <c r="GX214" s="610"/>
      <c r="GY214" s="610"/>
      <c r="GZ214" s="610"/>
      <c r="HA214" s="610"/>
      <c r="HB214" s="610"/>
      <c r="HC214" s="610"/>
      <c r="HD214" s="610"/>
      <c r="HE214" s="610"/>
      <c r="HF214" s="610"/>
      <c r="HG214" s="610"/>
      <c r="HH214" s="610"/>
      <c r="HI214" s="610"/>
      <c r="HJ214" s="610"/>
      <c r="HK214" s="610"/>
      <c r="HL214" s="610"/>
      <c r="HM214" s="610"/>
      <c r="HN214" s="610"/>
      <c r="HO214" s="610"/>
      <c r="HP214" s="610"/>
      <c r="HQ214" s="610"/>
      <c r="HR214" s="610"/>
      <c r="HS214" s="610"/>
      <c r="HT214" s="610"/>
      <c r="HU214" s="610"/>
      <c r="HV214" s="610"/>
      <c r="HW214" s="610"/>
      <c r="HX214" s="610"/>
      <c r="HY214" s="610"/>
      <c r="HZ214" s="610"/>
      <c r="IA214" s="610"/>
      <c r="IB214" s="610"/>
      <c r="IC214" s="610"/>
      <c r="ID214" s="610"/>
      <c r="IE214" s="610"/>
      <c r="IF214" s="610"/>
      <c r="IG214" s="610"/>
      <c r="IH214" s="610"/>
      <c r="II214" s="610"/>
      <c r="IJ214" s="610"/>
      <c r="IK214" s="610"/>
      <c r="IL214" s="610"/>
      <c r="IM214" s="610"/>
      <c r="IN214" s="610"/>
      <c r="IO214" s="610"/>
      <c r="IP214" s="610"/>
      <c r="IQ214" s="610"/>
      <c r="IR214" s="610"/>
      <c r="IS214" s="610"/>
      <c r="IT214" s="610"/>
      <c r="IU214" s="610"/>
      <c r="IV214" s="610"/>
      <c r="IW214" s="610"/>
      <c r="IX214" s="610"/>
      <c r="IY214" s="610"/>
      <c r="IZ214" s="610"/>
      <c r="JA214" s="610"/>
      <c r="JB214" s="610"/>
      <c r="JC214" s="610"/>
      <c r="JD214" s="610"/>
      <c r="JE214" s="610"/>
      <c r="JF214" s="610"/>
      <c r="JG214" s="610"/>
      <c r="JH214" s="610"/>
      <c r="JI214" s="610"/>
      <c r="JJ214" s="610"/>
      <c r="JK214" s="610"/>
      <c r="JL214" s="610"/>
      <c r="JM214" s="610"/>
      <c r="JN214" s="610"/>
      <c r="JO214" s="610"/>
      <c r="JP214" s="610"/>
      <c r="JQ214" s="610"/>
      <c r="JR214" s="610"/>
      <c r="JS214" s="610"/>
      <c r="JT214" s="610"/>
      <c r="JU214" s="610"/>
      <c r="JV214" s="610"/>
      <c r="JW214" s="610"/>
      <c r="JX214" s="610"/>
      <c r="JY214" s="610"/>
      <c r="JZ214" s="610"/>
      <c r="KA214" s="610"/>
      <c r="KB214" s="610"/>
      <c r="KC214" s="610"/>
      <c r="KD214" s="610"/>
      <c r="KE214" s="610"/>
      <c r="KF214" s="610"/>
      <c r="KG214" s="610"/>
      <c r="KH214" s="610"/>
      <c r="KI214" s="610"/>
      <c r="KJ214" s="610"/>
      <c r="KK214" s="610"/>
      <c r="KL214" s="610"/>
      <c r="KM214" s="610"/>
      <c r="KN214" s="610"/>
      <c r="KO214" s="610"/>
      <c r="KP214" s="610"/>
      <c r="KQ214" s="610"/>
      <c r="KR214" s="610"/>
      <c r="KS214" s="610"/>
      <c r="KT214" s="610"/>
      <c r="KU214" s="610"/>
      <c r="KV214" s="610"/>
      <c r="KW214" s="610"/>
      <c r="KX214" s="610"/>
      <c r="KY214" s="610"/>
      <c r="KZ214" s="610"/>
      <c r="LA214" s="610"/>
      <c r="LB214" s="610"/>
      <c r="LC214" s="610"/>
      <c r="LD214" s="610"/>
      <c r="LE214" s="610"/>
      <c r="LF214" s="610"/>
      <c r="LG214" s="610"/>
      <c r="LH214" s="610"/>
      <c r="LI214" s="610"/>
      <c r="LJ214" s="610"/>
      <c r="LK214" s="610"/>
      <c r="LL214" s="610"/>
      <c r="LM214" s="610"/>
      <c r="LN214" s="610"/>
      <c r="LO214" s="610"/>
      <c r="LP214" s="610"/>
      <c r="LQ214" s="610"/>
      <c r="LR214" s="610"/>
      <c r="LS214" s="610"/>
      <c r="LT214" s="610"/>
      <c r="LU214" s="610"/>
      <c r="LV214" s="610"/>
      <c r="LW214" s="610"/>
      <c r="LX214" s="610"/>
      <c r="LY214" s="610"/>
      <c r="LZ214" s="610"/>
      <c r="MA214" s="610"/>
      <c r="MB214" s="610"/>
      <c r="MC214" s="610"/>
      <c r="MD214" s="610"/>
      <c r="ME214" s="610"/>
      <c r="MF214" s="610"/>
      <c r="MG214" s="610"/>
      <c r="MH214" s="610"/>
      <c r="MI214" s="610"/>
      <c r="MJ214" s="610"/>
      <c r="MK214" s="610"/>
      <c r="ML214" s="610"/>
      <c r="MM214" s="610"/>
      <c r="MN214" s="610"/>
      <c r="MO214" s="610"/>
      <c r="MP214" s="610"/>
      <c r="MQ214" s="610"/>
      <c r="MR214" s="610"/>
      <c r="MS214" s="610"/>
      <c r="MT214" s="610"/>
      <c r="MU214" s="610"/>
      <c r="MV214" s="610"/>
      <c r="MW214" s="610"/>
      <c r="MX214" s="610"/>
      <c r="MY214" s="610"/>
      <c r="MZ214" s="610"/>
      <c r="NA214" s="610"/>
      <c r="NB214" s="610"/>
      <c r="NC214" s="610"/>
      <c r="ND214" s="610"/>
      <c r="NE214" s="610"/>
      <c r="NF214" s="610"/>
      <c r="NG214" s="610"/>
      <c r="NH214" s="610"/>
      <c r="NI214" s="610"/>
      <c r="NJ214" s="610"/>
      <c r="NK214" s="610"/>
      <c r="NL214" s="610"/>
      <c r="NM214" s="610"/>
      <c r="NN214" s="610"/>
      <c r="NO214" s="610"/>
      <c r="NP214" s="610"/>
      <c r="NQ214" s="610"/>
      <c r="NR214" s="610"/>
      <c r="NS214" s="610"/>
      <c r="NT214" s="610"/>
      <c r="NU214" s="610"/>
      <c r="NV214" s="610"/>
      <c r="NW214" s="610"/>
      <c r="NX214" s="610"/>
      <c r="NY214" s="610"/>
      <c r="NZ214" s="610"/>
      <c r="OA214" s="610"/>
      <c r="OB214" s="610"/>
      <c r="OC214" s="610"/>
      <c r="OD214" s="610"/>
      <c r="OE214" s="610"/>
      <c r="OF214" s="610"/>
      <c r="OG214" s="610"/>
      <c r="OH214" s="610"/>
      <c r="OI214" s="610"/>
      <c r="OJ214" s="610"/>
      <c r="OK214" s="610"/>
      <c r="OL214" s="610"/>
      <c r="OM214" s="610"/>
      <c r="ON214" s="610"/>
      <c r="OO214" s="610"/>
      <c r="OP214" s="610"/>
      <c r="OQ214" s="610"/>
      <c r="OR214" s="610"/>
      <c r="OS214" s="610"/>
      <c r="OT214" s="610"/>
      <c r="OU214" s="610"/>
      <c r="OV214" s="610"/>
      <c r="OW214" s="610"/>
      <c r="OX214" s="610"/>
      <c r="OY214" s="610"/>
      <c r="OZ214" s="610"/>
      <c r="PA214" s="610"/>
      <c r="PB214" s="610"/>
      <c r="PC214" s="610"/>
      <c r="PD214" s="610"/>
      <c r="PE214" s="610"/>
      <c r="PF214" s="610"/>
      <c r="PG214" s="610"/>
      <c r="PH214" s="610"/>
      <c r="PI214" s="610"/>
      <c r="PJ214" s="610"/>
      <c r="PK214" s="610"/>
      <c r="PL214" s="610"/>
      <c r="PM214" s="610"/>
      <c r="PN214" s="610"/>
      <c r="PO214" s="610"/>
      <c r="PP214" s="610"/>
      <c r="PQ214" s="610"/>
      <c r="PR214" s="610"/>
      <c r="PS214" s="610"/>
      <c r="PT214" s="610"/>
      <c r="PU214" s="610"/>
      <c r="PV214" s="610"/>
      <c r="PW214" s="610"/>
      <c r="PX214" s="610"/>
      <c r="PY214" s="610"/>
      <c r="PZ214" s="610"/>
      <c r="QA214" s="610"/>
      <c r="QB214" s="610"/>
      <c r="QC214" s="610"/>
      <c r="QD214" s="610"/>
      <c r="QE214" s="610"/>
      <c r="QF214" s="610"/>
      <c r="QG214" s="610"/>
      <c r="QH214" s="610"/>
      <c r="QI214" s="610"/>
      <c r="QJ214" s="610"/>
    </row>
    <row r="215" spans="1:452" s="524" customFormat="1" ht="18" x14ac:dyDescent="0.35">
      <c r="A215" s="605"/>
      <c r="B215" s="558"/>
      <c r="C215" s="559"/>
      <c r="D215" s="606"/>
      <c r="E215" s="572" t="s">
        <v>86</v>
      </c>
      <c r="F215" s="571" cm="1">
        <f t="array" ref="F215">SUMPRODUCT(F$14:F$43,--($Q$14:$Q$43=FALSE),--($D$14:$D$43=$D214))</f>
        <v>0</v>
      </c>
      <c r="G215" s="571" cm="1">
        <f t="array" ref="G215">SUMPRODUCT(G$14:G$43,--($Q$14:$Q$43=FALSE),--($D$14:$D$43=$D214))</f>
        <v>0</v>
      </c>
      <c r="H215" s="571" cm="1">
        <f t="array" ref="H215">SUMPRODUCT(H$14:H$43,--($Q$14:$Q$43=FALSE),--($D$14:$D$43=$D214))</f>
        <v>0</v>
      </c>
      <c r="I215" s="571" cm="1">
        <f t="array" ref="I215">SUMPRODUCT(I$14:I$43,--($Q$14:$Q$43=FALSE),--($D$14:$D$43=$D214))</f>
        <v>0</v>
      </c>
      <c r="J215" s="571" cm="1">
        <f t="array" ref="J215">SUMPRODUCT(J$14:J$43,--($Q$14:$Q$43=FALSE),--($D$14:$D$43=$D214))</f>
        <v>0</v>
      </c>
      <c r="K215" s="571" cm="1">
        <f t="array" ref="K215">SUMPRODUCT(K$14:K$43,--($Q$14:$Q$43=FALSE),--($D$14:$D$43=$D214))</f>
        <v>0</v>
      </c>
      <c r="L215" s="571" cm="1">
        <f t="array" ref="L215">SUMPRODUCT(L$14:L$43,--($Q$14:$Q$43=FALSE),--($D$14:$D$43=$D214))</f>
        <v>0</v>
      </c>
      <c r="M215" s="571" cm="1">
        <f t="array" ref="M215">SUMPRODUCT(M$14:M$43,--($Q$14:$Q$43=FALSE),--($D$14:$D$43=$D214))</f>
        <v>0</v>
      </c>
      <c r="N215" s="571" cm="1">
        <f t="array" ref="N215">SUMPRODUCT(N$14:N$43,--($Q$14:$Q$43=FALSE),--($D$14:$D$43=$D214))</f>
        <v>0</v>
      </c>
      <c r="O215" s="571" cm="1">
        <f t="array" ref="O215">SUMPRODUCT(O$14:O$43,--($Q$14:$Q$43=FALSE),--($D$14:$D$43=$D214))</f>
        <v>0</v>
      </c>
      <c r="P215" s="607">
        <f t="shared" si="62"/>
        <v>0</v>
      </c>
      <c r="Q215" s="575"/>
      <c r="R215" s="576"/>
      <c r="S215" s="576"/>
      <c r="T215" s="576"/>
      <c r="U215" s="577"/>
    </row>
    <row r="216" spans="1:452" s="524" customFormat="1" ht="18" x14ac:dyDescent="0.35">
      <c r="A216" s="605"/>
      <c r="B216" s="558"/>
      <c r="C216" s="559"/>
      <c r="D216" s="606"/>
      <c r="E216" s="640" t="s">
        <v>126</v>
      </c>
      <c r="F216" s="571" cm="1">
        <f t="array" ref="F216">SUMPRODUCT(F$14:F$43,--($Q$14:$Q$43=FALSE),--($D$14:$D$43=$D214),--($R$14:$R$43="Yes"))*0.1</f>
        <v>0</v>
      </c>
      <c r="G216" s="571" cm="1">
        <f t="array" ref="G216">SUMPRODUCT(G$14:G$43,--($Q$14:$Q$43=FALSE),--($D$14:$D$43=$D214),--($R$14:$R$43="Yes"))*0.1</f>
        <v>0</v>
      </c>
      <c r="H216" s="571" cm="1">
        <f t="array" ref="H216">SUMPRODUCT(H$14:H$43,--($Q$14:$Q$43=FALSE),--($D$14:$D$43=$D214),--($R$14:$R$43="Yes"))*0.1</f>
        <v>0</v>
      </c>
      <c r="I216" s="571" cm="1">
        <f t="array" ref="I216">SUMPRODUCT(I$14:I$43,--($Q$14:$Q$43=FALSE),--($D$14:$D$43=$D214),--($R$14:$R$43="Yes"))*0.1</f>
        <v>0</v>
      </c>
      <c r="J216" s="571" cm="1">
        <f t="array" ref="J216">SUMPRODUCT(J$14:J$43,--($Q$14:$Q$43=FALSE),--($D$14:$D$43=$D214),--($R$14:$R$43="Yes"))*0.1</f>
        <v>0</v>
      </c>
      <c r="K216" s="571" cm="1">
        <f t="array" ref="K216">SUMPRODUCT(K$14:K$43,--($Q$14:$Q$43=FALSE),--($D$14:$D$43=$D214),--($R$14:$R$43="Yes"))*0.1</f>
        <v>0</v>
      </c>
      <c r="L216" s="571" cm="1">
        <f t="array" ref="L216">SUMPRODUCT(L$14:L$43,--($Q$14:$Q$43=FALSE),--($D$14:$D$43=$D214),--($R$14:$R$43="Yes"))*0.1</f>
        <v>0</v>
      </c>
      <c r="M216" s="571" cm="1">
        <f t="array" ref="M216">SUMPRODUCT(M$14:M$43,--($Q$14:$Q$43=FALSE),--($D$14:$D$43=$D214),--($R$14:$R$43="Yes"))*0.1</f>
        <v>0</v>
      </c>
      <c r="N216" s="571" cm="1">
        <f t="array" ref="N216">SUMPRODUCT(N$14:N$43,--($Q$14:$Q$43=FALSE),--($D$14:$D$43=$D214),--($R$14:$R$43="Yes"))*0.1</f>
        <v>0</v>
      </c>
      <c r="O216" s="571" cm="1">
        <f t="array" ref="O216">SUMPRODUCT(O$14:O$43,--($Q$14:$Q$43=FALSE),--($D$14:$D$43=$D214),--($R$14:$R$43="Yes"))*0.1</f>
        <v>0</v>
      </c>
      <c r="P216" s="607">
        <f t="shared" si="62"/>
        <v>0</v>
      </c>
      <c r="Q216" s="575"/>
      <c r="R216" s="576"/>
      <c r="S216" s="576"/>
      <c r="T216" s="576"/>
      <c r="U216" s="577"/>
    </row>
    <row r="217" spans="1:452" s="524" customFormat="1" ht="18" x14ac:dyDescent="0.35">
      <c r="A217" s="605"/>
      <c r="B217" s="558"/>
      <c r="C217" s="559"/>
      <c r="D217" s="606"/>
      <c r="E217" s="572" t="s">
        <v>88</v>
      </c>
      <c r="F217" s="571">
        <f t="shared" ref="F217:O217" si="64">F214-(F215+F216)</f>
        <v>0</v>
      </c>
      <c r="G217" s="571">
        <f t="shared" si="64"/>
        <v>0</v>
      </c>
      <c r="H217" s="571">
        <f t="shared" si="64"/>
        <v>0</v>
      </c>
      <c r="I217" s="571">
        <f t="shared" si="64"/>
        <v>0</v>
      </c>
      <c r="J217" s="571">
        <f t="shared" si="64"/>
        <v>0</v>
      </c>
      <c r="K217" s="571">
        <f t="shared" si="64"/>
        <v>0</v>
      </c>
      <c r="L217" s="571">
        <f t="shared" si="64"/>
        <v>0</v>
      </c>
      <c r="M217" s="571">
        <f t="shared" si="64"/>
        <v>0</v>
      </c>
      <c r="N217" s="571">
        <f t="shared" si="64"/>
        <v>0</v>
      </c>
      <c r="O217" s="571">
        <f t="shared" si="64"/>
        <v>0</v>
      </c>
      <c r="P217" s="607">
        <f t="shared" si="62"/>
        <v>0</v>
      </c>
      <c r="Q217" s="575"/>
      <c r="R217" s="576"/>
      <c r="S217" s="576"/>
      <c r="T217" s="576"/>
      <c r="U217" s="577"/>
    </row>
    <row r="218" spans="1:452" s="578" customFormat="1" ht="18" x14ac:dyDescent="0.35">
      <c r="A218" s="624"/>
      <c r="B218" s="625"/>
      <c r="C218" s="626"/>
      <c r="D218" s="625" t="s">
        <v>127</v>
      </c>
      <c r="E218" s="627"/>
      <c r="F218" s="628" cm="1">
        <f t="array" ref="F218">SUMPRODUCT(F$14:F$43,--($D$14:$D$43=$D214),--($Q$14:$Q$43=TRUE),$S$14:$S$43,--($S$14:$S$43&gt;0))+SUMPRODUCT(F$14:F$43,--($D$14:$D$43=$D214),--($Q$14:$Q$43=TRUE),$S$14:$S$43,--($S$14:$S$43&gt;0),--($R$14:$R$43="Yes"))*0.1+SUMPRODUCT(F$14:F$43,--($D$14:$D$43=$D214),--($Q$14:$Q$43=TRUE),--($S165:$S194=0))+SUMPRODUCT(F$14:F$43,--($D$14:$D$43=$D214),--($Q$14:$Q$43=TRUE),--($R$14:$R$43="Yes"),--($S$14:$S$43=0))*0.1</f>
        <v>0</v>
      </c>
      <c r="G218" s="628" cm="1">
        <f t="array" ref="G218">SUMPRODUCT(G$14:G$43,--($D$14:$D$43=$D214),--($Q$14:$Q$43=TRUE),$S$14:$S$43,--($S$14:$S$43&gt;0))+SUMPRODUCT(G$14:G$43,--($D$14:$D$43=$D214),--($Q$14:$Q$43=TRUE),$S$14:$S$43,--($S$14:$S$43&gt;0),--($R$14:$R$43="Yes"))*0.1+SUMPRODUCT(G$14:G$43,--($D$14:$D$43=$D214),--($Q$14:$Q$43=TRUE),--($S165:$S194=0))+SUMPRODUCT(G$14:G$43,--($D$14:$D$43=$D214),--($Q$14:$Q$43=TRUE),--($R$14:$R$43="Yes"),--($S$14:$S$43=0))*0.1</f>
        <v>0</v>
      </c>
      <c r="H218" s="628" cm="1">
        <f t="array" ref="H218">SUMPRODUCT(H$14:H$43,--($D$14:$D$43=$D214),--($Q$14:$Q$43=TRUE),$S$14:$S$43,--($S$14:$S$43&gt;0))+SUMPRODUCT(H$14:H$43,--($D$14:$D$43=$D214),--($Q$14:$Q$43=TRUE),$S$14:$S$43,--($S$14:$S$43&gt;0),--($R$14:$R$43="Yes"))*0.1+SUMPRODUCT(H$14:H$43,--($D$14:$D$43=$D214),--($Q$14:$Q$43=TRUE),--($S165:$S194=0))+SUMPRODUCT(H$14:H$43,--($D$14:$D$43=$D214),--($Q$14:$Q$43=TRUE),--($R$14:$R$43="Yes"),--($S$14:$S$43=0))*0.1</f>
        <v>0</v>
      </c>
      <c r="I218" s="628" cm="1">
        <f t="array" ref="I218">SUMPRODUCT(I$14:I$43,--($D$14:$D$43=$D214),--($Q$14:$Q$43=TRUE),$S$14:$S$43,--($S$14:$S$43&gt;0))+SUMPRODUCT(I$14:I$43,--($D$14:$D$43=$D214),--($Q$14:$Q$43=TRUE),$S$14:$S$43,--($S$14:$S$43&gt;0),--($R$14:$R$43="Yes"))*0.1+SUMPRODUCT(I$14:I$43,--($D$14:$D$43=$D214),--($Q$14:$Q$43=TRUE),--($S165:$S194=0))+SUMPRODUCT(I$14:I$43,--($D$14:$D$43=$D214),--($Q$14:$Q$43=TRUE),--($R$14:$R$43="Yes"),--($S$14:$S$43=0))*0.1</f>
        <v>0</v>
      </c>
      <c r="J218" s="628" cm="1">
        <f t="array" ref="J218">SUMPRODUCT(J$14:J$43,--($D$14:$D$43=$D214),--($Q$14:$Q$43=TRUE),$S$14:$S$43,--($S$14:$S$43&gt;0))+SUMPRODUCT(J$14:J$43,--($D$14:$D$43=$D214),--($Q$14:$Q$43=TRUE),$S$14:$S$43,--($S$14:$S$43&gt;0),--($R$14:$R$43="Yes"))*0.1+SUMPRODUCT(J$14:J$43,--($D$14:$D$43=$D214),--($Q$14:$Q$43=TRUE),--($S165:$S194=0))+SUMPRODUCT(J$14:J$43,--($D$14:$D$43=$D214),--($Q$14:$Q$43=TRUE),--($R$14:$R$43="Yes"),--($S$14:$S$43=0))*0.1</f>
        <v>0</v>
      </c>
      <c r="K218" s="628" cm="1">
        <f t="array" ref="K218">SUMPRODUCT(K$14:K$43,--($D$14:$D$43=$D214),--($Q$14:$Q$43=TRUE),$S$14:$S$43,--($S$14:$S$43&gt;0))+SUMPRODUCT(K$14:K$43,--($D$14:$D$43=$D214),--($Q$14:$Q$43=TRUE),$S$14:$S$43,--($S$14:$S$43&gt;0),--($R$14:$R$43="Yes"))*0.1+SUMPRODUCT(K$14:K$43,--($D$14:$D$43=$D214),--($Q$14:$Q$43=TRUE),--($S165:$S194=0))+SUMPRODUCT(K$14:K$43,--($D$14:$D$43=$D214),--($Q$14:$Q$43=TRUE),--($R$14:$R$43="Yes"),--($S$14:$S$43=0))*0.1</f>
        <v>0</v>
      </c>
      <c r="L218" s="628" cm="1">
        <f t="array" ref="L218">SUMPRODUCT(L$14:L$43,--($D$14:$D$43=$D214),--($Q$14:$Q$43=TRUE),$S$14:$S$43,--($S$14:$S$43&gt;0))+SUMPRODUCT(L$14:L$43,--($D$14:$D$43=$D214),--($Q$14:$Q$43=TRUE),$S$14:$S$43,--($S$14:$S$43&gt;0),--($R$14:$R$43="Yes"))*0.1+SUMPRODUCT(L$14:L$43,--($D$14:$D$43=$D214),--($Q$14:$Q$43=TRUE),--($S165:$S194=0))+SUMPRODUCT(L$14:L$43,--($D$14:$D$43=$D214),--($Q$14:$Q$43=TRUE),--($R$14:$R$43="Yes"),--($S$14:$S$43=0))*0.1</f>
        <v>0</v>
      </c>
      <c r="M218" s="628" cm="1">
        <f t="array" ref="M218">SUMPRODUCT(M$14:M$43,--($D$14:$D$43=$D214),--($Q$14:$Q$43=TRUE),$S$14:$S$43,--($S$14:$S$43&gt;0))+SUMPRODUCT(M$14:M$43,--($D$14:$D$43=$D214),--($Q$14:$Q$43=TRUE),$S$14:$S$43,--($S$14:$S$43&gt;0),--($R$14:$R$43="Yes"))*0.1+SUMPRODUCT(M$14:M$43,--($D$14:$D$43=$D214),--($Q$14:$Q$43=TRUE),--($S165:$S194=0))+SUMPRODUCT(M$14:M$43,--($D$14:$D$43=$D214),--($Q$14:$Q$43=TRUE),--($R$14:$R$43="Yes"),--($S$14:$S$43=0))*0.1</f>
        <v>0</v>
      </c>
      <c r="N218" s="628" cm="1">
        <f t="array" ref="N218">SUMPRODUCT(N$14:N$43,--($D$14:$D$43=$D214),--($Q$14:$Q$43=TRUE),$S$14:$S$43,--($S$14:$S$43&gt;0))+SUMPRODUCT(N$14:N$43,--($D$14:$D$43=$D214),--($Q$14:$Q$43=TRUE),$S$14:$S$43,--($S$14:$S$43&gt;0),--($R$14:$R$43="Yes"))*0.1+SUMPRODUCT(N$14:N$43,--($D$14:$D$43=$D214),--($Q$14:$Q$43=TRUE),--($S165:$S194=0))+SUMPRODUCT(N$14:N$43,--($D$14:$D$43=$D214),--($Q$14:$Q$43=TRUE),--($R$14:$R$43="Yes"),--($S$14:$S$43=0))*0.1</f>
        <v>0</v>
      </c>
      <c r="O218" s="628" cm="1">
        <f t="array" ref="O218">SUMPRODUCT(O$14:O$43,--($D$14:$D$43=$D214),--($Q$14:$Q$43=TRUE),$S$14:$S$43,--($S$14:$S$43&gt;0))+SUMPRODUCT(O$14:O$43,--($D$14:$D$43=$D214),--($Q$14:$Q$43=TRUE),$S$14:$S$43,--($S$14:$S$43&gt;0),--($R$14:$R$43="Yes"))*0.1+SUMPRODUCT(O$14:O$43,--($D$14:$D$43=$D214),--($Q$14:$Q$43=TRUE),--($S165:$S194=0))+SUMPRODUCT(O$14:O$43,--($D$14:$D$43=$D214),--($Q$14:$Q$43=TRUE),--($R$14:$R$43="Yes"),--($S$14:$S$43=0))*0.1</f>
        <v>0</v>
      </c>
      <c r="P218" s="629">
        <f t="shared" si="62"/>
        <v>0</v>
      </c>
      <c r="Q218" s="575"/>
      <c r="R218" s="576"/>
      <c r="S218" s="576"/>
      <c r="T218" s="576"/>
      <c r="U218" s="577"/>
      <c r="V218" s="610"/>
      <c r="W218" s="610"/>
      <c r="X218" s="610"/>
      <c r="Y218" s="610"/>
      <c r="Z218" s="610"/>
      <c r="AA218" s="610"/>
      <c r="AB218" s="610"/>
      <c r="AC218" s="610"/>
      <c r="AD218" s="610"/>
      <c r="AE218" s="610"/>
      <c r="AF218" s="610"/>
      <c r="AG218" s="610"/>
      <c r="AH218" s="610"/>
      <c r="AI218" s="610"/>
      <c r="AJ218" s="610"/>
      <c r="AK218" s="610"/>
      <c r="AL218" s="610"/>
      <c r="AM218" s="610"/>
      <c r="AN218" s="610"/>
      <c r="AO218" s="610"/>
      <c r="AP218" s="610"/>
      <c r="AQ218" s="610"/>
      <c r="AR218" s="610"/>
      <c r="AS218" s="610"/>
      <c r="AT218" s="610"/>
      <c r="AU218" s="610"/>
      <c r="AV218" s="610"/>
      <c r="AW218" s="610"/>
      <c r="AX218" s="610"/>
      <c r="AY218" s="610"/>
      <c r="AZ218" s="610"/>
      <c r="BA218" s="610"/>
      <c r="BB218" s="610"/>
      <c r="BC218" s="610"/>
      <c r="BD218" s="610"/>
      <c r="BE218" s="610"/>
      <c r="BF218" s="610"/>
      <c r="BG218" s="610"/>
      <c r="BH218" s="610"/>
      <c r="BI218" s="610"/>
      <c r="BJ218" s="610"/>
      <c r="BK218" s="610"/>
      <c r="BL218" s="610"/>
      <c r="BM218" s="610"/>
      <c r="BN218" s="610"/>
      <c r="BO218" s="610"/>
      <c r="BP218" s="610"/>
      <c r="BQ218" s="610"/>
      <c r="BR218" s="610"/>
      <c r="BS218" s="610"/>
      <c r="BT218" s="610"/>
      <c r="BU218" s="610"/>
      <c r="BV218" s="610"/>
      <c r="BW218" s="610"/>
      <c r="BX218" s="610"/>
      <c r="BY218" s="610"/>
      <c r="BZ218" s="610"/>
      <c r="CA218" s="610"/>
      <c r="CB218" s="610"/>
      <c r="CC218" s="610"/>
      <c r="CD218" s="610"/>
      <c r="CE218" s="610"/>
      <c r="CF218" s="610"/>
      <c r="CG218" s="610"/>
      <c r="CH218" s="610"/>
      <c r="CI218" s="610"/>
      <c r="CJ218" s="610"/>
      <c r="CK218" s="610"/>
      <c r="CL218" s="610"/>
      <c r="CM218" s="610"/>
      <c r="CN218" s="610"/>
      <c r="CO218" s="610"/>
      <c r="CP218" s="610"/>
      <c r="CQ218" s="610"/>
      <c r="CR218" s="610"/>
      <c r="CS218" s="610"/>
      <c r="CT218" s="610"/>
      <c r="CU218" s="610"/>
      <c r="CV218" s="610"/>
      <c r="CW218" s="610"/>
      <c r="CX218" s="610"/>
      <c r="CY218" s="610"/>
      <c r="CZ218" s="610"/>
      <c r="DA218" s="610"/>
      <c r="DB218" s="610"/>
      <c r="DC218" s="610"/>
      <c r="DD218" s="610"/>
      <c r="DE218" s="610"/>
      <c r="DF218" s="610"/>
      <c r="DG218" s="610"/>
      <c r="DH218" s="610"/>
      <c r="DI218" s="610"/>
      <c r="DJ218" s="610"/>
      <c r="DK218" s="610"/>
      <c r="DL218" s="610"/>
      <c r="DM218" s="610"/>
      <c r="DN218" s="610"/>
      <c r="DO218" s="610"/>
      <c r="DP218" s="610"/>
      <c r="DQ218" s="610"/>
      <c r="DR218" s="610"/>
      <c r="DS218" s="610"/>
      <c r="DT218" s="610"/>
      <c r="DU218" s="610"/>
      <c r="DV218" s="610"/>
      <c r="DW218" s="610"/>
      <c r="DX218" s="610"/>
      <c r="DY218" s="610"/>
      <c r="DZ218" s="610"/>
      <c r="EA218" s="610"/>
      <c r="EB218" s="610"/>
      <c r="EC218" s="610"/>
      <c r="ED218" s="610"/>
      <c r="EE218" s="610"/>
      <c r="EF218" s="610"/>
      <c r="EG218" s="610"/>
      <c r="EH218" s="610"/>
      <c r="EI218" s="610"/>
      <c r="EJ218" s="610"/>
      <c r="EK218" s="610"/>
      <c r="EL218" s="610"/>
      <c r="EM218" s="610"/>
      <c r="EN218" s="610"/>
      <c r="EO218" s="610"/>
      <c r="EP218" s="610"/>
      <c r="EQ218" s="610"/>
      <c r="ER218" s="610"/>
      <c r="ES218" s="610"/>
      <c r="ET218" s="610"/>
      <c r="EU218" s="610"/>
      <c r="EV218" s="610"/>
      <c r="EW218" s="610"/>
      <c r="EX218" s="610"/>
      <c r="EY218" s="610"/>
      <c r="EZ218" s="610"/>
      <c r="FA218" s="610"/>
      <c r="FB218" s="610"/>
      <c r="FC218" s="610"/>
      <c r="FD218" s="610"/>
      <c r="FE218" s="610"/>
      <c r="FF218" s="610"/>
      <c r="FG218" s="610"/>
      <c r="FH218" s="610"/>
      <c r="FI218" s="610"/>
      <c r="FJ218" s="610"/>
      <c r="FK218" s="610"/>
      <c r="FL218" s="610"/>
      <c r="FM218" s="610"/>
      <c r="FN218" s="610"/>
      <c r="FO218" s="610"/>
      <c r="FP218" s="610"/>
      <c r="FQ218" s="610"/>
      <c r="FR218" s="610"/>
      <c r="FS218" s="610"/>
      <c r="FT218" s="610"/>
      <c r="FU218" s="610"/>
      <c r="FV218" s="610"/>
      <c r="FW218" s="610"/>
      <c r="FX218" s="610"/>
      <c r="FY218" s="610"/>
      <c r="FZ218" s="610"/>
      <c r="GA218" s="610"/>
      <c r="GB218" s="610"/>
      <c r="GC218" s="610"/>
      <c r="GD218" s="610"/>
      <c r="GE218" s="610"/>
      <c r="GF218" s="610"/>
      <c r="GG218" s="610"/>
      <c r="GH218" s="610"/>
      <c r="GI218" s="610"/>
      <c r="GJ218" s="610"/>
      <c r="GK218" s="610"/>
      <c r="GL218" s="610"/>
      <c r="GM218" s="610"/>
      <c r="GN218" s="610"/>
      <c r="GO218" s="610"/>
      <c r="GP218" s="610"/>
      <c r="GQ218" s="610"/>
      <c r="GR218" s="610"/>
      <c r="GS218" s="610"/>
      <c r="GT218" s="610"/>
      <c r="GU218" s="610"/>
      <c r="GV218" s="610"/>
      <c r="GW218" s="610"/>
      <c r="GX218" s="610"/>
      <c r="GY218" s="610"/>
      <c r="GZ218" s="610"/>
      <c r="HA218" s="610"/>
      <c r="HB218" s="610"/>
      <c r="HC218" s="610"/>
      <c r="HD218" s="610"/>
      <c r="HE218" s="610"/>
      <c r="HF218" s="610"/>
      <c r="HG218" s="610"/>
      <c r="HH218" s="610"/>
      <c r="HI218" s="610"/>
      <c r="HJ218" s="610"/>
      <c r="HK218" s="610"/>
      <c r="HL218" s="610"/>
      <c r="HM218" s="610"/>
      <c r="HN218" s="610"/>
      <c r="HO218" s="610"/>
      <c r="HP218" s="610"/>
      <c r="HQ218" s="610"/>
      <c r="HR218" s="610"/>
      <c r="HS218" s="610"/>
      <c r="HT218" s="610"/>
      <c r="HU218" s="610"/>
      <c r="HV218" s="610"/>
      <c r="HW218" s="610"/>
      <c r="HX218" s="610"/>
      <c r="HY218" s="610"/>
      <c r="HZ218" s="610"/>
      <c r="IA218" s="610"/>
      <c r="IB218" s="610"/>
      <c r="IC218" s="610"/>
      <c r="ID218" s="610"/>
      <c r="IE218" s="610"/>
      <c r="IF218" s="610"/>
      <c r="IG218" s="610"/>
      <c r="IH218" s="610"/>
      <c r="II218" s="610"/>
      <c r="IJ218" s="610"/>
      <c r="IK218" s="610"/>
      <c r="IL218" s="610"/>
      <c r="IM218" s="610"/>
      <c r="IN218" s="610"/>
      <c r="IO218" s="610"/>
      <c r="IP218" s="610"/>
      <c r="IQ218" s="610"/>
      <c r="IR218" s="610"/>
      <c r="IS218" s="610"/>
      <c r="IT218" s="610"/>
      <c r="IU218" s="610"/>
      <c r="IV218" s="610"/>
      <c r="IW218" s="610"/>
      <c r="IX218" s="610"/>
      <c r="IY218" s="610"/>
      <c r="IZ218" s="610"/>
      <c r="JA218" s="610"/>
      <c r="JB218" s="610"/>
      <c r="JC218" s="610"/>
      <c r="JD218" s="610"/>
      <c r="JE218" s="610"/>
      <c r="JF218" s="610"/>
      <c r="JG218" s="610"/>
      <c r="JH218" s="610"/>
      <c r="JI218" s="610"/>
      <c r="JJ218" s="610"/>
      <c r="JK218" s="610"/>
      <c r="JL218" s="610"/>
      <c r="JM218" s="610"/>
      <c r="JN218" s="610"/>
      <c r="JO218" s="610"/>
      <c r="JP218" s="610"/>
      <c r="JQ218" s="610"/>
      <c r="JR218" s="610"/>
      <c r="JS218" s="610"/>
      <c r="JT218" s="610"/>
      <c r="JU218" s="610"/>
      <c r="JV218" s="610"/>
      <c r="JW218" s="610"/>
      <c r="JX218" s="610"/>
      <c r="JY218" s="610"/>
      <c r="JZ218" s="610"/>
      <c r="KA218" s="610"/>
      <c r="KB218" s="610"/>
      <c r="KC218" s="610"/>
      <c r="KD218" s="610"/>
      <c r="KE218" s="610"/>
      <c r="KF218" s="610"/>
      <c r="KG218" s="610"/>
      <c r="KH218" s="610"/>
      <c r="KI218" s="610"/>
      <c r="KJ218" s="610"/>
      <c r="KK218" s="610"/>
      <c r="KL218" s="610"/>
      <c r="KM218" s="610"/>
      <c r="KN218" s="610"/>
      <c r="KO218" s="610"/>
      <c r="KP218" s="610"/>
      <c r="KQ218" s="610"/>
      <c r="KR218" s="610"/>
      <c r="KS218" s="610"/>
      <c r="KT218" s="610"/>
      <c r="KU218" s="610"/>
      <c r="KV218" s="610"/>
      <c r="KW218" s="610"/>
      <c r="KX218" s="610"/>
      <c r="KY218" s="610"/>
      <c r="KZ218" s="610"/>
      <c r="LA218" s="610"/>
      <c r="LB218" s="610"/>
      <c r="LC218" s="610"/>
      <c r="LD218" s="610"/>
      <c r="LE218" s="610"/>
      <c r="LF218" s="610"/>
      <c r="LG218" s="610"/>
      <c r="LH218" s="610"/>
      <c r="LI218" s="610"/>
      <c r="LJ218" s="610"/>
      <c r="LK218" s="610"/>
      <c r="LL218" s="610"/>
      <c r="LM218" s="610"/>
      <c r="LN218" s="610"/>
      <c r="LO218" s="610"/>
      <c r="LP218" s="610"/>
      <c r="LQ218" s="610"/>
      <c r="LR218" s="610"/>
      <c r="LS218" s="610"/>
      <c r="LT218" s="610"/>
      <c r="LU218" s="610"/>
      <c r="LV218" s="610"/>
      <c r="LW218" s="610"/>
      <c r="LX218" s="610"/>
      <c r="LY218" s="610"/>
      <c r="LZ218" s="610"/>
      <c r="MA218" s="610"/>
      <c r="MB218" s="610"/>
      <c r="MC218" s="610"/>
      <c r="MD218" s="610"/>
      <c r="ME218" s="610"/>
      <c r="MF218" s="610"/>
      <c r="MG218" s="610"/>
      <c r="MH218" s="610"/>
      <c r="MI218" s="610"/>
      <c r="MJ218" s="610"/>
      <c r="MK218" s="610"/>
      <c r="ML218" s="610"/>
      <c r="MM218" s="610"/>
      <c r="MN218" s="610"/>
      <c r="MO218" s="610"/>
      <c r="MP218" s="610"/>
      <c r="MQ218" s="610"/>
      <c r="MR218" s="610"/>
      <c r="MS218" s="610"/>
      <c r="MT218" s="610"/>
      <c r="MU218" s="610"/>
      <c r="MV218" s="610"/>
      <c r="MW218" s="610"/>
      <c r="MX218" s="610"/>
      <c r="MY218" s="610"/>
      <c r="MZ218" s="610"/>
      <c r="NA218" s="610"/>
      <c r="NB218" s="610"/>
      <c r="NC218" s="610"/>
      <c r="ND218" s="610"/>
      <c r="NE218" s="610"/>
      <c r="NF218" s="610"/>
      <c r="NG218" s="610"/>
      <c r="NH218" s="610"/>
      <c r="NI218" s="610"/>
      <c r="NJ218" s="610"/>
      <c r="NK218" s="610"/>
      <c r="NL218" s="610"/>
      <c r="NM218" s="610"/>
      <c r="NN218" s="610"/>
      <c r="NO218" s="610"/>
      <c r="NP218" s="610"/>
      <c r="NQ218" s="610"/>
      <c r="NR218" s="610"/>
      <c r="NS218" s="610"/>
      <c r="NT218" s="610"/>
      <c r="NU218" s="610"/>
      <c r="NV218" s="610"/>
      <c r="NW218" s="610"/>
      <c r="NX218" s="610"/>
      <c r="NY218" s="610"/>
      <c r="NZ218" s="610"/>
      <c r="OA218" s="610"/>
      <c r="OB218" s="610"/>
      <c r="OC218" s="610"/>
      <c r="OD218" s="610"/>
      <c r="OE218" s="610"/>
      <c r="OF218" s="610"/>
      <c r="OG218" s="610"/>
      <c r="OH218" s="610"/>
      <c r="OI218" s="610"/>
      <c r="OJ218" s="610"/>
      <c r="OK218" s="610"/>
      <c r="OL218" s="610"/>
      <c r="OM218" s="610"/>
      <c r="ON218" s="610"/>
      <c r="OO218" s="610"/>
      <c r="OP218" s="610"/>
      <c r="OQ218" s="610"/>
      <c r="OR218" s="610"/>
      <c r="OS218" s="610"/>
      <c r="OT218" s="610"/>
      <c r="OU218" s="610"/>
      <c r="OV218" s="610"/>
      <c r="OW218" s="610"/>
      <c r="OX218" s="610"/>
      <c r="OY218" s="610"/>
      <c r="OZ218" s="610"/>
      <c r="PA218" s="610"/>
      <c r="PB218" s="610"/>
      <c r="PC218" s="610"/>
      <c r="PD218" s="610"/>
      <c r="PE218" s="610"/>
      <c r="PF218" s="610"/>
      <c r="PG218" s="610"/>
      <c r="PH218" s="610"/>
      <c r="PI218" s="610"/>
      <c r="PJ218" s="610"/>
      <c r="PK218" s="610"/>
      <c r="PL218" s="610"/>
      <c r="PM218" s="610"/>
      <c r="PN218" s="610"/>
      <c r="PO218" s="610"/>
      <c r="PP218" s="610"/>
      <c r="PQ218" s="610"/>
      <c r="PR218" s="610"/>
      <c r="PS218" s="610"/>
      <c r="PT218" s="610"/>
      <c r="PU218" s="610"/>
      <c r="PV218" s="610"/>
      <c r="PW218" s="610"/>
      <c r="PX218" s="610"/>
      <c r="PY218" s="610"/>
      <c r="PZ218" s="610"/>
      <c r="QA218" s="610"/>
      <c r="QB218" s="610"/>
      <c r="QC218" s="610"/>
      <c r="QD218" s="610"/>
      <c r="QE218" s="610"/>
      <c r="QF218" s="610"/>
      <c r="QG218" s="610"/>
      <c r="QH218" s="610"/>
      <c r="QI218" s="610"/>
      <c r="QJ218" s="610"/>
    </row>
    <row r="219" spans="1:452" s="524" customFormat="1" ht="18" x14ac:dyDescent="0.35">
      <c r="A219" s="605"/>
      <c r="B219" s="558"/>
      <c r="C219" s="559"/>
      <c r="D219" s="559"/>
      <c r="E219" s="572" t="s">
        <v>86</v>
      </c>
      <c r="F219" s="571" cm="1">
        <f t="array" ref="F219">SUMPRODUCT(F$14:F$43,--($Q$14:$Q$43=TRUE),--($D$14:$D$43=$D214))</f>
        <v>0</v>
      </c>
      <c r="G219" s="571" cm="1">
        <f t="array" ref="G219">SUMPRODUCT(G$14:G$43,--($Q$14:$Q$43=TRUE),--($D$14:$D$43=$D214))</f>
        <v>0</v>
      </c>
      <c r="H219" s="571" cm="1">
        <f t="array" ref="H219">SUMPRODUCT(H$14:H$43,--($Q$14:$Q$43=TRUE),--($D$14:$D$43=$D214))</f>
        <v>0</v>
      </c>
      <c r="I219" s="571" cm="1">
        <f t="array" ref="I219">SUMPRODUCT(I$14:I$43,--($Q$14:$Q$43=TRUE),--($D$14:$D$43=$D214))</f>
        <v>0</v>
      </c>
      <c r="J219" s="571" cm="1">
        <f t="array" ref="J219">SUMPRODUCT(J$14:J$43,--($Q$14:$Q$43=TRUE),--($D$14:$D$43=$D214))</f>
        <v>0</v>
      </c>
      <c r="K219" s="571" cm="1">
        <f t="array" ref="K219">SUMPRODUCT(K$14:K$43,--($Q$14:$Q$43=TRUE),--($D$14:$D$43=$D214))</f>
        <v>0</v>
      </c>
      <c r="L219" s="571" cm="1">
        <f t="array" ref="L219">SUMPRODUCT(L$14:L$43,--($Q$14:$Q$43=TRUE),--($D$14:$D$43=$D214))</f>
        <v>0</v>
      </c>
      <c r="M219" s="571" cm="1">
        <f t="array" ref="M219">SUMPRODUCT(M$14:M$43,--($Q$14:$Q$43=TRUE),--($D$14:$D$43=$D214))</f>
        <v>0</v>
      </c>
      <c r="N219" s="571" cm="1">
        <f t="array" ref="N219">SUMPRODUCT(N$14:N$43,--($Q$14:$Q$43=TRUE),--($D$14:$D$43=$D214))</f>
        <v>0</v>
      </c>
      <c r="O219" s="571" cm="1">
        <f t="array" ref="O219">SUMPRODUCT(O$14:O$43,--($Q$14:$Q$43=TRUE),--($D$14:$D$43=$D214))</f>
        <v>0</v>
      </c>
      <c r="P219" s="607">
        <f t="shared" si="62"/>
        <v>0</v>
      </c>
      <c r="Q219" s="575"/>
      <c r="R219" s="576"/>
      <c r="S219" s="576"/>
      <c r="T219" s="576"/>
      <c r="U219" s="577"/>
    </row>
    <row r="220" spans="1:452" s="524" customFormat="1" ht="18" x14ac:dyDescent="0.35">
      <c r="A220" s="605"/>
      <c r="C220" s="559"/>
      <c r="D220" s="559"/>
      <c r="E220" s="640" t="s">
        <v>126</v>
      </c>
      <c r="F220" s="571" cm="1">
        <f t="array" ref="F220">SUMPRODUCT(F$14:F$43,--($Q$14:$Q$43=TRUE),--($D$14:$D$43=$D218),--($R$14:$R$43="Yes"))*0.1</f>
        <v>0</v>
      </c>
      <c r="G220" s="571" cm="1">
        <f t="array" ref="G220">SUMPRODUCT(G$14:G$43,--($Q$14:$Q$43=TRUE),--($D$14:$D$43=$D218),--($R$14:$R$43="Yes"))*0.1</f>
        <v>0</v>
      </c>
      <c r="H220" s="571" cm="1">
        <f t="array" ref="H220">SUMPRODUCT(H$14:H$43,--($Q$14:$Q$43=TRUE),--($D$14:$D$43=$D218),--($R$14:$R$43="Yes"))*0.1</f>
        <v>0</v>
      </c>
      <c r="I220" s="571" cm="1">
        <f t="array" ref="I220">SUMPRODUCT(I$14:I$43,--($Q$14:$Q$43=TRUE),--($D$14:$D$43=$D218),--($R$14:$R$43="Yes"))*0.1</f>
        <v>0</v>
      </c>
      <c r="J220" s="571" cm="1">
        <f t="array" ref="J220">SUMPRODUCT(J$14:J$43,--($Q$14:$Q$43=TRUE),--($D$14:$D$43=$D218),--($R$14:$R$43="Yes"))*0.1</f>
        <v>0</v>
      </c>
      <c r="K220" s="571" cm="1">
        <f t="array" ref="K220">SUMPRODUCT(K$14:K$43,--($Q$14:$Q$43=TRUE),--($D$14:$D$43=$D218),--($R$14:$R$43="Yes"))*0.1</f>
        <v>0</v>
      </c>
      <c r="L220" s="571" cm="1">
        <f t="array" ref="L220">SUMPRODUCT(L$14:L$43,--($Q$14:$Q$43=TRUE),--($D$14:$D$43=$D218),--($R$14:$R$43="Yes"))*0.1</f>
        <v>0</v>
      </c>
      <c r="M220" s="571" cm="1">
        <f t="array" ref="M220">SUMPRODUCT(M$14:M$43,--($Q$14:$Q$43=TRUE),--($D$14:$D$43=$D218),--($R$14:$R$43="Yes"))*0.1</f>
        <v>0</v>
      </c>
      <c r="N220" s="571" cm="1">
        <f t="array" ref="N220">SUMPRODUCT(N$14:N$43,--($Q$14:$Q$43=TRUE),--($D$14:$D$43=$D218),--($R$14:$R$43="Yes"))*0.1</f>
        <v>0</v>
      </c>
      <c r="O220" s="571" cm="1">
        <f t="array" ref="O220">SUMPRODUCT(O$14:O$43,--($Q$14:$Q$43=TRUE),--($D$14:$D$43=$D218),--($R$14:$R$43="Yes"))*0.1</f>
        <v>0</v>
      </c>
      <c r="P220" s="607">
        <f t="shared" si="62"/>
        <v>0</v>
      </c>
      <c r="Q220" s="575"/>
      <c r="R220" s="576"/>
      <c r="S220" s="576"/>
      <c r="T220" s="576"/>
      <c r="U220" s="577"/>
    </row>
    <row r="221" spans="1:452" s="524" customFormat="1" ht="18" x14ac:dyDescent="0.35">
      <c r="A221" s="605"/>
      <c r="B221" s="558"/>
      <c r="C221" s="559"/>
      <c r="D221" s="559"/>
      <c r="E221" s="572" t="s">
        <v>88</v>
      </c>
      <c r="F221" s="571">
        <f>F218-(F219+F220)</f>
        <v>0</v>
      </c>
      <c r="G221" s="571">
        <f t="shared" ref="G221:O221" si="65">G218-(G219+G220)</f>
        <v>0</v>
      </c>
      <c r="H221" s="571">
        <f t="shared" si="65"/>
        <v>0</v>
      </c>
      <c r="I221" s="571">
        <f t="shared" si="65"/>
        <v>0</v>
      </c>
      <c r="J221" s="571">
        <f t="shared" si="65"/>
        <v>0</v>
      </c>
      <c r="K221" s="571">
        <f t="shared" si="65"/>
        <v>0</v>
      </c>
      <c r="L221" s="571">
        <f t="shared" si="65"/>
        <v>0</v>
      </c>
      <c r="M221" s="571">
        <f t="shared" si="65"/>
        <v>0</v>
      </c>
      <c r="N221" s="571">
        <f t="shared" si="65"/>
        <v>0</v>
      </c>
      <c r="O221" s="571">
        <f t="shared" si="65"/>
        <v>0</v>
      </c>
      <c r="P221" s="607">
        <f t="shared" si="62"/>
        <v>0</v>
      </c>
      <c r="Q221" s="575"/>
      <c r="R221" s="576"/>
      <c r="S221" s="576"/>
      <c r="T221" s="576"/>
      <c r="U221" s="577"/>
    </row>
    <row r="222" spans="1:452" s="524" customFormat="1" ht="18" x14ac:dyDescent="0.35">
      <c r="A222" s="605"/>
      <c r="B222" s="558"/>
      <c r="C222" s="559"/>
      <c r="D222" s="559"/>
      <c r="E222" s="572"/>
      <c r="F222" s="571"/>
      <c r="G222" s="571"/>
      <c r="H222" s="571"/>
      <c r="I222" s="571"/>
      <c r="J222" s="571"/>
      <c r="K222" s="571"/>
      <c r="L222" s="571"/>
      <c r="M222" s="571"/>
      <c r="N222" s="571"/>
      <c r="O222" s="571"/>
      <c r="P222" s="607"/>
      <c r="Q222" s="575"/>
      <c r="R222" s="576"/>
      <c r="S222" s="576"/>
      <c r="T222" s="576"/>
      <c r="U222" s="577"/>
    </row>
    <row r="223" spans="1:452" s="591" customFormat="1" ht="18" x14ac:dyDescent="0.35">
      <c r="A223" s="597"/>
      <c r="B223" s="598" t="s">
        <v>128</v>
      </c>
      <c r="C223" s="599"/>
      <c r="D223" s="599"/>
      <c r="E223" s="589"/>
      <c r="F223" s="590">
        <f>F227</f>
        <v>0</v>
      </c>
      <c r="G223" s="590">
        <f t="shared" ref="G223:O223" si="66">G227</f>
        <v>0</v>
      </c>
      <c r="H223" s="590">
        <f t="shared" si="66"/>
        <v>0</v>
      </c>
      <c r="I223" s="590">
        <f t="shared" si="66"/>
        <v>0</v>
      </c>
      <c r="J223" s="590">
        <f t="shared" si="66"/>
        <v>0</v>
      </c>
      <c r="K223" s="590">
        <f t="shared" si="66"/>
        <v>0</v>
      </c>
      <c r="L223" s="590">
        <f t="shared" si="66"/>
        <v>0</v>
      </c>
      <c r="M223" s="590">
        <f t="shared" si="66"/>
        <v>0</v>
      </c>
      <c r="N223" s="590">
        <f t="shared" si="66"/>
        <v>0</v>
      </c>
      <c r="O223" s="590">
        <f t="shared" si="66"/>
        <v>0</v>
      </c>
      <c r="P223" s="600">
        <f>SUM(F223:O223)</f>
        <v>0</v>
      </c>
      <c r="Q223" s="575"/>
      <c r="R223" s="576"/>
      <c r="S223" s="576"/>
      <c r="T223" s="576"/>
      <c r="U223" s="577"/>
      <c r="V223" s="524"/>
      <c r="W223" s="524"/>
      <c r="X223" s="524"/>
      <c r="Y223" s="524"/>
      <c r="Z223" s="524"/>
      <c r="AA223" s="524"/>
      <c r="AB223" s="524"/>
      <c r="AC223" s="524"/>
      <c r="AD223" s="524"/>
      <c r="AE223" s="524"/>
      <c r="AF223" s="524"/>
      <c r="AG223" s="524"/>
      <c r="AH223" s="524"/>
      <c r="AI223" s="524"/>
      <c r="AJ223" s="524"/>
      <c r="AK223" s="524"/>
      <c r="AL223" s="524"/>
      <c r="AM223" s="524"/>
      <c r="AN223" s="524"/>
      <c r="AO223" s="524"/>
      <c r="AP223" s="524"/>
      <c r="AQ223" s="524"/>
      <c r="AR223" s="524"/>
      <c r="AS223" s="524"/>
      <c r="AT223" s="524"/>
      <c r="AU223" s="524"/>
      <c r="AV223" s="524"/>
      <c r="AW223" s="524"/>
      <c r="AX223" s="524"/>
      <c r="AY223" s="524"/>
      <c r="AZ223" s="524"/>
      <c r="BA223" s="524"/>
      <c r="BB223" s="524"/>
      <c r="BC223" s="524"/>
      <c r="BD223" s="524"/>
      <c r="BE223" s="524"/>
      <c r="BF223" s="524"/>
      <c r="BG223" s="524"/>
      <c r="BH223" s="524"/>
      <c r="BI223" s="524"/>
      <c r="BJ223" s="524"/>
      <c r="BK223" s="524"/>
      <c r="BL223" s="524"/>
      <c r="BM223" s="524"/>
      <c r="BN223" s="524"/>
      <c r="BO223" s="524"/>
      <c r="BP223" s="524"/>
      <c r="BQ223" s="524"/>
      <c r="BR223" s="524"/>
      <c r="BS223" s="524"/>
      <c r="BT223" s="524"/>
      <c r="BU223" s="524"/>
      <c r="BV223" s="524"/>
      <c r="BW223" s="524"/>
      <c r="BX223" s="524"/>
      <c r="BY223" s="524"/>
      <c r="BZ223" s="524"/>
      <c r="CA223" s="524"/>
      <c r="CB223" s="524"/>
      <c r="CC223" s="524"/>
      <c r="CD223" s="524"/>
      <c r="CE223" s="524"/>
      <c r="CF223" s="524"/>
      <c r="CG223" s="524"/>
      <c r="CH223" s="524"/>
      <c r="CI223" s="524"/>
      <c r="CJ223" s="524"/>
      <c r="CK223" s="524"/>
      <c r="CL223" s="524"/>
      <c r="CM223" s="524"/>
      <c r="CN223" s="524"/>
      <c r="CO223" s="524"/>
      <c r="CP223" s="524"/>
      <c r="CQ223" s="524"/>
      <c r="CR223" s="524"/>
      <c r="CS223" s="524"/>
      <c r="CT223" s="524"/>
      <c r="CU223" s="524"/>
      <c r="CV223" s="524"/>
      <c r="CW223" s="524"/>
      <c r="CX223" s="524"/>
      <c r="CY223" s="524"/>
      <c r="CZ223" s="524"/>
      <c r="DA223" s="524"/>
      <c r="DB223" s="524"/>
      <c r="DC223" s="524"/>
      <c r="DD223" s="524"/>
      <c r="DE223" s="524"/>
      <c r="DF223" s="524"/>
      <c r="DG223" s="524"/>
      <c r="DH223" s="524"/>
      <c r="DI223" s="524"/>
      <c r="DJ223" s="524"/>
      <c r="DK223" s="524"/>
      <c r="DL223" s="524"/>
      <c r="DM223" s="524"/>
      <c r="DN223" s="524"/>
      <c r="DO223" s="524"/>
      <c r="DP223" s="524"/>
      <c r="DQ223" s="524"/>
      <c r="DR223" s="524"/>
      <c r="DS223" s="524"/>
      <c r="DT223" s="524"/>
      <c r="DU223" s="524"/>
      <c r="DV223" s="524"/>
      <c r="DW223" s="524"/>
      <c r="DX223" s="524"/>
      <c r="DY223" s="524"/>
      <c r="DZ223" s="524"/>
      <c r="EA223" s="524"/>
      <c r="EB223" s="524"/>
      <c r="EC223" s="524"/>
      <c r="ED223" s="524"/>
      <c r="EE223" s="524"/>
      <c r="EF223" s="524"/>
      <c r="EG223" s="524"/>
      <c r="EH223" s="524"/>
      <c r="EI223" s="524"/>
      <c r="EJ223" s="524"/>
      <c r="EK223" s="524"/>
      <c r="EL223" s="524"/>
      <c r="EM223" s="524"/>
      <c r="EN223" s="524"/>
      <c r="EO223" s="524"/>
      <c r="EP223" s="524"/>
      <c r="EQ223" s="524"/>
      <c r="ER223" s="524"/>
      <c r="ES223" s="524"/>
      <c r="ET223" s="524"/>
      <c r="EU223" s="524"/>
      <c r="EV223" s="524"/>
      <c r="EW223" s="524"/>
      <c r="EX223" s="524"/>
      <c r="EY223" s="524"/>
      <c r="EZ223" s="524"/>
      <c r="FA223" s="524"/>
      <c r="FB223" s="524"/>
      <c r="FC223" s="524"/>
      <c r="FD223" s="524"/>
      <c r="FE223" s="524"/>
      <c r="FF223" s="524"/>
      <c r="FG223" s="524"/>
      <c r="FH223" s="524"/>
      <c r="FI223" s="524"/>
      <c r="FJ223" s="524"/>
      <c r="FK223" s="524"/>
      <c r="FL223" s="524"/>
      <c r="FM223" s="524"/>
      <c r="FN223" s="524"/>
      <c r="FO223" s="524"/>
      <c r="FP223" s="524"/>
      <c r="FQ223" s="524"/>
      <c r="FR223" s="524"/>
      <c r="FS223" s="524"/>
      <c r="FT223" s="524"/>
      <c r="FU223" s="524"/>
      <c r="FV223" s="524"/>
      <c r="FW223" s="524"/>
      <c r="FX223" s="524"/>
      <c r="FY223" s="524"/>
      <c r="FZ223" s="524"/>
      <c r="GA223" s="524"/>
      <c r="GB223" s="524"/>
      <c r="GC223" s="524"/>
      <c r="GD223" s="524"/>
      <c r="GE223" s="524"/>
      <c r="GF223" s="524"/>
      <c r="GG223" s="524"/>
      <c r="GH223" s="524"/>
      <c r="GI223" s="524"/>
      <c r="GJ223" s="524"/>
      <c r="GK223" s="524"/>
      <c r="GL223" s="524"/>
      <c r="GM223" s="524"/>
      <c r="GN223" s="524"/>
      <c r="GO223" s="524"/>
      <c r="GP223" s="524"/>
      <c r="GQ223" s="524"/>
      <c r="GR223" s="524"/>
      <c r="GS223" s="524"/>
      <c r="GT223" s="524"/>
      <c r="GU223" s="524"/>
      <c r="GV223" s="524"/>
      <c r="GW223" s="524"/>
      <c r="GX223" s="524"/>
      <c r="GY223" s="524"/>
      <c r="GZ223" s="524"/>
      <c r="HA223" s="524"/>
      <c r="HB223" s="524"/>
      <c r="HC223" s="524"/>
      <c r="HD223" s="524"/>
      <c r="HE223" s="524"/>
      <c r="HF223" s="524"/>
      <c r="HG223" s="524"/>
      <c r="HH223" s="524"/>
      <c r="HI223" s="524"/>
      <c r="HJ223" s="524"/>
      <c r="HK223" s="524"/>
      <c r="HL223" s="524"/>
      <c r="HM223" s="524"/>
      <c r="HN223" s="524"/>
      <c r="HO223" s="524"/>
      <c r="HP223" s="524"/>
      <c r="HQ223" s="524"/>
      <c r="HR223" s="524"/>
      <c r="HS223" s="524"/>
      <c r="HT223" s="524"/>
      <c r="HU223" s="524"/>
      <c r="HV223" s="524"/>
      <c r="HW223" s="524"/>
      <c r="HX223" s="524"/>
      <c r="HY223" s="524"/>
      <c r="HZ223" s="524"/>
      <c r="IA223" s="524"/>
      <c r="IB223" s="524"/>
      <c r="IC223" s="524"/>
      <c r="ID223" s="524"/>
      <c r="IE223" s="524"/>
      <c r="IF223" s="524"/>
      <c r="IG223" s="524"/>
      <c r="IH223" s="524"/>
      <c r="II223" s="524"/>
      <c r="IJ223" s="524"/>
      <c r="IK223" s="524"/>
      <c r="IL223" s="524"/>
      <c r="IM223" s="524"/>
      <c r="IN223" s="524"/>
      <c r="IO223" s="524"/>
      <c r="IP223" s="524"/>
      <c r="IQ223" s="524"/>
      <c r="IR223" s="524"/>
      <c r="IS223" s="524"/>
      <c r="IT223" s="524"/>
      <c r="IU223" s="524"/>
      <c r="IV223" s="524"/>
      <c r="IW223" s="524"/>
      <c r="IX223" s="524"/>
      <c r="IY223" s="524"/>
      <c r="IZ223" s="524"/>
      <c r="JA223" s="524"/>
      <c r="JB223" s="524"/>
      <c r="JC223" s="524"/>
      <c r="JD223" s="524"/>
      <c r="JE223" s="524"/>
      <c r="JF223" s="524"/>
      <c r="JG223" s="524"/>
      <c r="JH223" s="524"/>
      <c r="JI223" s="524"/>
      <c r="JJ223" s="524"/>
      <c r="JK223" s="524"/>
      <c r="JL223" s="524"/>
      <c r="JM223" s="524"/>
      <c r="JN223" s="524"/>
      <c r="JO223" s="524"/>
      <c r="JP223" s="524"/>
      <c r="JQ223" s="524"/>
      <c r="JR223" s="524"/>
      <c r="JS223" s="524"/>
      <c r="JT223" s="524"/>
      <c r="JU223" s="524"/>
      <c r="JV223" s="524"/>
      <c r="JW223" s="524"/>
      <c r="JX223" s="524"/>
      <c r="JY223" s="524"/>
      <c r="JZ223" s="524"/>
      <c r="KA223" s="524"/>
      <c r="KB223" s="524"/>
      <c r="KC223" s="524"/>
      <c r="KD223" s="524"/>
      <c r="KE223" s="524"/>
      <c r="KF223" s="524"/>
      <c r="KG223" s="524"/>
      <c r="KH223" s="524"/>
      <c r="KI223" s="524"/>
      <c r="KJ223" s="524"/>
      <c r="KK223" s="524"/>
      <c r="KL223" s="524"/>
      <c r="KM223" s="524"/>
      <c r="KN223" s="524"/>
      <c r="KO223" s="524"/>
      <c r="KP223" s="524"/>
      <c r="KQ223" s="524"/>
      <c r="KR223" s="524"/>
      <c r="KS223" s="524"/>
      <c r="KT223" s="524"/>
      <c r="KU223" s="524"/>
      <c r="KV223" s="524"/>
      <c r="KW223" s="524"/>
      <c r="KX223" s="524"/>
      <c r="KY223" s="524"/>
      <c r="KZ223" s="524"/>
      <c r="LA223" s="524"/>
      <c r="LB223" s="524"/>
      <c r="LC223" s="524"/>
      <c r="LD223" s="524"/>
      <c r="LE223" s="524"/>
      <c r="LF223" s="524"/>
      <c r="LG223" s="524"/>
      <c r="LH223" s="524"/>
      <c r="LI223" s="524"/>
      <c r="LJ223" s="524"/>
      <c r="LK223" s="524"/>
      <c r="LL223" s="524"/>
      <c r="LM223" s="524"/>
      <c r="LN223" s="524"/>
      <c r="LO223" s="524"/>
      <c r="LP223" s="524"/>
      <c r="LQ223" s="524"/>
      <c r="LR223" s="524"/>
      <c r="LS223" s="524"/>
      <c r="LT223" s="524"/>
      <c r="LU223" s="524"/>
      <c r="LV223" s="524"/>
      <c r="LW223" s="524"/>
      <c r="LX223" s="524"/>
      <c r="LY223" s="524"/>
      <c r="LZ223" s="524"/>
      <c r="MA223" s="524"/>
      <c r="MB223" s="524"/>
      <c r="MC223" s="524"/>
      <c r="MD223" s="524"/>
      <c r="ME223" s="524"/>
      <c r="MF223" s="524"/>
      <c r="MG223" s="524"/>
      <c r="MH223" s="524"/>
      <c r="MI223" s="524"/>
      <c r="MJ223" s="524"/>
      <c r="MK223" s="524"/>
      <c r="ML223" s="524"/>
      <c r="MM223" s="524"/>
      <c r="MN223" s="524"/>
      <c r="MO223" s="524"/>
      <c r="MP223" s="524"/>
      <c r="MQ223" s="524"/>
      <c r="MR223" s="524"/>
      <c r="MS223" s="524"/>
      <c r="MT223" s="524"/>
      <c r="MU223" s="524"/>
      <c r="MV223" s="524"/>
      <c r="MW223" s="524"/>
      <c r="MX223" s="524"/>
      <c r="MY223" s="524"/>
      <c r="MZ223" s="524"/>
      <c r="NA223" s="524"/>
      <c r="NB223" s="524"/>
      <c r="NC223" s="524"/>
      <c r="ND223" s="524"/>
      <c r="NE223" s="524"/>
      <c r="NF223" s="524"/>
      <c r="NG223" s="524"/>
      <c r="NH223" s="524"/>
      <c r="NI223" s="524"/>
      <c r="NJ223" s="524"/>
      <c r="NK223" s="524"/>
      <c r="NL223" s="524"/>
      <c r="NM223" s="524"/>
      <c r="NN223" s="524"/>
      <c r="NO223" s="524"/>
      <c r="NP223" s="524"/>
      <c r="NQ223" s="524"/>
      <c r="NR223" s="524"/>
      <c r="NS223" s="524"/>
      <c r="NT223" s="524"/>
      <c r="NU223" s="524"/>
      <c r="NV223" s="524"/>
      <c r="NW223" s="524"/>
      <c r="NX223" s="524"/>
      <c r="NY223" s="524"/>
      <c r="NZ223" s="524"/>
      <c r="OA223" s="524"/>
      <c r="OB223" s="524"/>
      <c r="OC223" s="524"/>
      <c r="OD223" s="524"/>
      <c r="OE223" s="524"/>
      <c r="OF223" s="524"/>
      <c r="OG223" s="524"/>
      <c r="OH223" s="524"/>
      <c r="OI223" s="524"/>
      <c r="OJ223" s="524"/>
      <c r="OK223" s="524"/>
      <c r="OL223" s="524"/>
      <c r="OM223" s="524"/>
      <c r="ON223" s="524"/>
      <c r="OO223" s="524"/>
      <c r="OP223" s="524"/>
      <c r="OQ223" s="524"/>
      <c r="OR223" s="524"/>
      <c r="OS223" s="524"/>
      <c r="OT223" s="524"/>
      <c r="OU223" s="524"/>
      <c r="OV223" s="524"/>
      <c r="OW223" s="524"/>
      <c r="OX223" s="524"/>
      <c r="OY223" s="524"/>
      <c r="OZ223" s="524"/>
      <c r="PA223" s="524"/>
      <c r="PB223" s="524"/>
      <c r="PC223" s="524"/>
      <c r="PD223" s="524"/>
      <c r="PE223" s="524"/>
      <c r="PF223" s="524"/>
      <c r="PG223" s="524"/>
      <c r="PH223" s="524"/>
      <c r="PI223" s="524"/>
      <c r="PJ223" s="524"/>
      <c r="PK223" s="524"/>
      <c r="PL223" s="524"/>
      <c r="PM223" s="524"/>
      <c r="PN223" s="524"/>
      <c r="PO223" s="524"/>
      <c r="PP223" s="524"/>
      <c r="PQ223" s="524"/>
      <c r="PR223" s="524"/>
      <c r="PS223" s="524"/>
      <c r="PT223" s="524"/>
      <c r="PU223" s="524"/>
      <c r="PV223" s="524"/>
      <c r="PW223" s="524"/>
      <c r="PX223" s="524"/>
      <c r="PY223" s="524"/>
      <c r="PZ223" s="524"/>
      <c r="QA223" s="524"/>
      <c r="QB223" s="524"/>
      <c r="QC223" s="524"/>
      <c r="QD223" s="524"/>
      <c r="QE223" s="524"/>
      <c r="QF223" s="524"/>
      <c r="QG223" s="524"/>
      <c r="QH223" s="524"/>
      <c r="QI223" s="524"/>
      <c r="QJ223" s="524"/>
    </row>
    <row r="224" spans="1:452" s="588" customFormat="1" ht="18" x14ac:dyDescent="0.35">
      <c r="A224" s="601"/>
      <c r="B224" s="602"/>
      <c r="C224" s="603"/>
      <c r="D224" s="603"/>
      <c r="E224" s="586"/>
      <c r="F224" s="587"/>
      <c r="G224" s="587"/>
      <c r="H224" s="587"/>
      <c r="I224" s="587"/>
      <c r="J224" s="587"/>
      <c r="K224" s="587"/>
      <c r="L224" s="587"/>
      <c r="M224" s="587"/>
      <c r="N224" s="587"/>
      <c r="O224" s="587"/>
      <c r="P224" s="604">
        <f t="shared" ref="P224:P234" si="67">SUM(F224:O224)</f>
        <v>0</v>
      </c>
      <c r="Q224" s="575"/>
      <c r="R224" s="576"/>
      <c r="S224" s="576"/>
      <c r="T224" s="576"/>
      <c r="U224" s="577"/>
      <c r="V224" s="524"/>
      <c r="W224" s="524"/>
      <c r="X224" s="524"/>
      <c r="Y224" s="524"/>
      <c r="Z224" s="524"/>
      <c r="AA224" s="524"/>
      <c r="AB224" s="524"/>
      <c r="AC224" s="524"/>
      <c r="AD224" s="524"/>
      <c r="AE224" s="524"/>
      <c r="AF224" s="524"/>
      <c r="AG224" s="524"/>
      <c r="AH224" s="524"/>
      <c r="AI224" s="524"/>
      <c r="AJ224" s="524"/>
      <c r="AK224" s="524"/>
      <c r="AL224" s="524"/>
      <c r="AM224" s="524"/>
      <c r="AN224" s="524"/>
      <c r="AO224" s="524"/>
      <c r="AP224" s="524"/>
      <c r="AQ224" s="524"/>
      <c r="AR224" s="524"/>
      <c r="AS224" s="524"/>
      <c r="AT224" s="524"/>
      <c r="AU224" s="524"/>
      <c r="AV224" s="524"/>
      <c r="AW224" s="524"/>
      <c r="AX224" s="524"/>
      <c r="AY224" s="524"/>
      <c r="AZ224" s="524"/>
      <c r="BA224" s="524"/>
      <c r="BB224" s="524"/>
      <c r="BC224" s="524"/>
      <c r="BD224" s="524"/>
      <c r="BE224" s="524"/>
      <c r="BF224" s="524"/>
      <c r="BG224" s="524"/>
      <c r="BH224" s="524"/>
      <c r="BI224" s="524"/>
      <c r="BJ224" s="524"/>
      <c r="BK224" s="524"/>
      <c r="BL224" s="524"/>
      <c r="BM224" s="524"/>
      <c r="BN224" s="524"/>
      <c r="BO224" s="524"/>
      <c r="BP224" s="524"/>
      <c r="BQ224" s="524"/>
      <c r="BR224" s="524"/>
      <c r="BS224" s="524"/>
      <c r="BT224" s="524"/>
      <c r="BU224" s="524"/>
      <c r="BV224" s="524"/>
      <c r="BW224" s="524"/>
      <c r="BX224" s="524"/>
      <c r="BY224" s="524"/>
      <c r="BZ224" s="524"/>
      <c r="CA224" s="524"/>
      <c r="CB224" s="524"/>
      <c r="CC224" s="524"/>
      <c r="CD224" s="524"/>
      <c r="CE224" s="524"/>
      <c r="CF224" s="524"/>
      <c r="CG224" s="524"/>
      <c r="CH224" s="524"/>
      <c r="CI224" s="524"/>
      <c r="CJ224" s="524"/>
      <c r="CK224" s="524"/>
      <c r="CL224" s="524"/>
      <c r="CM224" s="524"/>
      <c r="CN224" s="524"/>
      <c r="CO224" s="524"/>
      <c r="CP224" s="524"/>
      <c r="CQ224" s="524"/>
      <c r="CR224" s="524"/>
      <c r="CS224" s="524"/>
      <c r="CT224" s="524"/>
      <c r="CU224" s="524"/>
      <c r="CV224" s="524"/>
      <c r="CW224" s="524"/>
      <c r="CX224" s="524"/>
      <c r="CY224" s="524"/>
      <c r="CZ224" s="524"/>
      <c r="DA224" s="524"/>
      <c r="DB224" s="524"/>
      <c r="DC224" s="524"/>
      <c r="DD224" s="524"/>
      <c r="DE224" s="524"/>
      <c r="DF224" s="524"/>
      <c r="DG224" s="524"/>
      <c r="DH224" s="524"/>
      <c r="DI224" s="524"/>
      <c r="DJ224" s="524"/>
      <c r="DK224" s="524"/>
      <c r="DL224" s="524"/>
      <c r="DM224" s="524"/>
      <c r="DN224" s="524"/>
      <c r="DO224" s="524"/>
      <c r="DP224" s="524"/>
      <c r="DQ224" s="524"/>
      <c r="DR224" s="524"/>
      <c r="DS224" s="524"/>
      <c r="DT224" s="524"/>
      <c r="DU224" s="524"/>
      <c r="DV224" s="524"/>
      <c r="DW224" s="524"/>
      <c r="DX224" s="524"/>
      <c r="DY224" s="524"/>
      <c r="DZ224" s="524"/>
      <c r="EA224" s="524"/>
      <c r="EB224" s="524"/>
      <c r="EC224" s="524"/>
      <c r="ED224" s="524"/>
      <c r="EE224" s="524"/>
      <c r="EF224" s="524"/>
      <c r="EG224" s="524"/>
      <c r="EH224" s="524"/>
      <c r="EI224" s="524"/>
      <c r="EJ224" s="524"/>
      <c r="EK224" s="524"/>
      <c r="EL224" s="524"/>
      <c r="EM224" s="524"/>
      <c r="EN224" s="524"/>
      <c r="EO224" s="524"/>
      <c r="EP224" s="524"/>
      <c r="EQ224" s="524"/>
      <c r="ER224" s="524"/>
      <c r="ES224" s="524"/>
      <c r="ET224" s="524"/>
      <c r="EU224" s="524"/>
      <c r="EV224" s="524"/>
      <c r="EW224" s="524"/>
      <c r="EX224" s="524"/>
      <c r="EY224" s="524"/>
      <c r="EZ224" s="524"/>
      <c r="FA224" s="524"/>
      <c r="FB224" s="524"/>
      <c r="FC224" s="524"/>
      <c r="FD224" s="524"/>
      <c r="FE224" s="524"/>
      <c r="FF224" s="524"/>
      <c r="FG224" s="524"/>
      <c r="FH224" s="524"/>
      <c r="FI224" s="524"/>
      <c r="FJ224" s="524"/>
      <c r="FK224" s="524"/>
      <c r="FL224" s="524"/>
      <c r="FM224" s="524"/>
      <c r="FN224" s="524"/>
      <c r="FO224" s="524"/>
      <c r="FP224" s="524"/>
      <c r="FQ224" s="524"/>
      <c r="FR224" s="524"/>
      <c r="FS224" s="524"/>
      <c r="FT224" s="524"/>
      <c r="FU224" s="524"/>
      <c r="FV224" s="524"/>
      <c r="FW224" s="524"/>
      <c r="FX224" s="524"/>
      <c r="FY224" s="524"/>
      <c r="FZ224" s="524"/>
      <c r="GA224" s="524"/>
      <c r="GB224" s="524"/>
      <c r="GC224" s="524"/>
      <c r="GD224" s="524"/>
      <c r="GE224" s="524"/>
      <c r="GF224" s="524"/>
      <c r="GG224" s="524"/>
      <c r="GH224" s="524"/>
      <c r="GI224" s="524"/>
      <c r="GJ224" s="524"/>
      <c r="GK224" s="524"/>
      <c r="GL224" s="524"/>
      <c r="GM224" s="524"/>
      <c r="GN224" s="524"/>
      <c r="GO224" s="524"/>
      <c r="GP224" s="524"/>
      <c r="GQ224" s="524"/>
      <c r="GR224" s="524"/>
      <c r="GS224" s="524"/>
      <c r="GT224" s="524"/>
      <c r="GU224" s="524"/>
      <c r="GV224" s="524"/>
      <c r="GW224" s="524"/>
      <c r="GX224" s="524"/>
      <c r="GY224" s="524"/>
      <c r="GZ224" s="524"/>
      <c r="HA224" s="524"/>
      <c r="HB224" s="524"/>
      <c r="HC224" s="524"/>
      <c r="HD224" s="524"/>
      <c r="HE224" s="524"/>
      <c r="HF224" s="524"/>
      <c r="HG224" s="524"/>
      <c r="HH224" s="524"/>
      <c r="HI224" s="524"/>
      <c r="HJ224" s="524"/>
      <c r="HK224" s="524"/>
      <c r="HL224" s="524"/>
      <c r="HM224" s="524"/>
      <c r="HN224" s="524"/>
      <c r="HO224" s="524"/>
      <c r="HP224" s="524"/>
      <c r="HQ224" s="524"/>
      <c r="HR224" s="524"/>
      <c r="HS224" s="524"/>
      <c r="HT224" s="524"/>
      <c r="HU224" s="524"/>
      <c r="HV224" s="524"/>
      <c r="HW224" s="524"/>
      <c r="HX224" s="524"/>
      <c r="HY224" s="524"/>
      <c r="HZ224" s="524"/>
      <c r="IA224" s="524"/>
      <c r="IB224" s="524"/>
      <c r="IC224" s="524"/>
      <c r="ID224" s="524"/>
      <c r="IE224" s="524"/>
      <c r="IF224" s="524"/>
      <c r="IG224" s="524"/>
      <c r="IH224" s="524"/>
      <c r="II224" s="524"/>
      <c r="IJ224" s="524"/>
      <c r="IK224" s="524"/>
      <c r="IL224" s="524"/>
      <c r="IM224" s="524"/>
      <c r="IN224" s="524"/>
      <c r="IO224" s="524"/>
      <c r="IP224" s="524"/>
      <c r="IQ224" s="524"/>
      <c r="IR224" s="524"/>
      <c r="IS224" s="524"/>
      <c r="IT224" s="524"/>
      <c r="IU224" s="524"/>
      <c r="IV224" s="524"/>
      <c r="IW224" s="524"/>
      <c r="IX224" s="524"/>
      <c r="IY224" s="524"/>
      <c r="IZ224" s="524"/>
      <c r="JA224" s="524"/>
      <c r="JB224" s="524"/>
      <c r="JC224" s="524"/>
      <c r="JD224" s="524"/>
      <c r="JE224" s="524"/>
      <c r="JF224" s="524"/>
      <c r="JG224" s="524"/>
      <c r="JH224" s="524"/>
      <c r="JI224" s="524"/>
      <c r="JJ224" s="524"/>
      <c r="JK224" s="524"/>
      <c r="JL224" s="524"/>
      <c r="JM224" s="524"/>
      <c r="JN224" s="524"/>
      <c r="JO224" s="524"/>
      <c r="JP224" s="524"/>
      <c r="JQ224" s="524"/>
      <c r="JR224" s="524"/>
      <c r="JS224" s="524"/>
      <c r="JT224" s="524"/>
      <c r="JU224" s="524"/>
      <c r="JV224" s="524"/>
      <c r="JW224" s="524"/>
      <c r="JX224" s="524"/>
      <c r="JY224" s="524"/>
      <c r="JZ224" s="524"/>
      <c r="KA224" s="524"/>
      <c r="KB224" s="524"/>
      <c r="KC224" s="524"/>
      <c r="KD224" s="524"/>
      <c r="KE224" s="524"/>
      <c r="KF224" s="524"/>
      <c r="KG224" s="524"/>
      <c r="KH224" s="524"/>
      <c r="KI224" s="524"/>
      <c r="KJ224" s="524"/>
      <c r="KK224" s="524"/>
      <c r="KL224" s="524"/>
      <c r="KM224" s="524"/>
      <c r="KN224" s="524"/>
      <c r="KO224" s="524"/>
      <c r="KP224" s="524"/>
      <c r="KQ224" s="524"/>
      <c r="KR224" s="524"/>
      <c r="KS224" s="524"/>
      <c r="KT224" s="524"/>
      <c r="KU224" s="524"/>
      <c r="KV224" s="524"/>
      <c r="KW224" s="524"/>
      <c r="KX224" s="524"/>
      <c r="KY224" s="524"/>
      <c r="KZ224" s="524"/>
      <c r="LA224" s="524"/>
      <c r="LB224" s="524"/>
      <c r="LC224" s="524"/>
      <c r="LD224" s="524"/>
      <c r="LE224" s="524"/>
      <c r="LF224" s="524"/>
      <c r="LG224" s="524"/>
      <c r="LH224" s="524"/>
      <c r="LI224" s="524"/>
      <c r="LJ224" s="524"/>
      <c r="LK224" s="524"/>
      <c r="LL224" s="524"/>
      <c r="LM224" s="524"/>
      <c r="LN224" s="524"/>
      <c r="LO224" s="524"/>
      <c r="LP224" s="524"/>
      <c r="LQ224" s="524"/>
      <c r="LR224" s="524"/>
      <c r="LS224" s="524"/>
      <c r="LT224" s="524"/>
      <c r="LU224" s="524"/>
      <c r="LV224" s="524"/>
      <c r="LW224" s="524"/>
      <c r="LX224" s="524"/>
      <c r="LY224" s="524"/>
      <c r="LZ224" s="524"/>
      <c r="MA224" s="524"/>
      <c r="MB224" s="524"/>
      <c r="MC224" s="524"/>
      <c r="MD224" s="524"/>
      <c r="ME224" s="524"/>
      <c r="MF224" s="524"/>
      <c r="MG224" s="524"/>
      <c r="MH224" s="524"/>
      <c r="MI224" s="524"/>
      <c r="MJ224" s="524"/>
      <c r="MK224" s="524"/>
      <c r="ML224" s="524"/>
      <c r="MM224" s="524"/>
      <c r="MN224" s="524"/>
      <c r="MO224" s="524"/>
      <c r="MP224" s="524"/>
      <c r="MQ224" s="524"/>
      <c r="MR224" s="524"/>
      <c r="MS224" s="524"/>
      <c r="MT224" s="524"/>
      <c r="MU224" s="524"/>
      <c r="MV224" s="524"/>
      <c r="MW224" s="524"/>
      <c r="MX224" s="524"/>
      <c r="MY224" s="524"/>
      <c r="MZ224" s="524"/>
      <c r="NA224" s="524"/>
      <c r="NB224" s="524"/>
      <c r="NC224" s="524"/>
      <c r="ND224" s="524"/>
      <c r="NE224" s="524"/>
      <c r="NF224" s="524"/>
      <c r="NG224" s="524"/>
      <c r="NH224" s="524"/>
      <c r="NI224" s="524"/>
      <c r="NJ224" s="524"/>
      <c r="NK224" s="524"/>
      <c r="NL224" s="524"/>
      <c r="NM224" s="524"/>
      <c r="NN224" s="524"/>
      <c r="NO224" s="524"/>
      <c r="NP224" s="524"/>
      <c r="NQ224" s="524"/>
      <c r="NR224" s="524"/>
      <c r="NS224" s="524"/>
      <c r="NT224" s="524"/>
      <c r="NU224" s="524"/>
      <c r="NV224" s="524"/>
      <c r="NW224" s="524"/>
      <c r="NX224" s="524"/>
      <c r="NY224" s="524"/>
      <c r="NZ224" s="524"/>
      <c r="OA224" s="524"/>
      <c r="OB224" s="524"/>
      <c r="OC224" s="524"/>
      <c r="OD224" s="524"/>
      <c r="OE224" s="524"/>
      <c r="OF224" s="524"/>
      <c r="OG224" s="524"/>
      <c r="OH224" s="524"/>
      <c r="OI224" s="524"/>
      <c r="OJ224" s="524"/>
      <c r="OK224" s="524"/>
      <c r="OL224" s="524"/>
      <c r="OM224" s="524"/>
      <c r="ON224" s="524"/>
      <c r="OO224" s="524"/>
      <c r="OP224" s="524"/>
      <c r="OQ224" s="524"/>
      <c r="OR224" s="524"/>
      <c r="OS224" s="524"/>
      <c r="OT224" s="524"/>
      <c r="OU224" s="524"/>
      <c r="OV224" s="524"/>
      <c r="OW224" s="524"/>
      <c r="OX224" s="524"/>
      <c r="OY224" s="524"/>
      <c r="OZ224" s="524"/>
      <c r="PA224" s="524"/>
      <c r="PB224" s="524"/>
      <c r="PC224" s="524"/>
      <c r="PD224" s="524"/>
      <c r="PE224" s="524"/>
      <c r="PF224" s="524"/>
      <c r="PG224" s="524"/>
      <c r="PH224" s="524"/>
      <c r="PI224" s="524"/>
      <c r="PJ224" s="524"/>
      <c r="PK224" s="524"/>
      <c r="PL224" s="524"/>
      <c r="PM224" s="524"/>
      <c r="PN224" s="524"/>
      <c r="PO224" s="524"/>
      <c r="PP224" s="524"/>
      <c r="PQ224" s="524"/>
      <c r="PR224" s="524"/>
      <c r="PS224" s="524"/>
      <c r="PT224" s="524"/>
      <c r="PU224" s="524"/>
      <c r="PV224" s="524"/>
      <c r="PW224" s="524"/>
      <c r="PX224" s="524"/>
      <c r="PY224" s="524"/>
      <c r="PZ224" s="524"/>
      <c r="QA224" s="524"/>
      <c r="QB224" s="524"/>
      <c r="QC224" s="524"/>
      <c r="QD224" s="524"/>
      <c r="QE224" s="524"/>
      <c r="QF224" s="524"/>
      <c r="QG224" s="524"/>
      <c r="QH224" s="524"/>
      <c r="QI224" s="524"/>
      <c r="QJ224" s="524"/>
    </row>
    <row r="225" spans="1:452" s="617" customFormat="1" ht="18" x14ac:dyDescent="0.35">
      <c r="A225" s="611"/>
      <c r="B225" s="612" t="s">
        <v>129</v>
      </c>
      <c r="C225" s="613"/>
      <c r="D225" s="613"/>
      <c r="E225" s="614"/>
      <c r="F225" s="615">
        <f>F231</f>
        <v>0</v>
      </c>
      <c r="G225" s="615">
        <f t="shared" ref="G225:O225" si="68">G231</f>
        <v>0</v>
      </c>
      <c r="H225" s="615">
        <f t="shared" si="68"/>
        <v>0</v>
      </c>
      <c r="I225" s="615">
        <f t="shared" si="68"/>
        <v>0</v>
      </c>
      <c r="J225" s="615">
        <f t="shared" si="68"/>
        <v>0</v>
      </c>
      <c r="K225" s="615">
        <f t="shared" si="68"/>
        <v>0</v>
      </c>
      <c r="L225" s="615">
        <f t="shared" si="68"/>
        <v>0</v>
      </c>
      <c r="M225" s="615">
        <f t="shared" si="68"/>
        <v>0</v>
      </c>
      <c r="N225" s="615">
        <f t="shared" si="68"/>
        <v>0</v>
      </c>
      <c r="O225" s="615">
        <f t="shared" si="68"/>
        <v>0</v>
      </c>
      <c r="P225" s="616">
        <f t="shared" si="67"/>
        <v>0</v>
      </c>
      <c r="Q225" s="575"/>
      <c r="R225" s="576"/>
      <c r="S225" s="576"/>
      <c r="T225" s="576"/>
      <c r="U225" s="577"/>
    </row>
    <row r="226" spans="1:452" s="588" customFormat="1" ht="18" x14ac:dyDescent="0.35">
      <c r="A226" s="601"/>
      <c r="B226" s="602"/>
      <c r="C226" s="603"/>
      <c r="D226" s="603"/>
      <c r="E226" s="586"/>
      <c r="F226" s="587"/>
      <c r="G226" s="587"/>
      <c r="H226" s="587"/>
      <c r="I226" s="587"/>
      <c r="J226" s="587"/>
      <c r="K226" s="587"/>
      <c r="L226" s="587"/>
      <c r="M226" s="587"/>
      <c r="N226" s="587"/>
      <c r="O226" s="587"/>
      <c r="P226" s="604">
        <f t="shared" si="67"/>
        <v>0</v>
      </c>
      <c r="Q226" s="575"/>
      <c r="R226" s="576"/>
      <c r="S226" s="576"/>
      <c r="T226" s="576"/>
      <c r="U226" s="577"/>
      <c r="V226" s="524"/>
      <c r="W226" s="524"/>
      <c r="X226" s="524"/>
      <c r="Y226" s="524"/>
      <c r="Z226" s="524"/>
      <c r="AA226" s="524"/>
      <c r="AB226" s="524"/>
      <c r="AC226" s="524"/>
      <c r="AD226" s="524"/>
      <c r="AE226" s="524"/>
      <c r="AF226" s="524"/>
      <c r="AG226" s="524"/>
      <c r="AH226" s="524"/>
      <c r="AI226" s="524"/>
      <c r="AJ226" s="524"/>
      <c r="AK226" s="524"/>
      <c r="AL226" s="524"/>
      <c r="AM226" s="524"/>
      <c r="AN226" s="524"/>
      <c r="AO226" s="524"/>
      <c r="AP226" s="524"/>
      <c r="AQ226" s="524"/>
      <c r="AR226" s="524"/>
      <c r="AS226" s="524"/>
      <c r="AT226" s="524"/>
      <c r="AU226" s="524"/>
      <c r="AV226" s="524"/>
      <c r="AW226" s="524"/>
      <c r="AX226" s="524"/>
      <c r="AY226" s="524"/>
      <c r="AZ226" s="524"/>
      <c r="BA226" s="524"/>
      <c r="BB226" s="524"/>
      <c r="BC226" s="524"/>
      <c r="BD226" s="524"/>
      <c r="BE226" s="524"/>
      <c r="BF226" s="524"/>
      <c r="BG226" s="524"/>
      <c r="BH226" s="524"/>
      <c r="BI226" s="524"/>
      <c r="BJ226" s="524"/>
      <c r="BK226" s="524"/>
      <c r="BL226" s="524"/>
      <c r="BM226" s="524"/>
      <c r="BN226" s="524"/>
      <c r="BO226" s="524"/>
      <c r="BP226" s="524"/>
      <c r="BQ226" s="524"/>
      <c r="BR226" s="524"/>
      <c r="BS226" s="524"/>
      <c r="BT226" s="524"/>
      <c r="BU226" s="524"/>
      <c r="BV226" s="524"/>
      <c r="BW226" s="524"/>
      <c r="BX226" s="524"/>
      <c r="BY226" s="524"/>
      <c r="BZ226" s="524"/>
      <c r="CA226" s="524"/>
      <c r="CB226" s="524"/>
      <c r="CC226" s="524"/>
      <c r="CD226" s="524"/>
      <c r="CE226" s="524"/>
      <c r="CF226" s="524"/>
      <c r="CG226" s="524"/>
      <c r="CH226" s="524"/>
      <c r="CI226" s="524"/>
      <c r="CJ226" s="524"/>
      <c r="CK226" s="524"/>
      <c r="CL226" s="524"/>
      <c r="CM226" s="524"/>
      <c r="CN226" s="524"/>
      <c r="CO226" s="524"/>
      <c r="CP226" s="524"/>
      <c r="CQ226" s="524"/>
      <c r="CR226" s="524"/>
      <c r="CS226" s="524"/>
      <c r="CT226" s="524"/>
      <c r="CU226" s="524"/>
      <c r="CV226" s="524"/>
      <c r="CW226" s="524"/>
      <c r="CX226" s="524"/>
      <c r="CY226" s="524"/>
      <c r="CZ226" s="524"/>
      <c r="DA226" s="524"/>
      <c r="DB226" s="524"/>
      <c r="DC226" s="524"/>
      <c r="DD226" s="524"/>
      <c r="DE226" s="524"/>
      <c r="DF226" s="524"/>
      <c r="DG226" s="524"/>
      <c r="DH226" s="524"/>
      <c r="DI226" s="524"/>
      <c r="DJ226" s="524"/>
      <c r="DK226" s="524"/>
      <c r="DL226" s="524"/>
      <c r="DM226" s="524"/>
      <c r="DN226" s="524"/>
      <c r="DO226" s="524"/>
      <c r="DP226" s="524"/>
      <c r="DQ226" s="524"/>
      <c r="DR226" s="524"/>
      <c r="DS226" s="524"/>
      <c r="DT226" s="524"/>
      <c r="DU226" s="524"/>
      <c r="DV226" s="524"/>
      <c r="DW226" s="524"/>
      <c r="DX226" s="524"/>
      <c r="DY226" s="524"/>
      <c r="DZ226" s="524"/>
      <c r="EA226" s="524"/>
      <c r="EB226" s="524"/>
      <c r="EC226" s="524"/>
      <c r="ED226" s="524"/>
      <c r="EE226" s="524"/>
      <c r="EF226" s="524"/>
      <c r="EG226" s="524"/>
      <c r="EH226" s="524"/>
      <c r="EI226" s="524"/>
      <c r="EJ226" s="524"/>
      <c r="EK226" s="524"/>
      <c r="EL226" s="524"/>
      <c r="EM226" s="524"/>
      <c r="EN226" s="524"/>
      <c r="EO226" s="524"/>
      <c r="EP226" s="524"/>
      <c r="EQ226" s="524"/>
      <c r="ER226" s="524"/>
      <c r="ES226" s="524"/>
      <c r="ET226" s="524"/>
      <c r="EU226" s="524"/>
      <c r="EV226" s="524"/>
      <c r="EW226" s="524"/>
      <c r="EX226" s="524"/>
      <c r="EY226" s="524"/>
      <c r="EZ226" s="524"/>
      <c r="FA226" s="524"/>
      <c r="FB226" s="524"/>
      <c r="FC226" s="524"/>
      <c r="FD226" s="524"/>
      <c r="FE226" s="524"/>
      <c r="FF226" s="524"/>
      <c r="FG226" s="524"/>
      <c r="FH226" s="524"/>
      <c r="FI226" s="524"/>
      <c r="FJ226" s="524"/>
      <c r="FK226" s="524"/>
      <c r="FL226" s="524"/>
      <c r="FM226" s="524"/>
      <c r="FN226" s="524"/>
      <c r="FO226" s="524"/>
      <c r="FP226" s="524"/>
      <c r="FQ226" s="524"/>
      <c r="FR226" s="524"/>
      <c r="FS226" s="524"/>
      <c r="FT226" s="524"/>
      <c r="FU226" s="524"/>
      <c r="FV226" s="524"/>
      <c r="FW226" s="524"/>
      <c r="FX226" s="524"/>
      <c r="FY226" s="524"/>
      <c r="FZ226" s="524"/>
      <c r="GA226" s="524"/>
      <c r="GB226" s="524"/>
      <c r="GC226" s="524"/>
      <c r="GD226" s="524"/>
      <c r="GE226" s="524"/>
      <c r="GF226" s="524"/>
      <c r="GG226" s="524"/>
      <c r="GH226" s="524"/>
      <c r="GI226" s="524"/>
      <c r="GJ226" s="524"/>
      <c r="GK226" s="524"/>
      <c r="GL226" s="524"/>
      <c r="GM226" s="524"/>
      <c r="GN226" s="524"/>
      <c r="GO226" s="524"/>
      <c r="GP226" s="524"/>
      <c r="GQ226" s="524"/>
      <c r="GR226" s="524"/>
      <c r="GS226" s="524"/>
      <c r="GT226" s="524"/>
      <c r="GU226" s="524"/>
      <c r="GV226" s="524"/>
      <c r="GW226" s="524"/>
      <c r="GX226" s="524"/>
      <c r="GY226" s="524"/>
      <c r="GZ226" s="524"/>
      <c r="HA226" s="524"/>
      <c r="HB226" s="524"/>
      <c r="HC226" s="524"/>
      <c r="HD226" s="524"/>
      <c r="HE226" s="524"/>
      <c r="HF226" s="524"/>
      <c r="HG226" s="524"/>
      <c r="HH226" s="524"/>
      <c r="HI226" s="524"/>
      <c r="HJ226" s="524"/>
      <c r="HK226" s="524"/>
      <c r="HL226" s="524"/>
      <c r="HM226" s="524"/>
      <c r="HN226" s="524"/>
      <c r="HO226" s="524"/>
      <c r="HP226" s="524"/>
      <c r="HQ226" s="524"/>
      <c r="HR226" s="524"/>
      <c r="HS226" s="524"/>
      <c r="HT226" s="524"/>
      <c r="HU226" s="524"/>
      <c r="HV226" s="524"/>
      <c r="HW226" s="524"/>
      <c r="HX226" s="524"/>
      <c r="HY226" s="524"/>
      <c r="HZ226" s="524"/>
      <c r="IA226" s="524"/>
      <c r="IB226" s="524"/>
      <c r="IC226" s="524"/>
      <c r="ID226" s="524"/>
      <c r="IE226" s="524"/>
      <c r="IF226" s="524"/>
      <c r="IG226" s="524"/>
      <c r="IH226" s="524"/>
      <c r="II226" s="524"/>
      <c r="IJ226" s="524"/>
      <c r="IK226" s="524"/>
      <c r="IL226" s="524"/>
      <c r="IM226" s="524"/>
      <c r="IN226" s="524"/>
      <c r="IO226" s="524"/>
      <c r="IP226" s="524"/>
      <c r="IQ226" s="524"/>
      <c r="IR226" s="524"/>
      <c r="IS226" s="524"/>
      <c r="IT226" s="524"/>
      <c r="IU226" s="524"/>
      <c r="IV226" s="524"/>
      <c r="IW226" s="524"/>
      <c r="IX226" s="524"/>
      <c r="IY226" s="524"/>
      <c r="IZ226" s="524"/>
      <c r="JA226" s="524"/>
      <c r="JB226" s="524"/>
      <c r="JC226" s="524"/>
      <c r="JD226" s="524"/>
      <c r="JE226" s="524"/>
      <c r="JF226" s="524"/>
      <c r="JG226" s="524"/>
      <c r="JH226" s="524"/>
      <c r="JI226" s="524"/>
      <c r="JJ226" s="524"/>
      <c r="JK226" s="524"/>
      <c r="JL226" s="524"/>
      <c r="JM226" s="524"/>
      <c r="JN226" s="524"/>
      <c r="JO226" s="524"/>
      <c r="JP226" s="524"/>
      <c r="JQ226" s="524"/>
      <c r="JR226" s="524"/>
      <c r="JS226" s="524"/>
      <c r="JT226" s="524"/>
      <c r="JU226" s="524"/>
      <c r="JV226" s="524"/>
      <c r="JW226" s="524"/>
      <c r="JX226" s="524"/>
      <c r="JY226" s="524"/>
      <c r="JZ226" s="524"/>
      <c r="KA226" s="524"/>
      <c r="KB226" s="524"/>
      <c r="KC226" s="524"/>
      <c r="KD226" s="524"/>
      <c r="KE226" s="524"/>
      <c r="KF226" s="524"/>
      <c r="KG226" s="524"/>
      <c r="KH226" s="524"/>
      <c r="KI226" s="524"/>
      <c r="KJ226" s="524"/>
      <c r="KK226" s="524"/>
      <c r="KL226" s="524"/>
      <c r="KM226" s="524"/>
      <c r="KN226" s="524"/>
      <c r="KO226" s="524"/>
      <c r="KP226" s="524"/>
      <c r="KQ226" s="524"/>
      <c r="KR226" s="524"/>
      <c r="KS226" s="524"/>
      <c r="KT226" s="524"/>
      <c r="KU226" s="524"/>
      <c r="KV226" s="524"/>
      <c r="KW226" s="524"/>
      <c r="KX226" s="524"/>
      <c r="KY226" s="524"/>
      <c r="KZ226" s="524"/>
      <c r="LA226" s="524"/>
      <c r="LB226" s="524"/>
      <c r="LC226" s="524"/>
      <c r="LD226" s="524"/>
      <c r="LE226" s="524"/>
      <c r="LF226" s="524"/>
      <c r="LG226" s="524"/>
      <c r="LH226" s="524"/>
      <c r="LI226" s="524"/>
      <c r="LJ226" s="524"/>
      <c r="LK226" s="524"/>
      <c r="LL226" s="524"/>
      <c r="LM226" s="524"/>
      <c r="LN226" s="524"/>
      <c r="LO226" s="524"/>
      <c r="LP226" s="524"/>
      <c r="LQ226" s="524"/>
      <c r="LR226" s="524"/>
      <c r="LS226" s="524"/>
      <c r="LT226" s="524"/>
      <c r="LU226" s="524"/>
      <c r="LV226" s="524"/>
      <c r="LW226" s="524"/>
      <c r="LX226" s="524"/>
      <c r="LY226" s="524"/>
      <c r="LZ226" s="524"/>
      <c r="MA226" s="524"/>
      <c r="MB226" s="524"/>
      <c r="MC226" s="524"/>
      <c r="MD226" s="524"/>
      <c r="ME226" s="524"/>
      <c r="MF226" s="524"/>
      <c r="MG226" s="524"/>
      <c r="MH226" s="524"/>
      <c r="MI226" s="524"/>
      <c r="MJ226" s="524"/>
      <c r="MK226" s="524"/>
      <c r="ML226" s="524"/>
      <c r="MM226" s="524"/>
      <c r="MN226" s="524"/>
      <c r="MO226" s="524"/>
      <c r="MP226" s="524"/>
      <c r="MQ226" s="524"/>
      <c r="MR226" s="524"/>
      <c r="MS226" s="524"/>
      <c r="MT226" s="524"/>
      <c r="MU226" s="524"/>
      <c r="MV226" s="524"/>
      <c r="MW226" s="524"/>
      <c r="MX226" s="524"/>
      <c r="MY226" s="524"/>
      <c r="MZ226" s="524"/>
      <c r="NA226" s="524"/>
      <c r="NB226" s="524"/>
      <c r="NC226" s="524"/>
      <c r="ND226" s="524"/>
      <c r="NE226" s="524"/>
      <c r="NF226" s="524"/>
      <c r="NG226" s="524"/>
      <c r="NH226" s="524"/>
      <c r="NI226" s="524"/>
      <c r="NJ226" s="524"/>
      <c r="NK226" s="524"/>
      <c r="NL226" s="524"/>
      <c r="NM226" s="524"/>
      <c r="NN226" s="524"/>
      <c r="NO226" s="524"/>
      <c r="NP226" s="524"/>
      <c r="NQ226" s="524"/>
      <c r="NR226" s="524"/>
      <c r="NS226" s="524"/>
      <c r="NT226" s="524"/>
      <c r="NU226" s="524"/>
      <c r="NV226" s="524"/>
      <c r="NW226" s="524"/>
      <c r="NX226" s="524"/>
      <c r="NY226" s="524"/>
      <c r="NZ226" s="524"/>
      <c r="OA226" s="524"/>
      <c r="OB226" s="524"/>
      <c r="OC226" s="524"/>
      <c r="OD226" s="524"/>
      <c r="OE226" s="524"/>
      <c r="OF226" s="524"/>
      <c r="OG226" s="524"/>
      <c r="OH226" s="524"/>
      <c r="OI226" s="524"/>
      <c r="OJ226" s="524"/>
      <c r="OK226" s="524"/>
      <c r="OL226" s="524"/>
      <c r="OM226" s="524"/>
      <c r="ON226" s="524"/>
      <c r="OO226" s="524"/>
      <c r="OP226" s="524"/>
      <c r="OQ226" s="524"/>
      <c r="OR226" s="524"/>
      <c r="OS226" s="524"/>
      <c r="OT226" s="524"/>
      <c r="OU226" s="524"/>
      <c r="OV226" s="524"/>
      <c r="OW226" s="524"/>
      <c r="OX226" s="524"/>
      <c r="OY226" s="524"/>
      <c r="OZ226" s="524"/>
      <c r="PA226" s="524"/>
      <c r="PB226" s="524"/>
      <c r="PC226" s="524"/>
      <c r="PD226" s="524"/>
      <c r="PE226" s="524"/>
      <c r="PF226" s="524"/>
      <c r="PG226" s="524"/>
      <c r="PH226" s="524"/>
      <c r="PI226" s="524"/>
      <c r="PJ226" s="524"/>
      <c r="PK226" s="524"/>
      <c r="PL226" s="524"/>
      <c r="PM226" s="524"/>
      <c r="PN226" s="524"/>
      <c r="PO226" s="524"/>
      <c r="PP226" s="524"/>
      <c r="PQ226" s="524"/>
      <c r="PR226" s="524"/>
      <c r="PS226" s="524"/>
      <c r="PT226" s="524"/>
      <c r="PU226" s="524"/>
      <c r="PV226" s="524"/>
      <c r="PW226" s="524"/>
      <c r="PX226" s="524"/>
      <c r="PY226" s="524"/>
      <c r="PZ226" s="524"/>
      <c r="QA226" s="524"/>
      <c r="QB226" s="524"/>
      <c r="QC226" s="524"/>
      <c r="QD226" s="524"/>
      <c r="QE226" s="524"/>
      <c r="QF226" s="524"/>
      <c r="QG226" s="524"/>
      <c r="QH226" s="524"/>
      <c r="QI226" s="524"/>
      <c r="QJ226" s="524"/>
    </row>
    <row r="227" spans="1:452" s="592" customFormat="1" ht="18" x14ac:dyDescent="0.35">
      <c r="A227" s="618"/>
      <c r="B227" s="619"/>
      <c r="C227" s="620"/>
      <c r="D227" s="619" t="s">
        <v>130</v>
      </c>
      <c r="E227" s="621"/>
      <c r="F227" s="622" cm="1">
        <f t="array" ref="F227">SUMPRODUCT(F$14:F$43,--($D$14:$D$43=$D227),--($Q$14:$Q$43=FALSE),$S$14:$S$43,--($S$14:$S$43&gt;0))+SUMPRODUCT(F$14:F$43,--($D$14:$D$43=$D227),--($Q$14:$Q$43=FALSE),$S$14:$S$43,--($S$14:$S$43&gt;0),--($R$14:$R$43="Yes"))*0.1+SUMPRODUCT(F$14:F$43,--($D$14:$D$43=$D227),--($Q$14:$Q$43=FALSE),--($S$14:$S$43=0))+SUMPRODUCT(F$14:F$43,--($D$14:$D$43=$D227),--($Q$14:$Q$43=FALSE),--($R$14:$R$43="Yes"),--($S$14:$S$43=0))*0.1</f>
        <v>0</v>
      </c>
      <c r="G227" s="622" cm="1">
        <f t="array" ref="G227">SUMPRODUCT(G$14:G$43,--($D$14:$D$43=$D227),--($Q$14:$Q$43=FALSE),$S$14:$S$43,--($S$14:$S$43&gt;0))+SUMPRODUCT(G$14:G$43,--($D$14:$D$43=$D227),--($Q$14:$Q$43=FALSE),$S$14:$S$43,--($S$14:$S$43&gt;0),--($R$14:$R$43="Yes"))*0.1+SUMPRODUCT(G$14:G$43,--($D$14:$D$43=$D227),--($Q$14:$Q$43=FALSE),--($S$14:$S$43=0))+SUMPRODUCT(G$14:G$43,--($D$14:$D$43=$D227),--($Q$14:$Q$43=FALSE),--($R$14:$R$43="Yes"),--($S$14:$S$43=0))*0.1</f>
        <v>0</v>
      </c>
      <c r="H227" s="622" cm="1">
        <f t="array" ref="H227">SUMPRODUCT(H$14:H$43,--($D$14:$D$43=$D227),--($Q$14:$Q$43=FALSE),$S$14:$S$43,--($S$14:$S$43&gt;0))+SUMPRODUCT(H$14:H$43,--($D$14:$D$43=$D227),--($Q$14:$Q$43=FALSE),$S$14:$S$43,--($S$14:$S$43&gt;0),--($R$14:$R$43="Yes"))*0.1+SUMPRODUCT(H$14:H$43,--($D$14:$D$43=$D227),--($Q$14:$Q$43=FALSE),--($S$14:$S$43=0))+SUMPRODUCT(H$14:H$43,--($D$14:$D$43=$D227),--($Q$14:$Q$43=FALSE),--($R$14:$R$43="Yes"),--($S$14:$S$43=0))*0.1</f>
        <v>0</v>
      </c>
      <c r="I227" s="622" cm="1">
        <f t="array" ref="I227">SUMPRODUCT(I$14:I$43,--($D$14:$D$43=$D227),--($Q$14:$Q$43=FALSE),$S$14:$S$43,--($S$14:$S$43&gt;0))+SUMPRODUCT(I$14:I$43,--($D$14:$D$43=$D227),--($Q$14:$Q$43=FALSE),$S$14:$S$43,--($S$14:$S$43&gt;0),--($R$14:$R$43="Yes"))*0.1+SUMPRODUCT(I$14:I$43,--($D$14:$D$43=$D227),--($Q$14:$Q$43=FALSE),--($S$14:$S$43=0))+SUMPRODUCT(I$14:I$43,--($D$14:$D$43=$D227),--($Q$14:$Q$43=FALSE),--($R$14:$R$43="Yes"),--($S$14:$S$43=0))*0.1</f>
        <v>0</v>
      </c>
      <c r="J227" s="622" cm="1">
        <f t="array" ref="J227">SUMPRODUCT(J$14:J$43,--($D$14:$D$43=$D227),--($Q$14:$Q$43=FALSE),$S$14:$S$43,--($S$14:$S$43&gt;0))+SUMPRODUCT(J$14:J$43,--($D$14:$D$43=$D227),--($Q$14:$Q$43=FALSE),$S$14:$S$43,--($S$14:$S$43&gt;0),--($R$14:$R$43="Yes"))*0.1+SUMPRODUCT(J$14:J$43,--($D$14:$D$43=$D227),--($Q$14:$Q$43=FALSE),--($S$14:$S$43=0))+SUMPRODUCT(J$14:J$43,--($D$14:$D$43=$D227),--($Q$14:$Q$43=FALSE),--($R$14:$R$43="Yes"),--($S$14:$S$43=0))*0.1</f>
        <v>0</v>
      </c>
      <c r="K227" s="622" cm="1">
        <f t="array" ref="K227">SUMPRODUCT(K$14:K$43,--($D$14:$D$43=$D227),--($Q$14:$Q$43=FALSE),$S$14:$S$43,--($S$14:$S$43&gt;0))+SUMPRODUCT(K$14:K$43,--($D$14:$D$43=$D227),--($Q$14:$Q$43=FALSE),$S$14:$S$43,--($S$14:$S$43&gt;0),--($R$14:$R$43="Yes"))*0.1+SUMPRODUCT(K$14:K$43,--($D$14:$D$43=$D227),--($Q$14:$Q$43=FALSE),--($S$14:$S$43=0))+SUMPRODUCT(K$14:K$43,--($D$14:$D$43=$D227),--($Q$14:$Q$43=FALSE),--($R$14:$R$43="Yes"),--($S$14:$S$43=0))*0.1</f>
        <v>0</v>
      </c>
      <c r="L227" s="622" cm="1">
        <f t="array" ref="L227">SUMPRODUCT(L$14:L$43,--($D$14:$D$43=$D227),--($Q$14:$Q$43=FALSE),$S$14:$S$43,--($S$14:$S$43&gt;0))+SUMPRODUCT(L$14:L$43,--($D$14:$D$43=$D227),--($Q$14:$Q$43=FALSE),$S$14:$S$43,--($S$14:$S$43&gt;0),--($R$14:$R$43="Yes"))*0.1+SUMPRODUCT(L$14:L$43,--($D$14:$D$43=$D227),--($Q$14:$Q$43=FALSE),--($S$14:$S$43=0))+SUMPRODUCT(L$14:L$43,--($D$14:$D$43=$D227),--($Q$14:$Q$43=FALSE),--($R$14:$R$43="Yes"),--($S$14:$S$43=0))*0.1</f>
        <v>0</v>
      </c>
      <c r="M227" s="622" cm="1">
        <f t="array" ref="M227">SUMPRODUCT(M$14:M$43,--($D$14:$D$43=$D227),--($Q$14:$Q$43=FALSE),$S$14:$S$43,--($S$14:$S$43&gt;0))+SUMPRODUCT(M$14:M$43,--($D$14:$D$43=$D227),--($Q$14:$Q$43=FALSE),$S$14:$S$43,--($S$14:$S$43&gt;0),--($R$14:$R$43="Yes"))*0.1+SUMPRODUCT(M$14:M$43,--($D$14:$D$43=$D227),--($Q$14:$Q$43=FALSE),--($S$14:$S$43=0))+SUMPRODUCT(M$14:M$43,--($D$14:$D$43=$D227),--($Q$14:$Q$43=FALSE),--($R$14:$R$43="Yes"),--($S$14:$S$43=0))*0.1</f>
        <v>0</v>
      </c>
      <c r="N227" s="622" cm="1">
        <f t="array" ref="N227">SUMPRODUCT(N$14:N$43,--($D$14:$D$43=$D227),--($Q$14:$Q$43=FALSE),$S$14:$S$43,--($S$14:$S$43&gt;0))+SUMPRODUCT(N$14:N$43,--($D$14:$D$43=$D227),--($Q$14:$Q$43=FALSE),$S$14:$S$43,--($S$14:$S$43&gt;0),--($R$14:$R$43="Yes"))*0.1+SUMPRODUCT(N$14:N$43,--($D$14:$D$43=$D227),--($Q$14:$Q$43=FALSE),--($S$14:$S$43=0))+SUMPRODUCT(N$14:N$43,--($D$14:$D$43=$D227),--($Q$14:$Q$43=FALSE),--($R$14:$R$43="Yes"),--($S$14:$S$43=0))*0.1</f>
        <v>0</v>
      </c>
      <c r="O227" s="622" cm="1">
        <f t="array" ref="O227">SUMPRODUCT(O$14:O$43,--($D$14:$D$43=$D227),--($Q$14:$Q$43=FALSE),$S$14:$S$43,--($S$14:$S$43&gt;0))+SUMPRODUCT(O$14:O$43,--($D$14:$D$43=$D227),--($Q$14:$Q$43=FALSE),$S$14:$S$43,--($S$14:$S$43&gt;0),--($R$14:$R$43="Yes"))*0.1+SUMPRODUCT(O$14:O$43,--($D$14:$D$43=$D227),--($Q$14:$Q$43=FALSE),--($S$14:$S$43=0))+SUMPRODUCT(O$14:O$43,--($D$14:$D$43=$D227),--($Q$14:$Q$43=FALSE),--($R$14:$R$43="Yes"),--($S$14:$S$43=0))*0.1</f>
        <v>0</v>
      </c>
      <c r="P227" s="623">
        <f t="shared" si="67"/>
        <v>0</v>
      </c>
      <c r="Q227" s="575"/>
      <c r="R227" s="576"/>
      <c r="S227" s="576"/>
      <c r="T227" s="576"/>
      <c r="U227" s="577"/>
      <c r="V227" s="610"/>
      <c r="W227" s="610"/>
      <c r="X227" s="610"/>
      <c r="Y227" s="610"/>
      <c r="Z227" s="610"/>
      <c r="AA227" s="610"/>
      <c r="AB227" s="610"/>
      <c r="AC227" s="610"/>
      <c r="AD227" s="610"/>
      <c r="AE227" s="610"/>
      <c r="AF227" s="610"/>
      <c r="AG227" s="610"/>
      <c r="AH227" s="610"/>
      <c r="AI227" s="610"/>
      <c r="AJ227" s="610"/>
      <c r="AK227" s="610"/>
      <c r="AL227" s="610"/>
      <c r="AM227" s="610"/>
      <c r="AN227" s="610"/>
      <c r="AO227" s="610"/>
      <c r="AP227" s="610"/>
      <c r="AQ227" s="610"/>
      <c r="AR227" s="610"/>
      <c r="AS227" s="610"/>
      <c r="AT227" s="610"/>
      <c r="AU227" s="610"/>
      <c r="AV227" s="610"/>
      <c r="AW227" s="610"/>
      <c r="AX227" s="610"/>
      <c r="AY227" s="610"/>
      <c r="AZ227" s="610"/>
      <c r="BA227" s="610"/>
      <c r="BB227" s="610"/>
      <c r="BC227" s="610"/>
      <c r="BD227" s="610"/>
      <c r="BE227" s="610"/>
      <c r="BF227" s="610"/>
      <c r="BG227" s="610"/>
      <c r="BH227" s="610"/>
      <c r="BI227" s="610"/>
      <c r="BJ227" s="610"/>
      <c r="BK227" s="610"/>
      <c r="BL227" s="610"/>
      <c r="BM227" s="610"/>
      <c r="BN227" s="610"/>
      <c r="BO227" s="610"/>
      <c r="BP227" s="610"/>
      <c r="BQ227" s="610"/>
      <c r="BR227" s="610"/>
      <c r="BS227" s="610"/>
      <c r="BT227" s="610"/>
      <c r="BU227" s="610"/>
      <c r="BV227" s="610"/>
      <c r="BW227" s="610"/>
      <c r="BX227" s="610"/>
      <c r="BY227" s="610"/>
      <c r="BZ227" s="610"/>
      <c r="CA227" s="610"/>
      <c r="CB227" s="610"/>
      <c r="CC227" s="610"/>
      <c r="CD227" s="610"/>
      <c r="CE227" s="610"/>
      <c r="CF227" s="610"/>
      <c r="CG227" s="610"/>
      <c r="CH227" s="610"/>
      <c r="CI227" s="610"/>
      <c r="CJ227" s="610"/>
      <c r="CK227" s="610"/>
      <c r="CL227" s="610"/>
      <c r="CM227" s="610"/>
      <c r="CN227" s="610"/>
      <c r="CO227" s="610"/>
      <c r="CP227" s="610"/>
      <c r="CQ227" s="610"/>
      <c r="CR227" s="610"/>
      <c r="CS227" s="610"/>
      <c r="CT227" s="610"/>
      <c r="CU227" s="610"/>
      <c r="CV227" s="610"/>
      <c r="CW227" s="610"/>
      <c r="CX227" s="610"/>
      <c r="CY227" s="610"/>
      <c r="CZ227" s="610"/>
      <c r="DA227" s="610"/>
      <c r="DB227" s="610"/>
      <c r="DC227" s="610"/>
      <c r="DD227" s="610"/>
      <c r="DE227" s="610"/>
      <c r="DF227" s="610"/>
      <c r="DG227" s="610"/>
      <c r="DH227" s="610"/>
      <c r="DI227" s="610"/>
      <c r="DJ227" s="610"/>
      <c r="DK227" s="610"/>
      <c r="DL227" s="610"/>
      <c r="DM227" s="610"/>
      <c r="DN227" s="610"/>
      <c r="DO227" s="610"/>
      <c r="DP227" s="610"/>
      <c r="DQ227" s="610"/>
      <c r="DR227" s="610"/>
      <c r="DS227" s="610"/>
      <c r="DT227" s="610"/>
      <c r="DU227" s="610"/>
      <c r="DV227" s="610"/>
      <c r="DW227" s="610"/>
      <c r="DX227" s="610"/>
      <c r="DY227" s="610"/>
      <c r="DZ227" s="610"/>
      <c r="EA227" s="610"/>
      <c r="EB227" s="610"/>
      <c r="EC227" s="610"/>
      <c r="ED227" s="610"/>
      <c r="EE227" s="610"/>
      <c r="EF227" s="610"/>
      <c r="EG227" s="610"/>
      <c r="EH227" s="610"/>
      <c r="EI227" s="610"/>
      <c r="EJ227" s="610"/>
      <c r="EK227" s="610"/>
      <c r="EL227" s="610"/>
      <c r="EM227" s="610"/>
      <c r="EN227" s="610"/>
      <c r="EO227" s="610"/>
      <c r="EP227" s="610"/>
      <c r="EQ227" s="610"/>
      <c r="ER227" s="610"/>
      <c r="ES227" s="610"/>
      <c r="ET227" s="610"/>
      <c r="EU227" s="610"/>
      <c r="EV227" s="610"/>
      <c r="EW227" s="610"/>
      <c r="EX227" s="610"/>
      <c r="EY227" s="610"/>
      <c r="EZ227" s="610"/>
      <c r="FA227" s="610"/>
      <c r="FB227" s="610"/>
      <c r="FC227" s="610"/>
      <c r="FD227" s="610"/>
      <c r="FE227" s="610"/>
      <c r="FF227" s="610"/>
      <c r="FG227" s="610"/>
      <c r="FH227" s="610"/>
      <c r="FI227" s="610"/>
      <c r="FJ227" s="610"/>
      <c r="FK227" s="610"/>
      <c r="FL227" s="610"/>
      <c r="FM227" s="610"/>
      <c r="FN227" s="610"/>
      <c r="FO227" s="610"/>
      <c r="FP227" s="610"/>
      <c r="FQ227" s="610"/>
      <c r="FR227" s="610"/>
      <c r="FS227" s="610"/>
      <c r="FT227" s="610"/>
      <c r="FU227" s="610"/>
      <c r="FV227" s="610"/>
      <c r="FW227" s="610"/>
      <c r="FX227" s="610"/>
      <c r="FY227" s="610"/>
      <c r="FZ227" s="610"/>
      <c r="GA227" s="610"/>
      <c r="GB227" s="610"/>
      <c r="GC227" s="610"/>
      <c r="GD227" s="610"/>
      <c r="GE227" s="610"/>
      <c r="GF227" s="610"/>
      <c r="GG227" s="610"/>
      <c r="GH227" s="610"/>
      <c r="GI227" s="610"/>
      <c r="GJ227" s="610"/>
      <c r="GK227" s="610"/>
      <c r="GL227" s="610"/>
      <c r="GM227" s="610"/>
      <c r="GN227" s="610"/>
      <c r="GO227" s="610"/>
      <c r="GP227" s="610"/>
      <c r="GQ227" s="610"/>
      <c r="GR227" s="610"/>
      <c r="GS227" s="610"/>
      <c r="GT227" s="610"/>
      <c r="GU227" s="610"/>
      <c r="GV227" s="610"/>
      <c r="GW227" s="610"/>
      <c r="GX227" s="610"/>
      <c r="GY227" s="610"/>
      <c r="GZ227" s="610"/>
      <c r="HA227" s="610"/>
      <c r="HB227" s="610"/>
      <c r="HC227" s="610"/>
      <c r="HD227" s="610"/>
      <c r="HE227" s="610"/>
      <c r="HF227" s="610"/>
      <c r="HG227" s="610"/>
      <c r="HH227" s="610"/>
      <c r="HI227" s="610"/>
      <c r="HJ227" s="610"/>
      <c r="HK227" s="610"/>
      <c r="HL227" s="610"/>
      <c r="HM227" s="610"/>
      <c r="HN227" s="610"/>
      <c r="HO227" s="610"/>
      <c r="HP227" s="610"/>
      <c r="HQ227" s="610"/>
      <c r="HR227" s="610"/>
      <c r="HS227" s="610"/>
      <c r="HT227" s="610"/>
      <c r="HU227" s="610"/>
      <c r="HV227" s="610"/>
      <c r="HW227" s="610"/>
      <c r="HX227" s="610"/>
      <c r="HY227" s="610"/>
      <c r="HZ227" s="610"/>
      <c r="IA227" s="610"/>
      <c r="IB227" s="610"/>
      <c r="IC227" s="610"/>
      <c r="ID227" s="610"/>
      <c r="IE227" s="610"/>
      <c r="IF227" s="610"/>
      <c r="IG227" s="610"/>
      <c r="IH227" s="610"/>
      <c r="II227" s="610"/>
      <c r="IJ227" s="610"/>
      <c r="IK227" s="610"/>
      <c r="IL227" s="610"/>
      <c r="IM227" s="610"/>
      <c r="IN227" s="610"/>
      <c r="IO227" s="610"/>
      <c r="IP227" s="610"/>
      <c r="IQ227" s="610"/>
      <c r="IR227" s="610"/>
      <c r="IS227" s="610"/>
      <c r="IT227" s="610"/>
      <c r="IU227" s="610"/>
      <c r="IV227" s="610"/>
      <c r="IW227" s="610"/>
      <c r="IX227" s="610"/>
      <c r="IY227" s="610"/>
      <c r="IZ227" s="610"/>
      <c r="JA227" s="610"/>
      <c r="JB227" s="610"/>
      <c r="JC227" s="610"/>
      <c r="JD227" s="610"/>
      <c r="JE227" s="610"/>
      <c r="JF227" s="610"/>
      <c r="JG227" s="610"/>
      <c r="JH227" s="610"/>
      <c r="JI227" s="610"/>
      <c r="JJ227" s="610"/>
      <c r="JK227" s="610"/>
      <c r="JL227" s="610"/>
      <c r="JM227" s="610"/>
      <c r="JN227" s="610"/>
      <c r="JO227" s="610"/>
      <c r="JP227" s="610"/>
      <c r="JQ227" s="610"/>
      <c r="JR227" s="610"/>
      <c r="JS227" s="610"/>
      <c r="JT227" s="610"/>
      <c r="JU227" s="610"/>
      <c r="JV227" s="610"/>
      <c r="JW227" s="610"/>
      <c r="JX227" s="610"/>
      <c r="JY227" s="610"/>
      <c r="JZ227" s="610"/>
      <c r="KA227" s="610"/>
      <c r="KB227" s="610"/>
      <c r="KC227" s="610"/>
      <c r="KD227" s="610"/>
      <c r="KE227" s="610"/>
      <c r="KF227" s="610"/>
      <c r="KG227" s="610"/>
      <c r="KH227" s="610"/>
      <c r="KI227" s="610"/>
      <c r="KJ227" s="610"/>
      <c r="KK227" s="610"/>
      <c r="KL227" s="610"/>
      <c r="KM227" s="610"/>
      <c r="KN227" s="610"/>
      <c r="KO227" s="610"/>
      <c r="KP227" s="610"/>
      <c r="KQ227" s="610"/>
      <c r="KR227" s="610"/>
      <c r="KS227" s="610"/>
      <c r="KT227" s="610"/>
      <c r="KU227" s="610"/>
      <c r="KV227" s="610"/>
      <c r="KW227" s="610"/>
      <c r="KX227" s="610"/>
      <c r="KY227" s="610"/>
      <c r="KZ227" s="610"/>
      <c r="LA227" s="610"/>
      <c r="LB227" s="610"/>
      <c r="LC227" s="610"/>
      <c r="LD227" s="610"/>
      <c r="LE227" s="610"/>
      <c r="LF227" s="610"/>
      <c r="LG227" s="610"/>
      <c r="LH227" s="610"/>
      <c r="LI227" s="610"/>
      <c r="LJ227" s="610"/>
      <c r="LK227" s="610"/>
      <c r="LL227" s="610"/>
      <c r="LM227" s="610"/>
      <c r="LN227" s="610"/>
      <c r="LO227" s="610"/>
      <c r="LP227" s="610"/>
      <c r="LQ227" s="610"/>
      <c r="LR227" s="610"/>
      <c r="LS227" s="610"/>
      <c r="LT227" s="610"/>
      <c r="LU227" s="610"/>
      <c r="LV227" s="610"/>
      <c r="LW227" s="610"/>
      <c r="LX227" s="610"/>
      <c r="LY227" s="610"/>
      <c r="LZ227" s="610"/>
      <c r="MA227" s="610"/>
      <c r="MB227" s="610"/>
      <c r="MC227" s="610"/>
      <c r="MD227" s="610"/>
      <c r="ME227" s="610"/>
      <c r="MF227" s="610"/>
      <c r="MG227" s="610"/>
      <c r="MH227" s="610"/>
      <c r="MI227" s="610"/>
      <c r="MJ227" s="610"/>
      <c r="MK227" s="610"/>
      <c r="ML227" s="610"/>
      <c r="MM227" s="610"/>
      <c r="MN227" s="610"/>
      <c r="MO227" s="610"/>
      <c r="MP227" s="610"/>
      <c r="MQ227" s="610"/>
      <c r="MR227" s="610"/>
      <c r="MS227" s="610"/>
      <c r="MT227" s="610"/>
      <c r="MU227" s="610"/>
      <c r="MV227" s="610"/>
      <c r="MW227" s="610"/>
      <c r="MX227" s="610"/>
      <c r="MY227" s="610"/>
      <c r="MZ227" s="610"/>
      <c r="NA227" s="610"/>
      <c r="NB227" s="610"/>
      <c r="NC227" s="610"/>
      <c r="ND227" s="610"/>
      <c r="NE227" s="610"/>
      <c r="NF227" s="610"/>
      <c r="NG227" s="610"/>
      <c r="NH227" s="610"/>
      <c r="NI227" s="610"/>
      <c r="NJ227" s="610"/>
      <c r="NK227" s="610"/>
      <c r="NL227" s="610"/>
      <c r="NM227" s="610"/>
      <c r="NN227" s="610"/>
      <c r="NO227" s="610"/>
      <c r="NP227" s="610"/>
      <c r="NQ227" s="610"/>
      <c r="NR227" s="610"/>
      <c r="NS227" s="610"/>
      <c r="NT227" s="610"/>
      <c r="NU227" s="610"/>
      <c r="NV227" s="610"/>
      <c r="NW227" s="610"/>
      <c r="NX227" s="610"/>
      <c r="NY227" s="610"/>
      <c r="NZ227" s="610"/>
      <c r="OA227" s="610"/>
      <c r="OB227" s="610"/>
      <c r="OC227" s="610"/>
      <c r="OD227" s="610"/>
      <c r="OE227" s="610"/>
      <c r="OF227" s="610"/>
      <c r="OG227" s="610"/>
      <c r="OH227" s="610"/>
      <c r="OI227" s="610"/>
      <c r="OJ227" s="610"/>
      <c r="OK227" s="610"/>
      <c r="OL227" s="610"/>
      <c r="OM227" s="610"/>
      <c r="ON227" s="610"/>
      <c r="OO227" s="610"/>
      <c r="OP227" s="610"/>
      <c r="OQ227" s="610"/>
      <c r="OR227" s="610"/>
      <c r="OS227" s="610"/>
      <c r="OT227" s="610"/>
      <c r="OU227" s="610"/>
      <c r="OV227" s="610"/>
      <c r="OW227" s="610"/>
      <c r="OX227" s="610"/>
      <c r="OY227" s="610"/>
      <c r="OZ227" s="610"/>
      <c r="PA227" s="610"/>
      <c r="PB227" s="610"/>
      <c r="PC227" s="610"/>
      <c r="PD227" s="610"/>
      <c r="PE227" s="610"/>
      <c r="PF227" s="610"/>
      <c r="PG227" s="610"/>
      <c r="PH227" s="610"/>
      <c r="PI227" s="610"/>
      <c r="PJ227" s="610"/>
      <c r="PK227" s="610"/>
      <c r="PL227" s="610"/>
      <c r="PM227" s="610"/>
      <c r="PN227" s="610"/>
      <c r="PO227" s="610"/>
      <c r="PP227" s="610"/>
      <c r="PQ227" s="610"/>
      <c r="PR227" s="610"/>
      <c r="PS227" s="610"/>
      <c r="PT227" s="610"/>
      <c r="PU227" s="610"/>
      <c r="PV227" s="610"/>
      <c r="PW227" s="610"/>
      <c r="PX227" s="610"/>
      <c r="PY227" s="610"/>
      <c r="PZ227" s="610"/>
      <c r="QA227" s="610"/>
      <c r="QB227" s="610"/>
      <c r="QC227" s="610"/>
      <c r="QD227" s="610"/>
      <c r="QE227" s="610"/>
      <c r="QF227" s="610"/>
      <c r="QG227" s="610"/>
      <c r="QH227" s="610"/>
      <c r="QI227" s="610"/>
      <c r="QJ227" s="610"/>
    </row>
    <row r="228" spans="1:452" s="524" customFormat="1" ht="18" x14ac:dyDescent="0.35">
      <c r="A228" s="605"/>
      <c r="B228" s="558"/>
      <c r="C228" s="559"/>
      <c r="D228" s="606"/>
      <c r="E228" s="572" t="s">
        <v>86</v>
      </c>
      <c r="F228" s="571" cm="1">
        <f t="array" ref="F228">SUMPRODUCT(F$14:F$43,--($Q$14:$Q$43=FALSE),--($D$14:$D$43=$D227))</f>
        <v>0</v>
      </c>
      <c r="G228" s="571" cm="1">
        <f t="array" ref="G228">SUMPRODUCT(G$14:G$43,--($Q$14:$Q$43=FALSE),--($D$14:$D$43=$D227))</f>
        <v>0</v>
      </c>
      <c r="H228" s="571" cm="1">
        <f t="array" ref="H228">SUMPRODUCT(H$14:H$43,--($Q$14:$Q$43=FALSE),--($D$14:$D$43=$D227))</f>
        <v>0</v>
      </c>
      <c r="I228" s="571" cm="1">
        <f t="array" ref="I228">SUMPRODUCT(I$14:I$43,--($Q$14:$Q$43=FALSE),--($D$14:$D$43=$D227))</f>
        <v>0</v>
      </c>
      <c r="J228" s="571" cm="1">
        <f t="array" ref="J228">SUMPRODUCT(J$14:J$43,--($Q$14:$Q$43=FALSE),--($D$14:$D$43=$D227))</f>
        <v>0</v>
      </c>
      <c r="K228" s="571" cm="1">
        <f t="array" ref="K228">SUMPRODUCT(K$14:K$43,--($Q$14:$Q$43=FALSE),--($D$14:$D$43=$D227))</f>
        <v>0</v>
      </c>
      <c r="L228" s="571" cm="1">
        <f t="array" ref="L228">SUMPRODUCT(L$14:L$43,--($Q$14:$Q$43=FALSE),--($D$14:$D$43=$D227))</f>
        <v>0</v>
      </c>
      <c r="M228" s="571" cm="1">
        <f t="array" ref="M228">SUMPRODUCT(M$14:M$43,--($Q$14:$Q$43=FALSE),--($D$14:$D$43=$D227))</f>
        <v>0</v>
      </c>
      <c r="N228" s="571" cm="1">
        <f t="array" ref="N228">SUMPRODUCT(N$14:N$43,--($Q$14:$Q$43=FALSE),--($D$14:$D$43=$D227))</f>
        <v>0</v>
      </c>
      <c r="O228" s="571" cm="1">
        <f t="array" ref="O228">SUMPRODUCT(O$14:O$43,--($Q$14:$Q$43=FALSE),--($D$14:$D$43=$D227))</f>
        <v>0</v>
      </c>
      <c r="P228" s="607">
        <f t="shared" si="67"/>
        <v>0</v>
      </c>
      <c r="Q228" s="575"/>
      <c r="R228" s="576"/>
      <c r="S228" s="576"/>
      <c r="T228" s="576"/>
      <c r="U228" s="577"/>
    </row>
    <row r="229" spans="1:452" s="524" customFormat="1" ht="18" x14ac:dyDescent="0.35">
      <c r="A229" s="605"/>
      <c r="B229" s="558"/>
      <c r="C229" s="559"/>
      <c r="D229" s="606"/>
      <c r="E229" s="640" t="s">
        <v>126</v>
      </c>
      <c r="F229" s="571" cm="1">
        <f t="array" ref="F229">SUMPRODUCT(F$14:F$43,--($Q$14:$Q$43=FALSE),--($D$14:$D$43=$D227),--($R$14:$R$43="Yes"))*0.1</f>
        <v>0</v>
      </c>
      <c r="G229" s="571" cm="1">
        <f t="array" ref="G229">SUMPRODUCT(G$14:G$43,--($Q$14:$Q$43=FALSE),--($D$14:$D$43=$D227),--($R$14:$R$43="Yes"))*0.1</f>
        <v>0</v>
      </c>
      <c r="H229" s="571" cm="1">
        <f t="array" ref="H229">SUMPRODUCT(H$14:H$43,--($Q$14:$Q$43=FALSE),--($D$14:$D$43=$D227),--($R$14:$R$43="Yes"))*0.1</f>
        <v>0</v>
      </c>
      <c r="I229" s="571" cm="1">
        <f t="array" ref="I229">SUMPRODUCT(I$14:I$43,--($Q$14:$Q$43=FALSE),--($D$14:$D$43=$D227),--($R$14:$R$43="Yes"))*0.1</f>
        <v>0</v>
      </c>
      <c r="J229" s="571" cm="1">
        <f t="array" ref="J229">SUMPRODUCT(J$14:J$43,--($Q$14:$Q$43=FALSE),--($D$14:$D$43=$D227),--($R$14:$R$43="Yes"))*0.1</f>
        <v>0</v>
      </c>
      <c r="K229" s="571" cm="1">
        <f t="array" ref="K229">SUMPRODUCT(K$14:K$43,--($Q$14:$Q$43=FALSE),--($D$14:$D$43=$D227),--($R$14:$R$43="Yes"))*0.1</f>
        <v>0</v>
      </c>
      <c r="L229" s="571" cm="1">
        <f t="array" ref="L229">SUMPRODUCT(L$14:L$43,--($Q$14:$Q$43=FALSE),--($D$14:$D$43=$D227),--($R$14:$R$43="Yes"))*0.1</f>
        <v>0</v>
      </c>
      <c r="M229" s="571" cm="1">
        <f t="array" ref="M229">SUMPRODUCT(M$14:M$43,--($Q$14:$Q$43=FALSE),--($D$14:$D$43=$D227),--($R$14:$R$43="Yes"))*0.1</f>
        <v>0</v>
      </c>
      <c r="N229" s="571" cm="1">
        <f t="array" ref="N229">SUMPRODUCT(N$14:N$43,--($Q$14:$Q$43=FALSE),--($D$14:$D$43=$D227),--($R$14:$R$43="Yes"))*0.1</f>
        <v>0</v>
      </c>
      <c r="O229" s="571" cm="1">
        <f t="array" ref="O229">SUMPRODUCT(O$14:O$43,--($Q$14:$Q$43=FALSE),--($D$14:$D$43=$D227),--($R$14:$R$43="Yes"))*0.1</f>
        <v>0</v>
      </c>
      <c r="P229" s="607">
        <f t="shared" si="67"/>
        <v>0</v>
      </c>
      <c r="Q229" s="575"/>
      <c r="R229" s="576"/>
      <c r="S229" s="576"/>
      <c r="T229" s="576"/>
      <c r="U229" s="577"/>
    </row>
    <row r="230" spans="1:452" s="524" customFormat="1" ht="18" x14ac:dyDescent="0.35">
      <c r="A230" s="605"/>
      <c r="B230" s="558"/>
      <c r="C230" s="559"/>
      <c r="D230" s="606"/>
      <c r="E230" s="572" t="s">
        <v>88</v>
      </c>
      <c r="F230" s="571">
        <f t="shared" ref="F230:O230" si="69">F227-(F228+F229)</f>
        <v>0</v>
      </c>
      <c r="G230" s="571">
        <f t="shared" si="69"/>
        <v>0</v>
      </c>
      <c r="H230" s="571">
        <f t="shared" si="69"/>
        <v>0</v>
      </c>
      <c r="I230" s="571">
        <f t="shared" si="69"/>
        <v>0</v>
      </c>
      <c r="J230" s="571">
        <f t="shared" si="69"/>
        <v>0</v>
      </c>
      <c r="K230" s="571">
        <f t="shared" si="69"/>
        <v>0</v>
      </c>
      <c r="L230" s="571">
        <f t="shared" si="69"/>
        <v>0</v>
      </c>
      <c r="M230" s="571">
        <f t="shared" si="69"/>
        <v>0</v>
      </c>
      <c r="N230" s="571">
        <f t="shared" si="69"/>
        <v>0</v>
      </c>
      <c r="O230" s="571">
        <f t="shared" si="69"/>
        <v>0</v>
      </c>
      <c r="P230" s="607">
        <f t="shared" si="67"/>
        <v>0</v>
      </c>
      <c r="Q230" s="575"/>
      <c r="R230" s="576"/>
      <c r="S230" s="576"/>
      <c r="T230" s="576"/>
      <c r="U230" s="577"/>
    </row>
    <row r="231" spans="1:452" s="578" customFormat="1" ht="18" x14ac:dyDescent="0.35">
      <c r="A231" s="624"/>
      <c r="B231" s="625"/>
      <c r="C231" s="626"/>
      <c r="D231" s="625" t="s">
        <v>131</v>
      </c>
      <c r="E231" s="627"/>
      <c r="F231" s="628" cm="1">
        <f t="array" ref="F231">SUMPRODUCT(F$14:F$43,--($D$14:$D$43=$D227),--($Q$14:$Q$43=TRUE),$S$14:$S$43,--($S$14:$S$43&gt;0))+SUMPRODUCT(F$14:F$43,--($D$14:$D$43=$D227),--($Q$14:$Q$43=TRUE),$S$14:$S$43,--($S$14:$S$43&gt;0),--($R$14:$R$43="Yes"))*0.1+SUMPRODUCT(F$14:F$43,--($D$14:$D$43=$D227),--($Q$14:$Q$43=TRUE),--($S178:$S207=0))+SUMPRODUCT(F$14:F$43,--($D$14:$D$43=$D227),--($Q$14:$Q$43=TRUE),--($R$14:$R$43="Yes"),--($S$14:$S$43=0))*0.1</f>
        <v>0</v>
      </c>
      <c r="G231" s="628" cm="1">
        <f t="array" ref="G231">SUMPRODUCT(G$14:G$43,--($D$14:$D$43=$D227),--($Q$14:$Q$43=TRUE),$S$14:$S$43,--($S$14:$S$43&gt;0))+SUMPRODUCT(G$14:G$43,--($D$14:$D$43=$D227),--($Q$14:$Q$43=TRUE),$S$14:$S$43,--($S$14:$S$43&gt;0),--($R$14:$R$43="Yes"))*0.1+SUMPRODUCT(G$14:G$43,--($D$14:$D$43=$D227),--($Q$14:$Q$43=TRUE),--($S178:$S207=0))+SUMPRODUCT(G$14:G$43,--($D$14:$D$43=$D227),--($Q$14:$Q$43=TRUE),--($R$14:$R$43="Yes"),--($S$14:$S$43=0))*0.1</f>
        <v>0</v>
      </c>
      <c r="H231" s="628" cm="1">
        <f t="array" ref="H231">SUMPRODUCT(H$14:H$43,--($D$14:$D$43=$D227),--($Q$14:$Q$43=TRUE),$S$14:$S$43,--($S$14:$S$43&gt;0))+SUMPRODUCT(H$14:H$43,--($D$14:$D$43=$D227),--($Q$14:$Q$43=TRUE),$S$14:$S$43,--($S$14:$S$43&gt;0),--($R$14:$R$43="Yes"))*0.1+SUMPRODUCT(H$14:H$43,--($D$14:$D$43=$D227),--($Q$14:$Q$43=TRUE),--($S178:$S207=0))+SUMPRODUCT(H$14:H$43,--($D$14:$D$43=$D227),--($Q$14:$Q$43=TRUE),--($R$14:$R$43="Yes"),--($S$14:$S$43=0))*0.1</f>
        <v>0</v>
      </c>
      <c r="I231" s="628" cm="1">
        <f t="array" ref="I231">SUMPRODUCT(I$14:I$43,--($D$14:$D$43=$D227),--($Q$14:$Q$43=TRUE),$S$14:$S$43,--($S$14:$S$43&gt;0))+SUMPRODUCT(I$14:I$43,--($D$14:$D$43=$D227),--($Q$14:$Q$43=TRUE),$S$14:$S$43,--($S$14:$S$43&gt;0),--($R$14:$R$43="Yes"))*0.1+SUMPRODUCT(I$14:I$43,--($D$14:$D$43=$D227),--($Q$14:$Q$43=TRUE),--($S178:$S207=0))+SUMPRODUCT(I$14:I$43,--($D$14:$D$43=$D227),--($Q$14:$Q$43=TRUE),--($R$14:$R$43="Yes"),--($S$14:$S$43=0))*0.1</f>
        <v>0</v>
      </c>
      <c r="J231" s="628" cm="1">
        <f t="array" ref="J231">SUMPRODUCT(J$14:J$43,--($D$14:$D$43=$D227),--($Q$14:$Q$43=TRUE),$S$14:$S$43,--($S$14:$S$43&gt;0))+SUMPRODUCT(J$14:J$43,--($D$14:$D$43=$D227),--($Q$14:$Q$43=TRUE),$S$14:$S$43,--($S$14:$S$43&gt;0),--($R$14:$R$43="Yes"))*0.1+SUMPRODUCT(J$14:J$43,--($D$14:$D$43=$D227),--($Q$14:$Q$43=TRUE),--($S178:$S207=0))+SUMPRODUCT(J$14:J$43,--($D$14:$D$43=$D227),--($Q$14:$Q$43=TRUE),--($R$14:$R$43="Yes"),--($S$14:$S$43=0))*0.1</f>
        <v>0</v>
      </c>
      <c r="K231" s="628" cm="1">
        <f t="array" ref="K231">SUMPRODUCT(K$14:K$43,--($D$14:$D$43=$D227),--($Q$14:$Q$43=TRUE),$S$14:$S$43,--($S$14:$S$43&gt;0))+SUMPRODUCT(K$14:K$43,--($D$14:$D$43=$D227),--($Q$14:$Q$43=TRUE),$S$14:$S$43,--($S$14:$S$43&gt;0),--($R$14:$R$43="Yes"))*0.1+SUMPRODUCT(K$14:K$43,--($D$14:$D$43=$D227),--($Q$14:$Q$43=TRUE),--($S178:$S207=0))+SUMPRODUCT(K$14:K$43,--($D$14:$D$43=$D227),--($Q$14:$Q$43=TRUE),--($R$14:$R$43="Yes"),--($S$14:$S$43=0))*0.1</f>
        <v>0</v>
      </c>
      <c r="L231" s="628" cm="1">
        <f t="array" ref="L231">SUMPRODUCT(L$14:L$43,--($D$14:$D$43=$D227),--($Q$14:$Q$43=TRUE),$S$14:$S$43,--($S$14:$S$43&gt;0))+SUMPRODUCT(L$14:L$43,--($D$14:$D$43=$D227),--($Q$14:$Q$43=TRUE),$S$14:$S$43,--($S$14:$S$43&gt;0),--($R$14:$R$43="Yes"))*0.1+SUMPRODUCT(L$14:L$43,--($D$14:$D$43=$D227),--($Q$14:$Q$43=TRUE),--($S178:$S207=0))+SUMPRODUCT(L$14:L$43,--($D$14:$D$43=$D227),--($Q$14:$Q$43=TRUE),--($R$14:$R$43="Yes"),--($S$14:$S$43=0))*0.1</f>
        <v>0</v>
      </c>
      <c r="M231" s="628" cm="1">
        <f t="array" ref="M231">SUMPRODUCT(M$14:M$43,--($D$14:$D$43=$D227),--($Q$14:$Q$43=TRUE),$S$14:$S$43,--($S$14:$S$43&gt;0))+SUMPRODUCT(M$14:M$43,--($D$14:$D$43=$D227),--($Q$14:$Q$43=TRUE),$S$14:$S$43,--($S$14:$S$43&gt;0),--($R$14:$R$43="Yes"))*0.1+SUMPRODUCT(M$14:M$43,--($D$14:$D$43=$D227),--($Q$14:$Q$43=TRUE),--($S178:$S207=0))+SUMPRODUCT(M$14:M$43,--($D$14:$D$43=$D227),--($Q$14:$Q$43=TRUE),--($R$14:$R$43="Yes"),--($S$14:$S$43=0))*0.1</f>
        <v>0</v>
      </c>
      <c r="N231" s="628" cm="1">
        <f t="array" ref="N231">SUMPRODUCT(N$14:N$43,--($D$14:$D$43=$D227),--($Q$14:$Q$43=TRUE),$S$14:$S$43,--($S$14:$S$43&gt;0))+SUMPRODUCT(N$14:N$43,--($D$14:$D$43=$D227),--($Q$14:$Q$43=TRUE),$S$14:$S$43,--($S$14:$S$43&gt;0),--($R$14:$R$43="Yes"))*0.1+SUMPRODUCT(N$14:N$43,--($D$14:$D$43=$D227),--($Q$14:$Q$43=TRUE),--($S178:$S207=0))+SUMPRODUCT(N$14:N$43,--($D$14:$D$43=$D227),--($Q$14:$Q$43=TRUE),--($R$14:$R$43="Yes"),--($S$14:$S$43=0))*0.1</f>
        <v>0</v>
      </c>
      <c r="O231" s="628" cm="1">
        <f t="array" ref="O231">SUMPRODUCT(O$14:O$43,--($D$14:$D$43=$D227),--($Q$14:$Q$43=TRUE),$S$14:$S$43,--($S$14:$S$43&gt;0))+SUMPRODUCT(O$14:O$43,--($D$14:$D$43=$D227),--($Q$14:$Q$43=TRUE),$S$14:$S$43,--($S$14:$S$43&gt;0),--($R$14:$R$43="Yes"))*0.1+SUMPRODUCT(O$14:O$43,--($D$14:$D$43=$D227),--($Q$14:$Q$43=TRUE),--($S178:$S207=0))+SUMPRODUCT(O$14:O$43,--($D$14:$D$43=$D227),--($Q$14:$Q$43=TRUE),--($R$14:$R$43="Yes"),--($S$14:$S$43=0))*0.1</f>
        <v>0</v>
      </c>
      <c r="P231" s="629">
        <f t="shared" si="67"/>
        <v>0</v>
      </c>
      <c r="Q231" s="575"/>
      <c r="R231" s="576"/>
      <c r="S231" s="576"/>
      <c r="T231" s="576"/>
      <c r="U231" s="577"/>
      <c r="V231" s="610"/>
      <c r="W231" s="610"/>
      <c r="X231" s="610"/>
      <c r="Y231" s="610"/>
      <c r="Z231" s="610"/>
      <c r="AA231" s="610"/>
      <c r="AB231" s="610"/>
      <c r="AC231" s="610"/>
      <c r="AD231" s="610"/>
      <c r="AE231" s="610"/>
      <c r="AF231" s="610"/>
      <c r="AG231" s="610"/>
      <c r="AH231" s="610"/>
      <c r="AI231" s="610"/>
      <c r="AJ231" s="610"/>
      <c r="AK231" s="610"/>
      <c r="AL231" s="610"/>
      <c r="AM231" s="610"/>
      <c r="AN231" s="610"/>
      <c r="AO231" s="610"/>
      <c r="AP231" s="610"/>
      <c r="AQ231" s="610"/>
      <c r="AR231" s="610"/>
      <c r="AS231" s="610"/>
      <c r="AT231" s="610"/>
      <c r="AU231" s="610"/>
      <c r="AV231" s="610"/>
      <c r="AW231" s="610"/>
      <c r="AX231" s="610"/>
      <c r="AY231" s="610"/>
      <c r="AZ231" s="610"/>
      <c r="BA231" s="610"/>
      <c r="BB231" s="610"/>
      <c r="BC231" s="610"/>
      <c r="BD231" s="610"/>
      <c r="BE231" s="610"/>
      <c r="BF231" s="610"/>
      <c r="BG231" s="610"/>
      <c r="BH231" s="610"/>
      <c r="BI231" s="610"/>
      <c r="BJ231" s="610"/>
      <c r="BK231" s="610"/>
      <c r="BL231" s="610"/>
      <c r="BM231" s="610"/>
      <c r="BN231" s="610"/>
      <c r="BO231" s="610"/>
      <c r="BP231" s="610"/>
      <c r="BQ231" s="610"/>
      <c r="BR231" s="610"/>
      <c r="BS231" s="610"/>
      <c r="BT231" s="610"/>
      <c r="BU231" s="610"/>
      <c r="BV231" s="610"/>
      <c r="BW231" s="610"/>
      <c r="BX231" s="610"/>
      <c r="BY231" s="610"/>
      <c r="BZ231" s="610"/>
      <c r="CA231" s="610"/>
      <c r="CB231" s="610"/>
      <c r="CC231" s="610"/>
      <c r="CD231" s="610"/>
      <c r="CE231" s="610"/>
      <c r="CF231" s="610"/>
      <c r="CG231" s="610"/>
      <c r="CH231" s="610"/>
      <c r="CI231" s="610"/>
      <c r="CJ231" s="610"/>
      <c r="CK231" s="610"/>
      <c r="CL231" s="610"/>
      <c r="CM231" s="610"/>
      <c r="CN231" s="610"/>
      <c r="CO231" s="610"/>
      <c r="CP231" s="610"/>
      <c r="CQ231" s="610"/>
      <c r="CR231" s="610"/>
      <c r="CS231" s="610"/>
      <c r="CT231" s="610"/>
      <c r="CU231" s="610"/>
      <c r="CV231" s="610"/>
      <c r="CW231" s="610"/>
      <c r="CX231" s="610"/>
      <c r="CY231" s="610"/>
      <c r="CZ231" s="610"/>
      <c r="DA231" s="610"/>
      <c r="DB231" s="610"/>
      <c r="DC231" s="610"/>
      <c r="DD231" s="610"/>
      <c r="DE231" s="610"/>
      <c r="DF231" s="610"/>
      <c r="DG231" s="610"/>
      <c r="DH231" s="610"/>
      <c r="DI231" s="610"/>
      <c r="DJ231" s="610"/>
      <c r="DK231" s="610"/>
      <c r="DL231" s="610"/>
      <c r="DM231" s="610"/>
      <c r="DN231" s="610"/>
      <c r="DO231" s="610"/>
      <c r="DP231" s="610"/>
      <c r="DQ231" s="610"/>
      <c r="DR231" s="610"/>
      <c r="DS231" s="610"/>
      <c r="DT231" s="610"/>
      <c r="DU231" s="610"/>
      <c r="DV231" s="610"/>
      <c r="DW231" s="610"/>
      <c r="DX231" s="610"/>
      <c r="DY231" s="610"/>
      <c r="DZ231" s="610"/>
      <c r="EA231" s="610"/>
      <c r="EB231" s="610"/>
      <c r="EC231" s="610"/>
      <c r="ED231" s="610"/>
      <c r="EE231" s="610"/>
      <c r="EF231" s="610"/>
      <c r="EG231" s="610"/>
      <c r="EH231" s="610"/>
      <c r="EI231" s="610"/>
      <c r="EJ231" s="610"/>
      <c r="EK231" s="610"/>
      <c r="EL231" s="610"/>
      <c r="EM231" s="610"/>
      <c r="EN231" s="610"/>
      <c r="EO231" s="610"/>
      <c r="EP231" s="610"/>
      <c r="EQ231" s="610"/>
      <c r="ER231" s="610"/>
      <c r="ES231" s="610"/>
      <c r="ET231" s="610"/>
      <c r="EU231" s="610"/>
      <c r="EV231" s="610"/>
      <c r="EW231" s="610"/>
      <c r="EX231" s="610"/>
      <c r="EY231" s="610"/>
      <c r="EZ231" s="610"/>
      <c r="FA231" s="610"/>
      <c r="FB231" s="610"/>
      <c r="FC231" s="610"/>
      <c r="FD231" s="610"/>
      <c r="FE231" s="610"/>
      <c r="FF231" s="610"/>
      <c r="FG231" s="610"/>
      <c r="FH231" s="610"/>
      <c r="FI231" s="610"/>
      <c r="FJ231" s="610"/>
      <c r="FK231" s="610"/>
      <c r="FL231" s="610"/>
      <c r="FM231" s="610"/>
      <c r="FN231" s="610"/>
      <c r="FO231" s="610"/>
      <c r="FP231" s="610"/>
      <c r="FQ231" s="610"/>
      <c r="FR231" s="610"/>
      <c r="FS231" s="610"/>
      <c r="FT231" s="610"/>
      <c r="FU231" s="610"/>
      <c r="FV231" s="610"/>
      <c r="FW231" s="610"/>
      <c r="FX231" s="610"/>
      <c r="FY231" s="610"/>
      <c r="FZ231" s="610"/>
      <c r="GA231" s="610"/>
      <c r="GB231" s="610"/>
      <c r="GC231" s="610"/>
      <c r="GD231" s="610"/>
      <c r="GE231" s="610"/>
      <c r="GF231" s="610"/>
      <c r="GG231" s="610"/>
      <c r="GH231" s="610"/>
      <c r="GI231" s="610"/>
      <c r="GJ231" s="610"/>
      <c r="GK231" s="610"/>
      <c r="GL231" s="610"/>
      <c r="GM231" s="610"/>
      <c r="GN231" s="610"/>
      <c r="GO231" s="610"/>
      <c r="GP231" s="610"/>
      <c r="GQ231" s="610"/>
      <c r="GR231" s="610"/>
      <c r="GS231" s="610"/>
      <c r="GT231" s="610"/>
      <c r="GU231" s="610"/>
      <c r="GV231" s="610"/>
      <c r="GW231" s="610"/>
      <c r="GX231" s="610"/>
      <c r="GY231" s="610"/>
      <c r="GZ231" s="610"/>
      <c r="HA231" s="610"/>
      <c r="HB231" s="610"/>
      <c r="HC231" s="610"/>
      <c r="HD231" s="610"/>
      <c r="HE231" s="610"/>
      <c r="HF231" s="610"/>
      <c r="HG231" s="610"/>
      <c r="HH231" s="610"/>
      <c r="HI231" s="610"/>
      <c r="HJ231" s="610"/>
      <c r="HK231" s="610"/>
      <c r="HL231" s="610"/>
      <c r="HM231" s="610"/>
      <c r="HN231" s="610"/>
      <c r="HO231" s="610"/>
      <c r="HP231" s="610"/>
      <c r="HQ231" s="610"/>
      <c r="HR231" s="610"/>
      <c r="HS231" s="610"/>
      <c r="HT231" s="610"/>
      <c r="HU231" s="610"/>
      <c r="HV231" s="610"/>
      <c r="HW231" s="610"/>
      <c r="HX231" s="610"/>
      <c r="HY231" s="610"/>
      <c r="HZ231" s="610"/>
      <c r="IA231" s="610"/>
      <c r="IB231" s="610"/>
      <c r="IC231" s="610"/>
      <c r="ID231" s="610"/>
      <c r="IE231" s="610"/>
      <c r="IF231" s="610"/>
      <c r="IG231" s="610"/>
      <c r="IH231" s="610"/>
      <c r="II231" s="610"/>
      <c r="IJ231" s="610"/>
      <c r="IK231" s="610"/>
      <c r="IL231" s="610"/>
      <c r="IM231" s="610"/>
      <c r="IN231" s="610"/>
      <c r="IO231" s="610"/>
      <c r="IP231" s="610"/>
      <c r="IQ231" s="610"/>
      <c r="IR231" s="610"/>
      <c r="IS231" s="610"/>
      <c r="IT231" s="610"/>
      <c r="IU231" s="610"/>
      <c r="IV231" s="610"/>
      <c r="IW231" s="610"/>
      <c r="IX231" s="610"/>
      <c r="IY231" s="610"/>
      <c r="IZ231" s="610"/>
      <c r="JA231" s="610"/>
      <c r="JB231" s="610"/>
      <c r="JC231" s="610"/>
      <c r="JD231" s="610"/>
      <c r="JE231" s="610"/>
      <c r="JF231" s="610"/>
      <c r="JG231" s="610"/>
      <c r="JH231" s="610"/>
      <c r="JI231" s="610"/>
      <c r="JJ231" s="610"/>
      <c r="JK231" s="610"/>
      <c r="JL231" s="610"/>
      <c r="JM231" s="610"/>
      <c r="JN231" s="610"/>
      <c r="JO231" s="610"/>
      <c r="JP231" s="610"/>
      <c r="JQ231" s="610"/>
      <c r="JR231" s="610"/>
      <c r="JS231" s="610"/>
      <c r="JT231" s="610"/>
      <c r="JU231" s="610"/>
      <c r="JV231" s="610"/>
      <c r="JW231" s="610"/>
      <c r="JX231" s="610"/>
      <c r="JY231" s="610"/>
      <c r="JZ231" s="610"/>
      <c r="KA231" s="610"/>
      <c r="KB231" s="610"/>
      <c r="KC231" s="610"/>
      <c r="KD231" s="610"/>
      <c r="KE231" s="610"/>
      <c r="KF231" s="610"/>
      <c r="KG231" s="610"/>
      <c r="KH231" s="610"/>
      <c r="KI231" s="610"/>
      <c r="KJ231" s="610"/>
      <c r="KK231" s="610"/>
      <c r="KL231" s="610"/>
      <c r="KM231" s="610"/>
      <c r="KN231" s="610"/>
      <c r="KO231" s="610"/>
      <c r="KP231" s="610"/>
      <c r="KQ231" s="610"/>
      <c r="KR231" s="610"/>
      <c r="KS231" s="610"/>
      <c r="KT231" s="610"/>
      <c r="KU231" s="610"/>
      <c r="KV231" s="610"/>
      <c r="KW231" s="610"/>
      <c r="KX231" s="610"/>
      <c r="KY231" s="610"/>
      <c r="KZ231" s="610"/>
      <c r="LA231" s="610"/>
      <c r="LB231" s="610"/>
      <c r="LC231" s="610"/>
      <c r="LD231" s="610"/>
      <c r="LE231" s="610"/>
      <c r="LF231" s="610"/>
      <c r="LG231" s="610"/>
      <c r="LH231" s="610"/>
      <c r="LI231" s="610"/>
      <c r="LJ231" s="610"/>
      <c r="LK231" s="610"/>
      <c r="LL231" s="610"/>
      <c r="LM231" s="610"/>
      <c r="LN231" s="610"/>
      <c r="LO231" s="610"/>
      <c r="LP231" s="610"/>
      <c r="LQ231" s="610"/>
      <c r="LR231" s="610"/>
      <c r="LS231" s="610"/>
      <c r="LT231" s="610"/>
      <c r="LU231" s="610"/>
      <c r="LV231" s="610"/>
      <c r="LW231" s="610"/>
      <c r="LX231" s="610"/>
      <c r="LY231" s="610"/>
      <c r="LZ231" s="610"/>
      <c r="MA231" s="610"/>
      <c r="MB231" s="610"/>
      <c r="MC231" s="610"/>
      <c r="MD231" s="610"/>
      <c r="ME231" s="610"/>
      <c r="MF231" s="610"/>
      <c r="MG231" s="610"/>
      <c r="MH231" s="610"/>
      <c r="MI231" s="610"/>
      <c r="MJ231" s="610"/>
      <c r="MK231" s="610"/>
      <c r="ML231" s="610"/>
      <c r="MM231" s="610"/>
      <c r="MN231" s="610"/>
      <c r="MO231" s="610"/>
      <c r="MP231" s="610"/>
      <c r="MQ231" s="610"/>
      <c r="MR231" s="610"/>
      <c r="MS231" s="610"/>
      <c r="MT231" s="610"/>
      <c r="MU231" s="610"/>
      <c r="MV231" s="610"/>
      <c r="MW231" s="610"/>
      <c r="MX231" s="610"/>
      <c r="MY231" s="610"/>
      <c r="MZ231" s="610"/>
      <c r="NA231" s="610"/>
      <c r="NB231" s="610"/>
      <c r="NC231" s="610"/>
      <c r="ND231" s="610"/>
      <c r="NE231" s="610"/>
      <c r="NF231" s="610"/>
      <c r="NG231" s="610"/>
      <c r="NH231" s="610"/>
      <c r="NI231" s="610"/>
      <c r="NJ231" s="610"/>
      <c r="NK231" s="610"/>
      <c r="NL231" s="610"/>
      <c r="NM231" s="610"/>
      <c r="NN231" s="610"/>
      <c r="NO231" s="610"/>
      <c r="NP231" s="610"/>
      <c r="NQ231" s="610"/>
      <c r="NR231" s="610"/>
      <c r="NS231" s="610"/>
      <c r="NT231" s="610"/>
      <c r="NU231" s="610"/>
      <c r="NV231" s="610"/>
      <c r="NW231" s="610"/>
      <c r="NX231" s="610"/>
      <c r="NY231" s="610"/>
      <c r="NZ231" s="610"/>
      <c r="OA231" s="610"/>
      <c r="OB231" s="610"/>
      <c r="OC231" s="610"/>
      <c r="OD231" s="610"/>
      <c r="OE231" s="610"/>
      <c r="OF231" s="610"/>
      <c r="OG231" s="610"/>
      <c r="OH231" s="610"/>
      <c r="OI231" s="610"/>
      <c r="OJ231" s="610"/>
      <c r="OK231" s="610"/>
      <c r="OL231" s="610"/>
      <c r="OM231" s="610"/>
      <c r="ON231" s="610"/>
      <c r="OO231" s="610"/>
      <c r="OP231" s="610"/>
      <c r="OQ231" s="610"/>
      <c r="OR231" s="610"/>
      <c r="OS231" s="610"/>
      <c r="OT231" s="610"/>
      <c r="OU231" s="610"/>
      <c r="OV231" s="610"/>
      <c r="OW231" s="610"/>
      <c r="OX231" s="610"/>
      <c r="OY231" s="610"/>
      <c r="OZ231" s="610"/>
      <c r="PA231" s="610"/>
      <c r="PB231" s="610"/>
      <c r="PC231" s="610"/>
      <c r="PD231" s="610"/>
      <c r="PE231" s="610"/>
      <c r="PF231" s="610"/>
      <c r="PG231" s="610"/>
      <c r="PH231" s="610"/>
      <c r="PI231" s="610"/>
      <c r="PJ231" s="610"/>
      <c r="PK231" s="610"/>
      <c r="PL231" s="610"/>
      <c r="PM231" s="610"/>
      <c r="PN231" s="610"/>
      <c r="PO231" s="610"/>
      <c r="PP231" s="610"/>
      <c r="PQ231" s="610"/>
      <c r="PR231" s="610"/>
      <c r="PS231" s="610"/>
      <c r="PT231" s="610"/>
      <c r="PU231" s="610"/>
      <c r="PV231" s="610"/>
      <c r="PW231" s="610"/>
      <c r="PX231" s="610"/>
      <c r="PY231" s="610"/>
      <c r="PZ231" s="610"/>
      <c r="QA231" s="610"/>
      <c r="QB231" s="610"/>
      <c r="QC231" s="610"/>
      <c r="QD231" s="610"/>
      <c r="QE231" s="610"/>
      <c r="QF231" s="610"/>
      <c r="QG231" s="610"/>
      <c r="QH231" s="610"/>
      <c r="QI231" s="610"/>
      <c r="QJ231" s="610"/>
    </row>
    <row r="232" spans="1:452" s="524" customFormat="1" ht="18" x14ac:dyDescent="0.35">
      <c r="A232" s="605"/>
      <c r="B232" s="558"/>
      <c r="C232" s="559"/>
      <c r="D232" s="559"/>
      <c r="E232" s="572" t="s">
        <v>86</v>
      </c>
      <c r="F232" s="571" cm="1">
        <f t="array" ref="F232">SUMPRODUCT(F$14:F$43,--($Q$14:$Q$43=TRUE),--($D$14:$D$43=$D227))</f>
        <v>0</v>
      </c>
      <c r="G232" s="571" cm="1">
        <f t="array" ref="G232">SUMPRODUCT(G$14:G$43,--($Q$14:$Q$43=TRUE),--($D$14:$D$43=$D227))</f>
        <v>0</v>
      </c>
      <c r="H232" s="571" cm="1">
        <f t="array" ref="H232">SUMPRODUCT(H$14:H$43,--($Q$14:$Q$43=TRUE),--($D$14:$D$43=$D227))</f>
        <v>0</v>
      </c>
      <c r="I232" s="571" cm="1">
        <f t="array" ref="I232">SUMPRODUCT(I$14:I$43,--($Q$14:$Q$43=TRUE),--($D$14:$D$43=$D227))</f>
        <v>0</v>
      </c>
      <c r="J232" s="571" cm="1">
        <f t="array" ref="J232">SUMPRODUCT(J$14:J$43,--($Q$14:$Q$43=TRUE),--($D$14:$D$43=$D227))</f>
        <v>0</v>
      </c>
      <c r="K232" s="571" cm="1">
        <f t="array" ref="K232">SUMPRODUCT(K$14:K$43,--($Q$14:$Q$43=TRUE),--($D$14:$D$43=$D227))</f>
        <v>0</v>
      </c>
      <c r="L232" s="571" cm="1">
        <f t="array" ref="L232">SUMPRODUCT(L$14:L$43,--($Q$14:$Q$43=TRUE),--($D$14:$D$43=$D227))</f>
        <v>0</v>
      </c>
      <c r="M232" s="571" cm="1">
        <f t="array" ref="M232">SUMPRODUCT(M$14:M$43,--($Q$14:$Q$43=TRUE),--($D$14:$D$43=$D227))</f>
        <v>0</v>
      </c>
      <c r="N232" s="571" cm="1">
        <f t="array" ref="N232">SUMPRODUCT(N$14:N$43,--($Q$14:$Q$43=TRUE),--($D$14:$D$43=$D227))</f>
        <v>0</v>
      </c>
      <c r="O232" s="571" cm="1">
        <f t="array" ref="O232">SUMPRODUCT(O$14:O$43,--($Q$14:$Q$43=TRUE),--($D$14:$D$43=$D227))</f>
        <v>0</v>
      </c>
      <c r="P232" s="607">
        <f t="shared" si="67"/>
        <v>0</v>
      </c>
      <c r="Q232" s="575"/>
      <c r="R232" s="576"/>
      <c r="S232" s="576"/>
      <c r="T232" s="576"/>
      <c r="U232" s="577"/>
    </row>
    <row r="233" spans="1:452" s="524" customFormat="1" ht="18" x14ac:dyDescent="0.35">
      <c r="A233" s="605"/>
      <c r="C233" s="559"/>
      <c r="D233" s="559"/>
      <c r="E233" s="640" t="s">
        <v>126</v>
      </c>
      <c r="F233" s="571" cm="1">
        <f t="array" ref="F233">SUMPRODUCT(F$14:F$43,--($Q$14:$Q$43=TRUE),--($D$14:$D$43=$D231),--($R$14:$R$43="Yes"))*0.1</f>
        <v>0</v>
      </c>
      <c r="G233" s="571" cm="1">
        <f t="array" ref="G233">SUMPRODUCT(G$14:G$43,--($Q$14:$Q$43=TRUE),--($D$14:$D$43=$D231),--($R$14:$R$43="Yes"))*0.1</f>
        <v>0</v>
      </c>
      <c r="H233" s="571" cm="1">
        <f t="array" ref="H233">SUMPRODUCT(H$14:H$43,--($Q$14:$Q$43=TRUE),--($D$14:$D$43=$D231),--($R$14:$R$43="Yes"))*0.1</f>
        <v>0</v>
      </c>
      <c r="I233" s="571" cm="1">
        <f t="array" ref="I233">SUMPRODUCT(I$14:I$43,--($Q$14:$Q$43=TRUE),--($D$14:$D$43=$D231),--($R$14:$R$43="Yes"))*0.1</f>
        <v>0</v>
      </c>
      <c r="J233" s="571" cm="1">
        <f t="array" ref="J233">SUMPRODUCT(J$14:J$43,--($Q$14:$Q$43=TRUE),--($D$14:$D$43=$D231),--($R$14:$R$43="Yes"))*0.1</f>
        <v>0</v>
      </c>
      <c r="K233" s="571" cm="1">
        <f t="array" ref="K233">SUMPRODUCT(K$14:K$43,--($Q$14:$Q$43=TRUE),--($D$14:$D$43=$D231),--($R$14:$R$43="Yes"))*0.1</f>
        <v>0</v>
      </c>
      <c r="L233" s="571" cm="1">
        <f t="array" ref="L233">SUMPRODUCT(L$14:L$43,--($Q$14:$Q$43=TRUE),--($D$14:$D$43=$D231),--($R$14:$R$43="Yes"))*0.1</f>
        <v>0</v>
      </c>
      <c r="M233" s="571" cm="1">
        <f t="array" ref="M233">SUMPRODUCT(M$14:M$43,--($Q$14:$Q$43=TRUE),--($D$14:$D$43=$D231),--($R$14:$R$43="Yes"))*0.1</f>
        <v>0</v>
      </c>
      <c r="N233" s="571" cm="1">
        <f t="array" ref="N233">SUMPRODUCT(N$14:N$43,--($Q$14:$Q$43=TRUE),--($D$14:$D$43=$D231),--($R$14:$R$43="Yes"))*0.1</f>
        <v>0</v>
      </c>
      <c r="O233" s="571" cm="1">
        <f t="array" ref="O233">SUMPRODUCT(O$14:O$43,--($Q$14:$Q$43=TRUE),--($D$14:$D$43=$D231),--($R$14:$R$43="Yes"))*0.1</f>
        <v>0</v>
      </c>
      <c r="P233" s="607">
        <f t="shared" si="67"/>
        <v>0</v>
      </c>
      <c r="Q233" s="575"/>
      <c r="R233" s="576"/>
      <c r="S233" s="576"/>
      <c r="T233" s="576"/>
      <c r="U233" s="577"/>
    </row>
    <row r="234" spans="1:452" s="524" customFormat="1" ht="18" x14ac:dyDescent="0.35">
      <c r="A234" s="605"/>
      <c r="B234" s="558"/>
      <c r="C234" s="559"/>
      <c r="D234" s="559"/>
      <c r="E234" s="572" t="s">
        <v>88</v>
      </c>
      <c r="F234" s="571">
        <f>F231-(F232+F233)</f>
        <v>0</v>
      </c>
      <c r="G234" s="571">
        <f t="shared" ref="G234:O234" si="70">G231-(G232+G233)</f>
        <v>0</v>
      </c>
      <c r="H234" s="571">
        <f t="shared" si="70"/>
        <v>0</v>
      </c>
      <c r="I234" s="571">
        <f t="shared" si="70"/>
        <v>0</v>
      </c>
      <c r="J234" s="571">
        <f t="shared" si="70"/>
        <v>0</v>
      </c>
      <c r="K234" s="571">
        <f t="shared" si="70"/>
        <v>0</v>
      </c>
      <c r="L234" s="571">
        <f t="shared" si="70"/>
        <v>0</v>
      </c>
      <c r="M234" s="571">
        <f t="shared" si="70"/>
        <v>0</v>
      </c>
      <c r="N234" s="571">
        <f t="shared" si="70"/>
        <v>0</v>
      </c>
      <c r="O234" s="571">
        <f t="shared" si="70"/>
        <v>0</v>
      </c>
      <c r="P234" s="607">
        <f t="shared" si="67"/>
        <v>0</v>
      </c>
      <c r="Q234" s="575"/>
      <c r="R234" s="576"/>
      <c r="S234" s="576"/>
      <c r="T234" s="576"/>
      <c r="U234" s="577"/>
    </row>
    <row r="235" spans="1:452" s="524" customFormat="1" ht="17.25" customHeight="1" x14ac:dyDescent="0.35">
      <c r="A235" s="605"/>
      <c r="B235" s="558"/>
      <c r="C235" s="559"/>
      <c r="D235" s="559"/>
      <c r="E235" s="560"/>
      <c r="F235" s="440"/>
      <c r="G235" s="440"/>
      <c r="H235" s="440"/>
      <c r="I235" s="440"/>
      <c r="J235" s="440"/>
      <c r="K235" s="440"/>
      <c r="L235" s="440"/>
      <c r="M235" s="440"/>
      <c r="N235" s="440"/>
      <c r="O235" s="440"/>
      <c r="P235" s="609"/>
      <c r="Q235" s="575"/>
      <c r="R235" s="576"/>
      <c r="S235" s="576"/>
      <c r="T235" s="576"/>
      <c r="U235" s="577"/>
    </row>
    <row r="236" spans="1:452" s="591" customFormat="1" ht="18" x14ac:dyDescent="0.35">
      <c r="A236" s="597"/>
      <c r="B236" s="598" t="s">
        <v>132</v>
      </c>
      <c r="C236" s="599"/>
      <c r="D236" s="599"/>
      <c r="E236" s="589"/>
      <c r="F236" s="590">
        <f>F240+F248</f>
        <v>0</v>
      </c>
      <c r="G236" s="590">
        <f t="shared" ref="G236:O236" si="71">G240+G248</f>
        <v>0</v>
      </c>
      <c r="H236" s="590">
        <f t="shared" si="71"/>
        <v>0</v>
      </c>
      <c r="I236" s="590">
        <f t="shared" si="71"/>
        <v>0</v>
      </c>
      <c r="J236" s="590">
        <f t="shared" si="71"/>
        <v>0</v>
      </c>
      <c r="K236" s="590">
        <f t="shared" si="71"/>
        <v>0</v>
      </c>
      <c r="L236" s="590">
        <f t="shared" si="71"/>
        <v>0</v>
      </c>
      <c r="M236" s="590">
        <f t="shared" si="71"/>
        <v>0</v>
      </c>
      <c r="N236" s="590">
        <f t="shared" si="71"/>
        <v>0</v>
      </c>
      <c r="O236" s="590">
        <f t="shared" si="71"/>
        <v>0</v>
      </c>
      <c r="P236" s="600">
        <f>SUM(F236:O236)</f>
        <v>0</v>
      </c>
      <c r="Q236" s="575"/>
      <c r="R236" s="576"/>
      <c r="S236" s="576"/>
      <c r="T236" s="576"/>
      <c r="U236" s="577"/>
      <c r="V236" s="524"/>
      <c r="W236" s="524"/>
      <c r="X236" s="524"/>
      <c r="Y236" s="524"/>
      <c r="Z236" s="524"/>
      <c r="AA236" s="524"/>
      <c r="AB236" s="524"/>
      <c r="AC236" s="524"/>
      <c r="AD236" s="524"/>
      <c r="AE236" s="524"/>
      <c r="AF236" s="524"/>
      <c r="AG236" s="524"/>
      <c r="AH236" s="524"/>
      <c r="AI236" s="524"/>
      <c r="AJ236" s="524"/>
      <c r="AK236" s="524"/>
      <c r="AL236" s="524"/>
      <c r="AM236" s="524"/>
      <c r="AN236" s="524"/>
      <c r="AO236" s="524"/>
      <c r="AP236" s="524"/>
      <c r="AQ236" s="524"/>
      <c r="AR236" s="524"/>
      <c r="AS236" s="524"/>
      <c r="AT236" s="524"/>
      <c r="AU236" s="524"/>
      <c r="AV236" s="524"/>
      <c r="AW236" s="524"/>
      <c r="AX236" s="524"/>
      <c r="AY236" s="524"/>
      <c r="AZ236" s="524"/>
      <c r="BA236" s="524"/>
      <c r="BB236" s="524"/>
      <c r="BC236" s="524"/>
      <c r="BD236" s="524"/>
      <c r="BE236" s="524"/>
      <c r="BF236" s="524"/>
      <c r="BG236" s="524"/>
      <c r="BH236" s="524"/>
      <c r="BI236" s="524"/>
      <c r="BJ236" s="524"/>
      <c r="BK236" s="524"/>
      <c r="BL236" s="524"/>
      <c r="BM236" s="524"/>
      <c r="BN236" s="524"/>
      <c r="BO236" s="524"/>
      <c r="BP236" s="524"/>
      <c r="BQ236" s="524"/>
      <c r="BR236" s="524"/>
      <c r="BS236" s="524"/>
      <c r="BT236" s="524"/>
      <c r="BU236" s="524"/>
      <c r="BV236" s="524"/>
      <c r="BW236" s="524"/>
      <c r="BX236" s="524"/>
      <c r="BY236" s="524"/>
      <c r="BZ236" s="524"/>
      <c r="CA236" s="524"/>
      <c r="CB236" s="524"/>
      <c r="CC236" s="524"/>
      <c r="CD236" s="524"/>
      <c r="CE236" s="524"/>
      <c r="CF236" s="524"/>
      <c r="CG236" s="524"/>
      <c r="CH236" s="524"/>
      <c r="CI236" s="524"/>
      <c r="CJ236" s="524"/>
      <c r="CK236" s="524"/>
      <c r="CL236" s="524"/>
      <c r="CM236" s="524"/>
      <c r="CN236" s="524"/>
      <c r="CO236" s="524"/>
      <c r="CP236" s="524"/>
      <c r="CQ236" s="524"/>
      <c r="CR236" s="524"/>
      <c r="CS236" s="524"/>
      <c r="CT236" s="524"/>
      <c r="CU236" s="524"/>
      <c r="CV236" s="524"/>
      <c r="CW236" s="524"/>
      <c r="CX236" s="524"/>
      <c r="CY236" s="524"/>
      <c r="CZ236" s="524"/>
      <c r="DA236" s="524"/>
      <c r="DB236" s="524"/>
      <c r="DC236" s="524"/>
      <c r="DD236" s="524"/>
      <c r="DE236" s="524"/>
      <c r="DF236" s="524"/>
      <c r="DG236" s="524"/>
      <c r="DH236" s="524"/>
      <c r="DI236" s="524"/>
      <c r="DJ236" s="524"/>
      <c r="DK236" s="524"/>
      <c r="DL236" s="524"/>
      <c r="DM236" s="524"/>
      <c r="DN236" s="524"/>
      <c r="DO236" s="524"/>
      <c r="DP236" s="524"/>
      <c r="DQ236" s="524"/>
      <c r="DR236" s="524"/>
      <c r="DS236" s="524"/>
      <c r="DT236" s="524"/>
      <c r="DU236" s="524"/>
      <c r="DV236" s="524"/>
      <c r="DW236" s="524"/>
      <c r="DX236" s="524"/>
      <c r="DY236" s="524"/>
      <c r="DZ236" s="524"/>
      <c r="EA236" s="524"/>
      <c r="EB236" s="524"/>
      <c r="EC236" s="524"/>
      <c r="ED236" s="524"/>
      <c r="EE236" s="524"/>
      <c r="EF236" s="524"/>
      <c r="EG236" s="524"/>
      <c r="EH236" s="524"/>
      <c r="EI236" s="524"/>
      <c r="EJ236" s="524"/>
      <c r="EK236" s="524"/>
      <c r="EL236" s="524"/>
      <c r="EM236" s="524"/>
      <c r="EN236" s="524"/>
      <c r="EO236" s="524"/>
      <c r="EP236" s="524"/>
      <c r="EQ236" s="524"/>
      <c r="ER236" s="524"/>
      <c r="ES236" s="524"/>
      <c r="ET236" s="524"/>
      <c r="EU236" s="524"/>
      <c r="EV236" s="524"/>
      <c r="EW236" s="524"/>
      <c r="EX236" s="524"/>
      <c r="EY236" s="524"/>
      <c r="EZ236" s="524"/>
      <c r="FA236" s="524"/>
      <c r="FB236" s="524"/>
      <c r="FC236" s="524"/>
      <c r="FD236" s="524"/>
      <c r="FE236" s="524"/>
      <c r="FF236" s="524"/>
      <c r="FG236" s="524"/>
      <c r="FH236" s="524"/>
      <c r="FI236" s="524"/>
      <c r="FJ236" s="524"/>
      <c r="FK236" s="524"/>
      <c r="FL236" s="524"/>
      <c r="FM236" s="524"/>
      <c r="FN236" s="524"/>
      <c r="FO236" s="524"/>
      <c r="FP236" s="524"/>
      <c r="FQ236" s="524"/>
      <c r="FR236" s="524"/>
      <c r="FS236" s="524"/>
      <c r="FT236" s="524"/>
      <c r="FU236" s="524"/>
      <c r="FV236" s="524"/>
      <c r="FW236" s="524"/>
      <c r="FX236" s="524"/>
      <c r="FY236" s="524"/>
      <c r="FZ236" s="524"/>
      <c r="GA236" s="524"/>
      <c r="GB236" s="524"/>
      <c r="GC236" s="524"/>
      <c r="GD236" s="524"/>
      <c r="GE236" s="524"/>
      <c r="GF236" s="524"/>
      <c r="GG236" s="524"/>
      <c r="GH236" s="524"/>
      <c r="GI236" s="524"/>
      <c r="GJ236" s="524"/>
      <c r="GK236" s="524"/>
      <c r="GL236" s="524"/>
      <c r="GM236" s="524"/>
      <c r="GN236" s="524"/>
      <c r="GO236" s="524"/>
      <c r="GP236" s="524"/>
      <c r="GQ236" s="524"/>
      <c r="GR236" s="524"/>
      <c r="GS236" s="524"/>
      <c r="GT236" s="524"/>
      <c r="GU236" s="524"/>
      <c r="GV236" s="524"/>
      <c r="GW236" s="524"/>
      <c r="GX236" s="524"/>
      <c r="GY236" s="524"/>
      <c r="GZ236" s="524"/>
      <c r="HA236" s="524"/>
      <c r="HB236" s="524"/>
      <c r="HC236" s="524"/>
      <c r="HD236" s="524"/>
      <c r="HE236" s="524"/>
      <c r="HF236" s="524"/>
      <c r="HG236" s="524"/>
      <c r="HH236" s="524"/>
      <c r="HI236" s="524"/>
      <c r="HJ236" s="524"/>
      <c r="HK236" s="524"/>
      <c r="HL236" s="524"/>
      <c r="HM236" s="524"/>
      <c r="HN236" s="524"/>
      <c r="HO236" s="524"/>
      <c r="HP236" s="524"/>
      <c r="HQ236" s="524"/>
      <c r="HR236" s="524"/>
      <c r="HS236" s="524"/>
      <c r="HT236" s="524"/>
      <c r="HU236" s="524"/>
      <c r="HV236" s="524"/>
      <c r="HW236" s="524"/>
      <c r="HX236" s="524"/>
      <c r="HY236" s="524"/>
      <c r="HZ236" s="524"/>
      <c r="IA236" s="524"/>
      <c r="IB236" s="524"/>
      <c r="IC236" s="524"/>
      <c r="ID236" s="524"/>
      <c r="IE236" s="524"/>
      <c r="IF236" s="524"/>
      <c r="IG236" s="524"/>
      <c r="IH236" s="524"/>
      <c r="II236" s="524"/>
      <c r="IJ236" s="524"/>
      <c r="IK236" s="524"/>
      <c r="IL236" s="524"/>
      <c r="IM236" s="524"/>
      <c r="IN236" s="524"/>
      <c r="IO236" s="524"/>
      <c r="IP236" s="524"/>
      <c r="IQ236" s="524"/>
      <c r="IR236" s="524"/>
      <c r="IS236" s="524"/>
      <c r="IT236" s="524"/>
      <c r="IU236" s="524"/>
      <c r="IV236" s="524"/>
      <c r="IW236" s="524"/>
      <c r="IX236" s="524"/>
      <c r="IY236" s="524"/>
      <c r="IZ236" s="524"/>
      <c r="JA236" s="524"/>
      <c r="JB236" s="524"/>
      <c r="JC236" s="524"/>
      <c r="JD236" s="524"/>
      <c r="JE236" s="524"/>
      <c r="JF236" s="524"/>
      <c r="JG236" s="524"/>
      <c r="JH236" s="524"/>
      <c r="JI236" s="524"/>
      <c r="JJ236" s="524"/>
      <c r="JK236" s="524"/>
      <c r="JL236" s="524"/>
      <c r="JM236" s="524"/>
      <c r="JN236" s="524"/>
      <c r="JO236" s="524"/>
      <c r="JP236" s="524"/>
      <c r="JQ236" s="524"/>
      <c r="JR236" s="524"/>
      <c r="JS236" s="524"/>
      <c r="JT236" s="524"/>
      <c r="JU236" s="524"/>
      <c r="JV236" s="524"/>
      <c r="JW236" s="524"/>
      <c r="JX236" s="524"/>
      <c r="JY236" s="524"/>
      <c r="JZ236" s="524"/>
      <c r="KA236" s="524"/>
      <c r="KB236" s="524"/>
      <c r="KC236" s="524"/>
      <c r="KD236" s="524"/>
      <c r="KE236" s="524"/>
      <c r="KF236" s="524"/>
      <c r="KG236" s="524"/>
      <c r="KH236" s="524"/>
      <c r="KI236" s="524"/>
      <c r="KJ236" s="524"/>
      <c r="KK236" s="524"/>
      <c r="KL236" s="524"/>
      <c r="KM236" s="524"/>
      <c r="KN236" s="524"/>
      <c r="KO236" s="524"/>
      <c r="KP236" s="524"/>
      <c r="KQ236" s="524"/>
      <c r="KR236" s="524"/>
      <c r="KS236" s="524"/>
      <c r="KT236" s="524"/>
      <c r="KU236" s="524"/>
      <c r="KV236" s="524"/>
      <c r="KW236" s="524"/>
      <c r="KX236" s="524"/>
      <c r="KY236" s="524"/>
      <c r="KZ236" s="524"/>
      <c r="LA236" s="524"/>
      <c r="LB236" s="524"/>
      <c r="LC236" s="524"/>
      <c r="LD236" s="524"/>
      <c r="LE236" s="524"/>
      <c r="LF236" s="524"/>
      <c r="LG236" s="524"/>
      <c r="LH236" s="524"/>
      <c r="LI236" s="524"/>
      <c r="LJ236" s="524"/>
      <c r="LK236" s="524"/>
      <c r="LL236" s="524"/>
      <c r="LM236" s="524"/>
      <c r="LN236" s="524"/>
      <c r="LO236" s="524"/>
      <c r="LP236" s="524"/>
      <c r="LQ236" s="524"/>
      <c r="LR236" s="524"/>
      <c r="LS236" s="524"/>
      <c r="LT236" s="524"/>
      <c r="LU236" s="524"/>
      <c r="LV236" s="524"/>
      <c r="LW236" s="524"/>
      <c r="LX236" s="524"/>
      <c r="LY236" s="524"/>
      <c r="LZ236" s="524"/>
      <c r="MA236" s="524"/>
      <c r="MB236" s="524"/>
      <c r="MC236" s="524"/>
      <c r="MD236" s="524"/>
      <c r="ME236" s="524"/>
      <c r="MF236" s="524"/>
      <c r="MG236" s="524"/>
      <c r="MH236" s="524"/>
      <c r="MI236" s="524"/>
      <c r="MJ236" s="524"/>
      <c r="MK236" s="524"/>
      <c r="ML236" s="524"/>
      <c r="MM236" s="524"/>
      <c r="MN236" s="524"/>
      <c r="MO236" s="524"/>
      <c r="MP236" s="524"/>
      <c r="MQ236" s="524"/>
      <c r="MR236" s="524"/>
      <c r="MS236" s="524"/>
      <c r="MT236" s="524"/>
      <c r="MU236" s="524"/>
      <c r="MV236" s="524"/>
      <c r="MW236" s="524"/>
      <c r="MX236" s="524"/>
      <c r="MY236" s="524"/>
      <c r="MZ236" s="524"/>
      <c r="NA236" s="524"/>
      <c r="NB236" s="524"/>
      <c r="NC236" s="524"/>
      <c r="ND236" s="524"/>
      <c r="NE236" s="524"/>
      <c r="NF236" s="524"/>
      <c r="NG236" s="524"/>
      <c r="NH236" s="524"/>
      <c r="NI236" s="524"/>
      <c r="NJ236" s="524"/>
      <c r="NK236" s="524"/>
      <c r="NL236" s="524"/>
      <c r="NM236" s="524"/>
      <c r="NN236" s="524"/>
      <c r="NO236" s="524"/>
      <c r="NP236" s="524"/>
      <c r="NQ236" s="524"/>
      <c r="NR236" s="524"/>
      <c r="NS236" s="524"/>
      <c r="NT236" s="524"/>
      <c r="NU236" s="524"/>
      <c r="NV236" s="524"/>
      <c r="NW236" s="524"/>
      <c r="NX236" s="524"/>
      <c r="NY236" s="524"/>
      <c r="NZ236" s="524"/>
      <c r="OA236" s="524"/>
      <c r="OB236" s="524"/>
      <c r="OC236" s="524"/>
      <c r="OD236" s="524"/>
      <c r="OE236" s="524"/>
      <c r="OF236" s="524"/>
      <c r="OG236" s="524"/>
      <c r="OH236" s="524"/>
      <c r="OI236" s="524"/>
      <c r="OJ236" s="524"/>
      <c r="OK236" s="524"/>
      <c r="OL236" s="524"/>
      <c r="OM236" s="524"/>
      <c r="ON236" s="524"/>
      <c r="OO236" s="524"/>
      <c r="OP236" s="524"/>
      <c r="OQ236" s="524"/>
      <c r="OR236" s="524"/>
      <c r="OS236" s="524"/>
      <c r="OT236" s="524"/>
      <c r="OU236" s="524"/>
      <c r="OV236" s="524"/>
      <c r="OW236" s="524"/>
      <c r="OX236" s="524"/>
      <c r="OY236" s="524"/>
      <c r="OZ236" s="524"/>
      <c r="PA236" s="524"/>
      <c r="PB236" s="524"/>
      <c r="PC236" s="524"/>
      <c r="PD236" s="524"/>
      <c r="PE236" s="524"/>
      <c r="PF236" s="524"/>
      <c r="PG236" s="524"/>
      <c r="PH236" s="524"/>
      <c r="PI236" s="524"/>
      <c r="PJ236" s="524"/>
      <c r="PK236" s="524"/>
      <c r="PL236" s="524"/>
      <c r="PM236" s="524"/>
      <c r="PN236" s="524"/>
      <c r="PO236" s="524"/>
      <c r="PP236" s="524"/>
      <c r="PQ236" s="524"/>
      <c r="PR236" s="524"/>
      <c r="PS236" s="524"/>
      <c r="PT236" s="524"/>
      <c r="PU236" s="524"/>
      <c r="PV236" s="524"/>
      <c r="PW236" s="524"/>
      <c r="PX236" s="524"/>
      <c r="PY236" s="524"/>
      <c r="PZ236" s="524"/>
      <c r="QA236" s="524"/>
      <c r="QB236" s="524"/>
      <c r="QC236" s="524"/>
      <c r="QD236" s="524"/>
      <c r="QE236" s="524"/>
      <c r="QF236" s="524"/>
      <c r="QG236" s="524"/>
      <c r="QH236" s="524"/>
      <c r="QI236" s="524"/>
      <c r="QJ236" s="524"/>
    </row>
    <row r="237" spans="1:452" s="588" customFormat="1" ht="18" x14ac:dyDescent="0.35">
      <c r="A237" s="601"/>
      <c r="B237" s="602"/>
      <c r="C237" s="603"/>
      <c r="D237" s="603"/>
      <c r="E237" s="586"/>
      <c r="F237" s="587"/>
      <c r="G237" s="587"/>
      <c r="H237" s="587"/>
      <c r="I237" s="587"/>
      <c r="J237" s="587"/>
      <c r="K237" s="587"/>
      <c r="L237" s="587"/>
      <c r="M237" s="587"/>
      <c r="N237" s="587"/>
      <c r="O237" s="587"/>
      <c r="P237" s="604">
        <f t="shared" ref="P237:P247" si="72">SUM(F237:O237)</f>
        <v>0</v>
      </c>
      <c r="Q237" s="575"/>
      <c r="R237" s="576"/>
      <c r="S237" s="576"/>
      <c r="T237" s="576"/>
      <c r="U237" s="577"/>
      <c r="V237" s="524"/>
      <c r="W237" s="524"/>
      <c r="X237" s="524"/>
      <c r="Y237" s="524"/>
      <c r="Z237" s="524"/>
      <c r="AA237" s="524"/>
      <c r="AB237" s="524"/>
      <c r="AC237" s="524"/>
      <c r="AD237" s="524"/>
      <c r="AE237" s="524"/>
      <c r="AF237" s="524"/>
      <c r="AG237" s="524"/>
      <c r="AH237" s="524"/>
      <c r="AI237" s="524"/>
      <c r="AJ237" s="524"/>
      <c r="AK237" s="524"/>
      <c r="AL237" s="524"/>
      <c r="AM237" s="524"/>
      <c r="AN237" s="524"/>
      <c r="AO237" s="524"/>
      <c r="AP237" s="524"/>
      <c r="AQ237" s="524"/>
      <c r="AR237" s="524"/>
      <c r="AS237" s="524"/>
      <c r="AT237" s="524"/>
      <c r="AU237" s="524"/>
      <c r="AV237" s="524"/>
      <c r="AW237" s="524"/>
      <c r="AX237" s="524"/>
      <c r="AY237" s="524"/>
      <c r="AZ237" s="524"/>
      <c r="BA237" s="524"/>
      <c r="BB237" s="524"/>
      <c r="BC237" s="524"/>
      <c r="BD237" s="524"/>
      <c r="BE237" s="524"/>
      <c r="BF237" s="524"/>
      <c r="BG237" s="524"/>
      <c r="BH237" s="524"/>
      <c r="BI237" s="524"/>
      <c r="BJ237" s="524"/>
      <c r="BK237" s="524"/>
      <c r="BL237" s="524"/>
      <c r="BM237" s="524"/>
      <c r="BN237" s="524"/>
      <c r="BO237" s="524"/>
      <c r="BP237" s="524"/>
      <c r="BQ237" s="524"/>
      <c r="BR237" s="524"/>
      <c r="BS237" s="524"/>
      <c r="BT237" s="524"/>
      <c r="BU237" s="524"/>
      <c r="BV237" s="524"/>
      <c r="BW237" s="524"/>
      <c r="BX237" s="524"/>
      <c r="BY237" s="524"/>
      <c r="BZ237" s="524"/>
      <c r="CA237" s="524"/>
      <c r="CB237" s="524"/>
      <c r="CC237" s="524"/>
      <c r="CD237" s="524"/>
      <c r="CE237" s="524"/>
      <c r="CF237" s="524"/>
      <c r="CG237" s="524"/>
      <c r="CH237" s="524"/>
      <c r="CI237" s="524"/>
      <c r="CJ237" s="524"/>
      <c r="CK237" s="524"/>
      <c r="CL237" s="524"/>
      <c r="CM237" s="524"/>
      <c r="CN237" s="524"/>
      <c r="CO237" s="524"/>
      <c r="CP237" s="524"/>
      <c r="CQ237" s="524"/>
      <c r="CR237" s="524"/>
      <c r="CS237" s="524"/>
      <c r="CT237" s="524"/>
      <c r="CU237" s="524"/>
      <c r="CV237" s="524"/>
      <c r="CW237" s="524"/>
      <c r="CX237" s="524"/>
      <c r="CY237" s="524"/>
      <c r="CZ237" s="524"/>
      <c r="DA237" s="524"/>
      <c r="DB237" s="524"/>
      <c r="DC237" s="524"/>
      <c r="DD237" s="524"/>
      <c r="DE237" s="524"/>
      <c r="DF237" s="524"/>
      <c r="DG237" s="524"/>
      <c r="DH237" s="524"/>
      <c r="DI237" s="524"/>
      <c r="DJ237" s="524"/>
      <c r="DK237" s="524"/>
      <c r="DL237" s="524"/>
      <c r="DM237" s="524"/>
      <c r="DN237" s="524"/>
      <c r="DO237" s="524"/>
      <c r="DP237" s="524"/>
      <c r="DQ237" s="524"/>
      <c r="DR237" s="524"/>
      <c r="DS237" s="524"/>
      <c r="DT237" s="524"/>
      <c r="DU237" s="524"/>
      <c r="DV237" s="524"/>
      <c r="DW237" s="524"/>
      <c r="DX237" s="524"/>
      <c r="DY237" s="524"/>
      <c r="DZ237" s="524"/>
      <c r="EA237" s="524"/>
      <c r="EB237" s="524"/>
      <c r="EC237" s="524"/>
      <c r="ED237" s="524"/>
      <c r="EE237" s="524"/>
      <c r="EF237" s="524"/>
      <c r="EG237" s="524"/>
      <c r="EH237" s="524"/>
      <c r="EI237" s="524"/>
      <c r="EJ237" s="524"/>
      <c r="EK237" s="524"/>
      <c r="EL237" s="524"/>
      <c r="EM237" s="524"/>
      <c r="EN237" s="524"/>
      <c r="EO237" s="524"/>
      <c r="EP237" s="524"/>
      <c r="EQ237" s="524"/>
      <c r="ER237" s="524"/>
      <c r="ES237" s="524"/>
      <c r="ET237" s="524"/>
      <c r="EU237" s="524"/>
      <c r="EV237" s="524"/>
      <c r="EW237" s="524"/>
      <c r="EX237" s="524"/>
      <c r="EY237" s="524"/>
      <c r="EZ237" s="524"/>
      <c r="FA237" s="524"/>
      <c r="FB237" s="524"/>
      <c r="FC237" s="524"/>
      <c r="FD237" s="524"/>
      <c r="FE237" s="524"/>
      <c r="FF237" s="524"/>
      <c r="FG237" s="524"/>
      <c r="FH237" s="524"/>
      <c r="FI237" s="524"/>
      <c r="FJ237" s="524"/>
      <c r="FK237" s="524"/>
      <c r="FL237" s="524"/>
      <c r="FM237" s="524"/>
      <c r="FN237" s="524"/>
      <c r="FO237" s="524"/>
      <c r="FP237" s="524"/>
      <c r="FQ237" s="524"/>
      <c r="FR237" s="524"/>
      <c r="FS237" s="524"/>
      <c r="FT237" s="524"/>
      <c r="FU237" s="524"/>
      <c r="FV237" s="524"/>
      <c r="FW237" s="524"/>
      <c r="FX237" s="524"/>
      <c r="FY237" s="524"/>
      <c r="FZ237" s="524"/>
      <c r="GA237" s="524"/>
      <c r="GB237" s="524"/>
      <c r="GC237" s="524"/>
      <c r="GD237" s="524"/>
      <c r="GE237" s="524"/>
      <c r="GF237" s="524"/>
      <c r="GG237" s="524"/>
      <c r="GH237" s="524"/>
      <c r="GI237" s="524"/>
      <c r="GJ237" s="524"/>
      <c r="GK237" s="524"/>
      <c r="GL237" s="524"/>
      <c r="GM237" s="524"/>
      <c r="GN237" s="524"/>
      <c r="GO237" s="524"/>
      <c r="GP237" s="524"/>
      <c r="GQ237" s="524"/>
      <c r="GR237" s="524"/>
      <c r="GS237" s="524"/>
      <c r="GT237" s="524"/>
      <c r="GU237" s="524"/>
      <c r="GV237" s="524"/>
      <c r="GW237" s="524"/>
      <c r="GX237" s="524"/>
      <c r="GY237" s="524"/>
      <c r="GZ237" s="524"/>
      <c r="HA237" s="524"/>
      <c r="HB237" s="524"/>
      <c r="HC237" s="524"/>
      <c r="HD237" s="524"/>
      <c r="HE237" s="524"/>
      <c r="HF237" s="524"/>
      <c r="HG237" s="524"/>
      <c r="HH237" s="524"/>
      <c r="HI237" s="524"/>
      <c r="HJ237" s="524"/>
      <c r="HK237" s="524"/>
      <c r="HL237" s="524"/>
      <c r="HM237" s="524"/>
      <c r="HN237" s="524"/>
      <c r="HO237" s="524"/>
      <c r="HP237" s="524"/>
      <c r="HQ237" s="524"/>
      <c r="HR237" s="524"/>
      <c r="HS237" s="524"/>
      <c r="HT237" s="524"/>
      <c r="HU237" s="524"/>
      <c r="HV237" s="524"/>
      <c r="HW237" s="524"/>
      <c r="HX237" s="524"/>
      <c r="HY237" s="524"/>
      <c r="HZ237" s="524"/>
      <c r="IA237" s="524"/>
      <c r="IB237" s="524"/>
      <c r="IC237" s="524"/>
      <c r="ID237" s="524"/>
      <c r="IE237" s="524"/>
      <c r="IF237" s="524"/>
      <c r="IG237" s="524"/>
      <c r="IH237" s="524"/>
      <c r="II237" s="524"/>
      <c r="IJ237" s="524"/>
      <c r="IK237" s="524"/>
      <c r="IL237" s="524"/>
      <c r="IM237" s="524"/>
      <c r="IN237" s="524"/>
      <c r="IO237" s="524"/>
      <c r="IP237" s="524"/>
      <c r="IQ237" s="524"/>
      <c r="IR237" s="524"/>
      <c r="IS237" s="524"/>
      <c r="IT237" s="524"/>
      <c r="IU237" s="524"/>
      <c r="IV237" s="524"/>
      <c r="IW237" s="524"/>
      <c r="IX237" s="524"/>
      <c r="IY237" s="524"/>
      <c r="IZ237" s="524"/>
      <c r="JA237" s="524"/>
      <c r="JB237" s="524"/>
      <c r="JC237" s="524"/>
      <c r="JD237" s="524"/>
      <c r="JE237" s="524"/>
      <c r="JF237" s="524"/>
      <c r="JG237" s="524"/>
      <c r="JH237" s="524"/>
      <c r="JI237" s="524"/>
      <c r="JJ237" s="524"/>
      <c r="JK237" s="524"/>
      <c r="JL237" s="524"/>
      <c r="JM237" s="524"/>
      <c r="JN237" s="524"/>
      <c r="JO237" s="524"/>
      <c r="JP237" s="524"/>
      <c r="JQ237" s="524"/>
      <c r="JR237" s="524"/>
      <c r="JS237" s="524"/>
      <c r="JT237" s="524"/>
      <c r="JU237" s="524"/>
      <c r="JV237" s="524"/>
      <c r="JW237" s="524"/>
      <c r="JX237" s="524"/>
      <c r="JY237" s="524"/>
      <c r="JZ237" s="524"/>
      <c r="KA237" s="524"/>
      <c r="KB237" s="524"/>
      <c r="KC237" s="524"/>
      <c r="KD237" s="524"/>
      <c r="KE237" s="524"/>
      <c r="KF237" s="524"/>
      <c r="KG237" s="524"/>
      <c r="KH237" s="524"/>
      <c r="KI237" s="524"/>
      <c r="KJ237" s="524"/>
      <c r="KK237" s="524"/>
      <c r="KL237" s="524"/>
      <c r="KM237" s="524"/>
      <c r="KN237" s="524"/>
      <c r="KO237" s="524"/>
      <c r="KP237" s="524"/>
      <c r="KQ237" s="524"/>
      <c r="KR237" s="524"/>
      <c r="KS237" s="524"/>
      <c r="KT237" s="524"/>
      <c r="KU237" s="524"/>
      <c r="KV237" s="524"/>
      <c r="KW237" s="524"/>
      <c r="KX237" s="524"/>
      <c r="KY237" s="524"/>
      <c r="KZ237" s="524"/>
      <c r="LA237" s="524"/>
      <c r="LB237" s="524"/>
      <c r="LC237" s="524"/>
      <c r="LD237" s="524"/>
      <c r="LE237" s="524"/>
      <c r="LF237" s="524"/>
      <c r="LG237" s="524"/>
      <c r="LH237" s="524"/>
      <c r="LI237" s="524"/>
      <c r="LJ237" s="524"/>
      <c r="LK237" s="524"/>
      <c r="LL237" s="524"/>
      <c r="LM237" s="524"/>
      <c r="LN237" s="524"/>
      <c r="LO237" s="524"/>
      <c r="LP237" s="524"/>
      <c r="LQ237" s="524"/>
      <c r="LR237" s="524"/>
      <c r="LS237" s="524"/>
      <c r="LT237" s="524"/>
      <c r="LU237" s="524"/>
      <c r="LV237" s="524"/>
      <c r="LW237" s="524"/>
      <c r="LX237" s="524"/>
      <c r="LY237" s="524"/>
      <c r="LZ237" s="524"/>
      <c r="MA237" s="524"/>
      <c r="MB237" s="524"/>
      <c r="MC237" s="524"/>
      <c r="MD237" s="524"/>
      <c r="ME237" s="524"/>
      <c r="MF237" s="524"/>
      <c r="MG237" s="524"/>
      <c r="MH237" s="524"/>
      <c r="MI237" s="524"/>
      <c r="MJ237" s="524"/>
      <c r="MK237" s="524"/>
      <c r="ML237" s="524"/>
      <c r="MM237" s="524"/>
      <c r="MN237" s="524"/>
      <c r="MO237" s="524"/>
      <c r="MP237" s="524"/>
      <c r="MQ237" s="524"/>
      <c r="MR237" s="524"/>
      <c r="MS237" s="524"/>
      <c r="MT237" s="524"/>
      <c r="MU237" s="524"/>
      <c r="MV237" s="524"/>
      <c r="MW237" s="524"/>
      <c r="MX237" s="524"/>
      <c r="MY237" s="524"/>
      <c r="MZ237" s="524"/>
      <c r="NA237" s="524"/>
      <c r="NB237" s="524"/>
      <c r="NC237" s="524"/>
      <c r="ND237" s="524"/>
      <c r="NE237" s="524"/>
      <c r="NF237" s="524"/>
      <c r="NG237" s="524"/>
      <c r="NH237" s="524"/>
      <c r="NI237" s="524"/>
      <c r="NJ237" s="524"/>
      <c r="NK237" s="524"/>
      <c r="NL237" s="524"/>
      <c r="NM237" s="524"/>
      <c r="NN237" s="524"/>
      <c r="NO237" s="524"/>
      <c r="NP237" s="524"/>
      <c r="NQ237" s="524"/>
      <c r="NR237" s="524"/>
      <c r="NS237" s="524"/>
      <c r="NT237" s="524"/>
      <c r="NU237" s="524"/>
      <c r="NV237" s="524"/>
      <c r="NW237" s="524"/>
      <c r="NX237" s="524"/>
      <c r="NY237" s="524"/>
      <c r="NZ237" s="524"/>
      <c r="OA237" s="524"/>
      <c r="OB237" s="524"/>
      <c r="OC237" s="524"/>
      <c r="OD237" s="524"/>
      <c r="OE237" s="524"/>
      <c r="OF237" s="524"/>
      <c r="OG237" s="524"/>
      <c r="OH237" s="524"/>
      <c r="OI237" s="524"/>
      <c r="OJ237" s="524"/>
      <c r="OK237" s="524"/>
      <c r="OL237" s="524"/>
      <c r="OM237" s="524"/>
      <c r="ON237" s="524"/>
      <c r="OO237" s="524"/>
      <c r="OP237" s="524"/>
      <c r="OQ237" s="524"/>
      <c r="OR237" s="524"/>
      <c r="OS237" s="524"/>
      <c r="OT237" s="524"/>
      <c r="OU237" s="524"/>
      <c r="OV237" s="524"/>
      <c r="OW237" s="524"/>
      <c r="OX237" s="524"/>
      <c r="OY237" s="524"/>
      <c r="OZ237" s="524"/>
      <c r="PA237" s="524"/>
      <c r="PB237" s="524"/>
      <c r="PC237" s="524"/>
      <c r="PD237" s="524"/>
      <c r="PE237" s="524"/>
      <c r="PF237" s="524"/>
      <c r="PG237" s="524"/>
      <c r="PH237" s="524"/>
      <c r="PI237" s="524"/>
      <c r="PJ237" s="524"/>
      <c r="PK237" s="524"/>
      <c r="PL237" s="524"/>
      <c r="PM237" s="524"/>
      <c r="PN237" s="524"/>
      <c r="PO237" s="524"/>
      <c r="PP237" s="524"/>
      <c r="PQ237" s="524"/>
      <c r="PR237" s="524"/>
      <c r="PS237" s="524"/>
      <c r="PT237" s="524"/>
      <c r="PU237" s="524"/>
      <c r="PV237" s="524"/>
      <c r="PW237" s="524"/>
      <c r="PX237" s="524"/>
      <c r="PY237" s="524"/>
      <c r="PZ237" s="524"/>
      <c r="QA237" s="524"/>
      <c r="QB237" s="524"/>
      <c r="QC237" s="524"/>
      <c r="QD237" s="524"/>
      <c r="QE237" s="524"/>
      <c r="QF237" s="524"/>
      <c r="QG237" s="524"/>
      <c r="QH237" s="524"/>
      <c r="QI237" s="524"/>
      <c r="QJ237" s="524"/>
    </row>
    <row r="238" spans="1:452" s="617" customFormat="1" ht="18" x14ac:dyDescent="0.35">
      <c r="A238" s="611"/>
      <c r="B238" s="612" t="s">
        <v>133</v>
      </c>
      <c r="C238" s="613"/>
      <c r="D238" s="613"/>
      <c r="E238" s="614"/>
      <c r="F238" s="615">
        <f>F244+F252</f>
        <v>0</v>
      </c>
      <c r="G238" s="615">
        <f t="shared" ref="G238:O238" si="73">G244+G252</f>
        <v>0</v>
      </c>
      <c r="H238" s="615">
        <f t="shared" si="73"/>
        <v>0</v>
      </c>
      <c r="I238" s="615">
        <f t="shared" si="73"/>
        <v>0</v>
      </c>
      <c r="J238" s="615">
        <f t="shared" si="73"/>
        <v>0</v>
      </c>
      <c r="K238" s="615">
        <f t="shared" si="73"/>
        <v>0</v>
      </c>
      <c r="L238" s="615">
        <f t="shared" si="73"/>
        <v>0</v>
      </c>
      <c r="M238" s="615">
        <f t="shared" si="73"/>
        <v>0</v>
      </c>
      <c r="N238" s="615">
        <f t="shared" si="73"/>
        <v>0</v>
      </c>
      <c r="O238" s="615">
        <f t="shared" si="73"/>
        <v>0</v>
      </c>
      <c r="P238" s="616">
        <f t="shared" si="72"/>
        <v>0</v>
      </c>
      <c r="Q238" s="575"/>
      <c r="R238" s="576"/>
      <c r="S238" s="576"/>
      <c r="T238" s="576"/>
      <c r="U238" s="577"/>
    </row>
    <row r="239" spans="1:452" s="588" customFormat="1" ht="18" x14ac:dyDescent="0.35">
      <c r="A239" s="601"/>
      <c r="B239" s="602"/>
      <c r="C239" s="603"/>
      <c r="D239" s="603"/>
      <c r="E239" s="586"/>
      <c r="F239" s="587"/>
      <c r="G239" s="587"/>
      <c r="H239" s="587"/>
      <c r="I239" s="587"/>
      <c r="J239" s="587"/>
      <c r="K239" s="587"/>
      <c r="L239" s="587"/>
      <c r="M239" s="587"/>
      <c r="N239" s="587"/>
      <c r="O239" s="587"/>
      <c r="P239" s="604">
        <f t="shared" si="72"/>
        <v>0</v>
      </c>
      <c r="Q239" s="575"/>
      <c r="R239" s="576"/>
      <c r="S239" s="576"/>
      <c r="T239" s="576"/>
      <c r="U239" s="577"/>
      <c r="V239" s="524"/>
      <c r="W239" s="524"/>
      <c r="X239" s="524"/>
      <c r="Y239" s="524"/>
      <c r="Z239" s="524"/>
      <c r="AA239" s="524"/>
      <c r="AB239" s="524"/>
      <c r="AC239" s="524"/>
      <c r="AD239" s="524"/>
      <c r="AE239" s="524"/>
      <c r="AF239" s="524"/>
      <c r="AG239" s="524"/>
      <c r="AH239" s="524"/>
      <c r="AI239" s="524"/>
      <c r="AJ239" s="524"/>
      <c r="AK239" s="524"/>
      <c r="AL239" s="524"/>
      <c r="AM239" s="524"/>
      <c r="AN239" s="524"/>
      <c r="AO239" s="524"/>
      <c r="AP239" s="524"/>
      <c r="AQ239" s="524"/>
      <c r="AR239" s="524"/>
      <c r="AS239" s="524"/>
      <c r="AT239" s="524"/>
      <c r="AU239" s="524"/>
      <c r="AV239" s="524"/>
      <c r="AW239" s="524"/>
      <c r="AX239" s="524"/>
      <c r="AY239" s="524"/>
      <c r="AZ239" s="524"/>
      <c r="BA239" s="524"/>
      <c r="BB239" s="524"/>
      <c r="BC239" s="524"/>
      <c r="BD239" s="524"/>
      <c r="BE239" s="524"/>
      <c r="BF239" s="524"/>
      <c r="BG239" s="524"/>
      <c r="BH239" s="524"/>
      <c r="BI239" s="524"/>
      <c r="BJ239" s="524"/>
      <c r="BK239" s="524"/>
      <c r="BL239" s="524"/>
      <c r="BM239" s="524"/>
      <c r="BN239" s="524"/>
      <c r="BO239" s="524"/>
      <c r="BP239" s="524"/>
      <c r="BQ239" s="524"/>
      <c r="BR239" s="524"/>
      <c r="BS239" s="524"/>
      <c r="BT239" s="524"/>
      <c r="BU239" s="524"/>
      <c r="BV239" s="524"/>
      <c r="BW239" s="524"/>
      <c r="BX239" s="524"/>
      <c r="BY239" s="524"/>
      <c r="BZ239" s="524"/>
      <c r="CA239" s="524"/>
      <c r="CB239" s="524"/>
      <c r="CC239" s="524"/>
      <c r="CD239" s="524"/>
      <c r="CE239" s="524"/>
      <c r="CF239" s="524"/>
      <c r="CG239" s="524"/>
      <c r="CH239" s="524"/>
      <c r="CI239" s="524"/>
      <c r="CJ239" s="524"/>
      <c r="CK239" s="524"/>
      <c r="CL239" s="524"/>
      <c r="CM239" s="524"/>
      <c r="CN239" s="524"/>
      <c r="CO239" s="524"/>
      <c r="CP239" s="524"/>
      <c r="CQ239" s="524"/>
      <c r="CR239" s="524"/>
      <c r="CS239" s="524"/>
      <c r="CT239" s="524"/>
      <c r="CU239" s="524"/>
      <c r="CV239" s="524"/>
      <c r="CW239" s="524"/>
      <c r="CX239" s="524"/>
      <c r="CY239" s="524"/>
      <c r="CZ239" s="524"/>
      <c r="DA239" s="524"/>
      <c r="DB239" s="524"/>
      <c r="DC239" s="524"/>
      <c r="DD239" s="524"/>
      <c r="DE239" s="524"/>
      <c r="DF239" s="524"/>
      <c r="DG239" s="524"/>
      <c r="DH239" s="524"/>
      <c r="DI239" s="524"/>
      <c r="DJ239" s="524"/>
      <c r="DK239" s="524"/>
      <c r="DL239" s="524"/>
      <c r="DM239" s="524"/>
      <c r="DN239" s="524"/>
      <c r="DO239" s="524"/>
      <c r="DP239" s="524"/>
      <c r="DQ239" s="524"/>
      <c r="DR239" s="524"/>
      <c r="DS239" s="524"/>
      <c r="DT239" s="524"/>
      <c r="DU239" s="524"/>
      <c r="DV239" s="524"/>
      <c r="DW239" s="524"/>
      <c r="DX239" s="524"/>
      <c r="DY239" s="524"/>
      <c r="DZ239" s="524"/>
      <c r="EA239" s="524"/>
      <c r="EB239" s="524"/>
      <c r="EC239" s="524"/>
      <c r="ED239" s="524"/>
      <c r="EE239" s="524"/>
      <c r="EF239" s="524"/>
      <c r="EG239" s="524"/>
      <c r="EH239" s="524"/>
      <c r="EI239" s="524"/>
      <c r="EJ239" s="524"/>
      <c r="EK239" s="524"/>
      <c r="EL239" s="524"/>
      <c r="EM239" s="524"/>
      <c r="EN239" s="524"/>
      <c r="EO239" s="524"/>
      <c r="EP239" s="524"/>
      <c r="EQ239" s="524"/>
      <c r="ER239" s="524"/>
      <c r="ES239" s="524"/>
      <c r="ET239" s="524"/>
      <c r="EU239" s="524"/>
      <c r="EV239" s="524"/>
      <c r="EW239" s="524"/>
      <c r="EX239" s="524"/>
      <c r="EY239" s="524"/>
      <c r="EZ239" s="524"/>
      <c r="FA239" s="524"/>
      <c r="FB239" s="524"/>
      <c r="FC239" s="524"/>
      <c r="FD239" s="524"/>
      <c r="FE239" s="524"/>
      <c r="FF239" s="524"/>
      <c r="FG239" s="524"/>
      <c r="FH239" s="524"/>
      <c r="FI239" s="524"/>
      <c r="FJ239" s="524"/>
      <c r="FK239" s="524"/>
      <c r="FL239" s="524"/>
      <c r="FM239" s="524"/>
      <c r="FN239" s="524"/>
      <c r="FO239" s="524"/>
      <c r="FP239" s="524"/>
      <c r="FQ239" s="524"/>
      <c r="FR239" s="524"/>
      <c r="FS239" s="524"/>
      <c r="FT239" s="524"/>
      <c r="FU239" s="524"/>
      <c r="FV239" s="524"/>
      <c r="FW239" s="524"/>
      <c r="FX239" s="524"/>
      <c r="FY239" s="524"/>
      <c r="FZ239" s="524"/>
      <c r="GA239" s="524"/>
      <c r="GB239" s="524"/>
      <c r="GC239" s="524"/>
      <c r="GD239" s="524"/>
      <c r="GE239" s="524"/>
      <c r="GF239" s="524"/>
      <c r="GG239" s="524"/>
      <c r="GH239" s="524"/>
      <c r="GI239" s="524"/>
      <c r="GJ239" s="524"/>
      <c r="GK239" s="524"/>
      <c r="GL239" s="524"/>
      <c r="GM239" s="524"/>
      <c r="GN239" s="524"/>
      <c r="GO239" s="524"/>
      <c r="GP239" s="524"/>
      <c r="GQ239" s="524"/>
      <c r="GR239" s="524"/>
      <c r="GS239" s="524"/>
      <c r="GT239" s="524"/>
      <c r="GU239" s="524"/>
      <c r="GV239" s="524"/>
      <c r="GW239" s="524"/>
      <c r="GX239" s="524"/>
      <c r="GY239" s="524"/>
      <c r="GZ239" s="524"/>
      <c r="HA239" s="524"/>
      <c r="HB239" s="524"/>
      <c r="HC239" s="524"/>
      <c r="HD239" s="524"/>
      <c r="HE239" s="524"/>
      <c r="HF239" s="524"/>
      <c r="HG239" s="524"/>
      <c r="HH239" s="524"/>
      <c r="HI239" s="524"/>
      <c r="HJ239" s="524"/>
      <c r="HK239" s="524"/>
      <c r="HL239" s="524"/>
      <c r="HM239" s="524"/>
      <c r="HN239" s="524"/>
      <c r="HO239" s="524"/>
      <c r="HP239" s="524"/>
      <c r="HQ239" s="524"/>
      <c r="HR239" s="524"/>
      <c r="HS239" s="524"/>
      <c r="HT239" s="524"/>
      <c r="HU239" s="524"/>
      <c r="HV239" s="524"/>
      <c r="HW239" s="524"/>
      <c r="HX239" s="524"/>
      <c r="HY239" s="524"/>
      <c r="HZ239" s="524"/>
      <c r="IA239" s="524"/>
      <c r="IB239" s="524"/>
      <c r="IC239" s="524"/>
      <c r="ID239" s="524"/>
      <c r="IE239" s="524"/>
      <c r="IF239" s="524"/>
      <c r="IG239" s="524"/>
      <c r="IH239" s="524"/>
      <c r="II239" s="524"/>
      <c r="IJ239" s="524"/>
      <c r="IK239" s="524"/>
      <c r="IL239" s="524"/>
      <c r="IM239" s="524"/>
      <c r="IN239" s="524"/>
      <c r="IO239" s="524"/>
      <c r="IP239" s="524"/>
      <c r="IQ239" s="524"/>
      <c r="IR239" s="524"/>
      <c r="IS239" s="524"/>
      <c r="IT239" s="524"/>
      <c r="IU239" s="524"/>
      <c r="IV239" s="524"/>
      <c r="IW239" s="524"/>
      <c r="IX239" s="524"/>
      <c r="IY239" s="524"/>
      <c r="IZ239" s="524"/>
      <c r="JA239" s="524"/>
      <c r="JB239" s="524"/>
      <c r="JC239" s="524"/>
      <c r="JD239" s="524"/>
      <c r="JE239" s="524"/>
      <c r="JF239" s="524"/>
      <c r="JG239" s="524"/>
      <c r="JH239" s="524"/>
      <c r="JI239" s="524"/>
      <c r="JJ239" s="524"/>
      <c r="JK239" s="524"/>
      <c r="JL239" s="524"/>
      <c r="JM239" s="524"/>
      <c r="JN239" s="524"/>
      <c r="JO239" s="524"/>
      <c r="JP239" s="524"/>
      <c r="JQ239" s="524"/>
      <c r="JR239" s="524"/>
      <c r="JS239" s="524"/>
      <c r="JT239" s="524"/>
      <c r="JU239" s="524"/>
      <c r="JV239" s="524"/>
      <c r="JW239" s="524"/>
      <c r="JX239" s="524"/>
      <c r="JY239" s="524"/>
      <c r="JZ239" s="524"/>
      <c r="KA239" s="524"/>
      <c r="KB239" s="524"/>
      <c r="KC239" s="524"/>
      <c r="KD239" s="524"/>
      <c r="KE239" s="524"/>
      <c r="KF239" s="524"/>
      <c r="KG239" s="524"/>
      <c r="KH239" s="524"/>
      <c r="KI239" s="524"/>
      <c r="KJ239" s="524"/>
      <c r="KK239" s="524"/>
      <c r="KL239" s="524"/>
      <c r="KM239" s="524"/>
      <c r="KN239" s="524"/>
      <c r="KO239" s="524"/>
      <c r="KP239" s="524"/>
      <c r="KQ239" s="524"/>
      <c r="KR239" s="524"/>
      <c r="KS239" s="524"/>
      <c r="KT239" s="524"/>
      <c r="KU239" s="524"/>
      <c r="KV239" s="524"/>
      <c r="KW239" s="524"/>
      <c r="KX239" s="524"/>
      <c r="KY239" s="524"/>
      <c r="KZ239" s="524"/>
      <c r="LA239" s="524"/>
      <c r="LB239" s="524"/>
      <c r="LC239" s="524"/>
      <c r="LD239" s="524"/>
      <c r="LE239" s="524"/>
      <c r="LF239" s="524"/>
      <c r="LG239" s="524"/>
      <c r="LH239" s="524"/>
      <c r="LI239" s="524"/>
      <c r="LJ239" s="524"/>
      <c r="LK239" s="524"/>
      <c r="LL239" s="524"/>
      <c r="LM239" s="524"/>
      <c r="LN239" s="524"/>
      <c r="LO239" s="524"/>
      <c r="LP239" s="524"/>
      <c r="LQ239" s="524"/>
      <c r="LR239" s="524"/>
      <c r="LS239" s="524"/>
      <c r="LT239" s="524"/>
      <c r="LU239" s="524"/>
      <c r="LV239" s="524"/>
      <c r="LW239" s="524"/>
      <c r="LX239" s="524"/>
      <c r="LY239" s="524"/>
      <c r="LZ239" s="524"/>
      <c r="MA239" s="524"/>
      <c r="MB239" s="524"/>
      <c r="MC239" s="524"/>
      <c r="MD239" s="524"/>
      <c r="ME239" s="524"/>
      <c r="MF239" s="524"/>
      <c r="MG239" s="524"/>
      <c r="MH239" s="524"/>
      <c r="MI239" s="524"/>
      <c r="MJ239" s="524"/>
      <c r="MK239" s="524"/>
      <c r="ML239" s="524"/>
      <c r="MM239" s="524"/>
      <c r="MN239" s="524"/>
      <c r="MO239" s="524"/>
      <c r="MP239" s="524"/>
      <c r="MQ239" s="524"/>
      <c r="MR239" s="524"/>
      <c r="MS239" s="524"/>
      <c r="MT239" s="524"/>
      <c r="MU239" s="524"/>
      <c r="MV239" s="524"/>
      <c r="MW239" s="524"/>
      <c r="MX239" s="524"/>
      <c r="MY239" s="524"/>
      <c r="MZ239" s="524"/>
      <c r="NA239" s="524"/>
      <c r="NB239" s="524"/>
      <c r="NC239" s="524"/>
      <c r="ND239" s="524"/>
      <c r="NE239" s="524"/>
      <c r="NF239" s="524"/>
      <c r="NG239" s="524"/>
      <c r="NH239" s="524"/>
      <c r="NI239" s="524"/>
      <c r="NJ239" s="524"/>
      <c r="NK239" s="524"/>
      <c r="NL239" s="524"/>
      <c r="NM239" s="524"/>
      <c r="NN239" s="524"/>
      <c r="NO239" s="524"/>
      <c r="NP239" s="524"/>
      <c r="NQ239" s="524"/>
      <c r="NR239" s="524"/>
      <c r="NS239" s="524"/>
      <c r="NT239" s="524"/>
      <c r="NU239" s="524"/>
      <c r="NV239" s="524"/>
      <c r="NW239" s="524"/>
      <c r="NX239" s="524"/>
      <c r="NY239" s="524"/>
      <c r="NZ239" s="524"/>
      <c r="OA239" s="524"/>
      <c r="OB239" s="524"/>
      <c r="OC239" s="524"/>
      <c r="OD239" s="524"/>
      <c r="OE239" s="524"/>
      <c r="OF239" s="524"/>
      <c r="OG239" s="524"/>
      <c r="OH239" s="524"/>
      <c r="OI239" s="524"/>
      <c r="OJ239" s="524"/>
      <c r="OK239" s="524"/>
      <c r="OL239" s="524"/>
      <c r="OM239" s="524"/>
      <c r="ON239" s="524"/>
      <c r="OO239" s="524"/>
      <c r="OP239" s="524"/>
      <c r="OQ239" s="524"/>
      <c r="OR239" s="524"/>
      <c r="OS239" s="524"/>
      <c r="OT239" s="524"/>
      <c r="OU239" s="524"/>
      <c r="OV239" s="524"/>
      <c r="OW239" s="524"/>
      <c r="OX239" s="524"/>
      <c r="OY239" s="524"/>
      <c r="OZ239" s="524"/>
      <c r="PA239" s="524"/>
      <c r="PB239" s="524"/>
      <c r="PC239" s="524"/>
      <c r="PD239" s="524"/>
      <c r="PE239" s="524"/>
      <c r="PF239" s="524"/>
      <c r="PG239" s="524"/>
      <c r="PH239" s="524"/>
      <c r="PI239" s="524"/>
      <c r="PJ239" s="524"/>
      <c r="PK239" s="524"/>
      <c r="PL239" s="524"/>
      <c r="PM239" s="524"/>
      <c r="PN239" s="524"/>
      <c r="PO239" s="524"/>
      <c r="PP239" s="524"/>
      <c r="PQ239" s="524"/>
      <c r="PR239" s="524"/>
      <c r="PS239" s="524"/>
      <c r="PT239" s="524"/>
      <c r="PU239" s="524"/>
      <c r="PV239" s="524"/>
      <c r="PW239" s="524"/>
      <c r="PX239" s="524"/>
      <c r="PY239" s="524"/>
      <c r="PZ239" s="524"/>
      <c r="QA239" s="524"/>
      <c r="QB239" s="524"/>
      <c r="QC239" s="524"/>
      <c r="QD239" s="524"/>
      <c r="QE239" s="524"/>
      <c r="QF239" s="524"/>
      <c r="QG239" s="524"/>
      <c r="QH239" s="524"/>
      <c r="QI239" s="524"/>
      <c r="QJ239" s="524"/>
    </row>
    <row r="240" spans="1:452" s="592" customFormat="1" ht="18" x14ac:dyDescent="0.35">
      <c r="A240" s="618"/>
      <c r="B240" s="619"/>
      <c r="C240" s="620"/>
      <c r="D240" s="619" t="s">
        <v>134</v>
      </c>
      <c r="E240" s="621"/>
      <c r="F240" s="622" cm="1">
        <f t="array" ref="F240">SUMPRODUCT(F$14:F$43,--($D$14:$D$43=$D240),--($Q$14:$Q$43=FALSE),$S$14:$S$43,--($S$14:$S$43&gt;0))+SUMPRODUCT(F$14:F$43,--($D$14:$D$43=$D240),--($Q$14:$Q$43=FALSE),$S$14:$S$43,--($S$14:$S$43&gt;0),--($R$14:$R$43="Yes"))*0.1+SUMPRODUCT(F$14:F$43,--($D$14:$D$43=$D240),--($Q$14:$Q$43=FALSE),--($S$14:$S$43=0))+SUMPRODUCT(F$14:F$43,--($D$14:$D$43=$D240),--($Q$14:$Q$43=FALSE),--($R$14:$R$43="Yes"),--($S$14:$S$43=0))*0.1</f>
        <v>0</v>
      </c>
      <c r="G240" s="622" cm="1">
        <f t="array" ref="G240">SUMPRODUCT(G$14:G$43,--($D$14:$D$43=$D240),--($Q$14:$Q$43=FALSE),$S$14:$S$43,--($S$14:$S$43&gt;0))+SUMPRODUCT(G$14:G$43,--($D$14:$D$43=$D240),--($Q$14:$Q$43=FALSE),$S$14:$S$43,--($S$14:$S$43&gt;0),--($R$14:$R$43="Yes"))*0.1+SUMPRODUCT(G$14:G$43,--($D$14:$D$43=$D240),--($Q$14:$Q$43=FALSE),--($S$14:$S$43=0))+SUMPRODUCT(G$14:G$43,--($D$14:$D$43=$D240),--($Q$14:$Q$43=FALSE),--($R$14:$R$43="Yes"),--($S$14:$S$43=0))*0.1</f>
        <v>0</v>
      </c>
      <c r="H240" s="622" cm="1">
        <f t="array" ref="H240">SUMPRODUCT(H$14:H$43,--($D$14:$D$43=$D240),--($Q$14:$Q$43=FALSE),$S$14:$S$43,--($S$14:$S$43&gt;0))+SUMPRODUCT(H$14:H$43,--($D$14:$D$43=$D240),--($Q$14:$Q$43=FALSE),$S$14:$S$43,--($S$14:$S$43&gt;0),--($R$14:$R$43="Yes"))*0.1+SUMPRODUCT(H$14:H$43,--($D$14:$D$43=$D240),--($Q$14:$Q$43=FALSE),--($S$14:$S$43=0))+SUMPRODUCT(H$14:H$43,--($D$14:$D$43=$D240),--($Q$14:$Q$43=FALSE),--($R$14:$R$43="Yes"),--($S$14:$S$43=0))*0.1</f>
        <v>0</v>
      </c>
      <c r="I240" s="622" cm="1">
        <f t="array" ref="I240">SUMPRODUCT(I$14:I$43,--($D$14:$D$43=$D240),--($Q$14:$Q$43=FALSE),$S$14:$S$43,--($S$14:$S$43&gt;0))+SUMPRODUCT(I$14:I$43,--($D$14:$D$43=$D240),--($Q$14:$Q$43=FALSE),$S$14:$S$43,--($S$14:$S$43&gt;0),--($R$14:$R$43="Yes"))*0.1+SUMPRODUCT(I$14:I$43,--($D$14:$D$43=$D240),--($Q$14:$Q$43=FALSE),--($S$14:$S$43=0))+SUMPRODUCT(I$14:I$43,--($D$14:$D$43=$D240),--($Q$14:$Q$43=FALSE),--($R$14:$R$43="Yes"),--($S$14:$S$43=0))*0.1</f>
        <v>0</v>
      </c>
      <c r="J240" s="622" cm="1">
        <f t="array" ref="J240">SUMPRODUCT(J$14:J$43,--($D$14:$D$43=$D240),--($Q$14:$Q$43=FALSE),$S$14:$S$43,--($S$14:$S$43&gt;0))+SUMPRODUCT(J$14:J$43,--($D$14:$D$43=$D240),--($Q$14:$Q$43=FALSE),$S$14:$S$43,--($S$14:$S$43&gt;0),--($R$14:$R$43="Yes"))*0.1+SUMPRODUCT(J$14:J$43,--($D$14:$D$43=$D240),--($Q$14:$Q$43=FALSE),--($S$14:$S$43=0))+SUMPRODUCT(J$14:J$43,--($D$14:$D$43=$D240),--($Q$14:$Q$43=FALSE),--($R$14:$R$43="Yes"),--($S$14:$S$43=0))*0.1</f>
        <v>0</v>
      </c>
      <c r="K240" s="622" cm="1">
        <f t="array" ref="K240">SUMPRODUCT(K$14:K$43,--($D$14:$D$43=$D240),--($Q$14:$Q$43=FALSE),$S$14:$S$43,--($S$14:$S$43&gt;0))+SUMPRODUCT(K$14:K$43,--($D$14:$D$43=$D240),--($Q$14:$Q$43=FALSE),$S$14:$S$43,--($S$14:$S$43&gt;0),--($R$14:$R$43="Yes"))*0.1+SUMPRODUCT(K$14:K$43,--($D$14:$D$43=$D240),--($Q$14:$Q$43=FALSE),--($S$14:$S$43=0))+SUMPRODUCT(K$14:K$43,--($D$14:$D$43=$D240),--($Q$14:$Q$43=FALSE),--($R$14:$R$43="Yes"),--($S$14:$S$43=0))*0.1</f>
        <v>0</v>
      </c>
      <c r="L240" s="622" cm="1">
        <f t="array" ref="L240">SUMPRODUCT(L$14:L$43,--($D$14:$D$43=$D240),--($Q$14:$Q$43=FALSE),$S$14:$S$43,--($S$14:$S$43&gt;0))+SUMPRODUCT(L$14:L$43,--($D$14:$D$43=$D240),--($Q$14:$Q$43=FALSE),$S$14:$S$43,--($S$14:$S$43&gt;0),--($R$14:$R$43="Yes"))*0.1+SUMPRODUCT(L$14:L$43,--($D$14:$D$43=$D240),--($Q$14:$Q$43=FALSE),--($S$14:$S$43=0))+SUMPRODUCT(L$14:L$43,--($D$14:$D$43=$D240),--($Q$14:$Q$43=FALSE),--($R$14:$R$43="Yes"),--($S$14:$S$43=0))*0.1</f>
        <v>0</v>
      </c>
      <c r="M240" s="622" cm="1">
        <f t="array" ref="M240">SUMPRODUCT(M$14:M$43,--($D$14:$D$43=$D240),--($Q$14:$Q$43=FALSE),$S$14:$S$43,--($S$14:$S$43&gt;0))+SUMPRODUCT(M$14:M$43,--($D$14:$D$43=$D240),--($Q$14:$Q$43=FALSE),$S$14:$S$43,--($S$14:$S$43&gt;0),--($R$14:$R$43="Yes"))*0.1+SUMPRODUCT(M$14:M$43,--($D$14:$D$43=$D240),--($Q$14:$Q$43=FALSE),--($S$14:$S$43=0))+SUMPRODUCT(M$14:M$43,--($D$14:$D$43=$D240),--($Q$14:$Q$43=FALSE),--($R$14:$R$43="Yes"),--($S$14:$S$43=0))*0.1</f>
        <v>0</v>
      </c>
      <c r="N240" s="622" cm="1">
        <f t="array" ref="N240">SUMPRODUCT(N$14:N$43,--($D$14:$D$43=$D240),--($Q$14:$Q$43=FALSE),$S$14:$S$43,--($S$14:$S$43&gt;0))+SUMPRODUCT(N$14:N$43,--($D$14:$D$43=$D240),--($Q$14:$Q$43=FALSE),$S$14:$S$43,--($S$14:$S$43&gt;0),--($R$14:$R$43="Yes"))*0.1+SUMPRODUCT(N$14:N$43,--($D$14:$D$43=$D240),--($Q$14:$Q$43=FALSE),--($S$14:$S$43=0))+SUMPRODUCT(N$14:N$43,--($D$14:$D$43=$D240),--($Q$14:$Q$43=FALSE),--($R$14:$R$43="Yes"),--($S$14:$S$43=0))*0.1</f>
        <v>0</v>
      </c>
      <c r="O240" s="622" cm="1">
        <f t="array" ref="O240">SUMPRODUCT(O$14:O$43,--($D$14:$D$43=$D240),--($Q$14:$Q$43=FALSE),$S$14:$S$43,--($S$14:$S$43&gt;0))+SUMPRODUCT(O$14:O$43,--($D$14:$D$43=$D240),--($Q$14:$Q$43=FALSE),$S$14:$S$43,--($S$14:$S$43&gt;0),--($R$14:$R$43="Yes"))*0.1+SUMPRODUCT(O$14:O$43,--($D$14:$D$43=$D240),--($Q$14:$Q$43=FALSE),--($S$14:$S$43=0))+SUMPRODUCT(O$14:O$43,--($D$14:$D$43=$D240),--($Q$14:$Q$43=FALSE),--($R$14:$R$43="Yes"),--($S$14:$S$43=0))*0.1</f>
        <v>0</v>
      </c>
      <c r="P240" s="623">
        <f t="shared" si="72"/>
        <v>0</v>
      </c>
      <c r="Q240" s="575"/>
      <c r="R240" s="576"/>
      <c r="S240" s="576"/>
      <c r="T240" s="576"/>
      <c r="U240" s="577"/>
      <c r="V240" s="610"/>
      <c r="W240" s="610"/>
      <c r="X240" s="610"/>
      <c r="Y240" s="610"/>
      <c r="Z240" s="610"/>
      <c r="AA240" s="610"/>
      <c r="AB240" s="610"/>
      <c r="AC240" s="610"/>
      <c r="AD240" s="610"/>
      <c r="AE240" s="610"/>
      <c r="AF240" s="610"/>
      <c r="AG240" s="610"/>
      <c r="AH240" s="610"/>
      <c r="AI240" s="610"/>
      <c r="AJ240" s="610"/>
      <c r="AK240" s="610"/>
      <c r="AL240" s="610"/>
      <c r="AM240" s="610"/>
      <c r="AN240" s="610"/>
      <c r="AO240" s="610"/>
      <c r="AP240" s="610"/>
      <c r="AQ240" s="610"/>
      <c r="AR240" s="610"/>
      <c r="AS240" s="610"/>
      <c r="AT240" s="610"/>
      <c r="AU240" s="610"/>
      <c r="AV240" s="610"/>
      <c r="AW240" s="610"/>
      <c r="AX240" s="610"/>
      <c r="AY240" s="610"/>
      <c r="AZ240" s="610"/>
      <c r="BA240" s="610"/>
      <c r="BB240" s="610"/>
      <c r="BC240" s="610"/>
      <c r="BD240" s="610"/>
      <c r="BE240" s="610"/>
      <c r="BF240" s="610"/>
      <c r="BG240" s="610"/>
      <c r="BH240" s="610"/>
      <c r="BI240" s="610"/>
      <c r="BJ240" s="610"/>
      <c r="BK240" s="610"/>
      <c r="BL240" s="610"/>
      <c r="BM240" s="610"/>
      <c r="BN240" s="610"/>
      <c r="BO240" s="610"/>
      <c r="BP240" s="610"/>
      <c r="BQ240" s="610"/>
      <c r="BR240" s="610"/>
      <c r="BS240" s="610"/>
      <c r="BT240" s="610"/>
      <c r="BU240" s="610"/>
      <c r="BV240" s="610"/>
      <c r="BW240" s="610"/>
      <c r="BX240" s="610"/>
      <c r="BY240" s="610"/>
      <c r="BZ240" s="610"/>
      <c r="CA240" s="610"/>
      <c r="CB240" s="610"/>
      <c r="CC240" s="610"/>
      <c r="CD240" s="610"/>
      <c r="CE240" s="610"/>
      <c r="CF240" s="610"/>
      <c r="CG240" s="610"/>
      <c r="CH240" s="610"/>
      <c r="CI240" s="610"/>
      <c r="CJ240" s="610"/>
      <c r="CK240" s="610"/>
      <c r="CL240" s="610"/>
      <c r="CM240" s="610"/>
      <c r="CN240" s="610"/>
      <c r="CO240" s="610"/>
      <c r="CP240" s="610"/>
      <c r="CQ240" s="610"/>
      <c r="CR240" s="610"/>
      <c r="CS240" s="610"/>
      <c r="CT240" s="610"/>
      <c r="CU240" s="610"/>
      <c r="CV240" s="610"/>
      <c r="CW240" s="610"/>
      <c r="CX240" s="610"/>
      <c r="CY240" s="610"/>
      <c r="CZ240" s="610"/>
      <c r="DA240" s="610"/>
      <c r="DB240" s="610"/>
      <c r="DC240" s="610"/>
      <c r="DD240" s="610"/>
      <c r="DE240" s="610"/>
      <c r="DF240" s="610"/>
      <c r="DG240" s="610"/>
      <c r="DH240" s="610"/>
      <c r="DI240" s="610"/>
      <c r="DJ240" s="610"/>
      <c r="DK240" s="610"/>
      <c r="DL240" s="610"/>
      <c r="DM240" s="610"/>
      <c r="DN240" s="610"/>
      <c r="DO240" s="610"/>
      <c r="DP240" s="610"/>
      <c r="DQ240" s="610"/>
      <c r="DR240" s="610"/>
      <c r="DS240" s="610"/>
      <c r="DT240" s="610"/>
      <c r="DU240" s="610"/>
      <c r="DV240" s="610"/>
      <c r="DW240" s="610"/>
      <c r="DX240" s="610"/>
      <c r="DY240" s="610"/>
      <c r="DZ240" s="610"/>
      <c r="EA240" s="610"/>
      <c r="EB240" s="610"/>
      <c r="EC240" s="610"/>
      <c r="ED240" s="610"/>
      <c r="EE240" s="610"/>
      <c r="EF240" s="610"/>
      <c r="EG240" s="610"/>
      <c r="EH240" s="610"/>
      <c r="EI240" s="610"/>
      <c r="EJ240" s="610"/>
      <c r="EK240" s="610"/>
      <c r="EL240" s="610"/>
      <c r="EM240" s="610"/>
      <c r="EN240" s="610"/>
      <c r="EO240" s="610"/>
      <c r="EP240" s="610"/>
      <c r="EQ240" s="610"/>
      <c r="ER240" s="610"/>
      <c r="ES240" s="610"/>
      <c r="ET240" s="610"/>
      <c r="EU240" s="610"/>
      <c r="EV240" s="610"/>
      <c r="EW240" s="610"/>
      <c r="EX240" s="610"/>
      <c r="EY240" s="610"/>
      <c r="EZ240" s="610"/>
      <c r="FA240" s="610"/>
      <c r="FB240" s="610"/>
      <c r="FC240" s="610"/>
      <c r="FD240" s="610"/>
      <c r="FE240" s="610"/>
      <c r="FF240" s="610"/>
      <c r="FG240" s="610"/>
      <c r="FH240" s="610"/>
      <c r="FI240" s="610"/>
      <c r="FJ240" s="610"/>
      <c r="FK240" s="610"/>
      <c r="FL240" s="610"/>
      <c r="FM240" s="610"/>
      <c r="FN240" s="610"/>
      <c r="FO240" s="610"/>
      <c r="FP240" s="610"/>
      <c r="FQ240" s="610"/>
      <c r="FR240" s="610"/>
      <c r="FS240" s="610"/>
      <c r="FT240" s="610"/>
      <c r="FU240" s="610"/>
      <c r="FV240" s="610"/>
      <c r="FW240" s="610"/>
      <c r="FX240" s="610"/>
      <c r="FY240" s="610"/>
      <c r="FZ240" s="610"/>
      <c r="GA240" s="610"/>
      <c r="GB240" s="610"/>
      <c r="GC240" s="610"/>
      <c r="GD240" s="610"/>
      <c r="GE240" s="610"/>
      <c r="GF240" s="610"/>
      <c r="GG240" s="610"/>
      <c r="GH240" s="610"/>
      <c r="GI240" s="610"/>
      <c r="GJ240" s="610"/>
      <c r="GK240" s="610"/>
      <c r="GL240" s="610"/>
      <c r="GM240" s="610"/>
      <c r="GN240" s="610"/>
      <c r="GO240" s="610"/>
      <c r="GP240" s="610"/>
      <c r="GQ240" s="610"/>
      <c r="GR240" s="610"/>
      <c r="GS240" s="610"/>
      <c r="GT240" s="610"/>
      <c r="GU240" s="610"/>
      <c r="GV240" s="610"/>
      <c r="GW240" s="610"/>
      <c r="GX240" s="610"/>
      <c r="GY240" s="610"/>
      <c r="GZ240" s="610"/>
      <c r="HA240" s="610"/>
      <c r="HB240" s="610"/>
      <c r="HC240" s="610"/>
      <c r="HD240" s="610"/>
      <c r="HE240" s="610"/>
      <c r="HF240" s="610"/>
      <c r="HG240" s="610"/>
      <c r="HH240" s="610"/>
      <c r="HI240" s="610"/>
      <c r="HJ240" s="610"/>
      <c r="HK240" s="610"/>
      <c r="HL240" s="610"/>
      <c r="HM240" s="610"/>
      <c r="HN240" s="610"/>
      <c r="HO240" s="610"/>
      <c r="HP240" s="610"/>
      <c r="HQ240" s="610"/>
      <c r="HR240" s="610"/>
      <c r="HS240" s="610"/>
      <c r="HT240" s="610"/>
      <c r="HU240" s="610"/>
      <c r="HV240" s="610"/>
      <c r="HW240" s="610"/>
      <c r="HX240" s="610"/>
      <c r="HY240" s="610"/>
      <c r="HZ240" s="610"/>
      <c r="IA240" s="610"/>
      <c r="IB240" s="610"/>
      <c r="IC240" s="610"/>
      <c r="ID240" s="610"/>
      <c r="IE240" s="610"/>
      <c r="IF240" s="610"/>
      <c r="IG240" s="610"/>
      <c r="IH240" s="610"/>
      <c r="II240" s="610"/>
      <c r="IJ240" s="610"/>
      <c r="IK240" s="610"/>
      <c r="IL240" s="610"/>
      <c r="IM240" s="610"/>
      <c r="IN240" s="610"/>
      <c r="IO240" s="610"/>
      <c r="IP240" s="610"/>
      <c r="IQ240" s="610"/>
      <c r="IR240" s="610"/>
      <c r="IS240" s="610"/>
      <c r="IT240" s="610"/>
      <c r="IU240" s="610"/>
      <c r="IV240" s="610"/>
      <c r="IW240" s="610"/>
      <c r="IX240" s="610"/>
      <c r="IY240" s="610"/>
      <c r="IZ240" s="610"/>
      <c r="JA240" s="610"/>
      <c r="JB240" s="610"/>
      <c r="JC240" s="610"/>
      <c r="JD240" s="610"/>
      <c r="JE240" s="610"/>
      <c r="JF240" s="610"/>
      <c r="JG240" s="610"/>
      <c r="JH240" s="610"/>
      <c r="JI240" s="610"/>
      <c r="JJ240" s="610"/>
      <c r="JK240" s="610"/>
      <c r="JL240" s="610"/>
      <c r="JM240" s="610"/>
      <c r="JN240" s="610"/>
      <c r="JO240" s="610"/>
      <c r="JP240" s="610"/>
      <c r="JQ240" s="610"/>
      <c r="JR240" s="610"/>
      <c r="JS240" s="610"/>
      <c r="JT240" s="610"/>
      <c r="JU240" s="610"/>
      <c r="JV240" s="610"/>
      <c r="JW240" s="610"/>
      <c r="JX240" s="610"/>
      <c r="JY240" s="610"/>
      <c r="JZ240" s="610"/>
      <c r="KA240" s="610"/>
      <c r="KB240" s="610"/>
      <c r="KC240" s="610"/>
      <c r="KD240" s="610"/>
      <c r="KE240" s="610"/>
      <c r="KF240" s="610"/>
      <c r="KG240" s="610"/>
      <c r="KH240" s="610"/>
      <c r="KI240" s="610"/>
      <c r="KJ240" s="610"/>
      <c r="KK240" s="610"/>
      <c r="KL240" s="610"/>
      <c r="KM240" s="610"/>
      <c r="KN240" s="610"/>
      <c r="KO240" s="610"/>
      <c r="KP240" s="610"/>
      <c r="KQ240" s="610"/>
      <c r="KR240" s="610"/>
      <c r="KS240" s="610"/>
      <c r="KT240" s="610"/>
      <c r="KU240" s="610"/>
      <c r="KV240" s="610"/>
      <c r="KW240" s="610"/>
      <c r="KX240" s="610"/>
      <c r="KY240" s="610"/>
      <c r="KZ240" s="610"/>
      <c r="LA240" s="610"/>
      <c r="LB240" s="610"/>
      <c r="LC240" s="610"/>
      <c r="LD240" s="610"/>
      <c r="LE240" s="610"/>
      <c r="LF240" s="610"/>
      <c r="LG240" s="610"/>
      <c r="LH240" s="610"/>
      <c r="LI240" s="610"/>
      <c r="LJ240" s="610"/>
      <c r="LK240" s="610"/>
      <c r="LL240" s="610"/>
      <c r="LM240" s="610"/>
      <c r="LN240" s="610"/>
      <c r="LO240" s="610"/>
      <c r="LP240" s="610"/>
      <c r="LQ240" s="610"/>
      <c r="LR240" s="610"/>
      <c r="LS240" s="610"/>
      <c r="LT240" s="610"/>
      <c r="LU240" s="610"/>
      <c r="LV240" s="610"/>
      <c r="LW240" s="610"/>
      <c r="LX240" s="610"/>
      <c r="LY240" s="610"/>
      <c r="LZ240" s="610"/>
      <c r="MA240" s="610"/>
      <c r="MB240" s="610"/>
      <c r="MC240" s="610"/>
      <c r="MD240" s="610"/>
      <c r="ME240" s="610"/>
      <c r="MF240" s="610"/>
      <c r="MG240" s="610"/>
      <c r="MH240" s="610"/>
      <c r="MI240" s="610"/>
      <c r="MJ240" s="610"/>
      <c r="MK240" s="610"/>
      <c r="ML240" s="610"/>
      <c r="MM240" s="610"/>
      <c r="MN240" s="610"/>
      <c r="MO240" s="610"/>
      <c r="MP240" s="610"/>
      <c r="MQ240" s="610"/>
      <c r="MR240" s="610"/>
      <c r="MS240" s="610"/>
      <c r="MT240" s="610"/>
      <c r="MU240" s="610"/>
      <c r="MV240" s="610"/>
      <c r="MW240" s="610"/>
      <c r="MX240" s="610"/>
      <c r="MY240" s="610"/>
      <c r="MZ240" s="610"/>
      <c r="NA240" s="610"/>
      <c r="NB240" s="610"/>
      <c r="NC240" s="610"/>
      <c r="ND240" s="610"/>
      <c r="NE240" s="610"/>
      <c r="NF240" s="610"/>
      <c r="NG240" s="610"/>
      <c r="NH240" s="610"/>
      <c r="NI240" s="610"/>
      <c r="NJ240" s="610"/>
      <c r="NK240" s="610"/>
      <c r="NL240" s="610"/>
      <c r="NM240" s="610"/>
      <c r="NN240" s="610"/>
      <c r="NO240" s="610"/>
      <c r="NP240" s="610"/>
      <c r="NQ240" s="610"/>
      <c r="NR240" s="610"/>
      <c r="NS240" s="610"/>
      <c r="NT240" s="610"/>
      <c r="NU240" s="610"/>
      <c r="NV240" s="610"/>
      <c r="NW240" s="610"/>
      <c r="NX240" s="610"/>
      <c r="NY240" s="610"/>
      <c r="NZ240" s="610"/>
      <c r="OA240" s="610"/>
      <c r="OB240" s="610"/>
      <c r="OC240" s="610"/>
      <c r="OD240" s="610"/>
      <c r="OE240" s="610"/>
      <c r="OF240" s="610"/>
      <c r="OG240" s="610"/>
      <c r="OH240" s="610"/>
      <c r="OI240" s="610"/>
      <c r="OJ240" s="610"/>
      <c r="OK240" s="610"/>
      <c r="OL240" s="610"/>
      <c r="OM240" s="610"/>
      <c r="ON240" s="610"/>
      <c r="OO240" s="610"/>
      <c r="OP240" s="610"/>
      <c r="OQ240" s="610"/>
      <c r="OR240" s="610"/>
      <c r="OS240" s="610"/>
      <c r="OT240" s="610"/>
      <c r="OU240" s="610"/>
      <c r="OV240" s="610"/>
      <c r="OW240" s="610"/>
      <c r="OX240" s="610"/>
      <c r="OY240" s="610"/>
      <c r="OZ240" s="610"/>
      <c r="PA240" s="610"/>
      <c r="PB240" s="610"/>
      <c r="PC240" s="610"/>
      <c r="PD240" s="610"/>
      <c r="PE240" s="610"/>
      <c r="PF240" s="610"/>
      <c r="PG240" s="610"/>
      <c r="PH240" s="610"/>
      <c r="PI240" s="610"/>
      <c r="PJ240" s="610"/>
      <c r="PK240" s="610"/>
      <c r="PL240" s="610"/>
      <c r="PM240" s="610"/>
      <c r="PN240" s="610"/>
      <c r="PO240" s="610"/>
      <c r="PP240" s="610"/>
      <c r="PQ240" s="610"/>
      <c r="PR240" s="610"/>
      <c r="PS240" s="610"/>
      <c r="PT240" s="610"/>
      <c r="PU240" s="610"/>
      <c r="PV240" s="610"/>
      <c r="PW240" s="610"/>
      <c r="PX240" s="610"/>
      <c r="PY240" s="610"/>
      <c r="PZ240" s="610"/>
      <c r="QA240" s="610"/>
      <c r="QB240" s="610"/>
      <c r="QC240" s="610"/>
      <c r="QD240" s="610"/>
      <c r="QE240" s="610"/>
      <c r="QF240" s="610"/>
      <c r="QG240" s="610"/>
      <c r="QH240" s="610"/>
      <c r="QI240" s="610"/>
      <c r="QJ240" s="610"/>
    </row>
    <row r="241" spans="1:452" s="524" customFormat="1" ht="18" x14ac:dyDescent="0.35">
      <c r="A241" s="605"/>
      <c r="B241" s="558"/>
      <c r="C241" s="559"/>
      <c r="D241" s="606"/>
      <c r="E241" s="572" t="s">
        <v>86</v>
      </c>
      <c r="F241" s="571" cm="1">
        <f t="array" ref="F241">SUMPRODUCT(F$14:F$43,--($Q$14:$Q$43=FALSE),--($D$14:$D$43=$D240))</f>
        <v>0</v>
      </c>
      <c r="G241" s="571" cm="1">
        <f t="array" ref="G241">SUMPRODUCT(G$14:G$43,--($Q$14:$Q$43=FALSE),--($D$14:$D$43=$D240))</f>
        <v>0</v>
      </c>
      <c r="H241" s="571" cm="1">
        <f t="array" ref="H241">SUMPRODUCT(H$14:H$43,--($Q$14:$Q$43=FALSE),--($D$14:$D$43=$D240))</f>
        <v>0</v>
      </c>
      <c r="I241" s="571" cm="1">
        <f t="array" ref="I241">SUMPRODUCT(I$14:I$43,--($Q$14:$Q$43=FALSE),--($D$14:$D$43=$D240))</f>
        <v>0</v>
      </c>
      <c r="J241" s="571" cm="1">
        <f t="array" ref="J241">SUMPRODUCT(J$14:J$43,--($Q$14:$Q$43=FALSE),--($D$14:$D$43=$D240))</f>
        <v>0</v>
      </c>
      <c r="K241" s="571" cm="1">
        <f t="array" ref="K241">SUMPRODUCT(K$14:K$43,--($Q$14:$Q$43=FALSE),--($D$14:$D$43=$D240))</f>
        <v>0</v>
      </c>
      <c r="L241" s="571" cm="1">
        <f t="array" ref="L241">SUMPRODUCT(L$14:L$43,--($Q$14:$Q$43=FALSE),--($D$14:$D$43=$D240))</f>
        <v>0</v>
      </c>
      <c r="M241" s="571" cm="1">
        <f t="array" ref="M241">SUMPRODUCT(M$14:M$43,--($Q$14:$Q$43=FALSE),--($D$14:$D$43=$D240))</f>
        <v>0</v>
      </c>
      <c r="N241" s="571" cm="1">
        <f t="array" ref="N241">SUMPRODUCT(N$14:N$43,--($Q$14:$Q$43=FALSE),--($D$14:$D$43=$D240))</f>
        <v>0</v>
      </c>
      <c r="O241" s="571" cm="1">
        <f t="array" ref="O241">SUMPRODUCT(O$14:O$43,--($Q$14:$Q$43=FALSE),--($D$14:$D$43=$D240))</f>
        <v>0</v>
      </c>
      <c r="P241" s="607">
        <f t="shared" si="72"/>
        <v>0</v>
      </c>
      <c r="Q241" s="575"/>
      <c r="R241" s="576"/>
      <c r="S241" s="576"/>
      <c r="T241" s="576"/>
      <c r="U241" s="577"/>
    </row>
    <row r="242" spans="1:452" s="524" customFormat="1" ht="18" x14ac:dyDescent="0.35">
      <c r="A242" s="605"/>
      <c r="B242" s="558"/>
      <c r="C242" s="559"/>
      <c r="D242" s="606"/>
      <c r="E242" s="572" t="s">
        <v>87</v>
      </c>
      <c r="F242" s="571" cm="1">
        <f t="array" ref="F242">SUMPRODUCT(F$14:F$43,--($Q$14:$Q$43=FALSE),--($D$14:$D$43=$D240),--($R$14:$R$43="Yes"))*0.1</f>
        <v>0</v>
      </c>
      <c r="G242" s="571" cm="1">
        <f t="array" ref="G242">SUMPRODUCT(G$14:G$43,--($Q$14:$Q$43=FALSE),--($D$14:$D$43=$D240),--($R$14:$R$43="Yes"))*0.1</f>
        <v>0</v>
      </c>
      <c r="H242" s="571" cm="1">
        <f t="array" ref="H242">SUMPRODUCT(H$14:H$43,--($Q$14:$Q$43=FALSE),--($D$14:$D$43=$D240),--($R$14:$R$43="Yes"))*0.1</f>
        <v>0</v>
      </c>
      <c r="I242" s="571" cm="1">
        <f t="array" ref="I242">SUMPRODUCT(I$14:I$43,--($Q$14:$Q$43=FALSE),--($D$14:$D$43=$D240),--($R$14:$R$43="Yes"))*0.1</f>
        <v>0</v>
      </c>
      <c r="J242" s="571" cm="1">
        <f t="array" ref="J242">SUMPRODUCT(J$14:J$43,--($Q$14:$Q$43=FALSE),--($D$14:$D$43=$D240),--($R$14:$R$43="Yes"))*0.1</f>
        <v>0</v>
      </c>
      <c r="K242" s="571" cm="1">
        <f t="array" ref="K242">SUMPRODUCT(K$14:K$43,--($Q$14:$Q$43=FALSE),--($D$14:$D$43=$D240),--($R$14:$R$43="Yes"))*0.1</f>
        <v>0</v>
      </c>
      <c r="L242" s="571" cm="1">
        <f t="array" ref="L242">SUMPRODUCT(L$14:L$43,--($Q$14:$Q$43=FALSE),--($D$14:$D$43=$D240),--($R$14:$R$43="Yes"))*0.1</f>
        <v>0</v>
      </c>
      <c r="M242" s="571" cm="1">
        <f t="array" ref="M242">SUMPRODUCT(M$14:M$43,--($Q$14:$Q$43=FALSE),--($D$14:$D$43=$D240),--($R$14:$R$43="Yes"))*0.1</f>
        <v>0</v>
      </c>
      <c r="N242" s="571" cm="1">
        <f t="array" ref="N242">SUMPRODUCT(N$14:N$43,--($Q$14:$Q$43=FALSE),--($D$14:$D$43=$D240),--($R$14:$R$43="Yes"))*0.1</f>
        <v>0</v>
      </c>
      <c r="O242" s="571" cm="1">
        <f t="array" ref="O242">SUMPRODUCT(O$14:O$43,--($Q$14:$Q$43=FALSE),--($D$14:$D$43=$D240),--($R$14:$R$43="Yes"))*0.1</f>
        <v>0</v>
      </c>
      <c r="P242" s="607">
        <f t="shared" si="72"/>
        <v>0</v>
      </c>
      <c r="Q242" s="575"/>
      <c r="R242" s="576"/>
      <c r="S242" s="576"/>
      <c r="T242" s="576"/>
      <c r="U242" s="577"/>
    </row>
    <row r="243" spans="1:452" s="524" customFormat="1" ht="18" x14ac:dyDescent="0.35">
      <c r="A243" s="605"/>
      <c r="B243" s="558"/>
      <c r="C243" s="559"/>
      <c r="D243" s="606"/>
      <c r="E243" s="572" t="s">
        <v>88</v>
      </c>
      <c r="F243" s="571">
        <f t="shared" ref="F243:O243" si="74">F240-(F241+F242)</f>
        <v>0</v>
      </c>
      <c r="G243" s="571">
        <f t="shared" si="74"/>
        <v>0</v>
      </c>
      <c r="H243" s="571">
        <f t="shared" si="74"/>
        <v>0</v>
      </c>
      <c r="I243" s="571">
        <f t="shared" si="74"/>
        <v>0</v>
      </c>
      <c r="J243" s="571">
        <f t="shared" si="74"/>
        <v>0</v>
      </c>
      <c r="K243" s="571">
        <f t="shared" si="74"/>
        <v>0</v>
      </c>
      <c r="L243" s="571">
        <f t="shared" si="74"/>
        <v>0</v>
      </c>
      <c r="M243" s="571">
        <f t="shared" si="74"/>
        <v>0</v>
      </c>
      <c r="N243" s="571">
        <f t="shared" si="74"/>
        <v>0</v>
      </c>
      <c r="O243" s="571">
        <f t="shared" si="74"/>
        <v>0</v>
      </c>
      <c r="P243" s="607">
        <f t="shared" si="72"/>
        <v>0</v>
      </c>
      <c r="Q243" s="575"/>
      <c r="R243" s="576"/>
      <c r="S243" s="576"/>
      <c r="T243" s="576"/>
      <c r="U243" s="577"/>
    </row>
    <row r="244" spans="1:452" s="578" customFormat="1" ht="18" x14ac:dyDescent="0.35">
      <c r="A244" s="624"/>
      <c r="B244" s="625"/>
      <c r="C244" s="626"/>
      <c r="D244" s="625" t="s">
        <v>135</v>
      </c>
      <c r="E244" s="627"/>
      <c r="F244" s="628" cm="1">
        <f t="array" ref="F244">SUMPRODUCT(F$14:F$43,--($D$14:$D$43=$D240),--($Q$14:$Q$43=TRUE),$S$14:$S$43,--($S$14:$S$43&gt;0))+SUMPRODUCT(F$14:F$43,--($D$14:$D$43=$D240),--($Q$14:$Q$43=TRUE),$S$14:$S$43,--($S$14:$S$43&gt;0),--($R$14:$R$43="Yes"))*0.1+SUMPRODUCT(F$14:F$43,--($D$14:$D$43=$D240),--($Q$14:$Q$43=TRUE),--($S191:$S220=0))+SUMPRODUCT(F$14:F$43,--($D$14:$D$43=$D240),--($Q$14:$Q$43=TRUE),--($R$14:$R$43="Yes"),--($S$14:$S$43=0))*0.1</f>
        <v>0</v>
      </c>
      <c r="G244" s="628" cm="1">
        <f t="array" ref="G244">SUMPRODUCT(G$14:G$43,--($D$14:$D$43=$D240),--($Q$14:$Q$43=TRUE),$S$14:$S$43,--($S$14:$S$43&gt;0))+SUMPRODUCT(G$14:G$43,--($D$14:$D$43=$D240),--($Q$14:$Q$43=TRUE),$S$14:$S$43,--($S$14:$S$43&gt;0),--($R$14:$R$43="Yes"))*0.1+SUMPRODUCT(G$14:G$43,--($D$14:$D$43=$D240),--($Q$14:$Q$43=TRUE),--($S191:$S220=0))+SUMPRODUCT(G$14:G$43,--($D$14:$D$43=$D240),--($Q$14:$Q$43=TRUE),--($R$14:$R$43="Yes"),--($S$14:$S$43=0))*0.1</f>
        <v>0</v>
      </c>
      <c r="H244" s="628" cm="1">
        <f t="array" ref="H244">SUMPRODUCT(H$14:H$43,--($D$14:$D$43=$D240),--($Q$14:$Q$43=TRUE),$S$14:$S$43,--($S$14:$S$43&gt;0))+SUMPRODUCT(H$14:H$43,--($D$14:$D$43=$D240),--($Q$14:$Q$43=TRUE),$S$14:$S$43,--($S$14:$S$43&gt;0),--($R$14:$R$43="Yes"))*0.1+SUMPRODUCT(H$14:H$43,--($D$14:$D$43=$D240),--($Q$14:$Q$43=TRUE),--($S191:$S220=0))+SUMPRODUCT(H$14:H$43,--($D$14:$D$43=$D240),--($Q$14:$Q$43=TRUE),--($R$14:$R$43="Yes"),--($S$14:$S$43=0))*0.1</f>
        <v>0</v>
      </c>
      <c r="I244" s="628" cm="1">
        <f t="array" ref="I244">SUMPRODUCT(I$14:I$43,--($D$14:$D$43=$D240),--($Q$14:$Q$43=TRUE),$S$14:$S$43,--($S$14:$S$43&gt;0))+SUMPRODUCT(I$14:I$43,--($D$14:$D$43=$D240),--($Q$14:$Q$43=TRUE),$S$14:$S$43,--($S$14:$S$43&gt;0),--($R$14:$R$43="Yes"))*0.1+SUMPRODUCT(I$14:I$43,--($D$14:$D$43=$D240),--($Q$14:$Q$43=TRUE),--($S191:$S220=0))+SUMPRODUCT(I$14:I$43,--($D$14:$D$43=$D240),--($Q$14:$Q$43=TRUE),--($R$14:$R$43="Yes"),--($S$14:$S$43=0))*0.1</f>
        <v>0</v>
      </c>
      <c r="J244" s="628" cm="1">
        <f t="array" ref="J244">SUMPRODUCT(J$14:J$43,--($D$14:$D$43=$D240),--($Q$14:$Q$43=TRUE),$S$14:$S$43,--($S$14:$S$43&gt;0))+SUMPRODUCT(J$14:J$43,--($D$14:$D$43=$D240),--($Q$14:$Q$43=TRUE),$S$14:$S$43,--($S$14:$S$43&gt;0),--($R$14:$R$43="Yes"))*0.1+SUMPRODUCT(J$14:J$43,--($D$14:$D$43=$D240),--($Q$14:$Q$43=TRUE),--($S191:$S220=0))+SUMPRODUCT(J$14:J$43,--($D$14:$D$43=$D240),--($Q$14:$Q$43=TRUE),--($R$14:$R$43="Yes"),--($S$14:$S$43=0))*0.1</f>
        <v>0</v>
      </c>
      <c r="K244" s="628" cm="1">
        <f t="array" ref="K244">SUMPRODUCT(K$14:K$43,--($D$14:$D$43=$D240),--($Q$14:$Q$43=TRUE),$S$14:$S$43,--($S$14:$S$43&gt;0))+SUMPRODUCT(K$14:K$43,--($D$14:$D$43=$D240),--($Q$14:$Q$43=TRUE),$S$14:$S$43,--($S$14:$S$43&gt;0),--($R$14:$R$43="Yes"))*0.1+SUMPRODUCT(K$14:K$43,--($D$14:$D$43=$D240),--($Q$14:$Q$43=TRUE),--($S191:$S220=0))+SUMPRODUCT(K$14:K$43,--($D$14:$D$43=$D240),--($Q$14:$Q$43=TRUE),--($R$14:$R$43="Yes"),--($S$14:$S$43=0))*0.1</f>
        <v>0</v>
      </c>
      <c r="L244" s="628" cm="1">
        <f t="array" ref="L244">SUMPRODUCT(L$14:L$43,--($D$14:$D$43=$D240),--($Q$14:$Q$43=TRUE),$S$14:$S$43,--($S$14:$S$43&gt;0))+SUMPRODUCT(L$14:L$43,--($D$14:$D$43=$D240),--($Q$14:$Q$43=TRUE),$S$14:$S$43,--($S$14:$S$43&gt;0),--($R$14:$R$43="Yes"))*0.1+SUMPRODUCT(L$14:L$43,--($D$14:$D$43=$D240),--($Q$14:$Q$43=TRUE),--($S191:$S220=0))+SUMPRODUCT(L$14:L$43,--($D$14:$D$43=$D240),--($Q$14:$Q$43=TRUE),--($R$14:$R$43="Yes"),--($S$14:$S$43=0))*0.1</f>
        <v>0</v>
      </c>
      <c r="M244" s="628" cm="1">
        <f t="array" ref="M244">SUMPRODUCT(M$14:M$43,--($D$14:$D$43=$D240),--($Q$14:$Q$43=TRUE),$S$14:$S$43,--($S$14:$S$43&gt;0))+SUMPRODUCT(M$14:M$43,--($D$14:$D$43=$D240),--($Q$14:$Q$43=TRUE),$S$14:$S$43,--($S$14:$S$43&gt;0),--($R$14:$R$43="Yes"))*0.1+SUMPRODUCT(M$14:M$43,--($D$14:$D$43=$D240),--($Q$14:$Q$43=TRUE),--($S191:$S220=0))+SUMPRODUCT(M$14:M$43,--($D$14:$D$43=$D240),--($Q$14:$Q$43=TRUE),--($R$14:$R$43="Yes"),--($S$14:$S$43=0))*0.1</f>
        <v>0</v>
      </c>
      <c r="N244" s="628" cm="1">
        <f t="array" ref="N244">SUMPRODUCT(N$14:N$43,--($D$14:$D$43=$D240),--($Q$14:$Q$43=TRUE),$S$14:$S$43,--($S$14:$S$43&gt;0))+SUMPRODUCT(N$14:N$43,--($D$14:$D$43=$D240),--($Q$14:$Q$43=TRUE),$S$14:$S$43,--($S$14:$S$43&gt;0),--($R$14:$R$43="Yes"))*0.1+SUMPRODUCT(N$14:N$43,--($D$14:$D$43=$D240),--($Q$14:$Q$43=TRUE),--($S191:$S220=0))+SUMPRODUCT(N$14:N$43,--($D$14:$D$43=$D240),--($Q$14:$Q$43=TRUE),--($R$14:$R$43="Yes"),--($S$14:$S$43=0))*0.1</f>
        <v>0</v>
      </c>
      <c r="O244" s="628" cm="1">
        <f t="array" ref="O244">SUMPRODUCT(O$14:O$43,--($D$14:$D$43=$D240),--($Q$14:$Q$43=TRUE),$S$14:$S$43,--($S$14:$S$43&gt;0))+SUMPRODUCT(O$14:O$43,--($D$14:$D$43=$D240),--($Q$14:$Q$43=TRUE),$S$14:$S$43,--($S$14:$S$43&gt;0),--($R$14:$R$43="Yes"))*0.1+SUMPRODUCT(O$14:O$43,--($D$14:$D$43=$D240),--($Q$14:$Q$43=TRUE),--($S191:$S220=0))+SUMPRODUCT(O$14:O$43,--($D$14:$D$43=$D240),--($Q$14:$Q$43=TRUE),--($R$14:$R$43="Yes"),--($S$14:$S$43=0))*0.1</f>
        <v>0</v>
      </c>
      <c r="P244" s="629">
        <f t="shared" si="72"/>
        <v>0</v>
      </c>
      <c r="Q244" s="575"/>
      <c r="R244" s="576"/>
      <c r="S244" s="576"/>
      <c r="T244" s="576"/>
      <c r="U244" s="577"/>
      <c r="V244" s="610"/>
      <c r="W244" s="610"/>
      <c r="X244" s="610"/>
      <c r="Y244" s="610"/>
      <c r="Z244" s="610"/>
      <c r="AA244" s="610"/>
      <c r="AB244" s="610"/>
      <c r="AC244" s="610"/>
      <c r="AD244" s="610"/>
      <c r="AE244" s="610"/>
      <c r="AF244" s="610"/>
      <c r="AG244" s="610"/>
      <c r="AH244" s="610"/>
      <c r="AI244" s="610"/>
      <c r="AJ244" s="610"/>
      <c r="AK244" s="610"/>
      <c r="AL244" s="610"/>
      <c r="AM244" s="610"/>
      <c r="AN244" s="610"/>
      <c r="AO244" s="610"/>
      <c r="AP244" s="610"/>
      <c r="AQ244" s="610"/>
      <c r="AR244" s="610"/>
      <c r="AS244" s="610"/>
      <c r="AT244" s="610"/>
      <c r="AU244" s="610"/>
      <c r="AV244" s="610"/>
      <c r="AW244" s="610"/>
      <c r="AX244" s="610"/>
      <c r="AY244" s="610"/>
      <c r="AZ244" s="610"/>
      <c r="BA244" s="610"/>
      <c r="BB244" s="610"/>
      <c r="BC244" s="610"/>
      <c r="BD244" s="610"/>
      <c r="BE244" s="610"/>
      <c r="BF244" s="610"/>
      <c r="BG244" s="610"/>
      <c r="BH244" s="610"/>
      <c r="BI244" s="610"/>
      <c r="BJ244" s="610"/>
      <c r="BK244" s="610"/>
      <c r="BL244" s="610"/>
      <c r="BM244" s="610"/>
      <c r="BN244" s="610"/>
      <c r="BO244" s="610"/>
      <c r="BP244" s="610"/>
      <c r="BQ244" s="610"/>
      <c r="BR244" s="610"/>
      <c r="BS244" s="610"/>
      <c r="BT244" s="610"/>
      <c r="BU244" s="610"/>
      <c r="BV244" s="610"/>
      <c r="BW244" s="610"/>
      <c r="BX244" s="610"/>
      <c r="BY244" s="610"/>
      <c r="BZ244" s="610"/>
      <c r="CA244" s="610"/>
      <c r="CB244" s="610"/>
      <c r="CC244" s="610"/>
      <c r="CD244" s="610"/>
      <c r="CE244" s="610"/>
      <c r="CF244" s="610"/>
      <c r="CG244" s="610"/>
      <c r="CH244" s="610"/>
      <c r="CI244" s="610"/>
      <c r="CJ244" s="610"/>
      <c r="CK244" s="610"/>
      <c r="CL244" s="610"/>
      <c r="CM244" s="610"/>
      <c r="CN244" s="610"/>
      <c r="CO244" s="610"/>
      <c r="CP244" s="610"/>
      <c r="CQ244" s="610"/>
      <c r="CR244" s="610"/>
      <c r="CS244" s="610"/>
      <c r="CT244" s="610"/>
      <c r="CU244" s="610"/>
      <c r="CV244" s="610"/>
      <c r="CW244" s="610"/>
      <c r="CX244" s="610"/>
      <c r="CY244" s="610"/>
      <c r="CZ244" s="610"/>
      <c r="DA244" s="610"/>
      <c r="DB244" s="610"/>
      <c r="DC244" s="610"/>
      <c r="DD244" s="610"/>
      <c r="DE244" s="610"/>
      <c r="DF244" s="610"/>
      <c r="DG244" s="610"/>
      <c r="DH244" s="610"/>
      <c r="DI244" s="610"/>
      <c r="DJ244" s="610"/>
      <c r="DK244" s="610"/>
      <c r="DL244" s="610"/>
      <c r="DM244" s="610"/>
      <c r="DN244" s="610"/>
      <c r="DO244" s="610"/>
      <c r="DP244" s="610"/>
      <c r="DQ244" s="610"/>
      <c r="DR244" s="610"/>
      <c r="DS244" s="610"/>
      <c r="DT244" s="610"/>
      <c r="DU244" s="610"/>
      <c r="DV244" s="610"/>
      <c r="DW244" s="610"/>
      <c r="DX244" s="610"/>
      <c r="DY244" s="610"/>
      <c r="DZ244" s="610"/>
      <c r="EA244" s="610"/>
      <c r="EB244" s="610"/>
      <c r="EC244" s="610"/>
      <c r="ED244" s="610"/>
      <c r="EE244" s="610"/>
      <c r="EF244" s="610"/>
      <c r="EG244" s="610"/>
      <c r="EH244" s="610"/>
      <c r="EI244" s="610"/>
      <c r="EJ244" s="610"/>
      <c r="EK244" s="610"/>
      <c r="EL244" s="610"/>
      <c r="EM244" s="610"/>
      <c r="EN244" s="610"/>
      <c r="EO244" s="610"/>
      <c r="EP244" s="610"/>
      <c r="EQ244" s="610"/>
      <c r="ER244" s="610"/>
      <c r="ES244" s="610"/>
      <c r="ET244" s="610"/>
      <c r="EU244" s="610"/>
      <c r="EV244" s="610"/>
      <c r="EW244" s="610"/>
      <c r="EX244" s="610"/>
      <c r="EY244" s="610"/>
      <c r="EZ244" s="610"/>
      <c r="FA244" s="610"/>
      <c r="FB244" s="610"/>
      <c r="FC244" s="610"/>
      <c r="FD244" s="610"/>
      <c r="FE244" s="610"/>
      <c r="FF244" s="610"/>
      <c r="FG244" s="610"/>
      <c r="FH244" s="610"/>
      <c r="FI244" s="610"/>
      <c r="FJ244" s="610"/>
      <c r="FK244" s="610"/>
      <c r="FL244" s="610"/>
      <c r="FM244" s="610"/>
      <c r="FN244" s="610"/>
      <c r="FO244" s="610"/>
      <c r="FP244" s="610"/>
      <c r="FQ244" s="610"/>
      <c r="FR244" s="610"/>
      <c r="FS244" s="610"/>
      <c r="FT244" s="610"/>
      <c r="FU244" s="610"/>
      <c r="FV244" s="610"/>
      <c r="FW244" s="610"/>
      <c r="FX244" s="610"/>
      <c r="FY244" s="610"/>
      <c r="FZ244" s="610"/>
      <c r="GA244" s="610"/>
      <c r="GB244" s="610"/>
      <c r="GC244" s="610"/>
      <c r="GD244" s="610"/>
      <c r="GE244" s="610"/>
      <c r="GF244" s="610"/>
      <c r="GG244" s="610"/>
      <c r="GH244" s="610"/>
      <c r="GI244" s="610"/>
      <c r="GJ244" s="610"/>
      <c r="GK244" s="610"/>
      <c r="GL244" s="610"/>
      <c r="GM244" s="610"/>
      <c r="GN244" s="610"/>
      <c r="GO244" s="610"/>
      <c r="GP244" s="610"/>
      <c r="GQ244" s="610"/>
      <c r="GR244" s="610"/>
      <c r="GS244" s="610"/>
      <c r="GT244" s="610"/>
      <c r="GU244" s="610"/>
      <c r="GV244" s="610"/>
      <c r="GW244" s="610"/>
      <c r="GX244" s="610"/>
      <c r="GY244" s="610"/>
      <c r="GZ244" s="610"/>
      <c r="HA244" s="610"/>
      <c r="HB244" s="610"/>
      <c r="HC244" s="610"/>
      <c r="HD244" s="610"/>
      <c r="HE244" s="610"/>
      <c r="HF244" s="610"/>
      <c r="HG244" s="610"/>
      <c r="HH244" s="610"/>
      <c r="HI244" s="610"/>
      <c r="HJ244" s="610"/>
      <c r="HK244" s="610"/>
      <c r="HL244" s="610"/>
      <c r="HM244" s="610"/>
      <c r="HN244" s="610"/>
      <c r="HO244" s="610"/>
      <c r="HP244" s="610"/>
      <c r="HQ244" s="610"/>
      <c r="HR244" s="610"/>
      <c r="HS244" s="610"/>
      <c r="HT244" s="610"/>
      <c r="HU244" s="610"/>
      <c r="HV244" s="610"/>
      <c r="HW244" s="610"/>
      <c r="HX244" s="610"/>
      <c r="HY244" s="610"/>
      <c r="HZ244" s="610"/>
      <c r="IA244" s="610"/>
      <c r="IB244" s="610"/>
      <c r="IC244" s="610"/>
      <c r="ID244" s="610"/>
      <c r="IE244" s="610"/>
      <c r="IF244" s="610"/>
      <c r="IG244" s="610"/>
      <c r="IH244" s="610"/>
      <c r="II244" s="610"/>
      <c r="IJ244" s="610"/>
      <c r="IK244" s="610"/>
      <c r="IL244" s="610"/>
      <c r="IM244" s="610"/>
      <c r="IN244" s="610"/>
      <c r="IO244" s="610"/>
      <c r="IP244" s="610"/>
      <c r="IQ244" s="610"/>
      <c r="IR244" s="610"/>
      <c r="IS244" s="610"/>
      <c r="IT244" s="610"/>
      <c r="IU244" s="610"/>
      <c r="IV244" s="610"/>
      <c r="IW244" s="610"/>
      <c r="IX244" s="610"/>
      <c r="IY244" s="610"/>
      <c r="IZ244" s="610"/>
      <c r="JA244" s="610"/>
      <c r="JB244" s="610"/>
      <c r="JC244" s="610"/>
      <c r="JD244" s="610"/>
      <c r="JE244" s="610"/>
      <c r="JF244" s="610"/>
      <c r="JG244" s="610"/>
      <c r="JH244" s="610"/>
      <c r="JI244" s="610"/>
      <c r="JJ244" s="610"/>
      <c r="JK244" s="610"/>
      <c r="JL244" s="610"/>
      <c r="JM244" s="610"/>
      <c r="JN244" s="610"/>
      <c r="JO244" s="610"/>
      <c r="JP244" s="610"/>
      <c r="JQ244" s="610"/>
      <c r="JR244" s="610"/>
      <c r="JS244" s="610"/>
      <c r="JT244" s="610"/>
      <c r="JU244" s="610"/>
      <c r="JV244" s="610"/>
      <c r="JW244" s="610"/>
      <c r="JX244" s="610"/>
      <c r="JY244" s="610"/>
      <c r="JZ244" s="610"/>
      <c r="KA244" s="610"/>
      <c r="KB244" s="610"/>
      <c r="KC244" s="610"/>
      <c r="KD244" s="610"/>
      <c r="KE244" s="610"/>
      <c r="KF244" s="610"/>
      <c r="KG244" s="610"/>
      <c r="KH244" s="610"/>
      <c r="KI244" s="610"/>
      <c r="KJ244" s="610"/>
      <c r="KK244" s="610"/>
      <c r="KL244" s="610"/>
      <c r="KM244" s="610"/>
      <c r="KN244" s="610"/>
      <c r="KO244" s="610"/>
      <c r="KP244" s="610"/>
      <c r="KQ244" s="610"/>
      <c r="KR244" s="610"/>
      <c r="KS244" s="610"/>
      <c r="KT244" s="610"/>
      <c r="KU244" s="610"/>
      <c r="KV244" s="610"/>
      <c r="KW244" s="610"/>
      <c r="KX244" s="610"/>
      <c r="KY244" s="610"/>
      <c r="KZ244" s="610"/>
      <c r="LA244" s="610"/>
      <c r="LB244" s="610"/>
      <c r="LC244" s="610"/>
      <c r="LD244" s="610"/>
      <c r="LE244" s="610"/>
      <c r="LF244" s="610"/>
      <c r="LG244" s="610"/>
      <c r="LH244" s="610"/>
      <c r="LI244" s="610"/>
      <c r="LJ244" s="610"/>
      <c r="LK244" s="610"/>
      <c r="LL244" s="610"/>
      <c r="LM244" s="610"/>
      <c r="LN244" s="610"/>
      <c r="LO244" s="610"/>
      <c r="LP244" s="610"/>
      <c r="LQ244" s="610"/>
      <c r="LR244" s="610"/>
      <c r="LS244" s="610"/>
      <c r="LT244" s="610"/>
      <c r="LU244" s="610"/>
      <c r="LV244" s="610"/>
      <c r="LW244" s="610"/>
      <c r="LX244" s="610"/>
      <c r="LY244" s="610"/>
      <c r="LZ244" s="610"/>
      <c r="MA244" s="610"/>
      <c r="MB244" s="610"/>
      <c r="MC244" s="610"/>
      <c r="MD244" s="610"/>
      <c r="ME244" s="610"/>
      <c r="MF244" s="610"/>
      <c r="MG244" s="610"/>
      <c r="MH244" s="610"/>
      <c r="MI244" s="610"/>
      <c r="MJ244" s="610"/>
      <c r="MK244" s="610"/>
      <c r="ML244" s="610"/>
      <c r="MM244" s="610"/>
      <c r="MN244" s="610"/>
      <c r="MO244" s="610"/>
      <c r="MP244" s="610"/>
      <c r="MQ244" s="610"/>
      <c r="MR244" s="610"/>
      <c r="MS244" s="610"/>
      <c r="MT244" s="610"/>
      <c r="MU244" s="610"/>
      <c r="MV244" s="610"/>
      <c r="MW244" s="610"/>
      <c r="MX244" s="610"/>
      <c r="MY244" s="610"/>
      <c r="MZ244" s="610"/>
      <c r="NA244" s="610"/>
      <c r="NB244" s="610"/>
      <c r="NC244" s="610"/>
      <c r="ND244" s="610"/>
      <c r="NE244" s="610"/>
      <c r="NF244" s="610"/>
      <c r="NG244" s="610"/>
      <c r="NH244" s="610"/>
      <c r="NI244" s="610"/>
      <c r="NJ244" s="610"/>
      <c r="NK244" s="610"/>
      <c r="NL244" s="610"/>
      <c r="NM244" s="610"/>
      <c r="NN244" s="610"/>
      <c r="NO244" s="610"/>
      <c r="NP244" s="610"/>
      <c r="NQ244" s="610"/>
      <c r="NR244" s="610"/>
      <c r="NS244" s="610"/>
      <c r="NT244" s="610"/>
      <c r="NU244" s="610"/>
      <c r="NV244" s="610"/>
      <c r="NW244" s="610"/>
      <c r="NX244" s="610"/>
      <c r="NY244" s="610"/>
      <c r="NZ244" s="610"/>
      <c r="OA244" s="610"/>
      <c r="OB244" s="610"/>
      <c r="OC244" s="610"/>
      <c r="OD244" s="610"/>
      <c r="OE244" s="610"/>
      <c r="OF244" s="610"/>
      <c r="OG244" s="610"/>
      <c r="OH244" s="610"/>
      <c r="OI244" s="610"/>
      <c r="OJ244" s="610"/>
      <c r="OK244" s="610"/>
      <c r="OL244" s="610"/>
      <c r="OM244" s="610"/>
      <c r="ON244" s="610"/>
      <c r="OO244" s="610"/>
      <c r="OP244" s="610"/>
      <c r="OQ244" s="610"/>
      <c r="OR244" s="610"/>
      <c r="OS244" s="610"/>
      <c r="OT244" s="610"/>
      <c r="OU244" s="610"/>
      <c r="OV244" s="610"/>
      <c r="OW244" s="610"/>
      <c r="OX244" s="610"/>
      <c r="OY244" s="610"/>
      <c r="OZ244" s="610"/>
      <c r="PA244" s="610"/>
      <c r="PB244" s="610"/>
      <c r="PC244" s="610"/>
      <c r="PD244" s="610"/>
      <c r="PE244" s="610"/>
      <c r="PF244" s="610"/>
      <c r="PG244" s="610"/>
      <c r="PH244" s="610"/>
      <c r="PI244" s="610"/>
      <c r="PJ244" s="610"/>
      <c r="PK244" s="610"/>
      <c r="PL244" s="610"/>
      <c r="PM244" s="610"/>
      <c r="PN244" s="610"/>
      <c r="PO244" s="610"/>
      <c r="PP244" s="610"/>
      <c r="PQ244" s="610"/>
      <c r="PR244" s="610"/>
      <c r="PS244" s="610"/>
      <c r="PT244" s="610"/>
      <c r="PU244" s="610"/>
      <c r="PV244" s="610"/>
      <c r="PW244" s="610"/>
      <c r="PX244" s="610"/>
      <c r="PY244" s="610"/>
      <c r="PZ244" s="610"/>
      <c r="QA244" s="610"/>
      <c r="QB244" s="610"/>
      <c r="QC244" s="610"/>
      <c r="QD244" s="610"/>
      <c r="QE244" s="610"/>
      <c r="QF244" s="610"/>
      <c r="QG244" s="610"/>
      <c r="QH244" s="610"/>
      <c r="QI244" s="610"/>
      <c r="QJ244" s="610"/>
    </row>
    <row r="245" spans="1:452" s="524" customFormat="1" ht="18" x14ac:dyDescent="0.35">
      <c r="A245" s="605"/>
      <c r="B245" s="558"/>
      <c r="C245" s="559"/>
      <c r="D245" s="559"/>
      <c r="E245" s="572" t="s">
        <v>86</v>
      </c>
      <c r="F245" s="571" cm="1">
        <f t="array" ref="F245">SUMPRODUCT(F$14:F$43,--($Q$14:$Q$43=TRUE),--($D$14:$D$43=$D240))</f>
        <v>0</v>
      </c>
      <c r="G245" s="571" cm="1">
        <f t="array" ref="G245">SUMPRODUCT(G$14:G$43,--($Q$14:$Q$43=TRUE),--($D$14:$D$43=$D240))</f>
        <v>0</v>
      </c>
      <c r="H245" s="571" cm="1">
        <f t="array" ref="H245">SUMPRODUCT(H$14:H$43,--($Q$14:$Q$43=TRUE),--($D$14:$D$43=$D240))</f>
        <v>0</v>
      </c>
      <c r="I245" s="571" cm="1">
        <f t="array" ref="I245">SUMPRODUCT(I$14:I$43,--($Q$14:$Q$43=TRUE),--($D$14:$D$43=$D240))</f>
        <v>0</v>
      </c>
      <c r="J245" s="571" cm="1">
        <f t="array" ref="J245">SUMPRODUCT(J$14:J$43,--($Q$14:$Q$43=TRUE),--($D$14:$D$43=$D240))</f>
        <v>0</v>
      </c>
      <c r="K245" s="571" cm="1">
        <f t="array" ref="K245">SUMPRODUCT(K$14:K$43,--($Q$14:$Q$43=TRUE),--($D$14:$D$43=$D240))</f>
        <v>0</v>
      </c>
      <c r="L245" s="571" cm="1">
        <f t="array" ref="L245">SUMPRODUCT(L$14:L$43,--($Q$14:$Q$43=TRUE),--($D$14:$D$43=$D240))</f>
        <v>0</v>
      </c>
      <c r="M245" s="571" cm="1">
        <f t="array" ref="M245">SUMPRODUCT(M$14:M$43,--($Q$14:$Q$43=TRUE),--($D$14:$D$43=$D240))</f>
        <v>0</v>
      </c>
      <c r="N245" s="571" cm="1">
        <f t="array" ref="N245">SUMPRODUCT(N$14:N$43,--($Q$14:$Q$43=TRUE),--($D$14:$D$43=$D240))</f>
        <v>0</v>
      </c>
      <c r="O245" s="571" cm="1">
        <f t="array" ref="O245">SUMPRODUCT(O$14:O$43,--($Q$14:$Q$43=TRUE),--($D$14:$D$43=$D240))</f>
        <v>0</v>
      </c>
      <c r="P245" s="607">
        <f t="shared" si="72"/>
        <v>0</v>
      </c>
      <c r="Q245" s="575"/>
      <c r="R245" s="576"/>
      <c r="S245" s="576"/>
      <c r="T245" s="576"/>
      <c r="U245" s="577"/>
    </row>
    <row r="246" spans="1:452" s="524" customFormat="1" ht="18" x14ac:dyDescent="0.35">
      <c r="A246" s="605"/>
      <c r="C246" s="559"/>
      <c r="D246" s="559"/>
      <c r="E246" s="572" t="s">
        <v>87</v>
      </c>
      <c r="F246" s="571" cm="1">
        <f t="array" ref="F246">SUMPRODUCT(F$14:F$43,--($Q$14:$Q$43=TRUE),--($D$14:$D$43=$D244),--($R$14:$R$43="Yes"))*0.1</f>
        <v>0</v>
      </c>
      <c r="G246" s="571" cm="1">
        <f t="array" ref="G246">SUMPRODUCT(G$14:G$43,--($Q$14:$Q$43=TRUE),--($D$14:$D$43=$D244),--($R$14:$R$43="Yes"))*0.1</f>
        <v>0</v>
      </c>
      <c r="H246" s="571" cm="1">
        <f t="array" ref="H246">SUMPRODUCT(H$14:H$43,--($Q$14:$Q$43=TRUE),--($D$14:$D$43=$D244),--($R$14:$R$43="Yes"))*0.1</f>
        <v>0</v>
      </c>
      <c r="I246" s="571" cm="1">
        <f t="array" ref="I246">SUMPRODUCT(I$14:I$43,--($Q$14:$Q$43=TRUE),--($D$14:$D$43=$D244),--($R$14:$R$43="Yes"))*0.1</f>
        <v>0</v>
      </c>
      <c r="J246" s="571" cm="1">
        <f t="array" ref="J246">SUMPRODUCT(J$14:J$43,--($Q$14:$Q$43=TRUE),--($D$14:$D$43=$D244),--($R$14:$R$43="Yes"))*0.1</f>
        <v>0</v>
      </c>
      <c r="K246" s="571" cm="1">
        <f t="array" ref="K246">SUMPRODUCT(K$14:K$43,--($Q$14:$Q$43=TRUE),--($D$14:$D$43=$D244),--($R$14:$R$43="Yes"))*0.1</f>
        <v>0</v>
      </c>
      <c r="L246" s="571" cm="1">
        <f t="array" ref="L246">SUMPRODUCT(L$14:L$43,--($Q$14:$Q$43=TRUE),--($D$14:$D$43=$D244),--($R$14:$R$43="Yes"))*0.1</f>
        <v>0</v>
      </c>
      <c r="M246" s="571" cm="1">
        <f t="array" ref="M246">SUMPRODUCT(M$14:M$43,--($Q$14:$Q$43=TRUE),--($D$14:$D$43=$D244),--($R$14:$R$43="Yes"))*0.1</f>
        <v>0</v>
      </c>
      <c r="N246" s="571" cm="1">
        <f t="array" ref="N246">SUMPRODUCT(N$14:N$43,--($Q$14:$Q$43=TRUE),--($D$14:$D$43=$D244),--($R$14:$R$43="Yes"))*0.1</f>
        <v>0</v>
      </c>
      <c r="O246" s="571" cm="1">
        <f t="array" ref="O246">SUMPRODUCT(O$14:O$43,--($Q$14:$Q$43=TRUE),--($D$14:$D$43=$D244),--($R$14:$R$43="Yes"))*0.1</f>
        <v>0</v>
      </c>
      <c r="P246" s="607">
        <f t="shared" si="72"/>
        <v>0</v>
      </c>
      <c r="Q246" s="575"/>
      <c r="R246" s="576"/>
      <c r="S246" s="576"/>
      <c r="T246" s="576"/>
      <c r="U246" s="577"/>
    </row>
    <row r="247" spans="1:452" s="524" customFormat="1" ht="18" x14ac:dyDescent="0.35">
      <c r="A247" s="605"/>
      <c r="B247" s="558"/>
      <c r="C247" s="559"/>
      <c r="D247" s="559"/>
      <c r="E247" s="572" t="s">
        <v>88</v>
      </c>
      <c r="F247" s="571">
        <f>F244-(F245+F246)</f>
        <v>0</v>
      </c>
      <c r="G247" s="571">
        <f t="shared" ref="G247:O247" si="75">G244-(G245+G246)</f>
        <v>0</v>
      </c>
      <c r="H247" s="571">
        <f t="shared" si="75"/>
        <v>0</v>
      </c>
      <c r="I247" s="571">
        <f t="shared" si="75"/>
        <v>0</v>
      </c>
      <c r="J247" s="571">
        <f t="shared" si="75"/>
        <v>0</v>
      </c>
      <c r="K247" s="571">
        <f t="shared" si="75"/>
        <v>0</v>
      </c>
      <c r="L247" s="571">
        <f t="shared" si="75"/>
        <v>0</v>
      </c>
      <c r="M247" s="571">
        <f t="shared" si="75"/>
        <v>0</v>
      </c>
      <c r="N247" s="571">
        <f t="shared" si="75"/>
        <v>0</v>
      </c>
      <c r="O247" s="571">
        <f t="shared" si="75"/>
        <v>0</v>
      </c>
      <c r="P247" s="607">
        <f t="shared" si="72"/>
        <v>0</v>
      </c>
      <c r="Q247" s="575"/>
      <c r="R247" s="576"/>
      <c r="S247" s="576"/>
      <c r="T247" s="576"/>
      <c r="U247" s="577"/>
    </row>
    <row r="248" spans="1:452" s="592" customFormat="1" ht="18" x14ac:dyDescent="0.35">
      <c r="A248" s="618"/>
      <c r="B248" s="619"/>
      <c r="C248" s="620"/>
      <c r="D248" s="619" t="s">
        <v>136</v>
      </c>
      <c r="E248" s="621"/>
      <c r="F248" s="622" cm="1">
        <f t="array" ref="F248">SUMPRODUCT(F$14:F$43,--($D$14:$D$43=$D248),--($Q$14:$Q$43=FALSE),$S$14:$S$43,--($S$14:$S$43&gt;0))+SUMPRODUCT(F$14:F$43,--($D$14:$D$43=$D248),--($Q$14:$Q$43=FALSE),$S$14:$S$43,--($S$14:$S$43&gt;0),--($R$14:$R$43="Yes"))*0.1+SUMPRODUCT(F$14:F$43,--($D$14:$D$43=$D248),--($Q$14:$Q$43=FALSE),--($S$14:$S$43=0))+SUMPRODUCT(F$14:F$43,--($D$14:$D$43=$D248),--($Q$14:$Q$43=FALSE),--($R$14:$R$43="Yes"),--($S$14:$S$43=0))*0.1</f>
        <v>0</v>
      </c>
      <c r="G248" s="622" cm="1">
        <f t="array" ref="G248">SUMPRODUCT(G$14:G$43,--($D$14:$D$43=$D248),--($Q$14:$Q$43=FALSE),$S$14:$S$43,--($S$14:$S$43&gt;0))+SUMPRODUCT(G$14:G$43,--($D$14:$D$43=$D248),--($Q$14:$Q$43=FALSE),$S$14:$S$43,--($S$14:$S$43&gt;0),--($R$14:$R$43="Yes"))*0.1+SUMPRODUCT(G$14:G$43,--($D$14:$D$43=$D248),--($Q$14:$Q$43=FALSE),--($S$14:$S$43=0))+SUMPRODUCT(G$14:G$43,--($D$14:$D$43=$D248),--($Q$14:$Q$43=FALSE),--($R$14:$R$43="Yes"),--($S$14:$S$43=0))*0.1</f>
        <v>0</v>
      </c>
      <c r="H248" s="622" cm="1">
        <f t="array" ref="H248">SUMPRODUCT(H$14:H$43,--($D$14:$D$43=$D248),--($Q$14:$Q$43=FALSE),$S$14:$S$43,--($S$14:$S$43&gt;0))+SUMPRODUCT(H$14:H$43,--($D$14:$D$43=$D248),--($Q$14:$Q$43=FALSE),$S$14:$S$43,--($S$14:$S$43&gt;0),--($R$14:$R$43="Yes"))*0.1+SUMPRODUCT(H$14:H$43,--($D$14:$D$43=$D248),--($Q$14:$Q$43=FALSE),--($S$14:$S$43=0))+SUMPRODUCT(H$14:H$43,--($D$14:$D$43=$D248),--($Q$14:$Q$43=FALSE),--($R$14:$R$43="Yes"),--($S$14:$S$43=0))*0.1</f>
        <v>0</v>
      </c>
      <c r="I248" s="622" cm="1">
        <f t="array" ref="I248">SUMPRODUCT(I$14:I$43,--($D$14:$D$43=$D248),--($Q$14:$Q$43=FALSE),$S$14:$S$43,--($S$14:$S$43&gt;0))+SUMPRODUCT(I$14:I$43,--($D$14:$D$43=$D248),--($Q$14:$Q$43=FALSE),$S$14:$S$43,--($S$14:$S$43&gt;0),--($R$14:$R$43="Yes"))*0.1+SUMPRODUCT(I$14:I$43,--($D$14:$D$43=$D248),--($Q$14:$Q$43=FALSE),--($S$14:$S$43=0))+SUMPRODUCT(I$14:I$43,--($D$14:$D$43=$D248),--($Q$14:$Q$43=FALSE),--($R$14:$R$43="Yes"),--($S$14:$S$43=0))*0.1</f>
        <v>0</v>
      </c>
      <c r="J248" s="622" cm="1">
        <f t="array" ref="J248">SUMPRODUCT(J$14:J$43,--($D$14:$D$43=$D248),--($Q$14:$Q$43=FALSE),$S$14:$S$43,--($S$14:$S$43&gt;0))+SUMPRODUCT(J$14:J$43,--($D$14:$D$43=$D248),--($Q$14:$Q$43=FALSE),$S$14:$S$43,--($S$14:$S$43&gt;0),--($R$14:$R$43="Yes"))*0.1+SUMPRODUCT(J$14:J$43,--($D$14:$D$43=$D248),--($Q$14:$Q$43=FALSE),--($S$14:$S$43=0))+SUMPRODUCT(J$14:J$43,--($D$14:$D$43=$D248),--($Q$14:$Q$43=FALSE),--($R$14:$R$43="Yes"),--($S$14:$S$43=0))*0.1</f>
        <v>0</v>
      </c>
      <c r="K248" s="622" cm="1">
        <f t="array" ref="K248">SUMPRODUCT(K$14:K$43,--($D$14:$D$43=$D248),--($Q$14:$Q$43=FALSE),$S$14:$S$43,--($S$14:$S$43&gt;0))+SUMPRODUCT(K$14:K$43,--($D$14:$D$43=$D248),--($Q$14:$Q$43=FALSE),$S$14:$S$43,--($S$14:$S$43&gt;0),--($R$14:$R$43="Yes"))*0.1+SUMPRODUCT(K$14:K$43,--($D$14:$D$43=$D248),--($Q$14:$Q$43=FALSE),--($S$14:$S$43=0))+SUMPRODUCT(K$14:K$43,--($D$14:$D$43=$D248),--($Q$14:$Q$43=FALSE),--($R$14:$R$43="Yes"),--($S$14:$S$43=0))*0.1</f>
        <v>0</v>
      </c>
      <c r="L248" s="622" cm="1">
        <f t="array" ref="L248">SUMPRODUCT(L$14:L$43,--($D$14:$D$43=$D248),--($Q$14:$Q$43=FALSE),$S$14:$S$43,--($S$14:$S$43&gt;0))+SUMPRODUCT(L$14:L$43,--($D$14:$D$43=$D248),--($Q$14:$Q$43=FALSE),$S$14:$S$43,--($S$14:$S$43&gt;0),--($R$14:$R$43="Yes"))*0.1+SUMPRODUCT(L$14:L$43,--($D$14:$D$43=$D248),--($Q$14:$Q$43=FALSE),--($S$14:$S$43=0))+SUMPRODUCT(L$14:L$43,--($D$14:$D$43=$D248),--($Q$14:$Q$43=FALSE),--($R$14:$R$43="Yes"),--($S$14:$S$43=0))*0.1</f>
        <v>0</v>
      </c>
      <c r="M248" s="622" cm="1">
        <f t="array" ref="M248">SUMPRODUCT(M$14:M$43,--($D$14:$D$43=$D248),--($Q$14:$Q$43=FALSE),$S$14:$S$43,--($S$14:$S$43&gt;0))+SUMPRODUCT(M$14:M$43,--($D$14:$D$43=$D248),--($Q$14:$Q$43=FALSE),$S$14:$S$43,--($S$14:$S$43&gt;0),--($R$14:$R$43="Yes"))*0.1+SUMPRODUCT(M$14:M$43,--($D$14:$D$43=$D248),--($Q$14:$Q$43=FALSE),--($S$14:$S$43=0))+SUMPRODUCT(M$14:M$43,--($D$14:$D$43=$D248),--($Q$14:$Q$43=FALSE),--($R$14:$R$43="Yes"),--($S$14:$S$43=0))*0.1</f>
        <v>0</v>
      </c>
      <c r="N248" s="622" cm="1">
        <f t="array" ref="N248">SUMPRODUCT(N$14:N$43,--($D$14:$D$43=$D248),--($Q$14:$Q$43=FALSE),$S$14:$S$43,--($S$14:$S$43&gt;0))+SUMPRODUCT(N$14:N$43,--($D$14:$D$43=$D248),--($Q$14:$Q$43=FALSE),$S$14:$S$43,--($S$14:$S$43&gt;0),--($R$14:$R$43="Yes"))*0.1+SUMPRODUCT(N$14:N$43,--($D$14:$D$43=$D248),--($Q$14:$Q$43=FALSE),--($S$14:$S$43=0))+SUMPRODUCT(N$14:N$43,--($D$14:$D$43=$D248),--($Q$14:$Q$43=FALSE),--($R$14:$R$43="Yes"),--($S$14:$S$43=0))*0.1</f>
        <v>0</v>
      </c>
      <c r="O248" s="622" cm="1">
        <f t="array" ref="O248">SUMPRODUCT(O$14:O$43,--($D$14:$D$43=$D248),--($Q$14:$Q$43=FALSE),$S$14:$S$43,--($S$14:$S$43&gt;0))+SUMPRODUCT(O$14:O$43,--($D$14:$D$43=$D248),--($Q$14:$Q$43=FALSE),$S$14:$S$43,--($S$14:$S$43&gt;0),--($R$14:$R$43="Yes"))*0.1+SUMPRODUCT(O$14:O$43,--($D$14:$D$43=$D248),--($Q$14:$Q$43=FALSE),--($S$14:$S$43=0))+SUMPRODUCT(O$14:O$43,--($D$14:$D$43=$D248),--($Q$14:$Q$43=FALSE),--($R$14:$R$43="Yes"),--($S$14:$S$43=0))*0.1</f>
        <v>0</v>
      </c>
      <c r="P248" s="623">
        <f t="shared" ref="P248:P255" si="76">SUM(F248:O248)</f>
        <v>0</v>
      </c>
      <c r="Q248" s="575"/>
      <c r="R248" s="576"/>
      <c r="S248" s="576"/>
      <c r="T248" s="576"/>
      <c r="U248" s="577"/>
      <c r="V248" s="610"/>
      <c r="W248" s="610"/>
      <c r="X248" s="610"/>
      <c r="Y248" s="610"/>
      <c r="Z248" s="610"/>
      <c r="AA248" s="610"/>
      <c r="AB248" s="610"/>
      <c r="AC248" s="610"/>
      <c r="AD248" s="610"/>
      <c r="AE248" s="610"/>
      <c r="AF248" s="610"/>
      <c r="AG248" s="610"/>
      <c r="AH248" s="610"/>
      <c r="AI248" s="610"/>
      <c r="AJ248" s="610"/>
      <c r="AK248" s="610"/>
      <c r="AL248" s="610"/>
      <c r="AM248" s="610"/>
      <c r="AN248" s="610"/>
      <c r="AO248" s="610"/>
      <c r="AP248" s="610"/>
      <c r="AQ248" s="610"/>
      <c r="AR248" s="610"/>
      <c r="AS248" s="610"/>
      <c r="AT248" s="610"/>
      <c r="AU248" s="610"/>
      <c r="AV248" s="610"/>
      <c r="AW248" s="610"/>
      <c r="AX248" s="610"/>
      <c r="AY248" s="610"/>
      <c r="AZ248" s="610"/>
      <c r="BA248" s="610"/>
      <c r="BB248" s="610"/>
      <c r="BC248" s="610"/>
      <c r="BD248" s="610"/>
      <c r="BE248" s="610"/>
      <c r="BF248" s="610"/>
      <c r="BG248" s="610"/>
      <c r="BH248" s="610"/>
      <c r="BI248" s="610"/>
      <c r="BJ248" s="610"/>
      <c r="BK248" s="610"/>
      <c r="BL248" s="610"/>
      <c r="BM248" s="610"/>
      <c r="BN248" s="610"/>
      <c r="BO248" s="610"/>
      <c r="BP248" s="610"/>
      <c r="BQ248" s="610"/>
      <c r="BR248" s="610"/>
      <c r="BS248" s="610"/>
      <c r="BT248" s="610"/>
      <c r="BU248" s="610"/>
      <c r="BV248" s="610"/>
      <c r="BW248" s="610"/>
      <c r="BX248" s="610"/>
      <c r="BY248" s="610"/>
      <c r="BZ248" s="610"/>
      <c r="CA248" s="610"/>
      <c r="CB248" s="610"/>
      <c r="CC248" s="610"/>
      <c r="CD248" s="610"/>
      <c r="CE248" s="610"/>
      <c r="CF248" s="610"/>
      <c r="CG248" s="610"/>
      <c r="CH248" s="610"/>
      <c r="CI248" s="610"/>
      <c r="CJ248" s="610"/>
      <c r="CK248" s="610"/>
      <c r="CL248" s="610"/>
      <c r="CM248" s="610"/>
      <c r="CN248" s="610"/>
      <c r="CO248" s="610"/>
      <c r="CP248" s="610"/>
      <c r="CQ248" s="610"/>
      <c r="CR248" s="610"/>
      <c r="CS248" s="610"/>
      <c r="CT248" s="610"/>
      <c r="CU248" s="610"/>
      <c r="CV248" s="610"/>
      <c r="CW248" s="610"/>
      <c r="CX248" s="610"/>
      <c r="CY248" s="610"/>
      <c r="CZ248" s="610"/>
      <c r="DA248" s="610"/>
      <c r="DB248" s="610"/>
      <c r="DC248" s="610"/>
      <c r="DD248" s="610"/>
      <c r="DE248" s="610"/>
      <c r="DF248" s="610"/>
      <c r="DG248" s="610"/>
      <c r="DH248" s="610"/>
      <c r="DI248" s="610"/>
      <c r="DJ248" s="610"/>
      <c r="DK248" s="610"/>
      <c r="DL248" s="610"/>
      <c r="DM248" s="610"/>
      <c r="DN248" s="610"/>
      <c r="DO248" s="610"/>
      <c r="DP248" s="610"/>
      <c r="DQ248" s="610"/>
      <c r="DR248" s="610"/>
      <c r="DS248" s="610"/>
      <c r="DT248" s="610"/>
      <c r="DU248" s="610"/>
      <c r="DV248" s="610"/>
      <c r="DW248" s="610"/>
      <c r="DX248" s="610"/>
      <c r="DY248" s="610"/>
      <c r="DZ248" s="610"/>
      <c r="EA248" s="610"/>
      <c r="EB248" s="610"/>
      <c r="EC248" s="610"/>
      <c r="ED248" s="610"/>
      <c r="EE248" s="610"/>
      <c r="EF248" s="610"/>
      <c r="EG248" s="610"/>
      <c r="EH248" s="610"/>
      <c r="EI248" s="610"/>
      <c r="EJ248" s="610"/>
      <c r="EK248" s="610"/>
      <c r="EL248" s="610"/>
      <c r="EM248" s="610"/>
      <c r="EN248" s="610"/>
      <c r="EO248" s="610"/>
      <c r="EP248" s="610"/>
      <c r="EQ248" s="610"/>
      <c r="ER248" s="610"/>
      <c r="ES248" s="610"/>
      <c r="ET248" s="610"/>
      <c r="EU248" s="610"/>
      <c r="EV248" s="610"/>
      <c r="EW248" s="610"/>
      <c r="EX248" s="610"/>
      <c r="EY248" s="610"/>
      <c r="EZ248" s="610"/>
      <c r="FA248" s="610"/>
      <c r="FB248" s="610"/>
      <c r="FC248" s="610"/>
      <c r="FD248" s="610"/>
      <c r="FE248" s="610"/>
      <c r="FF248" s="610"/>
      <c r="FG248" s="610"/>
      <c r="FH248" s="610"/>
      <c r="FI248" s="610"/>
      <c r="FJ248" s="610"/>
      <c r="FK248" s="610"/>
      <c r="FL248" s="610"/>
      <c r="FM248" s="610"/>
      <c r="FN248" s="610"/>
      <c r="FO248" s="610"/>
      <c r="FP248" s="610"/>
      <c r="FQ248" s="610"/>
      <c r="FR248" s="610"/>
      <c r="FS248" s="610"/>
      <c r="FT248" s="610"/>
      <c r="FU248" s="610"/>
      <c r="FV248" s="610"/>
      <c r="FW248" s="610"/>
      <c r="FX248" s="610"/>
      <c r="FY248" s="610"/>
      <c r="FZ248" s="610"/>
      <c r="GA248" s="610"/>
      <c r="GB248" s="610"/>
      <c r="GC248" s="610"/>
      <c r="GD248" s="610"/>
      <c r="GE248" s="610"/>
      <c r="GF248" s="610"/>
      <c r="GG248" s="610"/>
      <c r="GH248" s="610"/>
      <c r="GI248" s="610"/>
      <c r="GJ248" s="610"/>
      <c r="GK248" s="610"/>
      <c r="GL248" s="610"/>
      <c r="GM248" s="610"/>
      <c r="GN248" s="610"/>
      <c r="GO248" s="610"/>
      <c r="GP248" s="610"/>
      <c r="GQ248" s="610"/>
      <c r="GR248" s="610"/>
      <c r="GS248" s="610"/>
      <c r="GT248" s="610"/>
      <c r="GU248" s="610"/>
      <c r="GV248" s="610"/>
      <c r="GW248" s="610"/>
      <c r="GX248" s="610"/>
      <c r="GY248" s="610"/>
      <c r="GZ248" s="610"/>
      <c r="HA248" s="610"/>
      <c r="HB248" s="610"/>
      <c r="HC248" s="610"/>
      <c r="HD248" s="610"/>
      <c r="HE248" s="610"/>
      <c r="HF248" s="610"/>
      <c r="HG248" s="610"/>
      <c r="HH248" s="610"/>
      <c r="HI248" s="610"/>
      <c r="HJ248" s="610"/>
      <c r="HK248" s="610"/>
      <c r="HL248" s="610"/>
      <c r="HM248" s="610"/>
      <c r="HN248" s="610"/>
      <c r="HO248" s="610"/>
      <c r="HP248" s="610"/>
      <c r="HQ248" s="610"/>
      <c r="HR248" s="610"/>
      <c r="HS248" s="610"/>
      <c r="HT248" s="610"/>
      <c r="HU248" s="610"/>
      <c r="HV248" s="610"/>
      <c r="HW248" s="610"/>
      <c r="HX248" s="610"/>
      <c r="HY248" s="610"/>
      <c r="HZ248" s="610"/>
      <c r="IA248" s="610"/>
      <c r="IB248" s="610"/>
      <c r="IC248" s="610"/>
      <c r="ID248" s="610"/>
      <c r="IE248" s="610"/>
      <c r="IF248" s="610"/>
      <c r="IG248" s="610"/>
      <c r="IH248" s="610"/>
      <c r="II248" s="610"/>
      <c r="IJ248" s="610"/>
      <c r="IK248" s="610"/>
      <c r="IL248" s="610"/>
      <c r="IM248" s="610"/>
      <c r="IN248" s="610"/>
      <c r="IO248" s="610"/>
      <c r="IP248" s="610"/>
      <c r="IQ248" s="610"/>
      <c r="IR248" s="610"/>
      <c r="IS248" s="610"/>
      <c r="IT248" s="610"/>
      <c r="IU248" s="610"/>
      <c r="IV248" s="610"/>
      <c r="IW248" s="610"/>
      <c r="IX248" s="610"/>
      <c r="IY248" s="610"/>
      <c r="IZ248" s="610"/>
      <c r="JA248" s="610"/>
      <c r="JB248" s="610"/>
      <c r="JC248" s="610"/>
      <c r="JD248" s="610"/>
      <c r="JE248" s="610"/>
      <c r="JF248" s="610"/>
      <c r="JG248" s="610"/>
      <c r="JH248" s="610"/>
      <c r="JI248" s="610"/>
      <c r="JJ248" s="610"/>
      <c r="JK248" s="610"/>
      <c r="JL248" s="610"/>
      <c r="JM248" s="610"/>
      <c r="JN248" s="610"/>
      <c r="JO248" s="610"/>
      <c r="JP248" s="610"/>
      <c r="JQ248" s="610"/>
      <c r="JR248" s="610"/>
      <c r="JS248" s="610"/>
      <c r="JT248" s="610"/>
      <c r="JU248" s="610"/>
      <c r="JV248" s="610"/>
      <c r="JW248" s="610"/>
      <c r="JX248" s="610"/>
      <c r="JY248" s="610"/>
      <c r="JZ248" s="610"/>
      <c r="KA248" s="610"/>
      <c r="KB248" s="610"/>
      <c r="KC248" s="610"/>
      <c r="KD248" s="610"/>
      <c r="KE248" s="610"/>
      <c r="KF248" s="610"/>
      <c r="KG248" s="610"/>
      <c r="KH248" s="610"/>
      <c r="KI248" s="610"/>
      <c r="KJ248" s="610"/>
      <c r="KK248" s="610"/>
      <c r="KL248" s="610"/>
      <c r="KM248" s="610"/>
      <c r="KN248" s="610"/>
      <c r="KO248" s="610"/>
      <c r="KP248" s="610"/>
      <c r="KQ248" s="610"/>
      <c r="KR248" s="610"/>
      <c r="KS248" s="610"/>
      <c r="KT248" s="610"/>
      <c r="KU248" s="610"/>
      <c r="KV248" s="610"/>
      <c r="KW248" s="610"/>
      <c r="KX248" s="610"/>
      <c r="KY248" s="610"/>
      <c r="KZ248" s="610"/>
      <c r="LA248" s="610"/>
      <c r="LB248" s="610"/>
      <c r="LC248" s="610"/>
      <c r="LD248" s="610"/>
      <c r="LE248" s="610"/>
      <c r="LF248" s="610"/>
      <c r="LG248" s="610"/>
      <c r="LH248" s="610"/>
      <c r="LI248" s="610"/>
      <c r="LJ248" s="610"/>
      <c r="LK248" s="610"/>
      <c r="LL248" s="610"/>
      <c r="LM248" s="610"/>
      <c r="LN248" s="610"/>
      <c r="LO248" s="610"/>
      <c r="LP248" s="610"/>
      <c r="LQ248" s="610"/>
      <c r="LR248" s="610"/>
      <c r="LS248" s="610"/>
      <c r="LT248" s="610"/>
      <c r="LU248" s="610"/>
      <c r="LV248" s="610"/>
      <c r="LW248" s="610"/>
      <c r="LX248" s="610"/>
      <c r="LY248" s="610"/>
      <c r="LZ248" s="610"/>
      <c r="MA248" s="610"/>
      <c r="MB248" s="610"/>
      <c r="MC248" s="610"/>
      <c r="MD248" s="610"/>
      <c r="ME248" s="610"/>
      <c r="MF248" s="610"/>
      <c r="MG248" s="610"/>
      <c r="MH248" s="610"/>
      <c r="MI248" s="610"/>
      <c r="MJ248" s="610"/>
      <c r="MK248" s="610"/>
      <c r="ML248" s="610"/>
      <c r="MM248" s="610"/>
      <c r="MN248" s="610"/>
      <c r="MO248" s="610"/>
      <c r="MP248" s="610"/>
      <c r="MQ248" s="610"/>
      <c r="MR248" s="610"/>
      <c r="MS248" s="610"/>
      <c r="MT248" s="610"/>
      <c r="MU248" s="610"/>
      <c r="MV248" s="610"/>
      <c r="MW248" s="610"/>
      <c r="MX248" s="610"/>
      <c r="MY248" s="610"/>
      <c r="MZ248" s="610"/>
      <c r="NA248" s="610"/>
      <c r="NB248" s="610"/>
      <c r="NC248" s="610"/>
      <c r="ND248" s="610"/>
      <c r="NE248" s="610"/>
      <c r="NF248" s="610"/>
      <c r="NG248" s="610"/>
      <c r="NH248" s="610"/>
      <c r="NI248" s="610"/>
      <c r="NJ248" s="610"/>
      <c r="NK248" s="610"/>
      <c r="NL248" s="610"/>
      <c r="NM248" s="610"/>
      <c r="NN248" s="610"/>
      <c r="NO248" s="610"/>
      <c r="NP248" s="610"/>
      <c r="NQ248" s="610"/>
      <c r="NR248" s="610"/>
      <c r="NS248" s="610"/>
      <c r="NT248" s="610"/>
      <c r="NU248" s="610"/>
      <c r="NV248" s="610"/>
      <c r="NW248" s="610"/>
      <c r="NX248" s="610"/>
      <c r="NY248" s="610"/>
      <c r="NZ248" s="610"/>
      <c r="OA248" s="610"/>
      <c r="OB248" s="610"/>
      <c r="OC248" s="610"/>
      <c r="OD248" s="610"/>
      <c r="OE248" s="610"/>
      <c r="OF248" s="610"/>
      <c r="OG248" s="610"/>
      <c r="OH248" s="610"/>
      <c r="OI248" s="610"/>
      <c r="OJ248" s="610"/>
      <c r="OK248" s="610"/>
      <c r="OL248" s="610"/>
      <c r="OM248" s="610"/>
      <c r="ON248" s="610"/>
      <c r="OO248" s="610"/>
      <c r="OP248" s="610"/>
      <c r="OQ248" s="610"/>
      <c r="OR248" s="610"/>
      <c r="OS248" s="610"/>
      <c r="OT248" s="610"/>
      <c r="OU248" s="610"/>
      <c r="OV248" s="610"/>
      <c r="OW248" s="610"/>
      <c r="OX248" s="610"/>
      <c r="OY248" s="610"/>
      <c r="OZ248" s="610"/>
      <c r="PA248" s="610"/>
      <c r="PB248" s="610"/>
      <c r="PC248" s="610"/>
      <c r="PD248" s="610"/>
      <c r="PE248" s="610"/>
      <c r="PF248" s="610"/>
      <c r="PG248" s="610"/>
      <c r="PH248" s="610"/>
      <c r="PI248" s="610"/>
      <c r="PJ248" s="610"/>
      <c r="PK248" s="610"/>
      <c r="PL248" s="610"/>
      <c r="PM248" s="610"/>
      <c r="PN248" s="610"/>
      <c r="PO248" s="610"/>
      <c r="PP248" s="610"/>
      <c r="PQ248" s="610"/>
      <c r="PR248" s="610"/>
      <c r="PS248" s="610"/>
      <c r="PT248" s="610"/>
      <c r="PU248" s="610"/>
      <c r="PV248" s="610"/>
      <c r="PW248" s="610"/>
      <c r="PX248" s="610"/>
      <c r="PY248" s="610"/>
      <c r="PZ248" s="610"/>
      <c r="QA248" s="610"/>
      <c r="QB248" s="610"/>
      <c r="QC248" s="610"/>
      <c r="QD248" s="610"/>
      <c r="QE248" s="610"/>
      <c r="QF248" s="610"/>
      <c r="QG248" s="610"/>
      <c r="QH248" s="610"/>
      <c r="QI248" s="610"/>
      <c r="QJ248" s="610"/>
    </row>
    <row r="249" spans="1:452" s="524" customFormat="1" ht="18" x14ac:dyDescent="0.35">
      <c r="A249" s="605"/>
      <c r="B249" s="558"/>
      <c r="C249" s="559"/>
      <c r="D249" s="606"/>
      <c r="E249" s="572" t="s">
        <v>86</v>
      </c>
      <c r="F249" s="571" cm="1">
        <f t="array" ref="F249">SUMPRODUCT(F$14:F$43,--($Q$14:$Q$43=FALSE),--($D$14:$D$43=$D248))</f>
        <v>0</v>
      </c>
      <c r="G249" s="571" cm="1">
        <f t="array" ref="G249">SUMPRODUCT(G$14:G$43,--($Q$14:$Q$43=FALSE),--($D$14:$D$43=$D248))</f>
        <v>0</v>
      </c>
      <c r="H249" s="571" cm="1">
        <f t="array" ref="H249">SUMPRODUCT(H$14:H$43,--($Q$14:$Q$43=FALSE),--($D$14:$D$43=$D248))</f>
        <v>0</v>
      </c>
      <c r="I249" s="571" cm="1">
        <f t="array" ref="I249">SUMPRODUCT(I$14:I$43,--($Q$14:$Q$43=FALSE),--($D$14:$D$43=$D248))</f>
        <v>0</v>
      </c>
      <c r="J249" s="571" cm="1">
        <f t="array" ref="J249">SUMPRODUCT(J$14:J$43,--($Q$14:$Q$43=FALSE),--($D$14:$D$43=$D248))</f>
        <v>0</v>
      </c>
      <c r="K249" s="571" cm="1">
        <f t="array" ref="K249">SUMPRODUCT(K$14:K$43,--($Q$14:$Q$43=FALSE),--($D$14:$D$43=$D248))</f>
        <v>0</v>
      </c>
      <c r="L249" s="571" cm="1">
        <f t="array" ref="L249">SUMPRODUCT(L$14:L$43,--($Q$14:$Q$43=FALSE),--($D$14:$D$43=$D248))</f>
        <v>0</v>
      </c>
      <c r="M249" s="571" cm="1">
        <f t="array" ref="M249">SUMPRODUCT(M$14:M$43,--($Q$14:$Q$43=FALSE),--($D$14:$D$43=$D248))</f>
        <v>0</v>
      </c>
      <c r="N249" s="571" cm="1">
        <f t="array" ref="N249">SUMPRODUCT(N$14:N$43,--($Q$14:$Q$43=FALSE),--($D$14:$D$43=$D248))</f>
        <v>0</v>
      </c>
      <c r="O249" s="571" cm="1">
        <f t="array" ref="O249">SUMPRODUCT(O$14:O$43,--($Q$14:$Q$43=FALSE),--($D$14:$D$43=$D248))</f>
        <v>0</v>
      </c>
      <c r="P249" s="607">
        <f t="shared" si="76"/>
        <v>0</v>
      </c>
      <c r="Q249" s="575"/>
      <c r="R249" s="576"/>
      <c r="S249" s="576"/>
      <c r="T249" s="576"/>
      <c r="U249" s="577"/>
    </row>
    <row r="250" spans="1:452" s="524" customFormat="1" ht="18" x14ac:dyDescent="0.35">
      <c r="A250" s="605"/>
      <c r="B250" s="558"/>
      <c r="C250" s="559"/>
      <c r="D250" s="606"/>
      <c r="E250" s="572" t="s">
        <v>87</v>
      </c>
      <c r="F250" s="571" cm="1">
        <f t="array" ref="F250">SUMPRODUCT(F$14:F$43,--($Q$14:$Q$43=FALSE),--($D$14:$D$43=$D248),--($R$14:$R$43="Yes"))*0.1</f>
        <v>0</v>
      </c>
      <c r="G250" s="571" cm="1">
        <f t="array" ref="G250">SUMPRODUCT(G$14:G$43,--($Q$14:$Q$43=FALSE),--($D$14:$D$43=$D248),--($R$14:$R$43="Yes"))*0.1</f>
        <v>0</v>
      </c>
      <c r="H250" s="571" cm="1">
        <f t="array" ref="H250">SUMPRODUCT(H$14:H$43,--($Q$14:$Q$43=FALSE),--($D$14:$D$43=$D248),--($R$14:$R$43="Yes"))*0.1</f>
        <v>0</v>
      </c>
      <c r="I250" s="571" cm="1">
        <f t="array" ref="I250">SUMPRODUCT(I$14:I$43,--($Q$14:$Q$43=FALSE),--($D$14:$D$43=$D248),--($R$14:$R$43="Yes"))*0.1</f>
        <v>0</v>
      </c>
      <c r="J250" s="571" cm="1">
        <f t="array" ref="J250">SUMPRODUCT(J$14:J$43,--($Q$14:$Q$43=FALSE),--($D$14:$D$43=$D248),--($R$14:$R$43="Yes"))*0.1</f>
        <v>0</v>
      </c>
      <c r="K250" s="571" cm="1">
        <f t="array" ref="K250">SUMPRODUCT(K$14:K$43,--($Q$14:$Q$43=FALSE),--($D$14:$D$43=$D248),--($R$14:$R$43="Yes"))*0.1</f>
        <v>0</v>
      </c>
      <c r="L250" s="571" cm="1">
        <f t="array" ref="L250">SUMPRODUCT(L$14:L$43,--($Q$14:$Q$43=FALSE),--($D$14:$D$43=$D248),--($R$14:$R$43="Yes"))*0.1</f>
        <v>0</v>
      </c>
      <c r="M250" s="571" cm="1">
        <f t="array" ref="M250">SUMPRODUCT(M$14:M$43,--($Q$14:$Q$43=FALSE),--($D$14:$D$43=$D248),--($R$14:$R$43="Yes"))*0.1</f>
        <v>0</v>
      </c>
      <c r="N250" s="571" cm="1">
        <f t="array" ref="N250">SUMPRODUCT(N$14:N$43,--($Q$14:$Q$43=FALSE),--($D$14:$D$43=$D248),--($R$14:$R$43="Yes"))*0.1</f>
        <v>0</v>
      </c>
      <c r="O250" s="571" cm="1">
        <f t="array" ref="O250">SUMPRODUCT(O$14:O$43,--($Q$14:$Q$43=FALSE),--($D$14:$D$43=$D248),--($R$14:$R$43="Yes"))*0.1</f>
        <v>0</v>
      </c>
      <c r="P250" s="607">
        <f t="shared" si="76"/>
        <v>0</v>
      </c>
      <c r="Q250" s="575"/>
      <c r="R250" s="576"/>
      <c r="S250" s="576"/>
      <c r="T250" s="576"/>
      <c r="U250" s="577"/>
    </row>
    <row r="251" spans="1:452" s="524" customFormat="1" ht="18" x14ac:dyDescent="0.35">
      <c r="A251" s="605"/>
      <c r="B251" s="558"/>
      <c r="C251" s="559"/>
      <c r="D251" s="606"/>
      <c r="E251" s="572" t="s">
        <v>88</v>
      </c>
      <c r="F251" s="571">
        <f t="shared" ref="F251:O251" si="77">F248-(F249+F250)</f>
        <v>0</v>
      </c>
      <c r="G251" s="571">
        <f t="shared" si="77"/>
        <v>0</v>
      </c>
      <c r="H251" s="571">
        <f t="shared" si="77"/>
        <v>0</v>
      </c>
      <c r="I251" s="571">
        <f t="shared" si="77"/>
        <v>0</v>
      </c>
      <c r="J251" s="571">
        <f t="shared" si="77"/>
        <v>0</v>
      </c>
      <c r="K251" s="571">
        <f t="shared" si="77"/>
        <v>0</v>
      </c>
      <c r="L251" s="571">
        <f t="shared" si="77"/>
        <v>0</v>
      </c>
      <c r="M251" s="571">
        <f t="shared" si="77"/>
        <v>0</v>
      </c>
      <c r="N251" s="571">
        <f t="shared" si="77"/>
        <v>0</v>
      </c>
      <c r="O251" s="571">
        <f t="shared" si="77"/>
        <v>0</v>
      </c>
      <c r="P251" s="607">
        <f t="shared" si="76"/>
        <v>0</v>
      </c>
      <c r="Q251" s="575"/>
      <c r="R251" s="576"/>
      <c r="S251" s="576"/>
      <c r="T251" s="576"/>
      <c r="U251" s="577"/>
    </row>
    <row r="252" spans="1:452" s="578" customFormat="1" ht="18" x14ac:dyDescent="0.35">
      <c r="A252" s="624"/>
      <c r="B252" s="625"/>
      <c r="C252" s="626"/>
      <c r="D252" s="625" t="s">
        <v>137</v>
      </c>
      <c r="E252" s="627"/>
      <c r="F252" s="628" cm="1">
        <f t="array" ref="F252">SUMPRODUCT(F$14:F$43,--($D$14:$D$43=$D248),--($Q$14:$Q$43=TRUE),$S$14:$S$43,--($S$14:$S$43&gt;0))+SUMPRODUCT(F$14:F$43,--($D$14:$D$43=$D248),--($Q$14:$Q$43=TRUE),$S$14:$S$43,--($S$14:$S$43&gt;0),--($R$14:$R$43="Yes"))*0.1+SUMPRODUCT(F$14:F$43,--($D$14:$D$43=$D248),--($Q$14:$Q$43=TRUE),--($S199:$S228=0))+SUMPRODUCT(F$14:F$43,--($D$14:$D$43=$D248),--($Q$14:$Q$43=TRUE),--($R$14:$R$43="Yes"),--($S$14:$S$43=0))*0.1</f>
        <v>0</v>
      </c>
      <c r="G252" s="628" cm="1">
        <f t="array" ref="G252">SUMPRODUCT(G$14:G$43,--($D$14:$D$43=$D248),--($Q$14:$Q$43=TRUE),$S$14:$S$43,--($S$14:$S$43&gt;0))+SUMPRODUCT(G$14:G$43,--($D$14:$D$43=$D248),--($Q$14:$Q$43=TRUE),$S$14:$S$43,--($S$14:$S$43&gt;0),--($R$14:$R$43="Yes"))*0.1+SUMPRODUCT(G$14:G$43,--($D$14:$D$43=$D248),--($Q$14:$Q$43=TRUE),--($S199:$S228=0))+SUMPRODUCT(G$14:G$43,--($D$14:$D$43=$D248),--($Q$14:$Q$43=TRUE),--($R$14:$R$43="Yes"),--($S$14:$S$43=0))*0.1</f>
        <v>0</v>
      </c>
      <c r="H252" s="628" cm="1">
        <f t="array" ref="H252">SUMPRODUCT(H$14:H$43,--($D$14:$D$43=$D248),--($Q$14:$Q$43=TRUE),$S$14:$S$43,--($S$14:$S$43&gt;0))+SUMPRODUCT(H$14:H$43,--($D$14:$D$43=$D248),--($Q$14:$Q$43=TRUE),$S$14:$S$43,--($S$14:$S$43&gt;0),--($R$14:$R$43="Yes"))*0.1+SUMPRODUCT(H$14:H$43,--($D$14:$D$43=$D248),--($Q$14:$Q$43=TRUE),--($S199:$S228=0))+SUMPRODUCT(H$14:H$43,--($D$14:$D$43=$D248),--($Q$14:$Q$43=TRUE),--($R$14:$R$43="Yes"),--($S$14:$S$43=0))*0.1</f>
        <v>0</v>
      </c>
      <c r="I252" s="628" cm="1">
        <f t="array" ref="I252">SUMPRODUCT(I$14:I$43,--($D$14:$D$43=$D248),--($Q$14:$Q$43=TRUE),$S$14:$S$43,--($S$14:$S$43&gt;0))+SUMPRODUCT(I$14:I$43,--($D$14:$D$43=$D248),--($Q$14:$Q$43=TRUE),$S$14:$S$43,--($S$14:$S$43&gt;0),--($R$14:$R$43="Yes"))*0.1+SUMPRODUCT(I$14:I$43,--($D$14:$D$43=$D248),--($Q$14:$Q$43=TRUE),--($S199:$S228=0))+SUMPRODUCT(I$14:I$43,--($D$14:$D$43=$D248),--($Q$14:$Q$43=TRUE),--($R$14:$R$43="Yes"),--($S$14:$S$43=0))*0.1</f>
        <v>0</v>
      </c>
      <c r="J252" s="628" cm="1">
        <f t="array" ref="J252">SUMPRODUCT(J$14:J$43,--($D$14:$D$43=$D248),--($Q$14:$Q$43=TRUE),$S$14:$S$43,--($S$14:$S$43&gt;0))+SUMPRODUCT(J$14:J$43,--($D$14:$D$43=$D248),--($Q$14:$Q$43=TRUE),$S$14:$S$43,--($S$14:$S$43&gt;0),--($R$14:$R$43="Yes"))*0.1+SUMPRODUCT(J$14:J$43,--($D$14:$D$43=$D248),--($Q$14:$Q$43=TRUE),--($S199:$S228=0))+SUMPRODUCT(J$14:J$43,--($D$14:$D$43=$D248),--($Q$14:$Q$43=TRUE),--($R$14:$R$43="Yes"),--($S$14:$S$43=0))*0.1</f>
        <v>0</v>
      </c>
      <c r="K252" s="628" cm="1">
        <f t="array" ref="K252">SUMPRODUCT(K$14:K$43,--($D$14:$D$43=$D248),--($Q$14:$Q$43=TRUE),$S$14:$S$43,--($S$14:$S$43&gt;0))+SUMPRODUCT(K$14:K$43,--($D$14:$D$43=$D248),--($Q$14:$Q$43=TRUE),$S$14:$S$43,--($S$14:$S$43&gt;0),--($R$14:$R$43="Yes"))*0.1+SUMPRODUCT(K$14:K$43,--($D$14:$D$43=$D248),--($Q$14:$Q$43=TRUE),--($S199:$S228=0))+SUMPRODUCT(K$14:K$43,--($D$14:$D$43=$D248),--($Q$14:$Q$43=TRUE),--($R$14:$R$43="Yes"),--($S$14:$S$43=0))*0.1</f>
        <v>0</v>
      </c>
      <c r="L252" s="628" cm="1">
        <f t="array" ref="L252">SUMPRODUCT(L$14:L$43,--($D$14:$D$43=$D248),--($Q$14:$Q$43=TRUE),$S$14:$S$43,--($S$14:$S$43&gt;0))+SUMPRODUCT(L$14:L$43,--($D$14:$D$43=$D248),--($Q$14:$Q$43=TRUE),$S$14:$S$43,--($S$14:$S$43&gt;0),--($R$14:$R$43="Yes"))*0.1+SUMPRODUCT(L$14:L$43,--($D$14:$D$43=$D248),--($Q$14:$Q$43=TRUE),--($S199:$S228=0))+SUMPRODUCT(L$14:L$43,--($D$14:$D$43=$D248),--($Q$14:$Q$43=TRUE),--($R$14:$R$43="Yes"),--($S$14:$S$43=0))*0.1</f>
        <v>0</v>
      </c>
      <c r="M252" s="628" cm="1">
        <f t="array" ref="M252">SUMPRODUCT(M$14:M$43,--($D$14:$D$43=$D248),--($Q$14:$Q$43=TRUE),$S$14:$S$43,--($S$14:$S$43&gt;0))+SUMPRODUCT(M$14:M$43,--($D$14:$D$43=$D248),--($Q$14:$Q$43=TRUE),$S$14:$S$43,--($S$14:$S$43&gt;0),--($R$14:$R$43="Yes"))*0.1+SUMPRODUCT(M$14:M$43,--($D$14:$D$43=$D248),--($Q$14:$Q$43=TRUE),--($S199:$S228=0))+SUMPRODUCT(M$14:M$43,--($D$14:$D$43=$D248),--($Q$14:$Q$43=TRUE),--($R$14:$R$43="Yes"),--($S$14:$S$43=0))*0.1</f>
        <v>0</v>
      </c>
      <c r="N252" s="628" cm="1">
        <f t="array" ref="N252">SUMPRODUCT(N$14:N$43,--($D$14:$D$43=$D248),--($Q$14:$Q$43=TRUE),$S$14:$S$43,--($S$14:$S$43&gt;0))+SUMPRODUCT(N$14:N$43,--($D$14:$D$43=$D248),--($Q$14:$Q$43=TRUE),$S$14:$S$43,--($S$14:$S$43&gt;0),--($R$14:$R$43="Yes"))*0.1+SUMPRODUCT(N$14:N$43,--($D$14:$D$43=$D248),--($Q$14:$Q$43=TRUE),--($S199:$S228=0))+SUMPRODUCT(N$14:N$43,--($D$14:$D$43=$D248),--($Q$14:$Q$43=TRUE),--($R$14:$R$43="Yes"),--($S$14:$S$43=0))*0.1</f>
        <v>0</v>
      </c>
      <c r="O252" s="628" cm="1">
        <f t="array" ref="O252">SUMPRODUCT(O$14:O$43,--($D$14:$D$43=$D248),--($Q$14:$Q$43=TRUE),$S$14:$S$43,--($S$14:$S$43&gt;0))+SUMPRODUCT(O$14:O$43,--($D$14:$D$43=$D248),--($Q$14:$Q$43=TRUE),$S$14:$S$43,--($S$14:$S$43&gt;0),--($R$14:$R$43="Yes"))*0.1+SUMPRODUCT(O$14:O$43,--($D$14:$D$43=$D248),--($Q$14:$Q$43=TRUE),--($S199:$S228=0))+SUMPRODUCT(O$14:O$43,--($D$14:$D$43=$D248),--($Q$14:$Q$43=TRUE),--($R$14:$R$43="Yes"),--($S$14:$S$43=0))*0.1</f>
        <v>0</v>
      </c>
      <c r="P252" s="629">
        <f t="shared" si="76"/>
        <v>0</v>
      </c>
      <c r="Q252" s="575"/>
      <c r="R252" s="576"/>
      <c r="S252" s="576"/>
      <c r="T252" s="576"/>
      <c r="U252" s="577"/>
      <c r="V252" s="610"/>
      <c r="W252" s="610"/>
      <c r="X252" s="610"/>
      <c r="Y252" s="610"/>
      <c r="Z252" s="610"/>
      <c r="AA252" s="610"/>
      <c r="AB252" s="610"/>
      <c r="AC252" s="610"/>
      <c r="AD252" s="610"/>
      <c r="AE252" s="610"/>
      <c r="AF252" s="610"/>
      <c r="AG252" s="610"/>
      <c r="AH252" s="610"/>
      <c r="AI252" s="610"/>
      <c r="AJ252" s="610"/>
      <c r="AK252" s="610"/>
      <c r="AL252" s="610"/>
      <c r="AM252" s="610"/>
      <c r="AN252" s="610"/>
      <c r="AO252" s="610"/>
      <c r="AP252" s="610"/>
      <c r="AQ252" s="610"/>
      <c r="AR252" s="610"/>
      <c r="AS252" s="610"/>
      <c r="AT252" s="610"/>
      <c r="AU252" s="610"/>
      <c r="AV252" s="610"/>
      <c r="AW252" s="610"/>
      <c r="AX252" s="610"/>
      <c r="AY252" s="610"/>
      <c r="AZ252" s="610"/>
      <c r="BA252" s="610"/>
      <c r="BB252" s="610"/>
      <c r="BC252" s="610"/>
      <c r="BD252" s="610"/>
      <c r="BE252" s="610"/>
      <c r="BF252" s="610"/>
      <c r="BG252" s="610"/>
      <c r="BH252" s="610"/>
      <c r="BI252" s="610"/>
      <c r="BJ252" s="610"/>
      <c r="BK252" s="610"/>
      <c r="BL252" s="610"/>
      <c r="BM252" s="610"/>
      <c r="BN252" s="610"/>
      <c r="BO252" s="610"/>
      <c r="BP252" s="610"/>
      <c r="BQ252" s="610"/>
      <c r="BR252" s="610"/>
      <c r="BS252" s="610"/>
      <c r="BT252" s="610"/>
      <c r="BU252" s="610"/>
      <c r="BV252" s="610"/>
      <c r="BW252" s="610"/>
      <c r="BX252" s="610"/>
      <c r="BY252" s="610"/>
      <c r="BZ252" s="610"/>
      <c r="CA252" s="610"/>
      <c r="CB252" s="610"/>
      <c r="CC252" s="610"/>
      <c r="CD252" s="610"/>
      <c r="CE252" s="610"/>
      <c r="CF252" s="610"/>
      <c r="CG252" s="610"/>
      <c r="CH252" s="610"/>
      <c r="CI252" s="610"/>
      <c r="CJ252" s="610"/>
      <c r="CK252" s="610"/>
      <c r="CL252" s="610"/>
      <c r="CM252" s="610"/>
      <c r="CN252" s="610"/>
      <c r="CO252" s="610"/>
      <c r="CP252" s="610"/>
      <c r="CQ252" s="610"/>
      <c r="CR252" s="610"/>
      <c r="CS252" s="610"/>
      <c r="CT252" s="610"/>
      <c r="CU252" s="610"/>
      <c r="CV252" s="610"/>
      <c r="CW252" s="610"/>
      <c r="CX252" s="610"/>
      <c r="CY252" s="610"/>
      <c r="CZ252" s="610"/>
      <c r="DA252" s="610"/>
      <c r="DB252" s="610"/>
      <c r="DC252" s="610"/>
      <c r="DD252" s="610"/>
      <c r="DE252" s="610"/>
      <c r="DF252" s="610"/>
      <c r="DG252" s="610"/>
      <c r="DH252" s="610"/>
      <c r="DI252" s="610"/>
      <c r="DJ252" s="610"/>
      <c r="DK252" s="610"/>
      <c r="DL252" s="610"/>
      <c r="DM252" s="610"/>
      <c r="DN252" s="610"/>
      <c r="DO252" s="610"/>
      <c r="DP252" s="610"/>
      <c r="DQ252" s="610"/>
      <c r="DR252" s="610"/>
      <c r="DS252" s="610"/>
      <c r="DT252" s="610"/>
      <c r="DU252" s="610"/>
      <c r="DV252" s="610"/>
      <c r="DW252" s="610"/>
      <c r="DX252" s="610"/>
      <c r="DY252" s="610"/>
      <c r="DZ252" s="610"/>
      <c r="EA252" s="610"/>
      <c r="EB252" s="610"/>
      <c r="EC252" s="610"/>
      <c r="ED252" s="610"/>
      <c r="EE252" s="610"/>
      <c r="EF252" s="610"/>
      <c r="EG252" s="610"/>
      <c r="EH252" s="610"/>
      <c r="EI252" s="610"/>
      <c r="EJ252" s="610"/>
      <c r="EK252" s="610"/>
      <c r="EL252" s="610"/>
      <c r="EM252" s="610"/>
      <c r="EN252" s="610"/>
      <c r="EO252" s="610"/>
      <c r="EP252" s="610"/>
      <c r="EQ252" s="610"/>
      <c r="ER252" s="610"/>
      <c r="ES252" s="610"/>
      <c r="ET252" s="610"/>
      <c r="EU252" s="610"/>
      <c r="EV252" s="610"/>
      <c r="EW252" s="610"/>
      <c r="EX252" s="610"/>
      <c r="EY252" s="610"/>
      <c r="EZ252" s="610"/>
      <c r="FA252" s="610"/>
      <c r="FB252" s="610"/>
      <c r="FC252" s="610"/>
      <c r="FD252" s="610"/>
      <c r="FE252" s="610"/>
      <c r="FF252" s="610"/>
      <c r="FG252" s="610"/>
      <c r="FH252" s="610"/>
      <c r="FI252" s="610"/>
      <c r="FJ252" s="610"/>
      <c r="FK252" s="610"/>
      <c r="FL252" s="610"/>
      <c r="FM252" s="610"/>
      <c r="FN252" s="610"/>
      <c r="FO252" s="610"/>
      <c r="FP252" s="610"/>
      <c r="FQ252" s="610"/>
      <c r="FR252" s="610"/>
      <c r="FS252" s="610"/>
      <c r="FT252" s="610"/>
      <c r="FU252" s="610"/>
      <c r="FV252" s="610"/>
      <c r="FW252" s="610"/>
      <c r="FX252" s="610"/>
      <c r="FY252" s="610"/>
      <c r="FZ252" s="610"/>
      <c r="GA252" s="610"/>
      <c r="GB252" s="610"/>
      <c r="GC252" s="610"/>
      <c r="GD252" s="610"/>
      <c r="GE252" s="610"/>
      <c r="GF252" s="610"/>
      <c r="GG252" s="610"/>
      <c r="GH252" s="610"/>
      <c r="GI252" s="610"/>
      <c r="GJ252" s="610"/>
      <c r="GK252" s="610"/>
      <c r="GL252" s="610"/>
      <c r="GM252" s="610"/>
      <c r="GN252" s="610"/>
      <c r="GO252" s="610"/>
      <c r="GP252" s="610"/>
      <c r="GQ252" s="610"/>
      <c r="GR252" s="610"/>
      <c r="GS252" s="610"/>
      <c r="GT252" s="610"/>
      <c r="GU252" s="610"/>
      <c r="GV252" s="610"/>
      <c r="GW252" s="610"/>
      <c r="GX252" s="610"/>
      <c r="GY252" s="610"/>
      <c r="GZ252" s="610"/>
      <c r="HA252" s="610"/>
      <c r="HB252" s="610"/>
      <c r="HC252" s="610"/>
      <c r="HD252" s="610"/>
      <c r="HE252" s="610"/>
      <c r="HF252" s="610"/>
      <c r="HG252" s="610"/>
      <c r="HH252" s="610"/>
      <c r="HI252" s="610"/>
      <c r="HJ252" s="610"/>
      <c r="HK252" s="610"/>
      <c r="HL252" s="610"/>
      <c r="HM252" s="610"/>
      <c r="HN252" s="610"/>
      <c r="HO252" s="610"/>
      <c r="HP252" s="610"/>
      <c r="HQ252" s="610"/>
      <c r="HR252" s="610"/>
      <c r="HS252" s="610"/>
      <c r="HT252" s="610"/>
      <c r="HU252" s="610"/>
      <c r="HV252" s="610"/>
      <c r="HW252" s="610"/>
      <c r="HX252" s="610"/>
      <c r="HY252" s="610"/>
      <c r="HZ252" s="610"/>
      <c r="IA252" s="610"/>
      <c r="IB252" s="610"/>
      <c r="IC252" s="610"/>
      <c r="ID252" s="610"/>
      <c r="IE252" s="610"/>
      <c r="IF252" s="610"/>
      <c r="IG252" s="610"/>
      <c r="IH252" s="610"/>
      <c r="II252" s="610"/>
      <c r="IJ252" s="610"/>
      <c r="IK252" s="610"/>
      <c r="IL252" s="610"/>
      <c r="IM252" s="610"/>
      <c r="IN252" s="610"/>
      <c r="IO252" s="610"/>
      <c r="IP252" s="610"/>
      <c r="IQ252" s="610"/>
      <c r="IR252" s="610"/>
      <c r="IS252" s="610"/>
      <c r="IT252" s="610"/>
      <c r="IU252" s="610"/>
      <c r="IV252" s="610"/>
      <c r="IW252" s="610"/>
      <c r="IX252" s="610"/>
      <c r="IY252" s="610"/>
      <c r="IZ252" s="610"/>
      <c r="JA252" s="610"/>
      <c r="JB252" s="610"/>
      <c r="JC252" s="610"/>
      <c r="JD252" s="610"/>
      <c r="JE252" s="610"/>
      <c r="JF252" s="610"/>
      <c r="JG252" s="610"/>
      <c r="JH252" s="610"/>
      <c r="JI252" s="610"/>
      <c r="JJ252" s="610"/>
      <c r="JK252" s="610"/>
      <c r="JL252" s="610"/>
      <c r="JM252" s="610"/>
      <c r="JN252" s="610"/>
      <c r="JO252" s="610"/>
      <c r="JP252" s="610"/>
      <c r="JQ252" s="610"/>
      <c r="JR252" s="610"/>
      <c r="JS252" s="610"/>
      <c r="JT252" s="610"/>
      <c r="JU252" s="610"/>
      <c r="JV252" s="610"/>
      <c r="JW252" s="610"/>
      <c r="JX252" s="610"/>
      <c r="JY252" s="610"/>
      <c r="JZ252" s="610"/>
      <c r="KA252" s="610"/>
      <c r="KB252" s="610"/>
      <c r="KC252" s="610"/>
      <c r="KD252" s="610"/>
      <c r="KE252" s="610"/>
      <c r="KF252" s="610"/>
      <c r="KG252" s="610"/>
      <c r="KH252" s="610"/>
      <c r="KI252" s="610"/>
      <c r="KJ252" s="610"/>
      <c r="KK252" s="610"/>
      <c r="KL252" s="610"/>
      <c r="KM252" s="610"/>
      <c r="KN252" s="610"/>
      <c r="KO252" s="610"/>
      <c r="KP252" s="610"/>
      <c r="KQ252" s="610"/>
      <c r="KR252" s="610"/>
      <c r="KS252" s="610"/>
      <c r="KT252" s="610"/>
      <c r="KU252" s="610"/>
      <c r="KV252" s="610"/>
      <c r="KW252" s="610"/>
      <c r="KX252" s="610"/>
      <c r="KY252" s="610"/>
      <c r="KZ252" s="610"/>
      <c r="LA252" s="610"/>
      <c r="LB252" s="610"/>
      <c r="LC252" s="610"/>
      <c r="LD252" s="610"/>
      <c r="LE252" s="610"/>
      <c r="LF252" s="610"/>
      <c r="LG252" s="610"/>
      <c r="LH252" s="610"/>
      <c r="LI252" s="610"/>
      <c r="LJ252" s="610"/>
      <c r="LK252" s="610"/>
      <c r="LL252" s="610"/>
      <c r="LM252" s="610"/>
      <c r="LN252" s="610"/>
      <c r="LO252" s="610"/>
      <c r="LP252" s="610"/>
      <c r="LQ252" s="610"/>
      <c r="LR252" s="610"/>
      <c r="LS252" s="610"/>
      <c r="LT252" s="610"/>
      <c r="LU252" s="610"/>
      <c r="LV252" s="610"/>
      <c r="LW252" s="610"/>
      <c r="LX252" s="610"/>
      <c r="LY252" s="610"/>
      <c r="LZ252" s="610"/>
      <c r="MA252" s="610"/>
      <c r="MB252" s="610"/>
      <c r="MC252" s="610"/>
      <c r="MD252" s="610"/>
      <c r="ME252" s="610"/>
      <c r="MF252" s="610"/>
      <c r="MG252" s="610"/>
      <c r="MH252" s="610"/>
      <c r="MI252" s="610"/>
      <c r="MJ252" s="610"/>
      <c r="MK252" s="610"/>
      <c r="ML252" s="610"/>
      <c r="MM252" s="610"/>
      <c r="MN252" s="610"/>
      <c r="MO252" s="610"/>
      <c r="MP252" s="610"/>
      <c r="MQ252" s="610"/>
      <c r="MR252" s="610"/>
      <c r="MS252" s="610"/>
      <c r="MT252" s="610"/>
      <c r="MU252" s="610"/>
      <c r="MV252" s="610"/>
      <c r="MW252" s="610"/>
      <c r="MX252" s="610"/>
      <c r="MY252" s="610"/>
      <c r="MZ252" s="610"/>
      <c r="NA252" s="610"/>
      <c r="NB252" s="610"/>
      <c r="NC252" s="610"/>
      <c r="ND252" s="610"/>
      <c r="NE252" s="610"/>
      <c r="NF252" s="610"/>
      <c r="NG252" s="610"/>
      <c r="NH252" s="610"/>
      <c r="NI252" s="610"/>
      <c r="NJ252" s="610"/>
      <c r="NK252" s="610"/>
      <c r="NL252" s="610"/>
      <c r="NM252" s="610"/>
      <c r="NN252" s="610"/>
      <c r="NO252" s="610"/>
      <c r="NP252" s="610"/>
      <c r="NQ252" s="610"/>
      <c r="NR252" s="610"/>
      <c r="NS252" s="610"/>
      <c r="NT252" s="610"/>
      <c r="NU252" s="610"/>
      <c r="NV252" s="610"/>
      <c r="NW252" s="610"/>
      <c r="NX252" s="610"/>
      <c r="NY252" s="610"/>
      <c r="NZ252" s="610"/>
      <c r="OA252" s="610"/>
      <c r="OB252" s="610"/>
      <c r="OC252" s="610"/>
      <c r="OD252" s="610"/>
      <c r="OE252" s="610"/>
      <c r="OF252" s="610"/>
      <c r="OG252" s="610"/>
      <c r="OH252" s="610"/>
      <c r="OI252" s="610"/>
      <c r="OJ252" s="610"/>
      <c r="OK252" s="610"/>
      <c r="OL252" s="610"/>
      <c r="OM252" s="610"/>
      <c r="ON252" s="610"/>
      <c r="OO252" s="610"/>
      <c r="OP252" s="610"/>
      <c r="OQ252" s="610"/>
      <c r="OR252" s="610"/>
      <c r="OS252" s="610"/>
      <c r="OT252" s="610"/>
      <c r="OU252" s="610"/>
      <c r="OV252" s="610"/>
      <c r="OW252" s="610"/>
      <c r="OX252" s="610"/>
      <c r="OY252" s="610"/>
      <c r="OZ252" s="610"/>
      <c r="PA252" s="610"/>
      <c r="PB252" s="610"/>
      <c r="PC252" s="610"/>
      <c r="PD252" s="610"/>
      <c r="PE252" s="610"/>
      <c r="PF252" s="610"/>
      <c r="PG252" s="610"/>
      <c r="PH252" s="610"/>
      <c r="PI252" s="610"/>
      <c r="PJ252" s="610"/>
      <c r="PK252" s="610"/>
      <c r="PL252" s="610"/>
      <c r="PM252" s="610"/>
      <c r="PN252" s="610"/>
      <c r="PO252" s="610"/>
      <c r="PP252" s="610"/>
      <c r="PQ252" s="610"/>
      <c r="PR252" s="610"/>
      <c r="PS252" s="610"/>
      <c r="PT252" s="610"/>
      <c r="PU252" s="610"/>
      <c r="PV252" s="610"/>
      <c r="PW252" s="610"/>
      <c r="PX252" s="610"/>
      <c r="PY252" s="610"/>
      <c r="PZ252" s="610"/>
      <c r="QA252" s="610"/>
      <c r="QB252" s="610"/>
      <c r="QC252" s="610"/>
      <c r="QD252" s="610"/>
      <c r="QE252" s="610"/>
      <c r="QF252" s="610"/>
      <c r="QG252" s="610"/>
      <c r="QH252" s="610"/>
      <c r="QI252" s="610"/>
      <c r="QJ252" s="610"/>
    </row>
    <row r="253" spans="1:452" s="524" customFormat="1" ht="18" x14ac:dyDescent="0.35">
      <c r="A253" s="605"/>
      <c r="B253" s="558"/>
      <c r="C253" s="559"/>
      <c r="D253" s="559"/>
      <c r="E253" s="572" t="s">
        <v>86</v>
      </c>
      <c r="F253" s="571" cm="1">
        <f t="array" ref="F253">SUMPRODUCT(F$14:F$43,--($Q$14:$Q$43=TRUE),--($D$14:$D$43=$D248))</f>
        <v>0</v>
      </c>
      <c r="G253" s="571" cm="1">
        <f t="array" ref="G253">SUMPRODUCT(G$14:G$43,--($Q$14:$Q$43=TRUE),--($D$14:$D$43=$D248))</f>
        <v>0</v>
      </c>
      <c r="H253" s="571" cm="1">
        <f t="array" ref="H253">SUMPRODUCT(H$14:H$43,--($Q$14:$Q$43=TRUE),--($D$14:$D$43=$D248))</f>
        <v>0</v>
      </c>
      <c r="I253" s="571" cm="1">
        <f t="array" ref="I253">SUMPRODUCT(I$14:I$43,--($Q$14:$Q$43=TRUE),--($D$14:$D$43=$D248))</f>
        <v>0</v>
      </c>
      <c r="J253" s="571" cm="1">
        <f t="array" ref="J253">SUMPRODUCT(J$14:J$43,--($Q$14:$Q$43=TRUE),--($D$14:$D$43=$D248))</f>
        <v>0</v>
      </c>
      <c r="K253" s="571" cm="1">
        <f t="array" ref="K253">SUMPRODUCT(K$14:K$43,--($Q$14:$Q$43=TRUE),--($D$14:$D$43=$D248))</f>
        <v>0</v>
      </c>
      <c r="L253" s="571" cm="1">
        <f t="array" ref="L253">SUMPRODUCT(L$14:L$43,--($Q$14:$Q$43=TRUE),--($D$14:$D$43=$D248))</f>
        <v>0</v>
      </c>
      <c r="M253" s="571" cm="1">
        <f t="array" ref="M253">SUMPRODUCT(M$14:M$43,--($Q$14:$Q$43=TRUE),--($D$14:$D$43=$D248))</f>
        <v>0</v>
      </c>
      <c r="N253" s="571" cm="1">
        <f t="array" ref="N253">SUMPRODUCT(N$14:N$43,--($Q$14:$Q$43=TRUE),--($D$14:$D$43=$D248))</f>
        <v>0</v>
      </c>
      <c r="O253" s="571" cm="1">
        <f t="array" ref="O253">SUMPRODUCT(O$14:O$43,--($Q$14:$Q$43=TRUE),--($D$14:$D$43=$D248))</f>
        <v>0</v>
      </c>
      <c r="P253" s="607">
        <f t="shared" si="76"/>
        <v>0</v>
      </c>
      <c r="Q253" s="575"/>
      <c r="R253" s="576"/>
      <c r="S253" s="576"/>
      <c r="T253" s="576"/>
      <c r="U253" s="577"/>
    </row>
    <row r="254" spans="1:452" s="524" customFormat="1" ht="18" x14ac:dyDescent="0.35">
      <c r="A254" s="605"/>
      <c r="C254" s="559"/>
      <c r="D254" s="559"/>
      <c r="E254" s="572" t="s">
        <v>87</v>
      </c>
      <c r="F254" s="571" cm="1">
        <f t="array" ref="F254">SUMPRODUCT(F$14:F$43,--($Q$14:$Q$43=TRUE),--($D$14:$D$43=$D252),--($R$14:$R$43="Yes"))*0.1</f>
        <v>0</v>
      </c>
      <c r="G254" s="571" cm="1">
        <f t="array" ref="G254">SUMPRODUCT(G$14:G$43,--($Q$14:$Q$43=TRUE),--($D$14:$D$43=$D252),--($R$14:$R$43="Yes"))*0.1</f>
        <v>0</v>
      </c>
      <c r="H254" s="571" cm="1">
        <f t="array" ref="H254">SUMPRODUCT(H$14:H$43,--($Q$14:$Q$43=TRUE),--($D$14:$D$43=$D252),--($R$14:$R$43="Yes"))*0.1</f>
        <v>0</v>
      </c>
      <c r="I254" s="571" cm="1">
        <f t="array" ref="I254">SUMPRODUCT(I$14:I$43,--($Q$14:$Q$43=TRUE),--($D$14:$D$43=$D252),--($R$14:$R$43="Yes"))*0.1</f>
        <v>0</v>
      </c>
      <c r="J254" s="571" cm="1">
        <f t="array" ref="J254">SUMPRODUCT(J$14:J$43,--($Q$14:$Q$43=TRUE),--($D$14:$D$43=$D252),--($R$14:$R$43="Yes"))*0.1</f>
        <v>0</v>
      </c>
      <c r="K254" s="571" cm="1">
        <f t="array" ref="K254">SUMPRODUCT(K$14:K$43,--($Q$14:$Q$43=TRUE),--($D$14:$D$43=$D252),--($R$14:$R$43="Yes"))*0.1</f>
        <v>0</v>
      </c>
      <c r="L254" s="571" cm="1">
        <f t="array" ref="L254">SUMPRODUCT(L$14:L$43,--($Q$14:$Q$43=TRUE),--($D$14:$D$43=$D252),--($R$14:$R$43="Yes"))*0.1</f>
        <v>0</v>
      </c>
      <c r="M254" s="571" cm="1">
        <f t="array" ref="M254">SUMPRODUCT(M$14:M$43,--($Q$14:$Q$43=TRUE),--($D$14:$D$43=$D252),--($R$14:$R$43="Yes"))*0.1</f>
        <v>0</v>
      </c>
      <c r="N254" s="571" cm="1">
        <f t="array" ref="N254">SUMPRODUCT(N$14:N$43,--($Q$14:$Q$43=TRUE),--($D$14:$D$43=$D252),--($R$14:$R$43="Yes"))*0.1</f>
        <v>0</v>
      </c>
      <c r="O254" s="571" cm="1">
        <f t="array" ref="O254">SUMPRODUCT(O$14:O$43,--($Q$14:$Q$43=TRUE),--($D$14:$D$43=$D252),--($R$14:$R$43="Yes"))*0.1</f>
        <v>0</v>
      </c>
      <c r="P254" s="607">
        <f t="shared" si="76"/>
        <v>0</v>
      </c>
      <c r="Q254" s="575"/>
      <c r="R254" s="576"/>
      <c r="S254" s="576"/>
      <c r="T254" s="576"/>
      <c r="U254" s="577"/>
    </row>
    <row r="255" spans="1:452" s="524" customFormat="1" ht="18" x14ac:dyDescent="0.35">
      <c r="A255" s="605"/>
      <c r="B255" s="558"/>
      <c r="C255" s="559"/>
      <c r="D255" s="559"/>
      <c r="E255" s="572" t="s">
        <v>88</v>
      </c>
      <c r="F255" s="571">
        <f>F252-(F253+F254)</f>
        <v>0</v>
      </c>
      <c r="G255" s="571">
        <f t="shared" ref="G255:O255" si="78">G252-(G253+G254)</f>
        <v>0</v>
      </c>
      <c r="H255" s="571">
        <f t="shared" si="78"/>
        <v>0</v>
      </c>
      <c r="I255" s="571">
        <f t="shared" si="78"/>
        <v>0</v>
      </c>
      <c r="J255" s="571">
        <f t="shared" si="78"/>
        <v>0</v>
      </c>
      <c r="K255" s="571">
        <f t="shared" si="78"/>
        <v>0</v>
      </c>
      <c r="L255" s="571">
        <f t="shared" si="78"/>
        <v>0</v>
      </c>
      <c r="M255" s="571">
        <f t="shared" si="78"/>
        <v>0</v>
      </c>
      <c r="N255" s="571">
        <f t="shared" si="78"/>
        <v>0</v>
      </c>
      <c r="O255" s="571">
        <f t="shared" si="78"/>
        <v>0</v>
      </c>
      <c r="P255" s="607">
        <f t="shared" si="76"/>
        <v>0</v>
      </c>
      <c r="Q255" s="575"/>
      <c r="R255" s="576"/>
      <c r="S255" s="576"/>
      <c r="T255" s="576"/>
      <c r="U255" s="577"/>
    </row>
    <row r="256" spans="1:452" ht="18.600000000000001" thickBot="1" x14ac:dyDescent="0.4">
      <c r="A256" s="630"/>
      <c r="B256" s="631"/>
      <c r="C256" s="631"/>
      <c r="D256" s="631"/>
      <c r="E256" s="631"/>
      <c r="F256" s="631"/>
      <c r="G256" s="631"/>
      <c r="H256" s="631"/>
      <c r="I256" s="631"/>
      <c r="J256" s="631"/>
      <c r="K256" s="631"/>
      <c r="L256" s="631"/>
      <c r="M256" s="631"/>
      <c r="N256" s="631"/>
      <c r="O256" s="631"/>
      <c r="P256" s="632"/>
      <c r="Q256" s="575"/>
      <c r="R256" s="576"/>
      <c r="S256" s="576"/>
      <c r="T256" s="576"/>
      <c r="U256" s="577"/>
    </row>
    <row r="257" spans="5:21" ht="15" customHeight="1" x14ac:dyDescent="0.35">
      <c r="Q257" s="575"/>
      <c r="R257" s="576"/>
      <c r="S257" s="576"/>
      <c r="T257" s="576"/>
      <c r="U257" s="577"/>
    </row>
    <row r="258" spans="5:21" ht="18" x14ac:dyDescent="0.35">
      <c r="Q258" s="575"/>
      <c r="R258" s="576"/>
      <c r="S258" s="576"/>
      <c r="T258" s="576"/>
      <c r="U258" s="577"/>
    </row>
    <row r="259" spans="5:21" ht="18" x14ac:dyDescent="0.35">
      <c r="U259" s="577"/>
    </row>
    <row r="260" spans="5:21" ht="18" x14ac:dyDescent="0.35">
      <c r="E260" s="229" t="s">
        <v>138</v>
      </c>
      <c r="U260" s="577"/>
    </row>
    <row r="261" spans="5:21" ht="18" x14ac:dyDescent="0.35">
      <c r="U261" s="577"/>
    </row>
    <row r="262" spans="5:21" ht="18" x14ac:dyDescent="0.35">
      <c r="U262" s="577"/>
    </row>
    <row r="263" spans="5:21" ht="18" x14ac:dyDescent="0.35">
      <c r="U263" s="577"/>
    </row>
    <row r="264" spans="5:21" ht="18" x14ac:dyDescent="0.35">
      <c r="U264" s="577"/>
    </row>
    <row r="265" spans="5:21" ht="18" x14ac:dyDescent="0.35">
      <c r="U265" s="577"/>
    </row>
    <row r="266" spans="5:21" ht="18" x14ac:dyDescent="0.35">
      <c r="U266" s="577"/>
    </row>
    <row r="267" spans="5:21" ht="18" x14ac:dyDescent="0.35">
      <c r="U267" s="577"/>
    </row>
    <row r="268" spans="5:21" ht="18" x14ac:dyDescent="0.35">
      <c r="U268" s="577"/>
    </row>
    <row r="269" spans="5:21" ht="18" x14ac:dyDescent="0.35">
      <c r="U269" s="577"/>
    </row>
    <row r="270" spans="5:21" ht="18" x14ac:dyDescent="0.35">
      <c r="U270" s="577"/>
    </row>
    <row r="271" spans="5:21" ht="18" x14ac:dyDescent="0.35">
      <c r="U271" s="577"/>
    </row>
    <row r="272" spans="5:21" ht="18" x14ac:dyDescent="0.35">
      <c r="U272" s="577"/>
    </row>
    <row r="273" spans="21:21" ht="18" x14ac:dyDescent="0.35">
      <c r="U273" s="577"/>
    </row>
    <row r="274" spans="21:21" ht="18" x14ac:dyDescent="0.35">
      <c r="U274" s="577"/>
    </row>
    <row r="275" spans="21:21" ht="18" x14ac:dyDescent="0.35">
      <c r="U275" s="577"/>
    </row>
    <row r="276" spans="21:21" ht="18" x14ac:dyDescent="0.35">
      <c r="U276" s="577"/>
    </row>
    <row r="277" spans="21:21" ht="18" x14ac:dyDescent="0.35">
      <c r="U277" s="577"/>
    </row>
    <row r="278" spans="21:21" ht="18" x14ac:dyDescent="0.35">
      <c r="U278" s="577"/>
    </row>
    <row r="279" spans="21:21" ht="18" x14ac:dyDescent="0.35">
      <c r="U279" s="577"/>
    </row>
    <row r="280" spans="21:21" ht="18" x14ac:dyDescent="0.35">
      <c r="U280" s="577"/>
    </row>
    <row r="281" spans="21:21" ht="18" x14ac:dyDescent="0.35">
      <c r="U281" s="577"/>
    </row>
    <row r="282" spans="21:21" ht="18" x14ac:dyDescent="0.35">
      <c r="U282" s="577"/>
    </row>
    <row r="283" spans="21:21" ht="18" x14ac:dyDescent="0.35">
      <c r="U283" s="577"/>
    </row>
    <row r="284" spans="21:21" ht="18" x14ac:dyDescent="0.35">
      <c r="U284" s="577"/>
    </row>
    <row r="285" spans="21:21" ht="18" x14ac:dyDescent="0.35">
      <c r="U285" s="577"/>
    </row>
    <row r="286" spans="21:21" ht="18" x14ac:dyDescent="0.35">
      <c r="U286" s="577"/>
    </row>
  </sheetData>
  <sheetProtection sheet="1" objects="1" scenarios="1" selectLockedCells="1"/>
  <mergeCells count="13">
    <mergeCell ref="M1:P1"/>
    <mergeCell ref="A8:S8"/>
    <mergeCell ref="B10:J11"/>
    <mergeCell ref="T13:U13"/>
    <mergeCell ref="T14:U51"/>
    <mergeCell ref="B45:C45"/>
    <mergeCell ref="D45:E45"/>
    <mergeCell ref="D47:E47"/>
    <mergeCell ref="D52:E52"/>
    <mergeCell ref="D53:E53"/>
    <mergeCell ref="D54:E54"/>
    <mergeCell ref="A57:S57"/>
    <mergeCell ref="T57:U57"/>
  </mergeCells>
  <dataValidations count="3">
    <dataValidation type="list" allowBlank="1" showInputMessage="1" showErrorMessage="1" sqref="D14:D43" xr:uid="{E20D7A8B-5E46-44B9-90EF-71F2348C69E2}">
      <formula1>INDIRECT(SUBSTITUTE(B14," ","_"))</formula1>
    </dataValidation>
    <dataValidation type="list" allowBlank="1" showInputMessage="1" showErrorMessage="1" sqref="B14:B43" xr:uid="{262E3141-98D2-4502-B16C-0BF327410BF3}">
      <formula1>vl_nonstaff_costs_category</formula1>
    </dataValidation>
    <dataValidation type="list" allowBlank="1" showInputMessage="1" showErrorMessage="1" sqref="R14:R43" xr:uid="{4D75392F-0D50-4919-83FC-F48329CD325C}">
      <formula1>"Yes,No"</formula1>
    </dataValidation>
  </dataValidations>
  <printOptions horizontalCentered="1"/>
  <pageMargins left="0.25" right="0.25" top="0.75" bottom="0.75" header="0.3" footer="0.3"/>
  <pageSetup paperSize="9" scale="38" fitToHeight="0" orientation="landscape" r:id="rId1"/>
  <headerFooter>
    <oddHeader>&amp;C&amp;"Calibri,Bold"&amp;16&amp;K094183Project Research Budget</oddHeader>
    <oddFooter>&amp;L&amp;F&amp;C&amp;P of &amp;N pages&amp;RThe University of Melbourne - Research Innovation and Commercialisation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Check Box 1">
              <controlPr locked="0" defaultSize="0" print="0" autoFill="0" autoLine="0" autoPict="0" altText="">
                <anchor moveWithCells="1">
                  <from>
                    <xdr:col>16</xdr:col>
                    <xdr:colOff>106680</xdr:colOff>
                    <xdr:row>13</xdr:row>
                    <xdr:rowOff>22860</xdr:rowOff>
                  </from>
                  <to>
                    <xdr:col>16</xdr:col>
                    <xdr:colOff>365760</xdr:colOff>
                    <xdr:row>13</xdr:row>
                    <xdr:rowOff>160020</xdr:rowOff>
                  </to>
                </anchor>
              </controlPr>
            </control>
          </mc:Choice>
        </mc:AlternateContent>
        <mc:AlternateContent xmlns:mc="http://schemas.openxmlformats.org/markup-compatibility/2006">
          <mc:Choice Requires="x14">
            <control shapeId="158722" r:id="rId5" name="Check Box 2">
              <controlPr defaultSize="0" autoFill="0" autoLine="0" autoPict="0" altText="">
                <anchor moveWithCells="1" sizeWithCells="1">
                  <from>
                    <xdr:col>16</xdr:col>
                    <xdr:colOff>99060</xdr:colOff>
                    <xdr:row>34</xdr:row>
                    <xdr:rowOff>22860</xdr:rowOff>
                  </from>
                  <to>
                    <xdr:col>16</xdr:col>
                    <xdr:colOff>365760</xdr:colOff>
                    <xdr:row>34</xdr:row>
                    <xdr:rowOff>175260</xdr:rowOff>
                  </to>
                </anchor>
              </controlPr>
            </control>
          </mc:Choice>
        </mc:AlternateContent>
        <mc:AlternateContent xmlns:mc="http://schemas.openxmlformats.org/markup-compatibility/2006">
          <mc:Choice Requires="x14">
            <control shapeId="158723" r:id="rId6" name="Check Box 3">
              <controlPr defaultSize="0" autoFill="0" autoLine="0" autoPict="0" altText="">
                <anchor moveWithCells="1" sizeWithCells="1">
                  <from>
                    <xdr:col>16</xdr:col>
                    <xdr:colOff>99060</xdr:colOff>
                    <xdr:row>33</xdr:row>
                    <xdr:rowOff>22860</xdr:rowOff>
                  </from>
                  <to>
                    <xdr:col>16</xdr:col>
                    <xdr:colOff>365760</xdr:colOff>
                    <xdr:row>33</xdr:row>
                    <xdr:rowOff>175260</xdr:rowOff>
                  </to>
                </anchor>
              </controlPr>
            </control>
          </mc:Choice>
        </mc:AlternateContent>
        <mc:AlternateContent xmlns:mc="http://schemas.openxmlformats.org/markup-compatibility/2006">
          <mc:Choice Requires="x14">
            <control shapeId="158724" r:id="rId7" name="Check Box 4">
              <controlPr defaultSize="0" autoFill="0" autoLine="0" autoPict="0" altText="">
                <anchor moveWithCells="1" sizeWithCells="1">
                  <from>
                    <xdr:col>16</xdr:col>
                    <xdr:colOff>99060</xdr:colOff>
                    <xdr:row>32</xdr:row>
                    <xdr:rowOff>30480</xdr:rowOff>
                  </from>
                  <to>
                    <xdr:col>16</xdr:col>
                    <xdr:colOff>365760</xdr:colOff>
                    <xdr:row>32</xdr:row>
                    <xdr:rowOff>175260</xdr:rowOff>
                  </to>
                </anchor>
              </controlPr>
            </control>
          </mc:Choice>
        </mc:AlternateContent>
        <mc:AlternateContent xmlns:mc="http://schemas.openxmlformats.org/markup-compatibility/2006">
          <mc:Choice Requires="x14">
            <control shapeId="158725" r:id="rId8" name="Check Box 5">
              <controlPr defaultSize="0" autoFill="0" autoLine="0" autoPict="0" altText="">
                <anchor moveWithCells="1" sizeWithCells="1">
                  <from>
                    <xdr:col>16</xdr:col>
                    <xdr:colOff>99060</xdr:colOff>
                    <xdr:row>31</xdr:row>
                    <xdr:rowOff>30480</xdr:rowOff>
                  </from>
                  <to>
                    <xdr:col>16</xdr:col>
                    <xdr:colOff>365760</xdr:colOff>
                    <xdr:row>31</xdr:row>
                    <xdr:rowOff>175260</xdr:rowOff>
                  </to>
                </anchor>
              </controlPr>
            </control>
          </mc:Choice>
        </mc:AlternateContent>
        <mc:AlternateContent xmlns:mc="http://schemas.openxmlformats.org/markup-compatibility/2006">
          <mc:Choice Requires="x14">
            <control shapeId="158726" r:id="rId9" name="Check Box 6">
              <controlPr defaultSize="0" autoFill="0" autoLine="0" autoPict="0" altText="">
                <anchor moveWithCells="1" sizeWithCells="1">
                  <from>
                    <xdr:col>16</xdr:col>
                    <xdr:colOff>99060</xdr:colOff>
                    <xdr:row>18</xdr:row>
                    <xdr:rowOff>30480</xdr:rowOff>
                  </from>
                  <to>
                    <xdr:col>16</xdr:col>
                    <xdr:colOff>365760</xdr:colOff>
                    <xdr:row>18</xdr:row>
                    <xdr:rowOff>175260</xdr:rowOff>
                  </to>
                </anchor>
              </controlPr>
            </control>
          </mc:Choice>
        </mc:AlternateContent>
        <mc:AlternateContent xmlns:mc="http://schemas.openxmlformats.org/markup-compatibility/2006">
          <mc:Choice Requires="x14">
            <control shapeId="158727" r:id="rId10" name="Check Box 7">
              <controlPr defaultSize="0" autoFill="0" autoLine="0" autoPict="0" altText="">
                <anchor moveWithCells="1">
                  <from>
                    <xdr:col>16</xdr:col>
                    <xdr:colOff>99060</xdr:colOff>
                    <xdr:row>17</xdr:row>
                    <xdr:rowOff>22860</xdr:rowOff>
                  </from>
                  <to>
                    <xdr:col>16</xdr:col>
                    <xdr:colOff>381000</xdr:colOff>
                    <xdr:row>17</xdr:row>
                    <xdr:rowOff>175260</xdr:rowOff>
                  </to>
                </anchor>
              </controlPr>
            </control>
          </mc:Choice>
        </mc:AlternateContent>
        <mc:AlternateContent xmlns:mc="http://schemas.openxmlformats.org/markup-compatibility/2006">
          <mc:Choice Requires="x14">
            <control shapeId="158728" r:id="rId11" name="Check Box 8">
              <controlPr defaultSize="0" autoFill="0" autoLine="0" autoPict="0" altText="">
                <anchor moveWithCells="1">
                  <from>
                    <xdr:col>16</xdr:col>
                    <xdr:colOff>99060</xdr:colOff>
                    <xdr:row>16</xdr:row>
                    <xdr:rowOff>22860</xdr:rowOff>
                  </from>
                  <to>
                    <xdr:col>16</xdr:col>
                    <xdr:colOff>365760</xdr:colOff>
                    <xdr:row>16</xdr:row>
                    <xdr:rowOff>175260</xdr:rowOff>
                  </to>
                </anchor>
              </controlPr>
            </control>
          </mc:Choice>
        </mc:AlternateContent>
        <mc:AlternateContent xmlns:mc="http://schemas.openxmlformats.org/markup-compatibility/2006">
          <mc:Choice Requires="x14">
            <control shapeId="158729" r:id="rId12" name="Check Box 9">
              <controlPr defaultSize="0" autoFill="0" autoLine="0" autoPict="0" altText="">
                <anchor moveWithCells="1">
                  <from>
                    <xdr:col>16</xdr:col>
                    <xdr:colOff>99060</xdr:colOff>
                    <xdr:row>15</xdr:row>
                    <xdr:rowOff>22860</xdr:rowOff>
                  </from>
                  <to>
                    <xdr:col>16</xdr:col>
                    <xdr:colOff>381000</xdr:colOff>
                    <xdr:row>15</xdr:row>
                    <xdr:rowOff>175260</xdr:rowOff>
                  </to>
                </anchor>
              </controlPr>
            </control>
          </mc:Choice>
        </mc:AlternateContent>
        <mc:AlternateContent xmlns:mc="http://schemas.openxmlformats.org/markup-compatibility/2006">
          <mc:Choice Requires="x14">
            <control shapeId="158730" r:id="rId13" name="Check Box 10">
              <controlPr defaultSize="0" autoFill="0" autoLine="0" autoPict="0" altText="">
                <anchor moveWithCells="1">
                  <from>
                    <xdr:col>16</xdr:col>
                    <xdr:colOff>99060</xdr:colOff>
                    <xdr:row>14</xdr:row>
                    <xdr:rowOff>38100</xdr:rowOff>
                  </from>
                  <to>
                    <xdr:col>16</xdr:col>
                    <xdr:colOff>365760</xdr:colOff>
                    <xdr:row>14</xdr:row>
                    <xdr:rowOff>175260</xdr:rowOff>
                  </to>
                </anchor>
              </controlPr>
            </control>
          </mc:Choice>
        </mc:AlternateContent>
        <mc:AlternateContent xmlns:mc="http://schemas.openxmlformats.org/markup-compatibility/2006">
          <mc:Choice Requires="x14">
            <control shapeId="158731" r:id="rId14" name="Check Box 11">
              <controlPr defaultSize="0" autoFill="0" autoLine="0" autoPict="0" altText="">
                <anchor moveWithCells="1" sizeWithCells="1">
                  <from>
                    <xdr:col>16</xdr:col>
                    <xdr:colOff>99060</xdr:colOff>
                    <xdr:row>35</xdr:row>
                    <xdr:rowOff>22860</xdr:rowOff>
                  </from>
                  <to>
                    <xdr:col>16</xdr:col>
                    <xdr:colOff>365760</xdr:colOff>
                    <xdr:row>35</xdr:row>
                    <xdr:rowOff>175260</xdr:rowOff>
                  </to>
                </anchor>
              </controlPr>
            </control>
          </mc:Choice>
        </mc:AlternateContent>
        <mc:AlternateContent xmlns:mc="http://schemas.openxmlformats.org/markup-compatibility/2006">
          <mc:Choice Requires="x14">
            <control shapeId="158732" r:id="rId15" name="Check Box 12">
              <controlPr defaultSize="0" autoFill="0" autoLine="0" autoPict="0" altText="">
                <anchor moveWithCells="1" sizeWithCells="1">
                  <from>
                    <xdr:col>16</xdr:col>
                    <xdr:colOff>99060</xdr:colOff>
                    <xdr:row>36</xdr:row>
                    <xdr:rowOff>22860</xdr:rowOff>
                  </from>
                  <to>
                    <xdr:col>16</xdr:col>
                    <xdr:colOff>365760</xdr:colOff>
                    <xdr:row>36</xdr:row>
                    <xdr:rowOff>175260</xdr:rowOff>
                  </to>
                </anchor>
              </controlPr>
            </control>
          </mc:Choice>
        </mc:AlternateContent>
        <mc:AlternateContent xmlns:mc="http://schemas.openxmlformats.org/markup-compatibility/2006">
          <mc:Choice Requires="x14">
            <control shapeId="158733" r:id="rId16" name="Check Box 13">
              <controlPr defaultSize="0" autoFill="0" autoLine="0" autoPict="0" altText="">
                <anchor moveWithCells="1" sizeWithCells="1">
                  <from>
                    <xdr:col>16</xdr:col>
                    <xdr:colOff>99060</xdr:colOff>
                    <xdr:row>37</xdr:row>
                    <xdr:rowOff>22860</xdr:rowOff>
                  </from>
                  <to>
                    <xdr:col>16</xdr:col>
                    <xdr:colOff>365760</xdr:colOff>
                    <xdr:row>37</xdr:row>
                    <xdr:rowOff>175260</xdr:rowOff>
                  </to>
                </anchor>
              </controlPr>
            </control>
          </mc:Choice>
        </mc:AlternateContent>
        <mc:AlternateContent xmlns:mc="http://schemas.openxmlformats.org/markup-compatibility/2006">
          <mc:Choice Requires="x14">
            <control shapeId="158734" r:id="rId17" name="Check Box 14">
              <controlPr defaultSize="0" autoFill="0" autoLine="0" autoPict="0" altText="">
                <anchor moveWithCells="1" sizeWithCells="1">
                  <from>
                    <xdr:col>16</xdr:col>
                    <xdr:colOff>99060</xdr:colOff>
                    <xdr:row>38</xdr:row>
                    <xdr:rowOff>22860</xdr:rowOff>
                  </from>
                  <to>
                    <xdr:col>16</xdr:col>
                    <xdr:colOff>365760</xdr:colOff>
                    <xdr:row>38</xdr:row>
                    <xdr:rowOff>175260</xdr:rowOff>
                  </to>
                </anchor>
              </controlPr>
            </control>
          </mc:Choice>
        </mc:AlternateContent>
        <mc:AlternateContent xmlns:mc="http://schemas.openxmlformats.org/markup-compatibility/2006">
          <mc:Choice Requires="x14">
            <control shapeId="158735" r:id="rId18" name="Check Box 15">
              <controlPr defaultSize="0" autoFill="0" autoLine="0" autoPict="0" altText="">
                <anchor moveWithCells="1" sizeWithCells="1">
                  <from>
                    <xdr:col>16</xdr:col>
                    <xdr:colOff>99060</xdr:colOff>
                    <xdr:row>39</xdr:row>
                    <xdr:rowOff>22860</xdr:rowOff>
                  </from>
                  <to>
                    <xdr:col>16</xdr:col>
                    <xdr:colOff>365760</xdr:colOff>
                    <xdr:row>39</xdr:row>
                    <xdr:rowOff>175260</xdr:rowOff>
                  </to>
                </anchor>
              </controlPr>
            </control>
          </mc:Choice>
        </mc:AlternateContent>
        <mc:AlternateContent xmlns:mc="http://schemas.openxmlformats.org/markup-compatibility/2006">
          <mc:Choice Requires="x14">
            <control shapeId="158736" r:id="rId19" name="Check Box 16">
              <controlPr defaultSize="0" autoFill="0" autoLine="0" autoPict="0" altText="">
                <anchor moveWithCells="1" sizeWithCells="1">
                  <from>
                    <xdr:col>16</xdr:col>
                    <xdr:colOff>99060</xdr:colOff>
                    <xdr:row>40</xdr:row>
                    <xdr:rowOff>22860</xdr:rowOff>
                  </from>
                  <to>
                    <xdr:col>16</xdr:col>
                    <xdr:colOff>365760</xdr:colOff>
                    <xdr:row>40</xdr:row>
                    <xdr:rowOff>175260</xdr:rowOff>
                  </to>
                </anchor>
              </controlPr>
            </control>
          </mc:Choice>
        </mc:AlternateContent>
        <mc:AlternateContent xmlns:mc="http://schemas.openxmlformats.org/markup-compatibility/2006">
          <mc:Choice Requires="x14">
            <control shapeId="158737" r:id="rId20" name="Check Box 17">
              <controlPr defaultSize="0" autoFill="0" autoLine="0" autoPict="0" altText="">
                <anchor moveWithCells="1" sizeWithCells="1">
                  <from>
                    <xdr:col>16</xdr:col>
                    <xdr:colOff>99060</xdr:colOff>
                    <xdr:row>41</xdr:row>
                    <xdr:rowOff>22860</xdr:rowOff>
                  </from>
                  <to>
                    <xdr:col>16</xdr:col>
                    <xdr:colOff>365760</xdr:colOff>
                    <xdr:row>41</xdr:row>
                    <xdr:rowOff>175260</xdr:rowOff>
                  </to>
                </anchor>
              </controlPr>
            </control>
          </mc:Choice>
        </mc:AlternateContent>
        <mc:AlternateContent xmlns:mc="http://schemas.openxmlformats.org/markup-compatibility/2006">
          <mc:Choice Requires="x14">
            <control shapeId="158738" r:id="rId21" name="Check Box 18">
              <controlPr defaultSize="0" autoFill="0" autoLine="0" autoPict="0" altText="">
                <anchor moveWithCells="1" sizeWithCells="1">
                  <from>
                    <xdr:col>16</xdr:col>
                    <xdr:colOff>99060</xdr:colOff>
                    <xdr:row>42</xdr:row>
                    <xdr:rowOff>22860</xdr:rowOff>
                  </from>
                  <to>
                    <xdr:col>16</xdr:col>
                    <xdr:colOff>365760</xdr:colOff>
                    <xdr:row>42</xdr:row>
                    <xdr:rowOff>175260</xdr:rowOff>
                  </to>
                </anchor>
              </controlPr>
            </control>
          </mc:Choice>
        </mc:AlternateContent>
        <mc:AlternateContent xmlns:mc="http://schemas.openxmlformats.org/markup-compatibility/2006">
          <mc:Choice Requires="x14">
            <control shapeId="158739" r:id="rId22" name="Check Box 19">
              <controlPr defaultSize="0" autoFill="0" autoLine="0" autoPict="0" altText="">
                <anchor moveWithCells="1" sizeWithCells="1">
                  <from>
                    <xdr:col>16</xdr:col>
                    <xdr:colOff>99060</xdr:colOff>
                    <xdr:row>19</xdr:row>
                    <xdr:rowOff>30480</xdr:rowOff>
                  </from>
                  <to>
                    <xdr:col>16</xdr:col>
                    <xdr:colOff>365760</xdr:colOff>
                    <xdr:row>19</xdr:row>
                    <xdr:rowOff>175260</xdr:rowOff>
                  </to>
                </anchor>
              </controlPr>
            </control>
          </mc:Choice>
        </mc:AlternateContent>
        <mc:AlternateContent xmlns:mc="http://schemas.openxmlformats.org/markup-compatibility/2006">
          <mc:Choice Requires="x14">
            <control shapeId="158740" r:id="rId23" name="Check Box 20">
              <controlPr defaultSize="0" autoFill="0" autoLine="0" autoPict="0" altText="">
                <anchor moveWithCells="1" sizeWithCells="1">
                  <from>
                    <xdr:col>16</xdr:col>
                    <xdr:colOff>99060</xdr:colOff>
                    <xdr:row>20</xdr:row>
                    <xdr:rowOff>30480</xdr:rowOff>
                  </from>
                  <to>
                    <xdr:col>16</xdr:col>
                    <xdr:colOff>365760</xdr:colOff>
                    <xdr:row>20</xdr:row>
                    <xdr:rowOff>175260</xdr:rowOff>
                  </to>
                </anchor>
              </controlPr>
            </control>
          </mc:Choice>
        </mc:AlternateContent>
        <mc:AlternateContent xmlns:mc="http://schemas.openxmlformats.org/markup-compatibility/2006">
          <mc:Choice Requires="x14">
            <control shapeId="158741" r:id="rId24" name="Check Box 21">
              <controlPr defaultSize="0" autoFill="0" autoLine="0" autoPict="0" altText="">
                <anchor moveWithCells="1" sizeWithCells="1">
                  <from>
                    <xdr:col>16</xdr:col>
                    <xdr:colOff>99060</xdr:colOff>
                    <xdr:row>21</xdr:row>
                    <xdr:rowOff>30480</xdr:rowOff>
                  </from>
                  <to>
                    <xdr:col>16</xdr:col>
                    <xdr:colOff>365760</xdr:colOff>
                    <xdr:row>21</xdr:row>
                    <xdr:rowOff>175260</xdr:rowOff>
                  </to>
                </anchor>
              </controlPr>
            </control>
          </mc:Choice>
        </mc:AlternateContent>
        <mc:AlternateContent xmlns:mc="http://schemas.openxmlformats.org/markup-compatibility/2006">
          <mc:Choice Requires="x14">
            <control shapeId="158742" r:id="rId25" name="Check Box 22">
              <controlPr defaultSize="0" autoFill="0" autoLine="0" autoPict="0" altText="">
                <anchor moveWithCells="1" sizeWithCells="1">
                  <from>
                    <xdr:col>16</xdr:col>
                    <xdr:colOff>99060</xdr:colOff>
                    <xdr:row>22</xdr:row>
                    <xdr:rowOff>30480</xdr:rowOff>
                  </from>
                  <to>
                    <xdr:col>16</xdr:col>
                    <xdr:colOff>365760</xdr:colOff>
                    <xdr:row>22</xdr:row>
                    <xdr:rowOff>175260</xdr:rowOff>
                  </to>
                </anchor>
              </controlPr>
            </control>
          </mc:Choice>
        </mc:AlternateContent>
        <mc:AlternateContent xmlns:mc="http://schemas.openxmlformats.org/markup-compatibility/2006">
          <mc:Choice Requires="x14">
            <control shapeId="158743" r:id="rId26" name="Check Box 23">
              <controlPr defaultSize="0" autoFill="0" autoLine="0" autoPict="0" altText="">
                <anchor moveWithCells="1" sizeWithCells="1">
                  <from>
                    <xdr:col>16</xdr:col>
                    <xdr:colOff>99060</xdr:colOff>
                    <xdr:row>23</xdr:row>
                    <xdr:rowOff>30480</xdr:rowOff>
                  </from>
                  <to>
                    <xdr:col>16</xdr:col>
                    <xdr:colOff>365760</xdr:colOff>
                    <xdr:row>23</xdr:row>
                    <xdr:rowOff>175260</xdr:rowOff>
                  </to>
                </anchor>
              </controlPr>
            </control>
          </mc:Choice>
        </mc:AlternateContent>
        <mc:AlternateContent xmlns:mc="http://schemas.openxmlformats.org/markup-compatibility/2006">
          <mc:Choice Requires="x14">
            <control shapeId="158744" r:id="rId27" name="Check Box 24">
              <controlPr defaultSize="0" autoFill="0" autoLine="0" autoPict="0" altText="">
                <anchor moveWithCells="1" sizeWithCells="1">
                  <from>
                    <xdr:col>16</xdr:col>
                    <xdr:colOff>99060</xdr:colOff>
                    <xdr:row>24</xdr:row>
                    <xdr:rowOff>30480</xdr:rowOff>
                  </from>
                  <to>
                    <xdr:col>16</xdr:col>
                    <xdr:colOff>365760</xdr:colOff>
                    <xdr:row>24</xdr:row>
                    <xdr:rowOff>175260</xdr:rowOff>
                  </to>
                </anchor>
              </controlPr>
            </control>
          </mc:Choice>
        </mc:AlternateContent>
        <mc:AlternateContent xmlns:mc="http://schemas.openxmlformats.org/markup-compatibility/2006">
          <mc:Choice Requires="x14">
            <control shapeId="158745" r:id="rId28" name="Check Box 25">
              <controlPr defaultSize="0" autoFill="0" autoLine="0" autoPict="0" altText="">
                <anchor moveWithCells="1" sizeWithCells="1">
                  <from>
                    <xdr:col>16</xdr:col>
                    <xdr:colOff>99060</xdr:colOff>
                    <xdr:row>25</xdr:row>
                    <xdr:rowOff>30480</xdr:rowOff>
                  </from>
                  <to>
                    <xdr:col>16</xdr:col>
                    <xdr:colOff>365760</xdr:colOff>
                    <xdr:row>25</xdr:row>
                    <xdr:rowOff>175260</xdr:rowOff>
                  </to>
                </anchor>
              </controlPr>
            </control>
          </mc:Choice>
        </mc:AlternateContent>
        <mc:AlternateContent xmlns:mc="http://schemas.openxmlformats.org/markup-compatibility/2006">
          <mc:Choice Requires="x14">
            <control shapeId="158746" r:id="rId29" name="Check Box 26">
              <controlPr defaultSize="0" autoFill="0" autoLine="0" autoPict="0" altText="">
                <anchor moveWithCells="1" sizeWithCells="1">
                  <from>
                    <xdr:col>16</xdr:col>
                    <xdr:colOff>99060</xdr:colOff>
                    <xdr:row>26</xdr:row>
                    <xdr:rowOff>30480</xdr:rowOff>
                  </from>
                  <to>
                    <xdr:col>16</xdr:col>
                    <xdr:colOff>365760</xdr:colOff>
                    <xdr:row>26</xdr:row>
                    <xdr:rowOff>175260</xdr:rowOff>
                  </to>
                </anchor>
              </controlPr>
            </control>
          </mc:Choice>
        </mc:AlternateContent>
        <mc:AlternateContent xmlns:mc="http://schemas.openxmlformats.org/markup-compatibility/2006">
          <mc:Choice Requires="x14">
            <control shapeId="158747" r:id="rId30" name="Check Box 27">
              <controlPr defaultSize="0" autoFill="0" autoLine="0" autoPict="0" altText="">
                <anchor moveWithCells="1" sizeWithCells="1">
                  <from>
                    <xdr:col>16</xdr:col>
                    <xdr:colOff>99060</xdr:colOff>
                    <xdr:row>27</xdr:row>
                    <xdr:rowOff>30480</xdr:rowOff>
                  </from>
                  <to>
                    <xdr:col>16</xdr:col>
                    <xdr:colOff>365760</xdr:colOff>
                    <xdr:row>27</xdr:row>
                    <xdr:rowOff>175260</xdr:rowOff>
                  </to>
                </anchor>
              </controlPr>
            </control>
          </mc:Choice>
        </mc:AlternateContent>
        <mc:AlternateContent xmlns:mc="http://schemas.openxmlformats.org/markup-compatibility/2006">
          <mc:Choice Requires="x14">
            <control shapeId="158748" r:id="rId31" name="Check Box 28">
              <controlPr defaultSize="0" autoFill="0" autoLine="0" autoPict="0" altText="">
                <anchor moveWithCells="1" sizeWithCells="1">
                  <from>
                    <xdr:col>16</xdr:col>
                    <xdr:colOff>99060</xdr:colOff>
                    <xdr:row>28</xdr:row>
                    <xdr:rowOff>30480</xdr:rowOff>
                  </from>
                  <to>
                    <xdr:col>16</xdr:col>
                    <xdr:colOff>365760</xdr:colOff>
                    <xdr:row>28</xdr:row>
                    <xdr:rowOff>175260</xdr:rowOff>
                  </to>
                </anchor>
              </controlPr>
            </control>
          </mc:Choice>
        </mc:AlternateContent>
        <mc:AlternateContent xmlns:mc="http://schemas.openxmlformats.org/markup-compatibility/2006">
          <mc:Choice Requires="x14">
            <control shapeId="158749" r:id="rId32" name="Check Box 29">
              <controlPr defaultSize="0" autoFill="0" autoLine="0" autoPict="0" altText="">
                <anchor moveWithCells="1" sizeWithCells="1">
                  <from>
                    <xdr:col>16</xdr:col>
                    <xdr:colOff>99060</xdr:colOff>
                    <xdr:row>29</xdr:row>
                    <xdr:rowOff>30480</xdr:rowOff>
                  </from>
                  <to>
                    <xdr:col>16</xdr:col>
                    <xdr:colOff>365760</xdr:colOff>
                    <xdr:row>29</xdr:row>
                    <xdr:rowOff>175260</xdr:rowOff>
                  </to>
                </anchor>
              </controlPr>
            </control>
          </mc:Choice>
        </mc:AlternateContent>
        <mc:AlternateContent xmlns:mc="http://schemas.openxmlformats.org/markup-compatibility/2006">
          <mc:Choice Requires="x14">
            <control shapeId="158750" r:id="rId33" name="Check Box 30">
              <controlPr defaultSize="0" autoFill="0" autoLine="0" autoPict="0" altText="">
                <anchor moveWithCells="1" sizeWithCells="1">
                  <from>
                    <xdr:col>16</xdr:col>
                    <xdr:colOff>99060</xdr:colOff>
                    <xdr:row>30</xdr:row>
                    <xdr:rowOff>30480</xdr:rowOff>
                  </from>
                  <to>
                    <xdr:col>16</xdr:col>
                    <xdr:colOff>365760</xdr:colOff>
                    <xdr:row>30</xdr:row>
                    <xdr:rowOff>175260</xdr:rowOff>
                  </to>
                </anchor>
              </controlPr>
            </control>
          </mc:Choice>
        </mc:AlternateContent>
        <mc:AlternateContent xmlns:mc="http://schemas.openxmlformats.org/markup-compatibility/2006">
          <mc:Choice Requires="x14">
            <control shapeId="158751" r:id="rId34" name="Check Box 31">
              <controlPr defaultSize="0" autoFill="0" autoLine="0" autoPict="0" altText="">
                <anchor moveWithCells="1" sizeWithCells="1">
                  <from>
                    <xdr:col>16</xdr:col>
                    <xdr:colOff>99060</xdr:colOff>
                    <xdr:row>31</xdr:row>
                    <xdr:rowOff>30480</xdr:rowOff>
                  </from>
                  <to>
                    <xdr:col>16</xdr:col>
                    <xdr:colOff>365760</xdr:colOff>
                    <xdr:row>31</xdr:row>
                    <xdr:rowOff>175260</xdr:rowOff>
                  </to>
                </anchor>
              </controlPr>
            </control>
          </mc:Choice>
        </mc:AlternateContent>
        <mc:AlternateContent xmlns:mc="http://schemas.openxmlformats.org/markup-compatibility/2006">
          <mc:Choice Requires="x14">
            <control shapeId="158752" r:id="rId35" name="Check Box 32">
              <controlPr defaultSize="0" autoFill="0" autoLine="0" autoPict="0" altText="">
                <anchor moveWithCells="1" sizeWithCells="1">
                  <from>
                    <xdr:col>16</xdr:col>
                    <xdr:colOff>99060</xdr:colOff>
                    <xdr:row>32</xdr:row>
                    <xdr:rowOff>30480</xdr:rowOff>
                  </from>
                  <to>
                    <xdr:col>16</xdr:col>
                    <xdr:colOff>365760</xdr:colOff>
                    <xdr:row>32</xdr:row>
                    <xdr:rowOff>175260</xdr:rowOff>
                  </to>
                </anchor>
              </controlPr>
            </control>
          </mc:Choice>
        </mc:AlternateContent>
        <mc:AlternateContent xmlns:mc="http://schemas.openxmlformats.org/markup-compatibility/2006">
          <mc:Choice Requires="x14">
            <control shapeId="158753" r:id="rId36" name="Check Box 33">
              <controlPr defaultSize="0" autoFill="0" autoLine="0" autoPict="0" altText="">
                <anchor moveWithCells="1" sizeWithCells="1">
                  <from>
                    <xdr:col>16</xdr:col>
                    <xdr:colOff>99060</xdr:colOff>
                    <xdr:row>33</xdr:row>
                    <xdr:rowOff>30480</xdr:rowOff>
                  </from>
                  <to>
                    <xdr:col>16</xdr:col>
                    <xdr:colOff>365760</xdr:colOff>
                    <xdr:row>33</xdr:row>
                    <xdr:rowOff>175260</xdr:rowOff>
                  </to>
                </anchor>
              </controlPr>
            </control>
          </mc:Choice>
        </mc:AlternateContent>
        <mc:AlternateContent xmlns:mc="http://schemas.openxmlformats.org/markup-compatibility/2006">
          <mc:Choice Requires="x14">
            <control shapeId="158754" r:id="rId37" name="Check Box 34">
              <controlPr defaultSize="0" autoFill="0" autoLine="0" autoPict="0" altText="">
                <anchor moveWithCells="1" sizeWithCells="1">
                  <from>
                    <xdr:col>16</xdr:col>
                    <xdr:colOff>99060</xdr:colOff>
                    <xdr:row>34</xdr:row>
                    <xdr:rowOff>30480</xdr:rowOff>
                  </from>
                  <to>
                    <xdr:col>16</xdr:col>
                    <xdr:colOff>365760</xdr:colOff>
                    <xdr:row>34</xdr:row>
                    <xdr:rowOff>175260</xdr:rowOff>
                  </to>
                </anchor>
              </controlPr>
            </control>
          </mc:Choice>
        </mc:AlternateContent>
        <mc:AlternateContent xmlns:mc="http://schemas.openxmlformats.org/markup-compatibility/2006">
          <mc:Choice Requires="x14">
            <control shapeId="158755" r:id="rId38" name="Check Box 35">
              <controlPr defaultSize="0" autoFill="0" autoLine="0" autoPict="0" altText="">
                <anchor moveWithCells="1" sizeWithCells="1">
                  <from>
                    <xdr:col>16</xdr:col>
                    <xdr:colOff>99060</xdr:colOff>
                    <xdr:row>35</xdr:row>
                    <xdr:rowOff>30480</xdr:rowOff>
                  </from>
                  <to>
                    <xdr:col>16</xdr:col>
                    <xdr:colOff>365760</xdr:colOff>
                    <xdr:row>35</xdr:row>
                    <xdr:rowOff>175260</xdr:rowOff>
                  </to>
                </anchor>
              </controlPr>
            </control>
          </mc:Choice>
        </mc:AlternateContent>
        <mc:AlternateContent xmlns:mc="http://schemas.openxmlformats.org/markup-compatibility/2006">
          <mc:Choice Requires="x14">
            <control shapeId="158756" r:id="rId39" name="Check Box 36">
              <controlPr defaultSize="0" autoFill="0" autoLine="0" autoPict="0" altText="">
                <anchor moveWithCells="1" sizeWithCells="1">
                  <from>
                    <xdr:col>16</xdr:col>
                    <xdr:colOff>99060</xdr:colOff>
                    <xdr:row>36</xdr:row>
                    <xdr:rowOff>30480</xdr:rowOff>
                  </from>
                  <to>
                    <xdr:col>16</xdr:col>
                    <xdr:colOff>365760</xdr:colOff>
                    <xdr:row>36</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61FEB-E230-4F4C-B66E-72F053FC0720}">
  <sheetPr codeName="Sheet27">
    <tabColor theme="3"/>
    <pageSetUpPr autoPageBreaks="0" fitToPage="1"/>
  </sheetPr>
  <dimension ref="A1:AB74"/>
  <sheetViews>
    <sheetView showGridLines="0" zoomScaleNormal="100" workbookViewId="0">
      <pane ySplit="16" topLeftCell="A17" activePane="bottomLeft" state="frozen"/>
      <selection pane="bottomLeft" activeCell="F37" sqref="F37"/>
    </sheetView>
  </sheetViews>
  <sheetFormatPr defaultColWidth="12.5546875" defaultRowHeight="14.4" x14ac:dyDescent="0.3"/>
  <cols>
    <col min="1" max="1" width="19.33203125" style="738" customWidth="1"/>
    <col min="2" max="2" width="37.109375" style="738" customWidth="1"/>
    <col min="3" max="3" width="15" style="738" customWidth="1"/>
    <col min="4" max="4" width="12.33203125" style="738" customWidth="1"/>
    <col min="5" max="5" width="16.6640625" style="738" customWidth="1"/>
    <col min="6" max="6" width="18" style="738" customWidth="1"/>
    <col min="7" max="7" width="12.5546875" style="738" customWidth="1"/>
    <col min="8" max="8" width="27.44140625" style="738" customWidth="1"/>
    <col min="9" max="9" width="33" style="738" customWidth="1"/>
    <col min="10" max="10" width="0.6640625" style="739" customWidth="1"/>
    <col min="11" max="11" width="12.5546875" style="912" hidden="1" customWidth="1"/>
    <col min="12" max="12" width="12.5546875" style="420" hidden="1" customWidth="1"/>
    <col min="13" max="13" width="12.5546875" style="909" hidden="1" customWidth="1"/>
    <col min="14" max="14" width="13.44140625" style="738" hidden="1" customWidth="1"/>
    <col min="15" max="16" width="12.5546875" style="738" hidden="1" customWidth="1"/>
    <col min="17" max="17" width="15.5546875" style="738" hidden="1" customWidth="1"/>
    <col min="18" max="24" width="12.5546875" style="738" hidden="1" customWidth="1"/>
    <col min="25" max="25" width="0.88671875" style="738" hidden="1" customWidth="1"/>
    <col min="26" max="26" width="1.109375" style="738" hidden="1" customWidth="1"/>
    <col min="27" max="16384" width="12.5546875" style="738"/>
  </cols>
  <sheetData>
    <row r="1" spans="1:16" ht="41.4" customHeight="1" x14ac:dyDescent="0.3">
      <c r="A1" s="890"/>
      <c r="B1" s="891" t="str">
        <f>tool_name_and_version</f>
        <v>Research Costing and Pricing tool v4.3.1</v>
      </c>
      <c r="C1" s="666"/>
      <c r="D1" s="666"/>
      <c r="E1" s="666"/>
      <c r="F1" s="666"/>
      <c r="G1" s="666"/>
      <c r="H1" s="666"/>
      <c r="I1" s="666"/>
      <c r="J1" s="980"/>
      <c r="K1" s="892"/>
      <c r="L1" s="666"/>
      <c r="M1" s="1277"/>
      <c r="N1" s="1277"/>
      <c r="O1" s="1277"/>
      <c r="P1" s="1277"/>
    </row>
    <row r="2" spans="1:16" ht="24.6" customHeight="1" x14ac:dyDescent="0.3">
      <c r="A2" s="985"/>
      <c r="B2" s="986"/>
      <c r="C2" s="986"/>
      <c r="D2" s="986"/>
      <c r="E2" s="987"/>
      <c r="F2" s="986"/>
      <c r="G2" s="986"/>
      <c r="H2" s="986"/>
      <c r="I2" s="988"/>
      <c r="J2" s="989"/>
      <c r="K2" s="669"/>
      <c r="L2" s="669"/>
      <c r="M2" s="669"/>
      <c r="N2" s="695"/>
      <c r="O2" s="695"/>
      <c r="P2" s="695"/>
    </row>
    <row r="3" spans="1:16" ht="16.2" customHeight="1" x14ac:dyDescent="0.3">
      <c r="A3" s="1107" t="s">
        <v>139</v>
      </c>
      <c r="B3" s="1094"/>
      <c r="C3" s="1095"/>
      <c r="D3" s="1096"/>
      <c r="E3" s="1097"/>
      <c r="F3" s="1096"/>
      <c r="G3" s="1096"/>
      <c r="H3" s="1096"/>
      <c r="I3" s="1098"/>
      <c r="J3" s="982"/>
      <c r="K3" s="489"/>
      <c r="L3" s="489"/>
      <c r="M3" s="489"/>
      <c r="N3" s="489"/>
      <c r="O3" s="489"/>
      <c r="P3" s="489"/>
    </row>
    <row r="4" spans="1:16" ht="13.2" customHeight="1" x14ac:dyDescent="0.3">
      <c r="A4" s="1111" t="s">
        <v>140</v>
      </c>
      <c r="B4" s="1152"/>
      <c r="C4" s="1152"/>
      <c r="D4" s="1152"/>
      <c r="E4" s="1152"/>
      <c r="F4" s="1152"/>
      <c r="G4" s="1152"/>
      <c r="H4" s="1152"/>
      <c r="I4" s="1098"/>
      <c r="J4" s="982"/>
      <c r="K4" s="489"/>
      <c r="L4" s="489"/>
      <c r="M4" s="489"/>
      <c r="N4" s="489"/>
      <c r="O4" s="489"/>
      <c r="P4" s="489"/>
    </row>
    <row r="5" spans="1:16" ht="16.95" customHeight="1" x14ac:dyDescent="0.3">
      <c r="A5" s="1173" t="s">
        <v>141</v>
      </c>
      <c r="B5" s="1174"/>
      <c r="C5" s="1283" t="str">
        <f>tbBudgetCurrency</f>
        <v>AUD - Australian Dollar</v>
      </c>
      <c r="D5" s="1284"/>
      <c r="E5" s="1175" t="s">
        <v>142</v>
      </c>
      <c r="F5" s="1176"/>
      <c r="G5" s="1176"/>
      <c r="H5" s="1100">
        <f>vl_contract_val_ex_gst</f>
        <v>0</v>
      </c>
      <c r="I5" s="1098"/>
      <c r="J5" s="982"/>
      <c r="K5" s="489"/>
      <c r="L5" s="489"/>
      <c r="M5" s="489"/>
      <c r="N5" s="489"/>
      <c r="O5" s="489"/>
      <c r="P5" s="489"/>
    </row>
    <row r="6" spans="1:16" ht="4.2" customHeight="1" x14ac:dyDescent="0.3">
      <c r="A6" s="1173"/>
      <c r="B6" s="1174"/>
      <c r="C6" s="1096"/>
      <c r="D6" s="1096"/>
      <c r="E6" s="1108"/>
      <c r="F6" s="1176"/>
      <c r="G6" s="1176"/>
      <c r="H6" s="1096"/>
      <c r="I6" s="1098"/>
      <c r="J6" s="982"/>
      <c r="K6" s="489"/>
      <c r="L6" s="489"/>
      <c r="M6" s="489"/>
      <c r="N6" s="489"/>
      <c r="O6" s="489"/>
      <c r="P6" s="489"/>
    </row>
    <row r="7" spans="1:16" ht="13.2" customHeight="1" x14ac:dyDescent="0.3">
      <c r="A7" s="1173" t="s">
        <v>143</v>
      </c>
      <c r="B7" s="1174"/>
      <c r="C7" s="1281">
        <f>F41</f>
        <v>0</v>
      </c>
      <c r="D7" s="1282"/>
      <c r="E7" s="1175" t="s">
        <v>144</v>
      </c>
      <c r="F7" s="1176"/>
      <c r="G7" s="1176"/>
      <c r="H7" s="1129">
        <f>pCRSalaries</f>
        <v>2.5</v>
      </c>
      <c r="I7" s="1098"/>
      <c r="J7" s="982"/>
      <c r="K7" s="489"/>
      <c r="L7" s="489"/>
      <c r="M7" s="489"/>
      <c r="N7" s="489"/>
      <c r="O7" s="489"/>
      <c r="P7" s="489"/>
    </row>
    <row r="8" spans="1:16" ht="4.95" customHeight="1" x14ac:dyDescent="0.3">
      <c r="A8" s="1173"/>
      <c r="B8" s="1174"/>
      <c r="C8" s="1096"/>
      <c r="D8" s="1096"/>
      <c r="E8" s="1108"/>
      <c r="F8" s="1176"/>
      <c r="G8" s="1176"/>
      <c r="H8" s="1096"/>
      <c r="I8" s="1098"/>
      <c r="J8" s="982"/>
      <c r="K8" s="489"/>
      <c r="L8" s="489"/>
      <c r="M8" s="489"/>
      <c r="N8" s="489"/>
      <c r="O8" s="489"/>
      <c r="P8" s="489"/>
    </row>
    <row r="9" spans="1:16" ht="13.2" customHeight="1" x14ac:dyDescent="0.3">
      <c r="A9" s="1173" t="s">
        <v>145</v>
      </c>
      <c r="B9" s="1174"/>
      <c r="C9" s="1281">
        <f>E34</f>
        <v>0</v>
      </c>
      <c r="D9" s="1282"/>
      <c r="E9" s="1175" t="s">
        <v>146</v>
      </c>
      <c r="F9" s="1176"/>
      <c r="G9" s="1176"/>
      <c r="H9" s="1289" t="str" cm="1">
        <f t="array" ref="H9">IF(OR(justification="",justification&lt;=1),"",INDEX(Justification_Options,justification))</f>
        <v/>
      </c>
      <c r="I9" s="1098"/>
      <c r="J9" s="982"/>
      <c r="K9" s="489"/>
      <c r="L9" s="489"/>
      <c r="M9" s="489"/>
      <c r="N9" s="489"/>
      <c r="O9" s="489"/>
      <c r="P9" s="489"/>
    </row>
    <row r="10" spans="1:16" ht="4.2" customHeight="1" x14ac:dyDescent="0.3">
      <c r="A10" s="1173"/>
      <c r="B10" s="1174"/>
      <c r="C10" s="1096"/>
      <c r="D10" s="1096"/>
      <c r="E10" s="1109"/>
      <c r="F10" s="1176"/>
      <c r="G10" s="1110"/>
      <c r="H10" s="1290"/>
      <c r="I10" s="1098"/>
      <c r="J10" s="982"/>
      <c r="K10" s="489"/>
      <c r="L10" s="489"/>
      <c r="M10" s="489"/>
      <c r="N10" s="489"/>
      <c r="O10" s="489"/>
      <c r="P10" s="489"/>
    </row>
    <row r="11" spans="1:16" ht="13.2" customHeight="1" x14ac:dyDescent="0.3">
      <c r="A11" s="1173" t="s">
        <v>147</v>
      </c>
      <c r="B11" s="1174"/>
      <c r="C11" s="1281">
        <f>SUM(F37:F39)</f>
        <v>0</v>
      </c>
      <c r="D11" s="1282">
        <f>F37+F38+F39</f>
        <v>0</v>
      </c>
      <c r="E11" s="1097"/>
      <c r="F11" s="1096"/>
      <c r="G11" s="1096"/>
      <c r="H11" s="1291"/>
      <c r="I11" s="1098"/>
      <c r="J11" s="982"/>
      <c r="K11" s="489"/>
      <c r="L11" s="489"/>
      <c r="M11" s="489"/>
      <c r="N11" s="489"/>
      <c r="O11" s="489"/>
      <c r="P11" s="489"/>
    </row>
    <row r="12" spans="1:16" ht="6" customHeight="1" x14ac:dyDescent="0.3">
      <c r="A12" s="1101"/>
      <c r="B12" s="1102"/>
      <c r="C12" s="1103"/>
      <c r="D12" s="1103"/>
      <c r="E12" s="1104"/>
      <c r="F12" s="1103"/>
      <c r="G12" s="1103"/>
      <c r="H12" s="1103"/>
      <c r="I12" s="1105"/>
      <c r="J12" s="982"/>
      <c r="K12" s="489"/>
      <c r="L12" s="489"/>
      <c r="M12" s="489"/>
      <c r="N12" s="489"/>
      <c r="O12" s="489"/>
      <c r="P12" s="489"/>
    </row>
    <row r="13" spans="1:16" ht="15.6" hidden="1" customHeight="1" x14ac:dyDescent="0.3">
      <c r="A13" s="1096"/>
      <c r="B13" s="1176"/>
      <c r="C13" s="1096"/>
      <c r="D13" s="1096"/>
      <c r="E13" s="1097"/>
      <c r="F13" s="1096"/>
      <c r="G13" s="1096"/>
      <c r="H13" s="1096"/>
      <c r="I13" s="1106"/>
      <c r="J13" s="685"/>
      <c r="K13" s="489"/>
      <c r="L13" s="489"/>
      <c r="M13" s="489"/>
      <c r="N13" s="489"/>
      <c r="O13" s="489"/>
      <c r="P13" s="489"/>
    </row>
    <row r="14" spans="1:16" ht="15.6" hidden="1" customHeight="1" x14ac:dyDescent="0.3">
      <c r="A14" s="1096"/>
      <c r="B14" s="1176"/>
      <c r="C14" s="1096"/>
      <c r="D14" s="1096"/>
      <c r="E14" s="1097"/>
      <c r="F14" s="1096"/>
      <c r="G14" s="1096"/>
      <c r="H14" s="1096"/>
      <c r="I14" s="1106"/>
      <c r="J14" s="685"/>
      <c r="K14" s="489"/>
      <c r="L14" s="489"/>
      <c r="M14" s="489"/>
      <c r="N14" s="489"/>
      <c r="O14" s="489"/>
      <c r="P14" s="489"/>
    </row>
    <row r="15" spans="1:16" ht="4.2" customHeight="1" x14ac:dyDescent="0.3">
      <c r="A15" s="1096"/>
      <c r="B15" s="1099"/>
      <c r="C15" s="1096"/>
      <c r="D15" s="1096"/>
      <c r="E15" s="1097"/>
      <c r="F15" s="1096"/>
      <c r="G15" s="1096"/>
      <c r="H15" s="1096"/>
      <c r="I15" s="1106"/>
      <c r="J15" s="685"/>
      <c r="K15" s="489"/>
      <c r="L15" s="489"/>
      <c r="M15" s="489"/>
      <c r="N15" s="489"/>
      <c r="O15" s="489"/>
      <c r="P15" s="489"/>
    </row>
    <row r="16" spans="1:16" s="1" customFormat="1" ht="19.2" customHeight="1" x14ac:dyDescent="0.3">
      <c r="A16" s="1278" t="s">
        <v>148</v>
      </c>
      <c r="B16" s="1278"/>
      <c r="C16" s="1278"/>
      <c r="D16" s="1278"/>
      <c r="E16" s="1278"/>
      <c r="F16" s="1278"/>
      <c r="G16" s="1278"/>
      <c r="H16" s="1278"/>
      <c r="I16" s="1278"/>
      <c r="J16" s="1278"/>
      <c r="K16" s="893"/>
      <c r="L16" s="420"/>
      <c r="M16" s="524"/>
    </row>
    <row r="17" spans="1:13" s="1" customFormat="1" ht="4.95" customHeight="1" x14ac:dyDescent="0.3">
      <c r="A17" s="894"/>
      <c r="B17" s="895"/>
      <c r="C17" s="895"/>
      <c r="D17" s="895"/>
      <c r="E17" s="895"/>
      <c r="F17" s="895"/>
      <c r="G17" s="895"/>
      <c r="H17" s="895"/>
      <c r="I17" s="990"/>
      <c r="J17" s="981"/>
      <c r="K17" s="893"/>
      <c r="L17" s="420"/>
      <c r="M17" s="524"/>
    </row>
    <row r="18" spans="1:13" s="1" customFormat="1" ht="31.5" customHeight="1" x14ac:dyDescent="0.3">
      <c r="A18" s="696"/>
      <c r="B18" s="896"/>
      <c r="C18" s="111"/>
      <c r="D18" s="111"/>
      <c r="E18" s="124" t="str">
        <f>IF(tbBudgetCurrency="AUD - Australian Dollar","Full Project Cost (AUD)",CONCATENATE("Full Project Cost (",LEFT(tbBudgetCurrency,3),")"))</f>
        <v>Full Project Cost (AUD)</v>
      </c>
      <c r="F18" s="125" t="str">
        <f>IF(tbBudgetCurrency="AUD - Australian Dollar","Price to be charged to Funder (AUD)",CONCATENATE("Price to be charged to Funder (",LEFT(tbBudgetCurrency,3),")"))</f>
        <v>Price to be charged to Funder (AUD)</v>
      </c>
      <c r="G18" s="897"/>
      <c r="H18" s="1274" t="s">
        <v>149</v>
      </c>
      <c r="I18" s="1276"/>
      <c r="J18" s="838"/>
      <c r="K18" s="898"/>
      <c r="L18" s="420" t="b">
        <v>0</v>
      </c>
      <c r="M18" s="524"/>
    </row>
    <row r="19" spans="1:13" s="1" customFormat="1" ht="15" thickBot="1" x14ac:dyDescent="0.35">
      <c r="A19" s="697"/>
      <c r="B19" s="109" t="s">
        <v>150</v>
      </c>
      <c r="C19" s="109"/>
      <c r="D19" s="109"/>
      <c r="E19" s="198">
        <f>dfullrecovery</f>
        <v>2.5</v>
      </c>
      <c r="F19" s="198">
        <f>pCRSalaries</f>
        <v>2.5</v>
      </c>
      <c r="G19" s="897"/>
      <c r="H19" s="1285"/>
      <c r="I19" s="1286"/>
      <c r="J19" s="838"/>
      <c r="K19" s="898"/>
      <c r="L19" s="420" t="b">
        <v>0</v>
      </c>
      <c r="M19" s="524"/>
    </row>
    <row r="20" spans="1:13" s="1" customFormat="1" ht="8.1" customHeight="1" thickTop="1" x14ac:dyDescent="0.3">
      <c r="A20" s="697"/>
      <c r="B20" s="419"/>
      <c r="C20" s="109"/>
      <c r="D20" s="109"/>
      <c r="E20" s="109"/>
      <c r="F20" s="109"/>
      <c r="G20" s="897"/>
      <c r="H20" s="1285"/>
      <c r="I20" s="1286"/>
      <c r="J20" s="838"/>
      <c r="K20" s="898"/>
      <c r="L20" s="420"/>
      <c r="M20" s="524"/>
    </row>
    <row r="21" spans="1:13" s="1" customFormat="1" ht="16.5" customHeight="1" thickBot="1" x14ac:dyDescent="0.35">
      <c r="A21" s="697"/>
      <c r="B21" s="899" t="s">
        <v>151</v>
      </c>
      <c r="C21" s="899"/>
      <c r="D21" s="899"/>
      <c r="E21" s="371">
        <f>'PART B Staff Costs'!$AD$41</f>
        <v>0</v>
      </c>
      <c r="F21" s="371">
        <f>'PART B Staff Costs'!$AC$41</f>
        <v>0</v>
      </c>
      <c r="G21" s="900"/>
      <c r="H21" s="1285"/>
      <c r="I21" s="1286"/>
      <c r="J21" s="838"/>
      <c r="K21" s="898"/>
      <c r="L21" s="420"/>
      <c r="M21" s="524"/>
    </row>
    <row r="22" spans="1:13" s="1" customFormat="1" ht="15.6" thickTop="1" thickBot="1" x14ac:dyDescent="0.35">
      <c r="A22" s="697"/>
      <c r="B22" s="899" t="s">
        <v>1166</v>
      </c>
      <c r="C22" s="899"/>
      <c r="D22" s="899"/>
      <c r="E22" s="371">
        <f>F22</f>
        <v>0</v>
      </c>
      <c r="F22" s="371">
        <f>'PART C Non-Staff Costs'!P46+'PART C Non-Staff Costs'!P53</f>
        <v>0</v>
      </c>
      <c r="G22" s="901"/>
      <c r="H22" s="1285"/>
      <c r="I22" s="1286"/>
      <c r="J22" s="838"/>
      <c r="K22" s="893"/>
      <c r="L22" s="420"/>
      <c r="M22" s="524"/>
    </row>
    <row r="23" spans="1:13" s="1" customFormat="1" ht="16.5" hidden="1" customHeight="1" thickBot="1" x14ac:dyDescent="0.35">
      <c r="A23" s="697"/>
      <c r="B23" s="109" t="s">
        <v>152</v>
      </c>
      <c r="C23" s="181">
        <v>0</v>
      </c>
      <c r="D23" s="1152" t="s">
        <v>153</v>
      </c>
      <c r="E23" s="372">
        <f>($E21+$E22)*$C23/100</f>
        <v>0</v>
      </c>
      <c r="F23" s="372">
        <f>($F$21+$F$22)*$C$23/100</f>
        <v>0</v>
      </c>
      <c r="G23" s="901"/>
      <c r="H23" s="1285"/>
      <c r="I23" s="1286"/>
      <c r="J23" s="838"/>
      <c r="K23" s="898"/>
      <c r="L23" s="420"/>
      <c r="M23" s="524"/>
    </row>
    <row r="24" spans="1:13" s="1" customFormat="1" ht="16.5" hidden="1" customHeight="1" thickTop="1" thickBot="1" x14ac:dyDescent="0.35">
      <c r="A24" s="697"/>
      <c r="B24" s="109" t="s">
        <v>154</v>
      </c>
      <c r="C24" s="181">
        <v>0</v>
      </c>
      <c r="D24" s="1152" t="s">
        <v>153</v>
      </c>
      <c r="E24" s="373">
        <f>($E21+$E22)*$C24/100</f>
        <v>0</v>
      </c>
      <c r="F24" s="373">
        <f>($F$21+$F$22)*$C$24/100</f>
        <v>0</v>
      </c>
      <c r="G24" s="901"/>
      <c r="H24" s="1285"/>
      <c r="I24" s="1286"/>
      <c r="J24" s="838"/>
      <c r="K24" s="898"/>
      <c r="L24" s="420"/>
      <c r="M24" s="524"/>
    </row>
    <row r="25" spans="1:13" s="1" customFormat="1" ht="15.6" thickTop="1" thickBot="1" x14ac:dyDescent="0.35">
      <c r="A25" s="697"/>
      <c r="B25" s="109" t="s">
        <v>155</v>
      </c>
      <c r="E25" s="371">
        <f>$E$21+$E$22</f>
        <v>0</v>
      </c>
      <c r="F25" s="371">
        <f>SUM($F$21:$F$22)</f>
        <v>0</v>
      </c>
      <c r="G25" s="901"/>
      <c r="H25" s="1285"/>
      <c r="I25" s="1286"/>
      <c r="J25" s="838"/>
      <c r="K25" s="898"/>
      <c r="L25" s="420"/>
      <c r="M25" s="524"/>
    </row>
    <row r="26" spans="1:13" s="1" customFormat="1" ht="9" customHeight="1" thickTop="1" x14ac:dyDescent="0.3">
      <c r="A26" s="697"/>
      <c r="B26" s="109"/>
      <c r="C26" s="109"/>
      <c r="D26" s="109"/>
      <c r="E26" s="123"/>
      <c r="F26" s="123"/>
      <c r="G26" s="901"/>
      <c r="H26" s="1285"/>
      <c r="I26" s="1286"/>
      <c r="J26" s="838"/>
      <c r="K26" s="898"/>
      <c r="L26" s="420"/>
      <c r="M26" s="524"/>
    </row>
    <row r="27" spans="1:13" s="1" customFormat="1" ht="15" thickBot="1" x14ac:dyDescent="0.35">
      <c r="A27" s="697"/>
      <c r="B27" s="899" t="s">
        <v>156</v>
      </c>
      <c r="C27" s="899"/>
      <c r="D27" s="899"/>
      <c r="E27" s="371">
        <f>'PART B Staff Costs'!$AD$73</f>
        <v>0</v>
      </c>
      <c r="F27" s="371">
        <f>'PART B Staff Costs'!$AC$73</f>
        <v>0</v>
      </c>
      <c r="G27" s="901"/>
      <c r="H27" s="1285"/>
      <c r="I27" s="1286"/>
      <c r="J27" s="838"/>
      <c r="K27" s="898"/>
      <c r="L27" s="420"/>
      <c r="M27" s="524"/>
    </row>
    <row r="28" spans="1:13" s="1" customFormat="1" ht="15.6" thickTop="1" thickBot="1" x14ac:dyDescent="0.35">
      <c r="A28" s="697"/>
      <c r="B28" s="899" t="s">
        <v>157</v>
      </c>
      <c r="C28" s="899"/>
      <c r="D28" s="899"/>
      <c r="E28" s="371">
        <f>F28</f>
        <v>0</v>
      </c>
      <c r="F28" s="371">
        <f>'PART C Non-Staff Costs'!P50</f>
        <v>0</v>
      </c>
      <c r="G28" s="901"/>
      <c r="H28" s="1285"/>
      <c r="I28" s="1286"/>
      <c r="J28" s="838"/>
      <c r="K28" s="898"/>
      <c r="L28" s="420"/>
      <c r="M28" s="524"/>
    </row>
    <row r="29" spans="1:13" s="1" customFormat="1" ht="15.6" thickTop="1" thickBot="1" x14ac:dyDescent="0.35">
      <c r="A29" s="697"/>
      <c r="B29" s="109" t="s">
        <v>158</v>
      </c>
      <c r="C29" s="109"/>
      <c r="D29" s="109"/>
      <c r="E29" s="371">
        <f>$E$27+$E$28</f>
        <v>0</v>
      </c>
      <c r="F29" s="371">
        <f>$F$27+$F$28</f>
        <v>0</v>
      </c>
      <c r="G29" s="901"/>
      <c r="H29" s="1285"/>
      <c r="I29" s="1286"/>
      <c r="J29" s="838"/>
      <c r="K29" s="898"/>
      <c r="L29" s="420"/>
      <c r="M29" s="524"/>
    </row>
    <row r="30" spans="1:13" s="1" customFormat="1" ht="6" customHeight="1" thickTop="1" x14ac:dyDescent="0.3">
      <c r="A30" s="697"/>
      <c r="E30" s="902"/>
      <c r="F30" s="902"/>
      <c r="G30" s="901"/>
      <c r="H30" s="1285"/>
      <c r="I30" s="1286"/>
      <c r="J30" s="838"/>
      <c r="K30" s="898"/>
      <c r="L30" s="420"/>
      <c r="M30" s="524"/>
    </row>
    <row r="31" spans="1:13" s="1" customFormat="1" x14ac:dyDescent="0.3">
      <c r="A31" s="697"/>
      <c r="B31" s="1177" t="s">
        <v>159</v>
      </c>
      <c r="C31" s="1177"/>
      <c r="D31" s="1177"/>
      <c r="E31" s="411" t="str">
        <f>IFERROR($E21/($E21+$E22),"")</f>
        <v/>
      </c>
      <c r="F31" s="411" t="str">
        <f>IFERROR($F21/($F21+$F22),"")</f>
        <v/>
      </c>
      <c r="G31" s="901"/>
      <c r="H31" s="1285"/>
      <c r="I31" s="1286"/>
      <c r="J31" s="838"/>
      <c r="K31" s="898"/>
      <c r="L31" s="420"/>
      <c r="M31" s="524"/>
    </row>
    <row r="32" spans="1:13" s="1" customFormat="1" x14ac:dyDescent="0.3">
      <c r="A32" s="697"/>
      <c r="B32" s="1177" t="s">
        <v>160</v>
      </c>
      <c r="C32" s="1177"/>
      <c r="D32" s="1177"/>
      <c r="E32" s="411" t="str">
        <f>IFERROR($E22/($E21+$E22),"")</f>
        <v/>
      </c>
      <c r="F32" s="411" t="str">
        <f>IFERROR($F22/($F21+$F22),"")</f>
        <v/>
      </c>
      <c r="G32" s="901"/>
      <c r="H32" s="1285"/>
      <c r="I32" s="1286"/>
      <c r="J32" s="838"/>
      <c r="K32" s="898"/>
      <c r="L32" s="420"/>
      <c r="M32" s="524"/>
    </row>
    <row r="33" spans="1:13" s="1" customFormat="1" ht="8.25" customHeight="1" x14ac:dyDescent="0.3">
      <c r="A33" s="697"/>
      <c r="B33" s="1177"/>
      <c r="C33" s="1177"/>
      <c r="D33" s="1177"/>
      <c r="E33" s="1178"/>
      <c r="F33" s="1178"/>
      <c r="G33" s="901"/>
      <c r="H33" s="1285"/>
      <c r="I33" s="1286"/>
      <c r="J33" s="838"/>
      <c r="K33" s="898"/>
      <c r="L33" s="420"/>
      <c r="M33" s="524"/>
    </row>
    <row r="34" spans="1:13" s="1" customFormat="1" ht="15" thickBot="1" x14ac:dyDescent="0.35">
      <c r="A34" s="697"/>
      <c r="B34" s="199" t="s">
        <v>161</v>
      </c>
      <c r="C34" s="199"/>
      <c r="D34" s="199"/>
      <c r="E34" s="374">
        <f>E29+E25</f>
        <v>0</v>
      </c>
      <c r="F34" s="374">
        <f>F29+F25</f>
        <v>0</v>
      </c>
      <c r="G34" s="901"/>
      <c r="H34" s="1285"/>
      <c r="I34" s="1286"/>
      <c r="J34" s="838"/>
      <c r="K34" s="898"/>
      <c r="L34" s="420"/>
      <c r="M34" s="524"/>
    </row>
    <row r="35" spans="1:13" s="1" customFormat="1" ht="7.5" customHeight="1" thickTop="1" x14ac:dyDescent="0.3">
      <c r="A35" s="697"/>
      <c r="B35" s="903"/>
      <c r="C35" s="109"/>
      <c r="D35" s="109"/>
      <c r="E35" s="110"/>
      <c r="F35" s="110"/>
      <c r="G35" s="901"/>
      <c r="H35" s="1285"/>
      <c r="I35" s="1286"/>
      <c r="J35" s="838"/>
      <c r="K35" s="898"/>
      <c r="L35" s="420"/>
      <c r="M35" s="524"/>
    </row>
    <row r="36" spans="1:13" s="1" customFormat="1" ht="6.6" customHeight="1" x14ac:dyDescent="0.3">
      <c r="A36" s="697"/>
      <c r="B36" s="904"/>
      <c r="C36" s="109"/>
      <c r="D36" s="109"/>
      <c r="E36" s="110"/>
      <c r="F36" s="110"/>
      <c r="G36" s="901"/>
      <c r="H36" s="1285"/>
      <c r="I36" s="1286"/>
      <c r="J36" s="838"/>
      <c r="K36" s="898"/>
      <c r="L36" s="420"/>
      <c r="M36" s="524"/>
    </row>
    <row r="37" spans="1:13" s="1" customFormat="1" ht="15" customHeight="1" x14ac:dyDescent="0.3">
      <c r="A37" s="697"/>
      <c r="B37" s="109" t="s">
        <v>162</v>
      </c>
      <c r="C37" s="109"/>
      <c r="D37" s="109"/>
      <c r="E37" s="110"/>
      <c r="F37" s="418">
        <v>0</v>
      </c>
      <c r="G37" s="901"/>
      <c r="H37" s="1285"/>
      <c r="I37" s="1286"/>
      <c r="J37" s="838"/>
      <c r="K37" s="898"/>
      <c r="L37" s="420"/>
      <c r="M37" s="524"/>
    </row>
    <row r="38" spans="1:13" s="1" customFormat="1" ht="15" customHeight="1" x14ac:dyDescent="0.3">
      <c r="A38" s="697"/>
      <c r="B38" s="109" t="s">
        <v>163</v>
      </c>
      <c r="C38" s="109"/>
      <c r="D38" s="109"/>
      <c r="E38" s="110"/>
      <c r="F38" s="418">
        <v>0</v>
      </c>
      <c r="G38" s="901"/>
      <c r="H38" s="1285"/>
      <c r="I38" s="1286"/>
      <c r="J38" s="838"/>
      <c r="K38" s="898"/>
      <c r="L38" s="420"/>
      <c r="M38" s="524"/>
    </row>
    <row r="39" spans="1:13" s="1" customFormat="1" ht="15" customHeight="1" x14ac:dyDescent="0.3">
      <c r="A39" s="697"/>
      <c r="B39" s="109" t="s">
        <v>164</v>
      </c>
      <c r="C39" s="109"/>
      <c r="D39" s="109"/>
      <c r="E39" s="110"/>
      <c r="F39" s="418">
        <v>0</v>
      </c>
      <c r="G39" s="901"/>
      <c r="H39" s="1285"/>
      <c r="I39" s="1286"/>
      <c r="J39" s="838"/>
      <c r="K39" s="898"/>
      <c r="L39" s="420"/>
      <c r="M39" s="524"/>
    </row>
    <row r="40" spans="1:13" s="1" customFormat="1" ht="8.85" customHeight="1" x14ac:dyDescent="0.3">
      <c r="A40" s="697"/>
      <c r="B40" s="109"/>
      <c r="C40" s="109"/>
      <c r="D40" s="109"/>
      <c r="E40" s="110"/>
      <c r="F40" s="110"/>
      <c r="G40" s="901"/>
      <c r="H40" s="1285"/>
      <c r="I40" s="1286"/>
      <c r="J40" s="838"/>
      <c r="K40" s="898"/>
      <c r="L40" s="420"/>
      <c r="M40" s="524"/>
    </row>
    <row r="41" spans="1:13" s="1" customFormat="1" ht="15" thickBot="1" x14ac:dyDescent="0.35">
      <c r="A41" s="697"/>
      <c r="B41" s="200" t="s">
        <v>165</v>
      </c>
      <c r="C41" s="200"/>
      <c r="D41" s="200"/>
      <c r="E41" s="200"/>
      <c r="F41" s="371">
        <f>$F$25</f>
        <v>0</v>
      </c>
      <c r="G41" s="905" t="str">
        <f>IF(tbBudgetCurrency="AUD - Australian Dollar", "",CONCATENATE(ROUND(F41/new_xrate,2)," AUD"))</f>
        <v/>
      </c>
      <c r="H41" s="1285"/>
      <c r="I41" s="1286"/>
      <c r="J41" s="838"/>
      <c r="K41" s="898"/>
      <c r="L41" s="420"/>
      <c r="M41" s="524"/>
    </row>
    <row r="42" spans="1:13" s="1" customFormat="1" ht="15.75" customHeight="1" thickTop="1" thickBot="1" x14ac:dyDescent="0.35">
      <c r="A42" s="697"/>
      <c r="B42" s="200" t="s">
        <v>166</v>
      </c>
      <c r="C42" s="730"/>
      <c r="D42" s="730"/>
      <c r="E42" s="731"/>
      <c r="F42" s="371">
        <f>$F$41*1.1</f>
        <v>0</v>
      </c>
      <c r="G42" s="905" t="str">
        <f>IF(tbBudgetCurrency="AUD - Australian Dollar", "",CONCATENATE(ROUND(F42/new_xrate,2)," AUD"))</f>
        <v/>
      </c>
      <c r="H42" s="1285"/>
      <c r="I42" s="1286"/>
      <c r="J42" s="838"/>
      <c r="K42" s="898"/>
      <c r="L42" s="420"/>
      <c r="M42" s="524"/>
    </row>
    <row r="43" spans="1:13" s="1" customFormat="1" ht="12.75" customHeight="1" thickTop="1" x14ac:dyDescent="0.3">
      <c r="A43" s="697"/>
      <c r="E43" s="231" t="str">
        <f>IF(vl_gst_flag="No","'No GST' selected in Budget Form","")</f>
        <v/>
      </c>
      <c r="F43" s="906" t="str">
        <f>IF('Budget Form'!E38="No","Update GST option","")</f>
        <v/>
      </c>
      <c r="G43" s="901"/>
      <c r="H43" s="1285"/>
      <c r="I43" s="1286"/>
      <c r="J43" s="838"/>
      <c r="K43" s="898"/>
      <c r="L43" s="420"/>
      <c r="M43" s="524"/>
    </row>
    <row r="44" spans="1:13" s="1" customFormat="1" ht="9" customHeight="1" x14ac:dyDescent="0.3">
      <c r="A44" s="697"/>
      <c r="B44" s="111"/>
      <c r="C44" s="111"/>
      <c r="D44" s="111"/>
      <c r="E44" s="111"/>
      <c r="F44" s="375"/>
      <c r="G44" s="901"/>
      <c r="H44" s="1285"/>
      <c r="I44" s="1286"/>
      <c r="J44" s="838"/>
      <c r="K44" s="898"/>
      <c r="L44" s="420"/>
      <c r="M44" s="524"/>
    </row>
    <row r="45" spans="1:13" s="1" customFormat="1" ht="15" thickBot="1" x14ac:dyDescent="0.35">
      <c r="A45" s="697"/>
      <c r="B45" s="200" t="s">
        <v>167</v>
      </c>
      <c r="C45" s="200"/>
      <c r="D45" s="200"/>
      <c r="E45" s="200"/>
      <c r="F45" s="376">
        <f>F$41-$E$25</f>
        <v>0</v>
      </c>
      <c r="G45" s="901"/>
      <c r="H45" s="1285"/>
      <c r="I45" s="1286"/>
      <c r="J45" s="838"/>
      <c r="K45" s="898"/>
      <c r="L45" s="420"/>
      <c r="M45" s="524"/>
    </row>
    <row r="46" spans="1:13" s="1" customFormat="1" ht="15.6" thickTop="1" thickBot="1" x14ac:dyDescent="0.35">
      <c r="A46" s="697"/>
      <c r="B46" s="200" t="s">
        <v>168</v>
      </c>
      <c r="C46" s="200"/>
      <c r="D46" s="200"/>
      <c r="E46" s="200"/>
      <c r="F46" s="376">
        <f>-E29</f>
        <v>0</v>
      </c>
      <c r="G46" s="901"/>
      <c r="H46" s="1285"/>
      <c r="I46" s="1286"/>
      <c r="J46" s="838"/>
      <c r="K46" s="898"/>
      <c r="L46" s="420"/>
      <c r="M46" s="524"/>
    </row>
    <row r="47" spans="1:13" s="1" customFormat="1" ht="15.6" thickTop="1" thickBot="1" x14ac:dyDescent="0.35">
      <c r="A47" s="697"/>
      <c r="B47" s="200" t="s">
        <v>169</v>
      </c>
      <c r="C47" s="200"/>
      <c r="D47" s="200"/>
      <c r="E47" s="200"/>
      <c r="F47" s="433">
        <f>-(SUM(F37:F39))</f>
        <v>0</v>
      </c>
      <c r="G47" s="901"/>
      <c r="H47" s="1285"/>
      <c r="I47" s="1286"/>
      <c r="J47" s="838"/>
      <c r="K47" s="898"/>
      <c r="L47" s="420"/>
      <c r="M47" s="524"/>
    </row>
    <row r="48" spans="1:13" s="1" customFormat="1" ht="15.6" thickTop="1" thickBot="1" x14ac:dyDescent="0.35">
      <c r="A48" s="697"/>
      <c r="B48" s="200" t="s">
        <v>170</v>
      </c>
      <c r="C48" s="200"/>
      <c r="D48" s="200"/>
      <c r="E48" s="200"/>
      <c r="F48" s="376">
        <f>SUM(F45:F47)</f>
        <v>0</v>
      </c>
      <c r="G48" s="901"/>
      <c r="H48" s="1285"/>
      <c r="I48" s="1286"/>
      <c r="J48" s="838"/>
      <c r="K48" s="898"/>
      <c r="L48" s="420"/>
      <c r="M48" s="524"/>
    </row>
    <row r="49" spans="1:28" s="1" customFormat="1" ht="15" thickTop="1" x14ac:dyDescent="0.3">
      <c r="A49" s="697"/>
      <c r="B49" s="109"/>
      <c r="C49" s="109"/>
      <c r="D49" s="109"/>
      <c r="E49" s="109"/>
      <c r="F49" s="111"/>
      <c r="G49" s="901"/>
      <c r="H49" s="1285"/>
      <c r="I49" s="1286"/>
      <c r="J49" s="838"/>
      <c r="K49" s="898"/>
      <c r="L49" s="420"/>
      <c r="M49" s="524"/>
      <c r="AB49" s="1130"/>
    </row>
    <row r="50" spans="1:28" s="1" customFormat="1" ht="17.25" customHeight="1" x14ac:dyDescent="0.3">
      <c r="A50" s="697"/>
      <c r="B50" s="1279" t="s">
        <v>171</v>
      </c>
      <c r="C50" s="1279"/>
      <c r="D50" s="1279"/>
      <c r="E50" s="1280"/>
      <c r="F50" s="907" t="str">
        <f>IF(OR(pCRSalaries&lt;Minimum_Cost_Recovery_Multiplier,E29&gt;0,F29&gt;0),"Yes", "No")</f>
        <v>No</v>
      </c>
      <c r="G50" s="112"/>
      <c r="H50" s="1285"/>
      <c r="I50" s="1286"/>
      <c r="J50" s="838"/>
      <c r="K50" s="898"/>
      <c r="L50" s="420"/>
      <c r="M50" s="524"/>
    </row>
    <row r="51" spans="1:28" s="1" customFormat="1" ht="17.25" customHeight="1" x14ac:dyDescent="0.3">
      <c r="A51" s="697"/>
      <c r="B51" s="957"/>
      <c r="C51" s="957"/>
      <c r="D51" s="957"/>
      <c r="E51" s="957"/>
      <c r="F51" s="957"/>
      <c r="G51" s="957"/>
      <c r="H51" s="1287"/>
      <c r="I51" s="1288"/>
      <c r="J51" s="838"/>
      <c r="K51" s="898"/>
      <c r="L51" s="420"/>
      <c r="M51" s="524"/>
    </row>
    <row r="52" spans="1:28" s="1" customFormat="1" ht="12" customHeight="1" x14ac:dyDescent="0.3">
      <c r="A52" s="697"/>
      <c r="B52" s="698"/>
      <c r="C52" s="698"/>
      <c r="D52" s="698"/>
      <c r="E52" s="698"/>
      <c r="F52" s="698"/>
      <c r="G52" s="698"/>
      <c r="H52" s="698"/>
      <c r="I52" s="698"/>
      <c r="J52" s="838"/>
      <c r="K52" s="898"/>
      <c r="L52" s="420"/>
      <c r="M52" s="524"/>
    </row>
    <row r="53" spans="1:28" ht="42" customHeight="1" x14ac:dyDescent="0.3">
      <c r="A53" s="1274" t="s">
        <v>172</v>
      </c>
      <c r="B53" s="1275"/>
      <c r="C53" s="1275"/>
      <c r="D53" s="1275"/>
      <c r="E53" s="1275"/>
      <c r="F53" s="1275"/>
      <c r="G53" s="1275"/>
      <c r="H53" s="1275"/>
      <c r="I53" s="1276"/>
      <c r="J53" s="838"/>
      <c r="K53" s="908"/>
      <c r="M53" s="1172"/>
      <c r="N53" s="1152"/>
      <c r="O53" s="1152"/>
      <c r="P53" s="1152"/>
      <c r="Q53" s="1152"/>
      <c r="R53" s="1152"/>
      <c r="S53" s="1152"/>
      <c r="T53" s="1152"/>
      <c r="U53" s="1152"/>
      <c r="V53" s="1152"/>
      <c r="W53" s="1152"/>
      <c r="X53" s="1152"/>
      <c r="Y53" s="1152"/>
      <c r="Z53" s="1152"/>
      <c r="AA53" s="1152"/>
      <c r="AB53" s="1152"/>
    </row>
    <row r="54" spans="1:28" x14ac:dyDescent="0.3">
      <c r="A54" s="983"/>
      <c r="B54" s="984"/>
      <c r="C54" s="984"/>
      <c r="D54" s="984"/>
      <c r="E54" s="698"/>
      <c r="F54" s="698"/>
      <c r="G54" s="698"/>
      <c r="H54" s="698"/>
      <c r="I54" s="699"/>
      <c r="J54" s="838"/>
      <c r="K54" s="908"/>
      <c r="M54" s="1172"/>
      <c r="N54" s="1152"/>
      <c r="O54" s="1152"/>
      <c r="P54" s="1152"/>
      <c r="Q54" s="1152"/>
      <c r="R54" s="1152"/>
      <c r="S54" s="1152"/>
      <c r="T54" s="1152"/>
      <c r="U54" s="1152"/>
      <c r="V54" s="1152"/>
      <c r="W54" s="1152"/>
      <c r="X54" s="1152"/>
      <c r="Y54" s="1152"/>
      <c r="Z54" s="1152"/>
      <c r="AA54" s="1152"/>
      <c r="AB54" s="1152"/>
    </row>
    <row r="55" spans="1:28" x14ac:dyDescent="0.3">
      <c r="A55" s="111"/>
      <c r="B55" s="910"/>
      <c r="C55" s="910"/>
      <c r="D55" s="910"/>
      <c r="E55" s="111"/>
      <c r="F55" s="111"/>
      <c r="G55" s="111"/>
      <c r="H55" s="111"/>
      <c r="I55" s="111"/>
      <c r="J55" s="838"/>
      <c r="K55" s="908"/>
      <c r="M55" s="1172"/>
      <c r="N55" s="1152"/>
      <c r="O55" s="1152"/>
      <c r="P55" s="1152"/>
      <c r="Q55" s="1152"/>
      <c r="R55" s="1152"/>
      <c r="S55" s="1152"/>
      <c r="T55" s="1152"/>
      <c r="U55" s="1152"/>
      <c r="V55" s="1152"/>
      <c r="W55" s="1152"/>
      <c r="X55" s="1152"/>
      <c r="Y55" s="1152"/>
      <c r="Z55" s="1152"/>
      <c r="AA55" s="1152"/>
      <c r="AB55" s="1152"/>
    </row>
    <row r="56" spans="1:28" x14ac:dyDescent="0.3">
      <c r="A56" s="1152"/>
      <c r="B56" s="911"/>
      <c r="C56" s="911"/>
      <c r="D56" s="911"/>
      <c r="E56" s="1152"/>
      <c r="F56" s="1152"/>
      <c r="G56" s="1152"/>
      <c r="H56" s="1152"/>
      <c r="I56" s="1152"/>
      <c r="J56" s="838"/>
      <c r="K56" s="1179"/>
      <c r="M56" s="1172"/>
      <c r="N56" s="1152"/>
      <c r="O56" s="1152"/>
      <c r="P56" s="1152"/>
      <c r="Q56" s="1152"/>
      <c r="R56" s="1152"/>
      <c r="S56" s="1152"/>
      <c r="T56" s="1152"/>
      <c r="U56" s="1152"/>
      <c r="V56" s="1152"/>
      <c r="W56" s="1152"/>
      <c r="X56" s="1152"/>
      <c r="Y56" s="1152"/>
      <c r="Z56" s="1152"/>
      <c r="AA56" s="1152"/>
      <c r="AB56" s="1152"/>
    </row>
    <row r="57" spans="1:28" x14ac:dyDescent="0.3">
      <c r="A57" s="1152"/>
      <c r="B57" s="911"/>
      <c r="C57" s="911"/>
      <c r="D57" s="911"/>
      <c r="E57" s="1152"/>
      <c r="F57" s="1152"/>
      <c r="G57" s="1152"/>
      <c r="H57" s="1152"/>
      <c r="I57" s="1152"/>
      <c r="J57" s="1148"/>
      <c r="K57" s="1179"/>
      <c r="M57" s="1172"/>
      <c r="N57" s="1152"/>
      <c r="O57" s="1152"/>
      <c r="P57" s="1152"/>
      <c r="Q57" s="1152"/>
      <c r="R57" s="1152"/>
      <c r="S57" s="1152"/>
      <c r="T57" s="1152"/>
      <c r="U57" s="1152"/>
      <c r="V57" s="1152"/>
      <c r="W57" s="1152"/>
      <c r="X57" s="1152"/>
      <c r="Y57" s="1152"/>
      <c r="Z57" s="1152"/>
      <c r="AA57" s="1152"/>
      <c r="AB57" s="1152"/>
    </row>
    <row r="58" spans="1:28" x14ac:dyDescent="0.3">
      <c r="A58" s="1152"/>
      <c r="B58" s="911"/>
      <c r="C58" s="911"/>
      <c r="D58" s="911"/>
      <c r="E58" s="1152"/>
      <c r="F58" s="1152"/>
      <c r="G58" s="1152"/>
      <c r="H58" s="1152"/>
      <c r="I58" s="1152"/>
      <c r="J58" s="1148"/>
      <c r="K58" s="1179"/>
      <c r="M58" s="1172"/>
      <c r="N58" s="1152"/>
      <c r="O58" s="1152"/>
      <c r="P58" s="1152"/>
      <c r="Q58" s="1152"/>
      <c r="R58" s="1152"/>
      <c r="S58" s="1152"/>
      <c r="T58" s="1152"/>
      <c r="U58" s="1152"/>
      <c r="V58" s="1152"/>
      <c r="W58" s="1152"/>
      <c r="X58" s="1152"/>
      <c r="Y58" s="1152"/>
      <c r="Z58" s="1152"/>
      <c r="AA58" s="1152"/>
      <c r="AB58" s="1152"/>
    </row>
    <row r="59" spans="1:28" x14ac:dyDescent="0.3">
      <c r="A59" s="1152"/>
      <c r="B59" s="911"/>
      <c r="C59" s="911"/>
      <c r="D59" s="911"/>
      <c r="E59" s="1152"/>
      <c r="F59" s="1152"/>
      <c r="G59" s="1152"/>
      <c r="H59" s="1152"/>
      <c r="I59" s="1152"/>
      <c r="J59" s="1148"/>
      <c r="K59" s="1179"/>
      <c r="M59" s="1172"/>
      <c r="N59" s="1152"/>
      <c r="O59" s="1152"/>
      <c r="P59" s="1152"/>
      <c r="Q59" s="1152"/>
      <c r="R59" s="1152"/>
      <c r="S59" s="1152"/>
      <c r="T59" s="1152"/>
      <c r="U59" s="1152"/>
      <c r="V59" s="1152"/>
      <c r="W59" s="1152"/>
      <c r="X59" s="1152"/>
      <c r="Y59" s="1152"/>
      <c r="Z59" s="1152"/>
      <c r="AA59" s="1152"/>
      <c r="AB59" s="1152"/>
    </row>
    <row r="60" spans="1:28" x14ac:dyDescent="0.3">
      <c r="A60" s="1152"/>
      <c r="B60" s="911"/>
      <c r="C60" s="911"/>
      <c r="D60" s="911"/>
      <c r="E60" s="1152"/>
      <c r="F60" s="1152"/>
      <c r="G60" s="1152"/>
      <c r="H60" s="1152"/>
      <c r="I60" s="1152"/>
      <c r="J60" s="1148"/>
      <c r="K60" s="1179"/>
      <c r="M60" s="1172"/>
      <c r="N60" s="1152"/>
      <c r="O60" s="1152"/>
      <c r="P60" s="1152"/>
      <c r="Q60" s="1152"/>
      <c r="R60" s="1152"/>
      <c r="S60" s="1152"/>
      <c r="T60" s="1152"/>
      <c r="U60" s="1152"/>
      <c r="V60" s="1152"/>
      <c r="W60" s="1152"/>
      <c r="X60" s="1152"/>
      <c r="Y60" s="1152"/>
      <c r="Z60" s="1152"/>
      <c r="AA60" s="1152"/>
      <c r="AB60" s="1152"/>
    </row>
    <row r="61" spans="1:28" x14ac:dyDescent="0.3">
      <c r="A61" s="1152"/>
      <c r="B61" s="911"/>
      <c r="C61" s="911"/>
      <c r="D61" s="911"/>
      <c r="E61" s="1152"/>
      <c r="F61" s="1152"/>
      <c r="G61" s="1152"/>
      <c r="H61" s="1152"/>
      <c r="I61" s="1152"/>
      <c r="J61" s="1148"/>
      <c r="K61" s="1179"/>
      <c r="M61" s="1172"/>
      <c r="N61" s="1152"/>
      <c r="O61" s="1152"/>
      <c r="P61" s="1152"/>
      <c r="Q61" s="1152"/>
      <c r="R61" s="1152"/>
      <c r="S61" s="1152"/>
      <c r="T61" s="1152"/>
      <c r="U61" s="1152"/>
      <c r="V61" s="1152"/>
      <c r="W61" s="1152"/>
      <c r="X61" s="1152"/>
      <c r="Y61" s="1152"/>
      <c r="Z61" s="1152"/>
      <c r="AA61" s="1152"/>
      <c r="AB61" s="1152"/>
    </row>
    <row r="62" spans="1:28" x14ac:dyDescent="0.3">
      <c r="A62" s="1152"/>
      <c r="B62" s="911"/>
      <c r="C62" s="911"/>
      <c r="D62" s="911"/>
      <c r="E62" s="1152"/>
      <c r="F62" s="1152"/>
      <c r="G62" s="1152"/>
      <c r="H62" s="1152"/>
      <c r="I62" s="1152"/>
      <c r="J62" s="1148"/>
      <c r="K62" s="1179"/>
      <c r="M62" s="1172"/>
      <c r="N62" s="1152"/>
      <c r="O62" s="1152"/>
      <c r="P62" s="1152"/>
      <c r="Q62" s="1152"/>
      <c r="R62" s="1152"/>
      <c r="S62" s="1152"/>
      <c r="T62" s="1152"/>
      <c r="U62" s="1152"/>
      <c r="V62" s="1152"/>
      <c r="W62" s="1152"/>
      <c r="X62" s="1152"/>
      <c r="Y62" s="1152"/>
      <c r="Z62" s="1152"/>
      <c r="AA62" s="1152"/>
      <c r="AB62" s="1152"/>
    </row>
    <row r="63" spans="1:28" x14ac:dyDescent="0.3">
      <c r="A63" s="1152"/>
      <c r="B63" s="911"/>
      <c r="C63" s="911"/>
      <c r="D63" s="911"/>
      <c r="E63" s="1152"/>
      <c r="F63" s="1152"/>
      <c r="G63" s="1152"/>
      <c r="H63" s="1152"/>
      <c r="I63" s="1152"/>
      <c r="J63" s="1148"/>
      <c r="K63" s="1179"/>
      <c r="M63" s="1172"/>
      <c r="N63" s="1152"/>
      <c r="O63" s="1152"/>
      <c r="P63" s="1152"/>
      <c r="Q63" s="1152"/>
      <c r="R63" s="1152"/>
      <c r="S63" s="1152"/>
      <c r="T63" s="1152"/>
      <c r="U63" s="1152"/>
      <c r="V63" s="1152"/>
      <c r="W63" s="1152"/>
      <c r="X63" s="1152"/>
      <c r="Y63" s="1152"/>
      <c r="Z63" s="1152"/>
      <c r="AA63" s="1152"/>
      <c r="AB63" s="1152"/>
    </row>
    <row r="64" spans="1:28" x14ac:dyDescent="0.3">
      <c r="A64" s="1152"/>
      <c r="B64" s="911"/>
      <c r="C64" s="911"/>
      <c r="D64" s="911"/>
      <c r="E64" s="1152"/>
      <c r="F64" s="1152"/>
      <c r="G64" s="1152"/>
      <c r="H64" s="1152"/>
      <c r="I64" s="1152"/>
      <c r="J64" s="1148"/>
      <c r="K64" s="1179"/>
      <c r="M64" s="1172"/>
      <c r="N64" s="1152"/>
      <c r="O64" s="1152"/>
      <c r="P64" s="1152"/>
      <c r="Q64" s="1152"/>
      <c r="R64" s="1152"/>
      <c r="S64" s="1152"/>
      <c r="T64" s="1152"/>
      <c r="U64" s="1152"/>
      <c r="V64" s="1152"/>
      <c r="W64" s="1152"/>
      <c r="X64" s="1152"/>
      <c r="Y64" s="1152"/>
      <c r="Z64" s="1152"/>
      <c r="AA64" s="1152"/>
      <c r="AB64" s="1152"/>
    </row>
    <row r="65" spans="1:13" x14ac:dyDescent="0.3">
      <c r="A65" s="1152"/>
      <c r="B65" s="911"/>
      <c r="C65" s="911"/>
      <c r="D65" s="911"/>
      <c r="E65" s="1152"/>
      <c r="F65" s="1152"/>
      <c r="G65" s="1152"/>
      <c r="H65" s="1152"/>
      <c r="I65" s="1152"/>
      <c r="J65" s="1148"/>
      <c r="K65" s="1179"/>
      <c r="M65" s="1172"/>
    </row>
    <row r="66" spans="1:13" x14ac:dyDescent="0.3">
      <c r="A66" s="1152"/>
      <c r="B66" s="911"/>
      <c r="C66" s="911"/>
      <c r="D66" s="911"/>
      <c r="E66" s="1152"/>
      <c r="F66" s="1152"/>
      <c r="G66" s="1152"/>
      <c r="H66" s="1152"/>
      <c r="I66" s="1152"/>
      <c r="J66" s="1148"/>
      <c r="K66" s="1179"/>
      <c r="M66" s="1172"/>
    </row>
    <row r="67" spans="1:13" x14ac:dyDescent="0.3">
      <c r="A67" s="1152"/>
      <c r="B67" s="911"/>
      <c r="C67" s="911"/>
      <c r="D67" s="911"/>
      <c r="E67" s="1152"/>
      <c r="F67" s="1152"/>
      <c r="G67" s="1152"/>
      <c r="H67" s="1152"/>
      <c r="I67" s="1152"/>
      <c r="J67" s="1148"/>
      <c r="K67" s="1179"/>
      <c r="M67" s="1172"/>
    </row>
    <row r="68" spans="1:13" x14ac:dyDescent="0.3">
      <c r="A68" s="1152"/>
      <c r="B68" s="911"/>
      <c r="C68" s="911"/>
      <c r="D68" s="911"/>
      <c r="E68" s="1152"/>
      <c r="F68" s="1152"/>
      <c r="G68" s="1152"/>
      <c r="H68" s="1152"/>
      <c r="I68" s="1152"/>
      <c r="J68" s="1148"/>
      <c r="K68" s="1179"/>
      <c r="M68" s="1172"/>
    </row>
    <row r="69" spans="1:13" x14ac:dyDescent="0.3">
      <c r="A69" s="1152"/>
      <c r="B69" s="911"/>
      <c r="C69" s="911"/>
      <c r="D69" s="911"/>
      <c r="E69" s="1152"/>
      <c r="F69" s="1152"/>
      <c r="G69" s="1152"/>
      <c r="H69" s="1152"/>
      <c r="I69" s="1152"/>
      <c r="J69" s="1148"/>
      <c r="K69" s="1179"/>
      <c r="M69" s="1172"/>
    </row>
    <row r="70" spans="1:13" x14ac:dyDescent="0.3">
      <c r="A70" s="1152"/>
      <c r="B70" s="911"/>
      <c r="C70" s="911"/>
      <c r="D70" s="911"/>
      <c r="E70" s="1152"/>
      <c r="F70" s="1152"/>
      <c r="G70" s="1152"/>
      <c r="H70" s="1152"/>
      <c r="I70" s="1152"/>
      <c r="J70" s="1148"/>
      <c r="K70" s="1179"/>
      <c r="M70" s="1172"/>
    </row>
    <row r="71" spans="1:13" x14ac:dyDescent="0.3">
      <c r="A71" s="1152"/>
      <c r="B71" s="911"/>
      <c r="C71" s="911"/>
      <c r="D71" s="911"/>
      <c r="E71" s="1152"/>
      <c r="F71" s="1152"/>
      <c r="G71" s="1152"/>
      <c r="H71" s="1152"/>
      <c r="I71" s="1152"/>
      <c r="J71" s="1148"/>
      <c r="K71" s="1179"/>
      <c r="M71" s="1172"/>
    </row>
    <row r="72" spans="1:13" x14ac:dyDescent="0.3">
      <c r="A72" s="1152"/>
      <c r="B72" s="911"/>
      <c r="C72" s="911"/>
      <c r="D72" s="911"/>
      <c r="E72" s="1152"/>
      <c r="F72" s="1152"/>
      <c r="G72" s="1152"/>
      <c r="H72" s="1152"/>
      <c r="I72" s="1152"/>
      <c r="J72" s="1148"/>
      <c r="K72" s="1179"/>
      <c r="M72" s="1172"/>
    </row>
    <row r="73" spans="1:13" x14ac:dyDescent="0.3">
      <c r="A73" s="1152"/>
      <c r="B73" s="911"/>
      <c r="C73" s="911"/>
      <c r="D73" s="911"/>
      <c r="E73" s="1152"/>
      <c r="F73" s="1152"/>
      <c r="G73" s="1152"/>
      <c r="H73" s="1152"/>
      <c r="I73" s="1152"/>
      <c r="J73" s="1148"/>
      <c r="K73" s="1179"/>
      <c r="M73" s="1172"/>
    </row>
    <row r="74" spans="1:13" x14ac:dyDescent="0.3">
      <c r="A74" s="1152"/>
      <c r="B74" s="911"/>
      <c r="C74" s="911"/>
      <c r="D74" s="911"/>
      <c r="E74" s="1152"/>
      <c r="F74" s="1152"/>
      <c r="G74" s="1152"/>
      <c r="H74" s="1152"/>
      <c r="I74" s="1152"/>
      <c r="J74" s="1148"/>
      <c r="K74" s="1179"/>
      <c r="M74" s="1172"/>
    </row>
  </sheetData>
  <sheetProtection sheet="1" objects="1" scenarios="1" selectLockedCells="1"/>
  <mergeCells count="10">
    <mergeCell ref="A53:I53"/>
    <mergeCell ref="M1:P1"/>
    <mergeCell ref="A16:J16"/>
    <mergeCell ref="B50:E50"/>
    <mergeCell ref="C9:D9"/>
    <mergeCell ref="C5:D5"/>
    <mergeCell ref="C11:D11"/>
    <mergeCell ref="C7:D7"/>
    <mergeCell ref="H18:I51"/>
    <mergeCell ref="H9:H11"/>
  </mergeCells>
  <conditionalFormatting sqref="F50">
    <cfRule type="cellIs" dxfId="42" priority="2" operator="equal">
      <formula>"Yes"</formula>
    </cfRule>
  </conditionalFormatting>
  <conditionalFormatting sqref="F48">
    <cfRule type="cellIs" dxfId="41" priority="1" operator="lessThan">
      <formula>0</formula>
    </cfRule>
  </conditionalFormatting>
  <dataValidations disablePrompts="1" count="1">
    <dataValidation type="decimal" allowBlank="1" showInputMessage="1" showErrorMessage="1" sqref="F19" xr:uid="{C5003995-DB20-493F-A43A-2D3BE15CEE77}">
      <formula1>1</formula1>
      <formula2>5</formula2>
    </dataValidation>
  </dataValidations>
  <hyperlinks>
    <hyperlink ref="B21" location="'PART B Staff Costs'!A1" display="'PART B Staff Costs'!A1" xr:uid="{556B6FDE-A45E-459E-B19E-888F241515B2}"/>
    <hyperlink ref="B22" location="'PART C Non-Staff Costs'!A1" display="Non-Staff Costs  (excluding in-kind contributions)" xr:uid="{9F4A72E5-2E1B-4239-BA7A-1A1A5F07FB21}"/>
    <hyperlink ref="B27" location="'PART B Staff Costs'!B40" display="In-kind Contribution of Staff Costs" xr:uid="{A6839AF3-4A96-4CCF-9152-9D874D06E8A4}"/>
    <hyperlink ref="B28" location="'PART D In-Kind Non-Staff Costs'!A1" display="In-kind Contribution of Non-Staff Costs" xr:uid="{B3ED168B-0685-4585-AAD3-A27A7759E889}"/>
    <hyperlink ref="F43" location="'Budget Form'!E81" display="Update GST option" xr:uid="{82309394-371D-4748-8738-299B56170C5E}"/>
  </hyperlinks>
  <printOptions horizontalCentered="1"/>
  <pageMargins left="0.7" right="0.7" top="0.75" bottom="0.75" header="0.3" footer="0.3"/>
  <pageSetup paperSize="9" scale="46" fitToHeight="0" orientation="portrait" r:id="rId1"/>
  <headerFooter>
    <oddHeader>&amp;C&amp;"Calibri,Bold"&amp;16&amp;K094183Project Research Budget</oddHeader>
    <oddFooter>&amp;L&amp;F&amp;C&amp;P of &amp;N pages&amp;RThe University of Melbourne - Research Innovation and Commercialisation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1</xdr:col>
                    <xdr:colOff>1394460</xdr:colOff>
                    <xdr:row>17</xdr:row>
                    <xdr:rowOff>0</xdr:rowOff>
                  </from>
                  <to>
                    <xdr:col>3</xdr:col>
                    <xdr:colOff>297180</xdr:colOff>
                    <xdr:row>17</xdr:row>
                    <xdr:rowOff>251460</xdr:rowOff>
                  </to>
                </anchor>
              </controlPr>
            </control>
          </mc:Choice>
        </mc:AlternateContent>
        <mc:AlternateContent xmlns:mc="http://schemas.openxmlformats.org/markup-compatibility/2006">
          <mc:Choice Requires="x14">
            <control shapeId="159746" r:id="rId5" name="Check Box 2">
              <controlPr defaultSize="0" disabled="1" autoFill="0" autoLine="0" autoPict="0">
                <anchor>
                  <from>
                    <xdr:col>1</xdr:col>
                    <xdr:colOff>76200</xdr:colOff>
                    <xdr:row>17</xdr:row>
                    <xdr:rowOff>22860</xdr:rowOff>
                  </from>
                  <to>
                    <xdr:col>1</xdr:col>
                    <xdr:colOff>2171700</xdr:colOff>
                    <xdr:row>18</xdr:row>
                    <xdr:rowOff>0</xdr:rowOff>
                  </to>
                </anchor>
              </controlPr>
            </control>
          </mc:Choice>
        </mc:AlternateContent>
        <mc:AlternateContent xmlns:mc="http://schemas.openxmlformats.org/markup-compatibility/2006">
          <mc:Choice Requires="x14">
            <control shapeId="159747" r:id="rId6" name="Check Box 3">
              <controlPr defaultSize="0" disabled="1" autoFill="0" autoLine="0" autoPict="0">
                <anchor>
                  <from>
                    <xdr:col>1</xdr:col>
                    <xdr:colOff>1943100</xdr:colOff>
                    <xdr:row>17</xdr:row>
                    <xdr:rowOff>0</xdr:rowOff>
                  </from>
                  <to>
                    <xdr:col>3</xdr:col>
                    <xdr:colOff>609600</xdr:colOff>
                    <xdr:row>18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tn_aud_budget">
    <tabColor theme="4" tint="-0.249977111117893"/>
    <pageSetUpPr autoPageBreaks="0" fitToPage="1"/>
  </sheetPr>
  <dimension ref="A1:X248"/>
  <sheetViews>
    <sheetView showGridLines="0" zoomScale="95" zoomScaleNormal="95" zoomScaleSheetLayoutView="100" workbookViewId="0">
      <pane ySplit="2" topLeftCell="A3" activePane="bottomLeft" state="frozen"/>
      <selection pane="bottomLeft" activeCell="S99" sqref="S99:S119"/>
    </sheetView>
  </sheetViews>
  <sheetFormatPr defaultColWidth="8.5546875" defaultRowHeight="14.4" outlineLevelRow="1" outlineLevelCol="1" x14ac:dyDescent="0.3"/>
  <cols>
    <col min="1" max="1" width="20" style="838" customWidth="1"/>
    <col min="2" max="2" width="19.5546875" style="111" customWidth="1"/>
    <col min="3" max="3" width="19.44140625" style="111" customWidth="1"/>
    <col min="4" max="4" width="13.5546875" style="111" customWidth="1"/>
    <col min="5" max="5" width="17.44140625" style="111" customWidth="1"/>
    <col min="6" max="6" width="14.44140625" style="111" customWidth="1"/>
    <col min="7" max="7" width="13.6640625" style="111" customWidth="1"/>
    <col min="8" max="8" width="13.5546875" style="111" customWidth="1"/>
    <col min="9" max="10" width="13" style="111" customWidth="1"/>
    <col min="11" max="15" width="13" style="111" hidden="1" customWidth="1" outlineLevel="1"/>
    <col min="16" max="16" width="13" style="111" customWidth="1" collapsed="1"/>
    <col min="17" max="17" width="10.33203125" style="111" customWidth="1"/>
    <col min="18" max="18" width="1.44140625" style="838" customWidth="1"/>
    <col min="19" max="19" width="44" style="111" customWidth="1"/>
    <col min="20" max="20" width="15.5546875" style="111" hidden="1" customWidth="1"/>
    <col min="21" max="21" width="13.44140625" style="111" hidden="1" customWidth="1"/>
    <col min="22" max="22" width="9.44140625" style="111" hidden="1" customWidth="1"/>
    <col min="23" max="23" width="8.5546875" style="111"/>
    <col min="24" max="24" width="15.44140625" style="111" bestFit="1" customWidth="1"/>
    <col min="25" max="16384" width="8.5546875" style="111"/>
  </cols>
  <sheetData>
    <row r="1" spans="1:24" ht="44.4" customHeight="1" thickTop="1" thickBot="1" x14ac:dyDescent="0.35">
      <c r="A1" s="994"/>
      <c r="B1" s="1059" t="str">
        <f>tool_name_and_version</f>
        <v>Research Costing and Pricing tool v4.3.1</v>
      </c>
      <c r="C1" s="995"/>
      <c r="D1" s="995"/>
      <c r="E1" s="995"/>
      <c r="F1" s="995"/>
      <c r="G1" s="995"/>
      <c r="H1" s="995"/>
      <c r="I1" s="995"/>
      <c r="J1" s="995"/>
      <c r="K1" s="995"/>
      <c r="L1" s="995"/>
      <c r="M1" s="995"/>
      <c r="N1" s="995"/>
      <c r="O1" s="995"/>
      <c r="P1" s="995"/>
      <c r="Q1" s="995"/>
      <c r="R1" s="995"/>
      <c r="S1" s="995"/>
      <c r="T1" s="996"/>
      <c r="U1" s="997"/>
      <c r="V1" s="997"/>
    </row>
    <row r="2" spans="1:24" ht="27.6" customHeight="1" thickTop="1" x14ac:dyDescent="0.3">
      <c r="A2" s="998"/>
      <c r="B2" s="999"/>
      <c r="C2" s="1000"/>
      <c r="D2" s="1000"/>
      <c r="E2" s="1000"/>
      <c r="F2" s="1000"/>
      <c r="G2" s="1000"/>
      <c r="H2" s="1000"/>
      <c r="I2" s="1000"/>
      <c r="J2" s="1000"/>
      <c r="K2" s="1000"/>
      <c r="L2" s="1000"/>
      <c r="M2" s="1000"/>
      <c r="N2" s="1000"/>
      <c r="O2" s="1000"/>
      <c r="P2" s="1000"/>
      <c r="Q2" s="1000"/>
      <c r="R2" s="1000"/>
      <c r="S2" s="1000"/>
      <c r="T2" s="1001"/>
      <c r="U2" s="1001"/>
      <c r="V2" s="1001"/>
    </row>
    <row r="3" spans="1:24" ht="9" customHeight="1" thickBot="1" x14ac:dyDescent="0.35">
      <c r="R3" s="111"/>
    </row>
    <row r="4" spans="1:24" ht="25.5" customHeight="1" thickBot="1" x14ac:dyDescent="0.5">
      <c r="A4" s="664" t="s">
        <v>173</v>
      </c>
      <c r="B4" s="1294" t="s">
        <v>174</v>
      </c>
      <c r="C4" s="1294"/>
      <c r="D4" s="1294"/>
      <c r="E4" s="1294"/>
      <c r="F4" s="1294"/>
      <c r="G4" s="1294"/>
      <c r="H4" s="1294"/>
      <c r="I4" s="1294"/>
      <c r="J4" s="1294"/>
      <c r="K4" s="1294"/>
      <c r="L4" s="1294"/>
      <c r="M4" s="1294"/>
      <c r="N4" s="1294"/>
      <c r="O4" s="1294"/>
      <c r="P4" s="1294"/>
      <c r="Q4" s="1295"/>
      <c r="R4" s="111"/>
      <c r="S4" s="1053" t="s">
        <v>175</v>
      </c>
      <c r="T4" s="1002" t="s">
        <v>176</v>
      </c>
      <c r="U4" s="1003"/>
      <c r="V4" s="1003"/>
    </row>
    <row r="5" spans="1:24" ht="18" hidden="1" customHeight="1" x14ac:dyDescent="0.3">
      <c r="A5" s="759"/>
      <c r="B5" s="740"/>
      <c r="C5" s="740"/>
      <c r="D5" s="740"/>
      <c r="E5" s="740"/>
      <c r="F5" s="740"/>
      <c r="G5" s="740"/>
      <c r="H5" s="740"/>
      <c r="I5" s="740"/>
      <c r="J5" s="740"/>
      <c r="K5" s="740"/>
      <c r="L5" s="740"/>
      <c r="M5" s="740"/>
      <c r="N5" s="740"/>
      <c r="O5" s="740"/>
      <c r="P5" s="740"/>
      <c r="Q5" s="741"/>
      <c r="R5" s="111"/>
      <c r="S5" s="1320"/>
      <c r="T5" s="1004"/>
      <c r="U5" s="1005" t="s">
        <v>177</v>
      </c>
      <c r="V5" s="1005" t="s">
        <v>153</v>
      </c>
    </row>
    <row r="6" spans="1:24" ht="15" hidden="1" customHeight="1" x14ac:dyDescent="0.3">
      <c r="A6" s="759"/>
      <c r="B6" s="742"/>
      <c r="C6" s="743"/>
      <c r="D6" s="743"/>
      <c r="E6" s="743"/>
      <c r="F6" s="743"/>
      <c r="G6" s="742"/>
      <c r="H6" s="743"/>
      <c r="I6" s="1302"/>
      <c r="J6" s="1302"/>
      <c r="K6" s="744"/>
      <c r="L6" s="744"/>
      <c r="M6" s="744"/>
      <c r="N6" s="744"/>
      <c r="O6" s="744"/>
      <c r="P6" s="25"/>
      <c r="Q6" s="745"/>
      <c r="R6" s="111"/>
      <c r="S6" s="1321"/>
      <c r="T6" s="1006" t="s">
        <v>178</v>
      </c>
      <c r="U6" s="1007">
        <f>P94</f>
        <v>0</v>
      </c>
      <c r="V6" s="1008" t="str">
        <f>IFERROR(U6/(U6+U8),"")</f>
        <v/>
      </c>
      <c r="X6" s="1009"/>
    </row>
    <row r="7" spans="1:24" ht="5.0999999999999996" customHeight="1" x14ac:dyDescent="0.3">
      <c r="A7" s="759"/>
      <c r="B7" s="743"/>
      <c r="C7" s="743"/>
      <c r="D7" s="25"/>
      <c r="E7" s="25"/>
      <c r="F7" s="743"/>
      <c r="G7" s="743"/>
      <c r="H7" s="25"/>
      <c r="I7" s="25"/>
      <c r="J7" s="746"/>
      <c r="K7" s="746"/>
      <c r="L7" s="746"/>
      <c r="M7" s="746"/>
      <c r="N7" s="746"/>
      <c r="O7" s="746"/>
      <c r="P7" s="25"/>
      <c r="Q7" s="745"/>
      <c r="R7" s="111"/>
      <c r="S7" s="1321"/>
      <c r="T7" s="1006"/>
      <c r="U7" s="1010"/>
      <c r="V7" s="1010"/>
      <c r="X7" s="1009"/>
    </row>
    <row r="8" spans="1:24" ht="15" customHeight="1" x14ac:dyDescent="0.3">
      <c r="A8" s="759"/>
      <c r="B8" s="119" t="s">
        <v>179</v>
      </c>
      <c r="C8" s="743"/>
      <c r="D8" s="1299">
        <f>'PART A Project Details'!$C$11</f>
        <v>0</v>
      </c>
      <c r="E8" s="1300"/>
      <c r="F8" s="1300"/>
      <c r="G8" s="1300"/>
      <c r="H8" s="1300"/>
      <c r="I8" s="1300"/>
      <c r="J8" s="1301"/>
      <c r="K8" s="25"/>
      <c r="L8" s="25"/>
      <c r="M8" s="25"/>
      <c r="N8" s="25"/>
      <c r="O8" s="25"/>
      <c r="P8" s="25"/>
      <c r="Q8" s="747"/>
      <c r="R8" s="111"/>
      <c r="S8" s="1321"/>
      <c r="T8" s="1006" t="s">
        <v>180</v>
      </c>
      <c r="U8" s="1007">
        <f>P118</f>
        <v>0</v>
      </c>
      <c r="V8" s="1008" t="str">
        <f>IFERROR(U8/(U6+U8),"")</f>
        <v/>
      </c>
    </row>
    <row r="9" spans="1:24" ht="5.0999999999999996" customHeight="1" x14ac:dyDescent="0.3">
      <c r="A9" s="759"/>
      <c r="B9" s="743"/>
      <c r="C9" s="743"/>
      <c r="D9" s="744"/>
      <c r="E9" s="744"/>
      <c r="F9" s="25"/>
      <c r="G9" s="743"/>
      <c r="H9" s="744"/>
      <c r="I9" s="744"/>
      <c r="J9" s="744"/>
      <c r="K9" s="25"/>
      <c r="L9" s="25"/>
      <c r="M9" s="25"/>
      <c r="N9" s="25"/>
      <c r="O9" s="25"/>
      <c r="P9" s="25"/>
      <c r="Q9" s="748"/>
      <c r="R9" s="111"/>
      <c r="S9" s="1321"/>
    </row>
    <row r="10" spans="1:24" ht="15" customHeight="1" x14ac:dyDescent="0.3">
      <c r="A10" s="759"/>
      <c r="B10" s="119" t="s">
        <v>181</v>
      </c>
      <c r="C10" s="21"/>
      <c r="D10" s="1310" t="str">
        <f>'PART A Project Details'!C15</f>
        <v>Other</v>
      </c>
      <c r="E10" s="1311"/>
      <c r="F10" s="1369"/>
      <c r="G10" s="1370" t="str">
        <f>IF(tb_Other_Ext_party="","",tb_Other_Ext_party)</f>
        <v/>
      </c>
      <c r="H10" s="1371"/>
      <c r="I10" s="1371"/>
      <c r="J10" s="1371"/>
      <c r="K10" s="25"/>
      <c r="L10" s="25"/>
      <c r="M10" s="25"/>
      <c r="N10" s="25"/>
      <c r="O10" s="25"/>
      <c r="P10" s="25"/>
      <c r="Q10" s="747"/>
      <c r="R10" s="111"/>
      <c r="S10" s="1321"/>
      <c r="U10" s="1011"/>
      <c r="X10" s="1012"/>
    </row>
    <row r="11" spans="1:24" ht="4.5" hidden="1" customHeight="1" x14ac:dyDescent="0.3">
      <c r="A11" s="759"/>
      <c r="B11" s="119"/>
      <c r="C11" s="743"/>
      <c r="D11" s="749"/>
      <c r="E11" s="749"/>
      <c r="F11" s="749"/>
      <c r="G11" s="749"/>
      <c r="H11" s="749"/>
      <c r="I11" s="749"/>
      <c r="J11" s="749"/>
      <c r="K11" s="25"/>
      <c r="L11" s="25"/>
      <c r="M11" s="25"/>
      <c r="N11" s="25"/>
      <c r="O11" s="25"/>
      <c r="P11" s="25"/>
      <c r="Q11" s="747"/>
      <c r="R11" s="111"/>
      <c r="S11" s="1321"/>
    </row>
    <row r="12" spans="1:24" ht="15.75" hidden="1" customHeight="1" x14ac:dyDescent="0.3">
      <c r="A12" s="759"/>
      <c r="B12" s="119" t="s">
        <v>182</v>
      </c>
      <c r="C12" s="743"/>
      <c r="D12" s="1310" t="e">
        <f>IF(tbExternalParty2="","",tbExternalParty2)</f>
        <v>#REF!</v>
      </c>
      <c r="E12" s="1311"/>
      <c r="F12" s="1311"/>
      <c r="G12" s="1311"/>
      <c r="H12" s="1311"/>
      <c r="I12" s="1311"/>
      <c r="J12" s="1312"/>
      <c r="K12" s="25"/>
      <c r="L12" s="25"/>
      <c r="M12" s="25"/>
      <c r="N12" s="25"/>
      <c r="O12" s="25"/>
      <c r="P12" s="25"/>
      <c r="Q12" s="747"/>
      <c r="R12" s="111"/>
      <c r="S12" s="1321"/>
    </row>
    <row r="13" spans="1:24" ht="4.5" hidden="1" customHeight="1" x14ac:dyDescent="0.3">
      <c r="A13" s="759"/>
      <c r="B13" s="119"/>
      <c r="C13" s="743"/>
      <c r="D13" s="749"/>
      <c r="E13" s="749"/>
      <c r="F13" s="749"/>
      <c r="G13" s="749"/>
      <c r="H13" s="749"/>
      <c r="I13" s="749"/>
      <c r="J13" s="749"/>
      <c r="K13" s="25"/>
      <c r="L13" s="25"/>
      <c r="M13" s="25"/>
      <c r="N13" s="25"/>
      <c r="O13" s="25"/>
      <c r="P13" s="25"/>
      <c r="Q13" s="747"/>
      <c r="R13" s="111"/>
      <c r="S13" s="1321"/>
    </row>
    <row r="14" spans="1:24" ht="15.75" hidden="1" customHeight="1" x14ac:dyDescent="0.3">
      <c r="A14" s="759"/>
      <c r="B14" s="119" t="s">
        <v>183</v>
      </c>
      <c r="C14" s="743"/>
      <c r="D14" s="1310" t="e">
        <f>IF(tbExternalParty3="","",tbExternalParty3)</f>
        <v>#REF!</v>
      </c>
      <c r="E14" s="1311"/>
      <c r="F14" s="1311"/>
      <c r="G14" s="1311"/>
      <c r="H14" s="1311"/>
      <c r="I14" s="1311"/>
      <c r="J14" s="1312"/>
      <c r="K14" s="25"/>
      <c r="L14" s="25"/>
      <c r="M14" s="25"/>
      <c r="N14" s="25"/>
      <c r="O14" s="25"/>
      <c r="P14" s="25"/>
      <c r="Q14" s="747"/>
      <c r="R14" s="111"/>
      <c r="S14" s="1321"/>
    </row>
    <row r="15" spans="1:24" ht="4.5" hidden="1" customHeight="1" x14ac:dyDescent="0.3">
      <c r="A15" s="759"/>
      <c r="B15" s="119"/>
      <c r="C15" s="743"/>
      <c r="D15" s="749"/>
      <c r="E15" s="749"/>
      <c r="F15" s="749"/>
      <c r="G15" s="749"/>
      <c r="H15" s="749"/>
      <c r="I15" s="749"/>
      <c r="J15" s="749"/>
      <c r="K15" s="25"/>
      <c r="L15" s="25"/>
      <c r="M15" s="25"/>
      <c r="N15" s="25"/>
      <c r="O15" s="25"/>
      <c r="P15" s="25"/>
      <c r="Q15" s="747"/>
      <c r="R15" s="111"/>
      <c r="S15" s="1321"/>
    </row>
    <row r="16" spans="1:24" ht="16.5" hidden="1" customHeight="1" x14ac:dyDescent="0.3">
      <c r="A16" s="759"/>
      <c r="B16" s="119" t="s">
        <v>184</v>
      </c>
      <c r="C16" s="743"/>
      <c r="D16" s="1310" t="e">
        <f>IF(tbExternalParty4="","",tbExternalParty4)</f>
        <v>#REF!</v>
      </c>
      <c r="E16" s="1311"/>
      <c r="F16" s="1311"/>
      <c r="G16" s="1311"/>
      <c r="H16" s="1311"/>
      <c r="I16" s="1311"/>
      <c r="J16" s="1312"/>
      <c r="K16" s="25"/>
      <c r="L16" s="25"/>
      <c r="M16" s="25"/>
      <c r="N16" s="25"/>
      <c r="O16" s="25"/>
      <c r="P16" s="25"/>
      <c r="Q16" s="747"/>
      <c r="R16" s="111"/>
      <c r="S16" s="1321"/>
    </row>
    <row r="17" spans="1:24" ht="3.75" customHeight="1" x14ac:dyDescent="0.3">
      <c r="A17" s="759"/>
      <c r="B17" s="119"/>
      <c r="C17" s="743"/>
      <c r="D17" s="749"/>
      <c r="E17" s="749"/>
      <c r="F17" s="749"/>
      <c r="G17" s="749"/>
      <c r="H17" s="749"/>
      <c r="I17" s="749"/>
      <c r="J17" s="749"/>
      <c r="K17" s="25"/>
      <c r="L17" s="25"/>
      <c r="M17" s="25"/>
      <c r="N17" s="25"/>
      <c r="O17" s="25"/>
      <c r="P17" s="25"/>
      <c r="Q17" s="747"/>
      <c r="R17" s="111"/>
      <c r="S17" s="1321"/>
    </row>
    <row r="18" spans="1:24" ht="15" customHeight="1" x14ac:dyDescent="0.3">
      <c r="A18" s="759"/>
      <c r="B18" s="119" t="s">
        <v>185</v>
      </c>
      <c r="C18" s="743"/>
      <c r="D18" s="1292">
        <f>'PART A Project Details'!$C$13</f>
        <v>0</v>
      </c>
      <c r="E18" s="1293"/>
      <c r="F18" s="1293"/>
      <c r="G18" s="1293"/>
      <c r="H18" s="1293"/>
      <c r="I18" s="1293"/>
      <c r="J18" s="1304"/>
      <c r="K18" s="25"/>
      <c r="L18" s="25"/>
      <c r="M18" s="25"/>
      <c r="N18" s="25"/>
      <c r="O18" s="25"/>
      <c r="P18" s="25"/>
      <c r="Q18" s="748"/>
      <c r="R18" s="111"/>
      <c r="S18" s="1321"/>
    </row>
    <row r="19" spans="1:24" ht="5.0999999999999996" customHeight="1" x14ac:dyDescent="0.3">
      <c r="A19" s="759"/>
      <c r="B19" s="743"/>
      <c r="C19" s="743"/>
      <c r="D19" s="21"/>
      <c r="E19" s="744"/>
      <c r="F19" s="21"/>
      <c r="G19" s="750"/>
      <c r="H19" s="744"/>
      <c r="I19" s="744"/>
      <c r="J19" s="744"/>
      <c r="K19" s="25"/>
      <c r="L19" s="25"/>
      <c r="M19" s="25"/>
      <c r="N19" s="25"/>
      <c r="O19" s="25"/>
      <c r="P19" s="25"/>
      <c r="Q19" s="748"/>
      <c r="R19" s="111"/>
      <c r="S19" s="1321"/>
    </row>
    <row r="20" spans="1:24" ht="15" hidden="1" customHeight="1" x14ac:dyDescent="0.3">
      <c r="A20" s="759"/>
      <c r="B20" s="119"/>
      <c r="C20" s="743"/>
      <c r="D20" s="743"/>
      <c r="E20" s="743"/>
      <c r="F20" s="743"/>
      <c r="G20" s="743"/>
      <c r="H20" s="743"/>
      <c r="I20" s="743"/>
      <c r="J20" s="743"/>
      <c r="K20" s="743"/>
      <c r="L20" s="743"/>
      <c r="M20" s="743"/>
      <c r="N20" s="743"/>
      <c r="O20" s="743"/>
      <c r="P20" s="743"/>
      <c r="Q20" s="748"/>
      <c r="R20" s="111"/>
      <c r="S20" s="1321"/>
    </row>
    <row r="21" spans="1:24" ht="5.0999999999999996" customHeight="1" x14ac:dyDescent="0.3">
      <c r="A21" s="759"/>
      <c r="B21" s="21"/>
      <c r="C21" s="21"/>
      <c r="D21" s="21"/>
      <c r="E21" s="25"/>
      <c r="F21" s="25"/>
      <c r="G21" s="743"/>
      <c r="H21" s="744"/>
      <c r="I21" s="744"/>
      <c r="J21" s="742"/>
      <c r="K21" s="25"/>
      <c r="L21" s="25"/>
      <c r="M21" s="25"/>
      <c r="N21" s="25"/>
      <c r="O21" s="25"/>
      <c r="P21" s="25"/>
      <c r="Q21" s="747"/>
      <c r="R21" s="111"/>
      <c r="S21" s="1321"/>
    </row>
    <row r="22" spans="1:24" ht="15" customHeight="1" x14ac:dyDescent="0.3">
      <c r="A22" s="759"/>
      <c r="B22" s="119" t="s">
        <v>186</v>
      </c>
      <c r="C22" s="21"/>
      <c r="D22" s="1292">
        <f>'PART A Project Details'!$C$19</f>
        <v>0</v>
      </c>
      <c r="E22" s="1293"/>
      <c r="F22" s="1293"/>
      <c r="G22" s="751" t="s">
        <v>13</v>
      </c>
      <c r="H22" s="21"/>
      <c r="I22" s="1292" t="str">
        <f>IF('PART A Project Details'!$C21="","",'PART A Project Details'!$C21)</f>
        <v/>
      </c>
      <c r="J22" s="1304"/>
      <c r="K22" s="25"/>
      <c r="L22" s="25"/>
      <c r="M22" s="25"/>
      <c r="N22" s="25"/>
      <c r="O22" s="25"/>
      <c r="P22" s="25"/>
      <c r="Q22" s="752"/>
      <c r="R22" s="111"/>
      <c r="S22" s="1321"/>
      <c r="U22" s="1011"/>
      <c r="V22" s="1013"/>
      <c r="W22" s="1013"/>
    </row>
    <row r="23" spans="1:24" ht="5.0999999999999996" customHeight="1" x14ac:dyDescent="0.3">
      <c r="A23" s="759"/>
      <c r="B23" s="21"/>
      <c r="C23" s="21"/>
      <c r="D23" s="21"/>
      <c r="E23" s="744"/>
      <c r="F23" s="21"/>
      <c r="G23" s="743"/>
      <c r="H23" s="744"/>
      <c r="I23" s="744"/>
      <c r="J23" s="742"/>
      <c r="K23" s="25"/>
      <c r="L23" s="25"/>
      <c r="M23" s="25"/>
      <c r="N23" s="25"/>
      <c r="O23" s="25"/>
      <c r="P23" s="25"/>
      <c r="Q23" s="747"/>
      <c r="R23" s="111"/>
      <c r="S23" s="1321"/>
      <c r="U23" s="1011"/>
      <c r="X23" s="1012"/>
    </row>
    <row r="24" spans="1:24" ht="15" customHeight="1" x14ac:dyDescent="0.3">
      <c r="A24" s="759"/>
      <c r="B24" s="1241" t="s">
        <v>187</v>
      </c>
      <c r="C24" s="1307"/>
      <c r="D24" s="753" t="s">
        <v>188</v>
      </c>
      <c r="E24" s="753" t="s">
        <v>16</v>
      </c>
      <c r="F24" s="753" t="s">
        <v>189</v>
      </c>
      <c r="G24" s="753" t="s">
        <v>18</v>
      </c>
      <c r="H24" s="25"/>
      <c r="I24" s="1308" t="s">
        <v>190</v>
      </c>
      <c r="J24" s="1309"/>
      <c r="K24" s="25"/>
      <c r="L24" s="25"/>
      <c r="M24" s="25"/>
      <c r="N24" s="25"/>
      <c r="O24" s="25"/>
      <c r="P24" s="25"/>
      <c r="Q24" s="754"/>
      <c r="R24" s="111"/>
      <c r="S24" s="1321"/>
    </row>
    <row r="25" spans="1:24" ht="15" customHeight="1" x14ac:dyDescent="0.3">
      <c r="A25" s="759"/>
      <c r="B25" s="1241"/>
      <c r="C25" s="1307"/>
      <c r="D25" s="755">
        <f>Start_Year</f>
        <v>2026</v>
      </c>
      <c r="E25" s="756" t="str">
        <f>'PART A Project Details'!D24</f>
        <v>January</v>
      </c>
      <c r="F25" s="755">
        <f>pEndYear</f>
        <v>2030</v>
      </c>
      <c r="G25" s="756" t="str">
        <f>'PART A Project Details'!F24</f>
        <v>December</v>
      </c>
      <c r="H25" s="25"/>
      <c r="I25" s="1315" t="str">
        <f>'PART A Project Details'!$C$26</f>
        <v>AUD - Australian Dollar</v>
      </c>
      <c r="J25" s="1316"/>
      <c r="K25" s="25"/>
      <c r="L25" s="25"/>
      <c r="M25" s="25"/>
      <c r="N25" s="25"/>
      <c r="O25" s="25"/>
      <c r="P25" s="1014" t="str">
        <f>IF(currency_Check="AUD - Australian Dollar","",tb_xrate)</f>
        <v/>
      </c>
      <c r="Q25" s="752"/>
      <c r="R25" s="111"/>
      <c r="S25" s="1321"/>
    </row>
    <row r="26" spans="1:24" ht="5.0999999999999996" customHeight="1" x14ac:dyDescent="0.3">
      <c r="A26" s="759"/>
      <c r="B26" s="743"/>
      <c r="C26" s="743"/>
      <c r="D26" s="25"/>
      <c r="E26" s="25"/>
      <c r="F26" s="25"/>
      <c r="G26" s="25"/>
      <c r="H26" s="25"/>
      <c r="I26" s="25"/>
      <c r="J26" s="25"/>
      <c r="K26" s="25"/>
      <c r="L26" s="25"/>
      <c r="M26" s="25"/>
      <c r="N26" s="25"/>
      <c r="O26" s="25"/>
      <c r="P26" s="25"/>
      <c r="Q26" s="752"/>
      <c r="R26" s="111"/>
      <c r="S26" s="1321"/>
    </row>
    <row r="27" spans="1:24" ht="17.100000000000001" customHeight="1" x14ac:dyDescent="0.3">
      <c r="A27" s="759"/>
      <c r="B27" s="1011" t="s">
        <v>191</v>
      </c>
      <c r="C27" s="743"/>
      <c r="D27" s="757" t="s">
        <v>25</v>
      </c>
      <c r="E27" s="757" t="s">
        <v>26</v>
      </c>
      <c r="F27" s="757" t="s">
        <v>27</v>
      </c>
      <c r="G27" s="757" t="s">
        <v>192</v>
      </c>
      <c r="K27" s="25"/>
      <c r="L27" s="25"/>
      <c r="M27" s="25"/>
      <c r="N27" s="25"/>
      <c r="O27" s="25"/>
      <c r="P27" s="25"/>
      <c r="Q27" s="752"/>
      <c r="R27" s="111"/>
      <c r="S27" s="1321"/>
    </row>
    <row r="28" spans="1:24" x14ac:dyDescent="0.3">
      <c r="A28" s="759"/>
      <c r="B28" s="743"/>
      <c r="C28" s="743"/>
      <c r="D28" s="758" t="str">
        <f>'PART A Project Details'!$C$29</f>
        <v>C001</v>
      </c>
      <c r="E28" s="758" t="str">
        <f>'PART A Project Details'!$D$29</f>
        <v/>
      </c>
      <c r="F28" s="756" t="str">
        <f>'PART A Project Details'!$E$29</f>
        <v>Research</v>
      </c>
      <c r="G28" s="756" t="str">
        <f>'PART A Project Details'!$F$29</f>
        <v>Parkville</v>
      </c>
      <c r="H28" s="1015" t="str">
        <f>vl_project_attribute_string</f>
        <v/>
      </c>
      <c r="K28" s="25"/>
      <c r="L28" s="25"/>
      <c r="M28" s="25"/>
      <c r="N28" s="25"/>
      <c r="O28" s="25"/>
      <c r="P28" s="25"/>
      <c r="Q28" s="745"/>
      <c r="R28" s="111"/>
      <c r="S28" s="1321"/>
    </row>
    <row r="29" spans="1:24" ht="5.0999999999999996" customHeight="1" x14ac:dyDescent="0.3">
      <c r="A29" s="759"/>
      <c r="B29" s="743"/>
      <c r="C29" s="743"/>
      <c r="D29" s="744"/>
      <c r="E29" s="744"/>
      <c r="F29" s="25"/>
      <c r="G29" s="25"/>
      <c r="H29" s="744"/>
      <c r="I29" s="744"/>
      <c r="J29" s="744"/>
      <c r="K29" s="25"/>
      <c r="L29" s="25"/>
      <c r="M29" s="25"/>
      <c r="N29" s="25"/>
      <c r="O29" s="25"/>
      <c r="P29" s="25"/>
      <c r="Q29" s="748"/>
      <c r="R29" s="111"/>
      <c r="S29" s="1321"/>
    </row>
    <row r="30" spans="1:24" ht="14.25" customHeight="1" x14ac:dyDescent="0.3">
      <c r="A30" s="759"/>
      <c r="B30" s="750" t="s">
        <v>193</v>
      </c>
      <c r="C30" s="760"/>
      <c r="D30" s="1305">
        <f>vl_contract_val_ex_gst</f>
        <v>0</v>
      </c>
      <c r="E30" s="1306"/>
      <c r="G30" s="1016"/>
      <c r="H30" s="1017"/>
      <c r="I30" s="1018" t="str">
        <f>IF(tbBudgetCurrency="AUD - Australian Dollar","Staff Costs (Ex GST) - AUD",CONCATENATE("Staff Costs (Ex GST) - ",LEFT(tbBudgetCurrency,3)))</f>
        <v>Staff Costs (Ex GST) - AUD</v>
      </c>
      <c r="J30" s="1019">
        <f>vl_total_staff_costs</f>
        <v>0</v>
      </c>
      <c r="K30" s="1020">
        <f>IFERROR(J30/(J30+J31),0)</f>
        <v>0</v>
      </c>
      <c r="L30" s="25"/>
      <c r="M30" s="25"/>
      <c r="N30" s="25"/>
      <c r="O30" s="25"/>
      <c r="Q30" s="748"/>
      <c r="R30" s="111"/>
      <c r="S30" s="1321"/>
    </row>
    <row r="31" spans="1:24" ht="15.75" customHeight="1" x14ac:dyDescent="0.3">
      <c r="A31" s="759"/>
      <c r="B31" s="761"/>
      <c r="C31" s="1021" t="str">
        <f>IF(tbBudgetCurrency="AUD - Australian Dollar", "","Amount in AUD")</f>
        <v/>
      </c>
      <c r="D31" s="1022"/>
      <c r="E31" s="1023" t="str">
        <f>IF(tbBudgetCurrency="AUD - Australian Dollar", "",D30/new_xrate)</f>
        <v/>
      </c>
      <c r="G31" s="1024"/>
      <c r="H31" s="1025"/>
      <c r="I31" s="1026" t="str">
        <f>IF(tbBudgetCurrency="AUD - Australian Dollar","Non-Staff Costs (Ex GST) - AUD",CONCATENATE("Non-Staff Costs (Ex GST) - ",LEFT(tbBudgetCurrency,3)))</f>
        <v>Non-Staff Costs (Ex GST) - AUD</v>
      </c>
      <c r="J31" s="1027">
        <f>vl_total_non_staff_costs</f>
        <v>0</v>
      </c>
      <c r="K31" s="1020">
        <f>IFERROR(J31/(J30+J31),0)</f>
        <v>0</v>
      </c>
      <c r="L31" s="25"/>
      <c r="M31" s="25"/>
      <c r="N31" s="25"/>
      <c r="O31" s="25"/>
      <c r="Q31" s="752"/>
      <c r="R31" s="111"/>
      <c r="S31" s="1321"/>
    </row>
    <row r="32" spans="1:24" x14ac:dyDescent="0.3">
      <c r="A32" s="759"/>
      <c r="B32" s="750" t="s">
        <v>194</v>
      </c>
      <c r="C32" s="762"/>
      <c r="D32" s="1305">
        <f>vl_contract_val_inc_gst</f>
        <v>0</v>
      </c>
      <c r="E32" s="1306"/>
      <c r="F32" s="1028"/>
      <c r="K32" s="25"/>
      <c r="L32" s="25"/>
      <c r="M32" s="25"/>
      <c r="N32" s="25"/>
      <c r="O32" s="25"/>
      <c r="P32" s="25"/>
      <c r="Q32" s="748"/>
      <c r="R32" s="111"/>
      <c r="S32" s="1321"/>
    </row>
    <row r="33" spans="1:19" ht="15" customHeight="1" x14ac:dyDescent="0.3">
      <c r="A33" s="759"/>
      <c r="B33" s="763"/>
      <c r="C33" s="1029" t="str">
        <f>IF(tbBudgetCurrency="AUD - Australian Dollar", "","Amount in AUD")</f>
        <v/>
      </c>
      <c r="D33" s="1030"/>
      <c r="E33" s="1031" t="str">
        <f>IF(tbBudgetCurrency="AUD - Australian Dollar", "",D32/new_xrate)</f>
        <v/>
      </c>
      <c r="I33" s="1032"/>
      <c r="K33" s="25"/>
      <c r="L33" s="25"/>
      <c r="M33" s="25"/>
      <c r="N33" s="25"/>
      <c r="O33" s="25"/>
      <c r="P33" s="25"/>
      <c r="Q33" s="748"/>
      <c r="R33" s="111"/>
      <c r="S33" s="1321"/>
    </row>
    <row r="34" spans="1:19" ht="15" customHeight="1" thickBot="1" x14ac:dyDescent="0.35">
      <c r="A34" s="759"/>
      <c r="B34" s="1028"/>
      <c r="C34" s="1033" t="str">
        <f>IF('Budget Form'!E39="No","No GST selected in Part D","")</f>
        <v/>
      </c>
      <c r="E34" s="1034" t="str">
        <f>IF('Budget Form'!E39="No","Update GST flag","")</f>
        <v/>
      </c>
      <c r="F34" s="25"/>
      <c r="G34" s="25"/>
      <c r="H34" s="25"/>
      <c r="I34" s="25"/>
      <c r="J34" s="25"/>
      <c r="K34" s="25"/>
      <c r="L34" s="25"/>
      <c r="M34" s="25"/>
      <c r="N34" s="25"/>
      <c r="O34" s="25"/>
      <c r="P34" s="25"/>
      <c r="Q34" s="752"/>
      <c r="R34" s="111"/>
      <c r="S34" s="1322"/>
    </row>
    <row r="35" spans="1:19" ht="25.5" customHeight="1" thickBot="1" x14ac:dyDescent="0.5">
      <c r="A35" s="764"/>
      <c r="B35" s="1294" t="s">
        <v>195</v>
      </c>
      <c r="C35" s="1294"/>
      <c r="D35" s="1294"/>
      <c r="E35" s="1294"/>
      <c r="F35" s="1294"/>
      <c r="G35" s="1294"/>
      <c r="H35" s="1294"/>
      <c r="I35" s="1294"/>
      <c r="J35" s="1294"/>
      <c r="K35" s="1294"/>
      <c r="L35" s="1294"/>
      <c r="M35" s="1294"/>
      <c r="N35" s="1294"/>
      <c r="O35" s="1294"/>
      <c r="P35" s="1294"/>
      <c r="Q35" s="1295"/>
      <c r="R35" s="111"/>
      <c r="S35" s="1053" t="s">
        <v>196</v>
      </c>
    </row>
    <row r="36" spans="1:19" ht="15" customHeight="1" x14ac:dyDescent="0.3">
      <c r="A36" s="759"/>
      <c r="B36" s="740"/>
      <c r="C36" s="740"/>
      <c r="D36" s="740"/>
      <c r="E36" s="740"/>
      <c r="F36" s="740"/>
      <c r="G36" s="740"/>
      <c r="H36" s="740"/>
      <c r="I36" s="740"/>
      <c r="J36" s="740"/>
      <c r="K36" s="740"/>
      <c r="L36" s="740"/>
      <c r="M36" s="740"/>
      <c r="N36" s="740"/>
      <c r="O36" s="740"/>
      <c r="P36" s="740"/>
      <c r="Q36" s="741"/>
      <c r="R36" s="111"/>
      <c r="S36" s="1317"/>
    </row>
    <row r="37" spans="1:19" ht="24" customHeight="1" x14ac:dyDescent="0.3">
      <c r="A37" s="759"/>
      <c r="B37" s="743" t="s">
        <v>197</v>
      </c>
      <c r="C37" s="25"/>
      <c r="D37" s="25"/>
      <c r="E37" s="25"/>
      <c r="F37" s="765" t="str">
        <f>"Year 1" &amp; IF(pStartYear&lt;&gt;"",IF(First_year_fraction=12," ("&amp;pStartYear&amp;") "," ("&amp;pStartYear&amp;") " &amp; "- " &amp;First_year_fraction&amp; " months"),"")</f>
        <v xml:space="preserve">Year 1 (2026) </v>
      </c>
      <c r="G37" s="765" t="str">
        <f>"Year 2" &amp; IF(OR(pStartYear="",pStartYear+1&gt;pEndYear),"",(IF(pStartYear+1=pEndYear,(IF(Last_Year_Fraction=12," ("&amp;pStartYear+1&amp;") "," ("&amp;pStartYear+1&amp;") - "&amp;Last_Year_Fraction&amp;" months"))," ("&amp;pStartYear+1&amp;") ")))</f>
        <v xml:space="preserve">Year 2 (2027) </v>
      </c>
      <c r="H37" s="765" t="str">
        <f>"Year 3" &amp; IF(OR(pStartYear="",pStartYear+2&gt;pEndYear),"",(IF(pStartYear+2=pEndYear,(IF(Last_Year_Fraction=12," ("&amp;pStartYear+2&amp;") "," ("&amp;pStartYear+2&amp;") - "&amp;Last_Year_Fraction&amp;" months"))," ("&amp;pStartYear+2&amp;") ")))</f>
        <v xml:space="preserve">Year 3 (2028) </v>
      </c>
      <c r="I37" s="765" t="str">
        <f>"Year 4" &amp; IF(OR(pStartYear="",pStartYear+3&gt;pEndYear),"",(IF(pStartYear+3=pEndYear,(IF(Last_Year_Fraction=12," ("&amp;pStartYear+3&amp;") "," ("&amp;pStartYear+3&amp;") - "&amp;Last_Year_Fraction&amp;" months"))," ("&amp;pStartYear+3&amp;") ")))</f>
        <v xml:space="preserve">Year 4 (2029) </v>
      </c>
      <c r="J37" s="765" t="str">
        <f>"Year 5" &amp; IF(OR(pStartYear="",pStartYear+4&gt;pEndYear),"",(IF(pStartYear+4=pEndYear,(IF(Last_Year_Fraction=12," ("&amp;pStartYear+4&amp;") "," ("&amp;pStartYear+4&amp;") - "&amp;Last_Year_Fraction&amp;" months"))," ("&amp;pStartYear+4&amp;") ")))</f>
        <v xml:space="preserve">Year 5 (2030) </v>
      </c>
      <c r="K37" s="765" t="str">
        <f>"Year 6" &amp; IF(OR(pStartYear="",pStartYear+5&gt;pEndYear),"",(IF(pStartYear+5=pEndYear,(IF(Last_Year_Fraction=12," ("&amp;pStartYear+5&amp;") "," ("&amp;pStartYear+5&amp;") - "&amp;Last_Year_Fraction&amp;" months"))," ("&amp;pStartYear+5&amp;") ")))</f>
        <v>Year 6</v>
      </c>
      <c r="L37" s="765" t="str">
        <f>"Year 7" &amp; IF(OR(pStartYear="",pStartYear+6&gt;pEndYear),"",(IF(pStartYear+6=pEndYear,(IF(Last_Year_Fraction=12," ("&amp;pStartYear+6&amp;") "," ("&amp;pStartYear+6&amp;") - "&amp;Last_Year_Fraction&amp;" months"))," ("&amp;pStartYear+6&amp;") ")))</f>
        <v>Year 7</v>
      </c>
      <c r="M37" s="765" t="str">
        <f>"Year 8" &amp; IF(OR(pStartYear="",pStartYear+7&gt;pEndYear),"",(IF(pStartYear+7=pEndYear,(IF(Last_Year_Fraction=12," ("&amp;pStartYear+7&amp;") "," ("&amp;pStartYear+7&amp;") - "&amp;Last_Year_Fraction&amp;" months"))," ("&amp;pStartYear+7&amp;") ")))</f>
        <v>Year 8</v>
      </c>
      <c r="N37" s="765" t="str">
        <f>"Year 9" &amp; IF(OR(pStartYear="",pStartYear+8&gt;pEndYear),"",(IF(pStartYear+8=pEndYear,(IF(Last_Year_Fraction=12," ("&amp;pStartYear+8&amp;") "," ("&amp;pStartYear+8&amp;") - "&amp;Last_Year_Fraction&amp;" months"))," ("&amp;pStartYear+8&amp;") ")))</f>
        <v>Year 9</v>
      </c>
      <c r="O37" s="765" t="str">
        <f>"Year 10" &amp; IF(OR(pStartYear="",pStartYear+9&gt;pEndYear),"",(IF(pStartYear+9=pEndYear,(IF(Last_Year_Fraction=12," ("&amp;pStartYear+9&amp;") "," ("&amp;pStartYear+9&amp;") - "&amp;Last_Year_Fraction&amp;" months"))," ("&amp;pStartYear+9&amp;") ")))</f>
        <v>Year 10</v>
      </c>
      <c r="P37" s="765" t="str">
        <f>IF(tbBudgetCurrency="AUD - Australian Dollar", "Total (AUD)",CONCATENATE("Total (",LEFT(tbBudgetCurrency,3),")"))</f>
        <v>Total (AUD)</v>
      </c>
      <c r="Q37" s="752"/>
      <c r="R37" s="111"/>
      <c r="S37" s="1318"/>
    </row>
    <row r="38" spans="1:19" ht="15" customHeight="1" x14ac:dyDescent="0.3">
      <c r="A38" s="759"/>
      <c r="B38" s="743" t="s">
        <v>198</v>
      </c>
      <c r="C38" s="25"/>
      <c r="D38" s="25"/>
      <c r="E38" s="25"/>
      <c r="F38" s="766">
        <f t="shared" ref="F38:O38" si="0">SUM(F$94,F$118)</f>
        <v>0</v>
      </c>
      <c r="G38" s="766">
        <f t="shared" si="0"/>
        <v>0</v>
      </c>
      <c r="H38" s="766">
        <f t="shared" si="0"/>
        <v>0</v>
      </c>
      <c r="I38" s="766">
        <f t="shared" si="0"/>
        <v>0</v>
      </c>
      <c r="J38" s="766">
        <f t="shared" si="0"/>
        <v>0</v>
      </c>
      <c r="K38" s="766">
        <f t="shared" si="0"/>
        <v>0</v>
      </c>
      <c r="L38" s="766">
        <f t="shared" si="0"/>
        <v>0</v>
      </c>
      <c r="M38" s="766">
        <f t="shared" si="0"/>
        <v>0</v>
      </c>
      <c r="N38" s="766">
        <f t="shared" si="0"/>
        <v>0</v>
      </c>
      <c r="O38" s="766">
        <f t="shared" si="0"/>
        <v>0</v>
      </c>
      <c r="P38" s="767">
        <f>SUM($F38:$O38)</f>
        <v>0</v>
      </c>
      <c r="Q38" s="752"/>
      <c r="R38" s="111"/>
      <c r="S38" s="1318"/>
    </row>
    <row r="39" spans="1:19" ht="15" customHeight="1" x14ac:dyDescent="0.3">
      <c r="A39" s="759"/>
      <c r="B39" s="743" t="s">
        <v>199</v>
      </c>
      <c r="C39" s="25"/>
      <c r="D39" s="25"/>
      <c r="E39" s="768" t="s">
        <v>200</v>
      </c>
      <c r="F39" s="766">
        <f t="shared" ref="F39:O39" si="1">IF(vl_gst_flag="Yes",F$38*0.1,0)</f>
        <v>0</v>
      </c>
      <c r="G39" s="766">
        <f t="shared" si="1"/>
        <v>0</v>
      </c>
      <c r="H39" s="766">
        <f t="shared" si="1"/>
        <v>0</v>
      </c>
      <c r="I39" s="766">
        <f t="shared" si="1"/>
        <v>0</v>
      </c>
      <c r="J39" s="766">
        <f t="shared" si="1"/>
        <v>0</v>
      </c>
      <c r="K39" s="766">
        <f t="shared" si="1"/>
        <v>0</v>
      </c>
      <c r="L39" s="766">
        <f t="shared" si="1"/>
        <v>0</v>
      </c>
      <c r="M39" s="766">
        <f t="shared" si="1"/>
        <v>0</v>
      </c>
      <c r="N39" s="766">
        <f t="shared" si="1"/>
        <v>0</v>
      </c>
      <c r="O39" s="766">
        <f t="shared" si="1"/>
        <v>0</v>
      </c>
      <c r="P39" s="767">
        <f>SUM($F39:$O39)</f>
        <v>0</v>
      </c>
      <c r="Q39" s="752"/>
      <c r="R39" s="111"/>
      <c r="S39" s="1318"/>
    </row>
    <row r="40" spans="1:19" ht="17.100000000000001" customHeight="1" thickBot="1" x14ac:dyDescent="0.35">
      <c r="A40" s="759"/>
      <c r="B40" s="743" t="s">
        <v>201</v>
      </c>
      <c r="C40" s="743"/>
      <c r="D40" s="743"/>
      <c r="E40" s="25"/>
      <c r="F40" s="769">
        <f t="shared" ref="F40:O40" si="2">SUM(F$38:F$39)</f>
        <v>0</v>
      </c>
      <c r="G40" s="769">
        <f t="shared" si="2"/>
        <v>0</v>
      </c>
      <c r="H40" s="769">
        <f t="shared" si="2"/>
        <v>0</v>
      </c>
      <c r="I40" s="769">
        <f t="shared" si="2"/>
        <v>0</v>
      </c>
      <c r="J40" s="769">
        <f t="shared" si="2"/>
        <v>0</v>
      </c>
      <c r="K40" s="769">
        <f t="shared" si="2"/>
        <v>0</v>
      </c>
      <c r="L40" s="769">
        <f t="shared" si="2"/>
        <v>0</v>
      </c>
      <c r="M40" s="769">
        <f t="shared" si="2"/>
        <v>0</v>
      </c>
      <c r="N40" s="769">
        <f t="shared" si="2"/>
        <v>0</v>
      </c>
      <c r="O40" s="769">
        <f t="shared" si="2"/>
        <v>0</v>
      </c>
      <c r="P40" s="769">
        <f>SUM($F40:$O40)</f>
        <v>0</v>
      </c>
      <c r="Q40" s="752"/>
      <c r="R40" s="111"/>
      <c r="S40" s="1318"/>
    </row>
    <row r="41" spans="1:19" ht="17.100000000000001" customHeight="1" thickTop="1" x14ac:dyDescent="0.3">
      <c r="A41" s="759"/>
      <c r="B41" s="743"/>
      <c r="C41" s="743"/>
      <c r="D41" s="743"/>
      <c r="E41" s="25"/>
      <c r="F41" s="770"/>
      <c r="G41" s="770"/>
      <c r="H41" s="770"/>
      <c r="I41" s="770"/>
      <c r="J41" s="770"/>
      <c r="K41" s="770"/>
      <c r="L41" s="770"/>
      <c r="M41" s="770"/>
      <c r="N41" s="770"/>
      <c r="O41" s="770"/>
      <c r="P41" s="770"/>
      <c r="Q41" s="752"/>
      <c r="R41" s="111"/>
      <c r="S41" s="1318"/>
    </row>
    <row r="42" spans="1:19" ht="17.100000000000001" customHeight="1" thickBot="1" x14ac:dyDescent="0.35">
      <c r="A42" s="759"/>
      <c r="B42" s="771" t="str">
        <f>IF(E39="Yes","Total Price to be charged to Funder (Including GST)","Total Price to be charged to Funder (Excluding GST)")</f>
        <v>Total Price to be charged to Funder (Including GST)</v>
      </c>
      <c r="C42" s="772"/>
      <c r="D42" s="772"/>
      <c r="E42" s="773"/>
      <c r="F42" s="773"/>
      <c r="G42" s="774"/>
      <c r="H42" s="774"/>
      <c r="I42" s="774"/>
      <c r="J42" s="774"/>
      <c r="K42" s="774"/>
      <c r="L42" s="774"/>
      <c r="M42" s="774"/>
      <c r="N42" s="774"/>
      <c r="O42" s="775" t="str">
        <f>LEFT(tbBudgetCurrency,3)</f>
        <v>AUD</v>
      </c>
      <c r="P42" s="776">
        <f>IF(vl_gst_flag="Yes",vl_contract_val_inc_gst,vl_contract_val_ex_gst)</f>
        <v>0</v>
      </c>
      <c r="Q42" s="752"/>
      <c r="R42" s="111"/>
      <c r="S42" s="1318"/>
    </row>
    <row r="43" spans="1:19" ht="17.100000000000001" customHeight="1" thickTop="1" x14ac:dyDescent="0.3">
      <c r="A43" s="759"/>
      <c r="B43" s="21"/>
      <c r="C43" s="743"/>
      <c r="D43" s="743"/>
      <c r="E43" s="25"/>
      <c r="F43" s="25"/>
      <c r="G43" s="770"/>
      <c r="H43" s="770"/>
      <c r="I43" s="770"/>
      <c r="J43" s="770"/>
      <c r="K43" s="770"/>
      <c r="L43" s="770"/>
      <c r="M43" s="770"/>
      <c r="N43" s="770"/>
      <c r="O43" s="770"/>
      <c r="P43" s="777"/>
      <c r="Q43" s="752"/>
      <c r="R43" s="111"/>
      <c r="S43" s="1318"/>
    </row>
    <row r="44" spans="1:19" ht="17.100000000000001" customHeight="1" x14ac:dyDescent="0.3">
      <c r="A44" s="759"/>
      <c r="B44" s="778" t="s">
        <v>202</v>
      </c>
      <c r="C44" s="779"/>
      <c r="D44" s="779"/>
      <c r="E44" s="780"/>
      <c r="F44" s="780"/>
      <c r="G44" s="781"/>
      <c r="H44" s="781"/>
      <c r="I44" s="781"/>
      <c r="J44" s="781"/>
      <c r="K44" s="781"/>
      <c r="L44" s="781"/>
      <c r="M44" s="781"/>
      <c r="N44" s="781"/>
      <c r="O44" s="782" t="str">
        <f>LEFT(tbBudgetCurrency,3)</f>
        <v>AUD</v>
      </c>
      <c r="P44" s="783">
        <f>vl_full_project_cost</f>
        <v>0</v>
      </c>
      <c r="Q44" s="752"/>
      <c r="R44" s="111"/>
      <c r="S44" s="1318"/>
    </row>
    <row r="45" spans="1:19" ht="17.100000000000001" customHeight="1" x14ac:dyDescent="0.3">
      <c r="A45" s="759"/>
      <c r="B45" s="784" t="s">
        <v>167</v>
      </c>
      <c r="C45" s="785"/>
      <c r="D45" s="785"/>
      <c r="E45" s="763"/>
      <c r="F45" s="763"/>
      <c r="G45" s="786"/>
      <c r="H45" s="786"/>
      <c r="I45" s="786"/>
      <c r="J45" s="786"/>
      <c r="K45" s="786"/>
      <c r="L45" s="786"/>
      <c r="M45" s="786"/>
      <c r="N45" s="786"/>
      <c r="O45" s="787" t="str">
        <f>LEFT(tbBudgetCurrency,3)</f>
        <v>AUD</v>
      </c>
      <c r="P45" s="788">
        <f>vl_cash_benefit_or_cost</f>
        <v>0</v>
      </c>
      <c r="Q45" s="752"/>
      <c r="R45" s="111"/>
      <c r="S45" s="1318"/>
    </row>
    <row r="46" spans="1:19" ht="17.100000000000001" customHeight="1" x14ac:dyDescent="0.3">
      <c r="A46" s="759"/>
      <c r="B46" s="784" t="s">
        <v>203</v>
      </c>
      <c r="C46" s="785"/>
      <c r="D46" s="785"/>
      <c r="E46" s="763"/>
      <c r="F46" s="763"/>
      <c r="G46" s="786"/>
      <c r="H46" s="786"/>
      <c r="I46" s="786"/>
      <c r="J46" s="786"/>
      <c r="K46" s="786"/>
      <c r="L46" s="786"/>
      <c r="M46" s="786"/>
      <c r="N46" s="786"/>
      <c r="O46" s="787" t="str">
        <f>LEFT(tbBudgetCurrency,3)</f>
        <v>AUD</v>
      </c>
      <c r="P46" s="788">
        <f>vl_total_in_kind_contri</f>
        <v>0</v>
      </c>
      <c r="Q46" s="752"/>
      <c r="R46" s="111"/>
      <c r="S46" s="1318"/>
    </row>
    <row r="47" spans="1:19" ht="17.100000000000001" customHeight="1" x14ac:dyDescent="0.3">
      <c r="A47" s="759"/>
      <c r="B47" s="784" t="s">
        <v>204</v>
      </c>
      <c r="C47" s="785"/>
      <c r="D47" s="785"/>
      <c r="E47" s="763"/>
      <c r="F47" s="763"/>
      <c r="G47" s="786"/>
      <c r="H47" s="786"/>
      <c r="I47" s="786"/>
      <c r="J47" s="786"/>
      <c r="K47" s="786"/>
      <c r="L47" s="786"/>
      <c r="M47" s="786"/>
      <c r="N47" s="786"/>
      <c r="O47" s="787" t="str">
        <f>LEFT(tbBudgetCurrency,3)</f>
        <v>AUD</v>
      </c>
      <c r="P47" s="788">
        <f>vl_total_cash_contri</f>
        <v>0</v>
      </c>
      <c r="Q47" s="752"/>
      <c r="R47" s="111"/>
      <c r="S47" s="1318"/>
    </row>
    <row r="48" spans="1:19" ht="17.100000000000001" customHeight="1" thickBot="1" x14ac:dyDescent="0.35">
      <c r="A48" s="759"/>
      <c r="B48" s="789" t="s">
        <v>205</v>
      </c>
      <c r="C48" s="790"/>
      <c r="D48" s="790"/>
      <c r="E48" s="791"/>
      <c r="F48" s="791"/>
      <c r="G48" s="792"/>
      <c r="H48" s="792"/>
      <c r="I48" s="792"/>
      <c r="J48" s="792"/>
      <c r="K48" s="792"/>
      <c r="L48" s="792"/>
      <c r="M48" s="792"/>
      <c r="N48" s="792"/>
      <c r="O48" s="793" t="str">
        <f>LEFT(tbBudgetCurrency,3)</f>
        <v>AUD</v>
      </c>
      <c r="P48" s="794">
        <f>vl_uni_position</f>
        <v>0</v>
      </c>
      <c r="Q48" s="752"/>
      <c r="R48" s="111"/>
      <c r="S48" s="1318"/>
    </row>
    <row r="49" spans="1:19" ht="12" customHeight="1" thickTop="1" thickBot="1" x14ac:dyDescent="0.35">
      <c r="A49" s="759"/>
      <c r="B49" s="25"/>
      <c r="C49" s="25"/>
      <c r="D49" s="25"/>
      <c r="E49" s="25"/>
      <c r="F49" s="743"/>
      <c r="G49" s="25"/>
      <c r="H49" s="25"/>
      <c r="I49" s="25"/>
      <c r="J49" s="25"/>
      <c r="K49" s="25"/>
      <c r="L49" s="25"/>
      <c r="M49" s="25"/>
      <c r="N49" s="25"/>
      <c r="O49" s="25"/>
      <c r="P49" s="762"/>
      <c r="Q49" s="752"/>
      <c r="R49" s="111"/>
      <c r="S49" s="1318"/>
    </row>
    <row r="50" spans="1:19" ht="25.5" customHeight="1" thickBot="1" x14ac:dyDescent="0.5">
      <c r="A50" s="764"/>
      <c r="B50" s="1296" t="s">
        <v>206</v>
      </c>
      <c r="C50" s="1296"/>
      <c r="D50" s="1296"/>
      <c r="E50" s="1296"/>
      <c r="F50" s="1296"/>
      <c r="G50" s="1296"/>
      <c r="H50" s="1296"/>
      <c r="I50" s="1296"/>
      <c r="J50" s="1296"/>
      <c r="K50" s="1296"/>
      <c r="L50" s="1296"/>
      <c r="M50" s="1296"/>
      <c r="N50" s="1296"/>
      <c r="O50" s="1296"/>
      <c r="P50" s="1296"/>
      <c r="Q50" s="1297"/>
      <c r="R50" s="111"/>
      <c r="S50" s="1054" t="s">
        <v>207</v>
      </c>
    </row>
    <row r="51" spans="1:19" ht="15.75" customHeight="1" x14ac:dyDescent="0.3">
      <c r="A51" s="759"/>
      <c r="B51" s="1339" t="str">
        <f>CONCATENATE("Financial Position to the University of Melbourne will be ", IF(vl_uni_position=0,"",IF(vl_uni_position&gt;0,"a profit of:","a loss of:")))</f>
        <v xml:space="preserve">Financial Position to the University of Melbourne will be </v>
      </c>
      <c r="C51" s="1339"/>
      <c r="D51" s="1339"/>
      <c r="E51" s="1339"/>
      <c r="F51" s="795">
        <f>IF(P48&gt;0,P48,0-P48)</f>
        <v>0</v>
      </c>
      <c r="G51" s="796"/>
      <c r="H51" s="796"/>
      <c r="I51" s="796"/>
      <c r="J51" s="796"/>
      <c r="K51" s="796"/>
      <c r="L51" s="796"/>
      <c r="M51" s="796"/>
      <c r="N51" s="796"/>
      <c r="O51" s="796"/>
      <c r="P51" s="796"/>
      <c r="Q51" s="797"/>
      <c r="R51" s="111"/>
      <c r="S51" s="1317"/>
    </row>
    <row r="52" spans="1:19" ht="15" customHeight="1" x14ac:dyDescent="0.3">
      <c r="A52" s="759"/>
      <c r="B52" s="742" t="s">
        <v>208</v>
      </c>
      <c r="C52" s="742"/>
      <c r="D52" s="742"/>
      <c r="E52" s="742"/>
      <c r="F52" s="742"/>
      <c r="G52" s="742"/>
      <c r="H52" s="742"/>
      <c r="I52" s="750"/>
      <c r="J52" s="750"/>
      <c r="K52" s="750"/>
      <c r="L52" s="750"/>
      <c r="M52" s="750"/>
      <c r="N52" s="750"/>
      <c r="O52" s="750"/>
      <c r="P52" s="750"/>
      <c r="Q52" s="798"/>
      <c r="R52" s="111"/>
      <c r="S52" s="1318"/>
    </row>
    <row r="53" spans="1:19" ht="30" customHeight="1" x14ac:dyDescent="0.3">
      <c r="A53" s="759"/>
      <c r="B53" s="1340"/>
      <c r="C53" s="1341"/>
      <c r="D53" s="1342"/>
      <c r="E53" s="1343"/>
      <c r="F53" s="1344"/>
      <c r="G53" s="1342"/>
      <c r="H53" s="1343"/>
      <c r="I53" s="1344"/>
      <c r="J53" s="799"/>
      <c r="K53" s="800"/>
      <c r="L53" s="801"/>
      <c r="M53" s="801"/>
      <c r="N53" s="801"/>
      <c r="O53" s="801"/>
      <c r="P53" s="25"/>
      <c r="Q53" s="748"/>
      <c r="R53" s="111"/>
      <c r="S53" s="1318"/>
    </row>
    <row r="54" spans="1:19" ht="15" customHeight="1" x14ac:dyDescent="0.3">
      <c r="A54" s="759"/>
      <c r="B54" s="802" t="s">
        <v>209</v>
      </c>
      <c r="C54" s="803"/>
      <c r="D54" s="804" t="s">
        <v>210</v>
      </c>
      <c r="E54" s="802"/>
      <c r="F54" s="805"/>
      <c r="G54" s="804" t="s">
        <v>211</v>
      </c>
      <c r="H54" s="802"/>
      <c r="I54" s="805"/>
      <c r="J54" s="806" t="s">
        <v>212</v>
      </c>
      <c r="K54" s="807"/>
      <c r="L54" s="751"/>
      <c r="M54" s="751"/>
      <c r="N54" s="751"/>
      <c r="O54" s="751"/>
      <c r="P54" s="25"/>
      <c r="Q54" s="808"/>
      <c r="R54" s="111"/>
      <c r="S54" s="1318"/>
    </row>
    <row r="55" spans="1:19" ht="5.0999999999999996" customHeight="1" x14ac:dyDescent="0.3">
      <c r="A55" s="759"/>
      <c r="B55" s="750"/>
      <c r="C55" s="750"/>
      <c r="D55" s="750"/>
      <c r="E55" s="750"/>
      <c r="F55" s="750"/>
      <c r="G55" s="750"/>
      <c r="H55" s="809"/>
      <c r="I55" s="750"/>
      <c r="J55" s="750"/>
      <c r="K55" s="750"/>
      <c r="L55" s="750"/>
      <c r="M55" s="750"/>
      <c r="N55" s="750"/>
      <c r="O55" s="750"/>
      <c r="P55" s="809"/>
      <c r="Q55" s="808"/>
      <c r="R55" s="111"/>
      <c r="S55" s="1318"/>
    </row>
    <row r="56" spans="1:19" ht="15" customHeight="1" x14ac:dyDescent="0.3">
      <c r="A56" s="759"/>
      <c r="B56" s="742" t="s">
        <v>213</v>
      </c>
      <c r="C56" s="742"/>
      <c r="D56" s="742"/>
      <c r="E56" s="742"/>
      <c r="F56" s="742"/>
      <c r="G56" s="742"/>
      <c r="H56" s="742"/>
      <c r="I56" s="750"/>
      <c r="J56" s="750"/>
      <c r="K56" s="750"/>
      <c r="L56" s="750"/>
      <c r="M56" s="750"/>
      <c r="N56" s="750"/>
      <c r="O56" s="750"/>
      <c r="P56" s="750"/>
      <c r="Q56" s="798"/>
      <c r="R56" s="111"/>
      <c r="S56" s="1318"/>
    </row>
    <row r="57" spans="1:19" ht="30" customHeight="1" x14ac:dyDescent="0.3">
      <c r="A57" s="759"/>
      <c r="B57" s="1340"/>
      <c r="C57" s="1341"/>
      <c r="D57" s="1342"/>
      <c r="E57" s="1343"/>
      <c r="F57" s="1344"/>
      <c r="G57" s="1342"/>
      <c r="H57" s="1343"/>
      <c r="I57" s="1344"/>
      <c r="J57" s="799"/>
      <c r="K57" s="800"/>
      <c r="L57" s="801"/>
      <c r="M57" s="801"/>
      <c r="N57" s="801"/>
      <c r="O57" s="801"/>
      <c r="P57" s="25"/>
      <c r="Q57" s="798"/>
      <c r="R57" s="111"/>
      <c r="S57" s="1318"/>
    </row>
    <row r="58" spans="1:19" ht="15" customHeight="1" x14ac:dyDescent="0.3">
      <c r="A58" s="759"/>
      <c r="B58" s="802" t="s">
        <v>209</v>
      </c>
      <c r="C58" s="803"/>
      <c r="D58" s="804" t="s">
        <v>210</v>
      </c>
      <c r="E58" s="802"/>
      <c r="F58" s="805"/>
      <c r="G58" s="804" t="s">
        <v>211</v>
      </c>
      <c r="H58" s="802"/>
      <c r="I58" s="805"/>
      <c r="J58" s="806" t="s">
        <v>212</v>
      </c>
      <c r="K58" s="807"/>
      <c r="L58" s="751"/>
      <c r="M58" s="751"/>
      <c r="N58" s="751"/>
      <c r="O58" s="751"/>
      <c r="P58" s="25"/>
      <c r="Q58" s="808"/>
      <c r="R58" s="111"/>
      <c r="S58" s="1318"/>
    </row>
    <row r="59" spans="1:19" ht="9.6" customHeight="1" thickBot="1" x14ac:dyDescent="0.35">
      <c r="A59" s="759"/>
      <c r="B59" s="810"/>
      <c r="C59" s="811"/>
      <c r="D59" s="811"/>
      <c r="E59" s="810"/>
      <c r="F59" s="810"/>
      <c r="G59" s="810"/>
      <c r="H59" s="811"/>
      <c r="I59" s="810"/>
      <c r="J59" s="810"/>
      <c r="K59" s="810"/>
      <c r="L59" s="810"/>
      <c r="M59" s="810"/>
      <c r="N59" s="810"/>
      <c r="O59" s="810"/>
      <c r="P59" s="811"/>
      <c r="Q59" s="812"/>
      <c r="R59" s="111"/>
      <c r="S59" s="1319"/>
    </row>
    <row r="60" spans="1:19" ht="25.5" customHeight="1" thickBot="1" x14ac:dyDescent="0.5">
      <c r="A60" s="764"/>
      <c r="B60" s="1296" t="s">
        <v>214</v>
      </c>
      <c r="C60" s="1296"/>
      <c r="D60" s="1296"/>
      <c r="E60" s="1296"/>
      <c r="F60" s="1296"/>
      <c r="G60" s="1296"/>
      <c r="H60" s="1296"/>
      <c r="I60" s="1296"/>
      <c r="J60" s="1296"/>
      <c r="K60" s="1296"/>
      <c r="L60" s="1296"/>
      <c r="M60" s="1296"/>
      <c r="N60" s="1296"/>
      <c r="O60" s="1296"/>
      <c r="P60" s="1296"/>
      <c r="Q60" s="1297"/>
      <c r="R60" s="111"/>
      <c r="S60" s="1054" t="s">
        <v>215</v>
      </c>
    </row>
    <row r="61" spans="1:19" ht="8.1" customHeight="1" x14ac:dyDescent="0.3">
      <c r="A61" s="759"/>
      <c r="B61" s="796"/>
      <c r="C61" s="796"/>
      <c r="D61" s="796"/>
      <c r="E61" s="796"/>
      <c r="F61" s="796"/>
      <c r="G61" s="796"/>
      <c r="H61" s="796"/>
      <c r="I61" s="796"/>
      <c r="J61" s="796"/>
      <c r="K61" s="796"/>
      <c r="L61" s="796"/>
      <c r="M61" s="796"/>
      <c r="N61" s="796"/>
      <c r="O61" s="796"/>
      <c r="P61" s="796"/>
      <c r="Q61" s="797"/>
      <c r="R61" s="111"/>
      <c r="S61" s="1317" t="s">
        <v>216</v>
      </c>
    </row>
    <row r="62" spans="1:19" ht="28.95" customHeight="1" x14ac:dyDescent="0.3">
      <c r="A62" s="759"/>
      <c r="B62" s="1241" t="str" cm="1">
        <f t="array" ref="B62">CONCATENATE("Required if indirect cost multiplier in Staff Costs is less than ",Minimum_Cost_Recovery_Multiplier," OR there are in-kind contributions (University investment)")</f>
        <v>Required if indirect cost multiplier in Staff Costs is less than 2.2 OR there are in-kind contributions (University investment)</v>
      </c>
      <c r="C62" s="1241"/>
      <c r="D62" s="1241"/>
      <c r="E62" s="1241"/>
      <c r="F62" s="1184" t="str">
        <f>CONCATENATE("The cost multiplier specified in Staff Costs is : ",pCRSalaries)</f>
        <v>The cost multiplier specified in Staff Costs is : 2.5</v>
      </c>
      <c r="G62" s="742"/>
      <c r="H62" s="742"/>
      <c r="I62" s="1035" t="s">
        <v>217</v>
      </c>
      <c r="J62" s="813"/>
      <c r="K62" s="742"/>
      <c r="L62" s="742"/>
      <c r="M62" s="742"/>
      <c r="N62" s="742"/>
      <c r="O62" s="742"/>
      <c r="P62" s="742"/>
      <c r="Q62" s="798"/>
      <c r="R62" s="111"/>
      <c r="S62" s="1318"/>
    </row>
    <row r="63" spans="1:19" ht="15" customHeight="1" x14ac:dyDescent="0.3">
      <c r="A63" s="759"/>
      <c r="B63" s="742" t="s">
        <v>218</v>
      </c>
      <c r="C63" s="742"/>
      <c r="D63" s="742"/>
      <c r="E63" s="742"/>
      <c r="F63" s="742"/>
      <c r="G63" s="742"/>
      <c r="H63" s="742"/>
      <c r="I63" s="750"/>
      <c r="J63" s="750"/>
      <c r="K63" s="750"/>
      <c r="L63" s="750"/>
      <c r="M63" s="750"/>
      <c r="N63" s="750"/>
      <c r="O63" s="750"/>
      <c r="P63" s="750"/>
      <c r="Q63" s="798"/>
      <c r="R63" s="111"/>
      <c r="S63" s="1318"/>
    </row>
    <row r="64" spans="1:19" ht="30" customHeight="1" x14ac:dyDescent="0.3">
      <c r="A64" s="759"/>
      <c r="B64" s="1340"/>
      <c r="C64" s="1345"/>
      <c r="D64" s="1342"/>
      <c r="E64" s="1343"/>
      <c r="F64" s="1344"/>
      <c r="G64" s="1342"/>
      <c r="H64" s="1343"/>
      <c r="I64" s="1344"/>
      <c r="J64" s="799"/>
      <c r="K64" s="800"/>
      <c r="L64" s="801"/>
      <c r="M64" s="801"/>
      <c r="N64" s="801"/>
      <c r="O64" s="801"/>
      <c r="P64" s="25"/>
      <c r="Q64" s="814"/>
      <c r="R64" s="111"/>
      <c r="S64" s="1318"/>
    </row>
    <row r="65" spans="1:19" ht="15" customHeight="1" x14ac:dyDescent="0.3">
      <c r="A65" s="759"/>
      <c r="B65" s="802" t="s">
        <v>209</v>
      </c>
      <c r="C65" s="803"/>
      <c r="D65" s="804" t="s">
        <v>210</v>
      </c>
      <c r="E65" s="802"/>
      <c r="F65" s="805"/>
      <c r="G65" s="804" t="s">
        <v>211</v>
      </c>
      <c r="H65" s="802"/>
      <c r="I65" s="805"/>
      <c r="J65" s="806" t="s">
        <v>212</v>
      </c>
      <c r="K65" s="807"/>
      <c r="L65" s="751"/>
      <c r="M65" s="751"/>
      <c r="N65" s="751"/>
      <c r="O65" s="751"/>
      <c r="P65" s="25"/>
      <c r="Q65" s="747"/>
      <c r="R65" s="111"/>
      <c r="S65" s="1318"/>
    </row>
    <row r="66" spans="1:19" ht="5.0999999999999996" customHeight="1" x14ac:dyDescent="0.3">
      <c r="A66" s="759"/>
      <c r="B66" s="750"/>
      <c r="C66" s="750"/>
      <c r="D66" s="750"/>
      <c r="E66" s="750"/>
      <c r="F66" s="750"/>
      <c r="G66" s="750"/>
      <c r="H66" s="750"/>
      <c r="I66" s="742"/>
      <c r="J66" s="742"/>
      <c r="K66" s="742"/>
      <c r="L66" s="742"/>
      <c r="M66" s="742"/>
      <c r="N66" s="742"/>
      <c r="O66" s="742"/>
      <c r="P66" s="742"/>
      <c r="Q66" s="747"/>
      <c r="R66" s="111"/>
      <c r="S66" s="1318"/>
    </row>
    <row r="67" spans="1:19" ht="15" customHeight="1" x14ac:dyDescent="0.3">
      <c r="A67" s="759"/>
      <c r="B67" s="742" t="s">
        <v>219</v>
      </c>
      <c r="C67" s="742"/>
      <c r="D67" s="742"/>
      <c r="E67" s="742"/>
      <c r="F67" s="742"/>
      <c r="G67" s="742"/>
      <c r="H67" s="742"/>
      <c r="I67" s="750"/>
      <c r="J67" s="750"/>
      <c r="K67" s="750"/>
      <c r="L67" s="750"/>
      <c r="M67" s="750"/>
      <c r="N67" s="750"/>
      <c r="O67" s="750"/>
      <c r="P67" s="750"/>
      <c r="Q67" s="747"/>
      <c r="R67" s="111"/>
      <c r="S67" s="1318"/>
    </row>
    <row r="68" spans="1:19" ht="30" customHeight="1" x14ac:dyDescent="0.3">
      <c r="A68" s="759"/>
      <c r="B68" s="1340"/>
      <c r="C68" s="1345"/>
      <c r="D68" s="1342"/>
      <c r="E68" s="1343"/>
      <c r="F68" s="1344"/>
      <c r="G68" s="1342"/>
      <c r="H68" s="1343"/>
      <c r="I68" s="1344"/>
      <c r="J68" s="799"/>
      <c r="K68" s="800"/>
      <c r="L68" s="801"/>
      <c r="M68" s="801"/>
      <c r="N68" s="801"/>
      <c r="O68" s="801"/>
      <c r="P68" s="25"/>
      <c r="Q68" s="814"/>
      <c r="R68" s="111"/>
      <c r="S68" s="1318"/>
    </row>
    <row r="69" spans="1:19" ht="15" customHeight="1" x14ac:dyDescent="0.3">
      <c r="A69" s="759"/>
      <c r="B69" s="802" t="s">
        <v>209</v>
      </c>
      <c r="C69" s="803"/>
      <c r="D69" s="804" t="s">
        <v>210</v>
      </c>
      <c r="E69" s="802"/>
      <c r="F69" s="805"/>
      <c r="G69" s="804" t="s">
        <v>211</v>
      </c>
      <c r="H69" s="802"/>
      <c r="I69" s="805"/>
      <c r="J69" s="806" t="s">
        <v>212</v>
      </c>
      <c r="K69" s="807"/>
      <c r="L69" s="751"/>
      <c r="M69" s="751"/>
      <c r="N69" s="751"/>
      <c r="O69" s="751"/>
      <c r="P69" s="25"/>
      <c r="Q69" s="814"/>
      <c r="R69" s="111"/>
      <c r="S69" s="1318"/>
    </row>
    <row r="70" spans="1:19" ht="7.5" customHeight="1" x14ac:dyDescent="0.3">
      <c r="A70" s="759"/>
      <c r="B70" s="750"/>
      <c r="C70" s="750"/>
      <c r="D70" s="815"/>
      <c r="E70" s="750"/>
      <c r="F70" s="750"/>
      <c r="G70" s="750"/>
      <c r="H70" s="750"/>
      <c r="I70" s="742"/>
      <c r="J70" s="742"/>
      <c r="K70" s="742"/>
      <c r="L70" s="742"/>
      <c r="M70" s="742"/>
      <c r="N70" s="742"/>
      <c r="O70" s="742"/>
      <c r="P70" s="742"/>
      <c r="Q70" s="814"/>
      <c r="R70" s="111"/>
      <c r="S70" s="1318"/>
    </row>
    <row r="71" spans="1:19" ht="18.600000000000001" customHeight="1" x14ac:dyDescent="0.3">
      <c r="A71" s="759"/>
      <c r="B71" s="1036" t="s">
        <v>1164</v>
      </c>
      <c r="C71" s="1037"/>
      <c r="D71" s="1038"/>
      <c r="E71" s="1039"/>
      <c r="F71" s="1351">
        <v>1</v>
      </c>
      <c r="G71" s="1351"/>
      <c r="H71" s="1351"/>
      <c r="I71" s="1351"/>
      <c r="J71" s="1351"/>
      <c r="K71" s="742"/>
      <c r="L71" s="742"/>
      <c r="M71" s="742"/>
      <c r="N71" s="742"/>
      <c r="O71" s="742"/>
      <c r="Q71" s="814"/>
      <c r="R71" s="111"/>
      <c r="S71" s="1318"/>
    </row>
    <row r="72" spans="1:19" ht="82.5" customHeight="1" x14ac:dyDescent="0.3">
      <c r="A72" s="759"/>
      <c r="B72" s="1356" t="s">
        <v>221</v>
      </c>
      <c r="C72" s="1357"/>
      <c r="D72" s="1357"/>
      <c r="E72" s="1357"/>
      <c r="F72" s="1357"/>
      <c r="G72" s="1357"/>
      <c r="H72" s="1357"/>
      <c r="I72" s="1357"/>
      <c r="J72" s="1358"/>
      <c r="K72" s="816"/>
      <c r="L72" s="816"/>
      <c r="M72" s="816"/>
      <c r="N72" s="816"/>
      <c r="O72" s="816"/>
      <c r="Q72" s="814"/>
      <c r="R72" s="111"/>
      <c r="S72" s="1318"/>
    </row>
    <row r="73" spans="1:19" ht="7.5" customHeight="1" x14ac:dyDescent="0.3">
      <c r="A73" s="759"/>
      <c r="B73" s="818"/>
      <c r="C73" s="819"/>
      <c r="D73" s="819"/>
      <c r="E73" s="819"/>
      <c r="F73" s="819"/>
      <c r="G73" s="819"/>
      <c r="H73" s="819"/>
      <c r="I73" s="819"/>
      <c r="J73" s="819"/>
      <c r="K73" s="816"/>
      <c r="L73" s="816"/>
      <c r="M73" s="816"/>
      <c r="N73" s="816"/>
      <c r="O73" s="816"/>
      <c r="P73" s="816"/>
      <c r="Q73" s="814"/>
      <c r="R73" s="111"/>
      <c r="S73" s="1318"/>
    </row>
    <row r="74" spans="1:19" x14ac:dyDescent="0.3">
      <c r="A74" s="759"/>
      <c r="B74" s="750" t="s">
        <v>222</v>
      </c>
      <c r="C74" s="819"/>
      <c r="D74" s="819"/>
      <c r="E74" s="819"/>
      <c r="F74" s="819"/>
      <c r="G74" s="819"/>
      <c r="H74" s="819"/>
      <c r="I74" s="819"/>
      <c r="J74" s="819"/>
      <c r="K74" s="816"/>
      <c r="L74" s="816"/>
      <c r="M74" s="816"/>
      <c r="N74" s="816"/>
      <c r="O74" s="816"/>
      <c r="P74" s="816"/>
      <c r="Q74" s="814"/>
      <c r="R74" s="111"/>
      <c r="S74" s="1318"/>
    </row>
    <row r="75" spans="1:19" ht="82.5" customHeight="1" x14ac:dyDescent="0.3">
      <c r="A75" s="820"/>
      <c r="B75" s="1359" t="s">
        <v>223</v>
      </c>
      <c r="C75" s="1360"/>
      <c r="D75" s="1360"/>
      <c r="E75" s="1360"/>
      <c r="F75" s="1360"/>
      <c r="G75" s="1360"/>
      <c r="H75" s="1360"/>
      <c r="I75" s="1360"/>
      <c r="J75" s="1361"/>
      <c r="K75" s="816"/>
      <c r="L75" s="816"/>
      <c r="M75" s="816"/>
      <c r="N75" s="816"/>
      <c r="O75" s="816"/>
      <c r="P75" s="816"/>
      <c r="Q75" s="817"/>
      <c r="R75" s="111"/>
      <c r="S75" s="1318"/>
    </row>
    <row r="76" spans="1:19" ht="15" customHeight="1" thickBot="1" x14ac:dyDescent="0.35">
      <c r="A76" s="820"/>
      <c r="B76" s="821"/>
      <c r="C76" s="821"/>
      <c r="D76" s="821"/>
      <c r="E76" s="822"/>
      <c r="F76" s="822"/>
      <c r="G76" s="822"/>
      <c r="H76" s="822"/>
      <c r="I76" s="822"/>
      <c r="J76" s="822"/>
      <c r="K76" s="822"/>
      <c r="L76" s="822"/>
      <c r="M76" s="822"/>
      <c r="N76" s="822"/>
      <c r="O76" s="822"/>
      <c r="P76" s="822"/>
      <c r="Q76" s="823"/>
      <c r="R76" s="111"/>
      <c r="S76" s="1319"/>
    </row>
    <row r="77" spans="1:19" ht="25.5" customHeight="1" thickBot="1" x14ac:dyDescent="0.5">
      <c r="A77" s="1040" t="s">
        <v>224</v>
      </c>
      <c r="B77" s="1294" t="s">
        <v>225</v>
      </c>
      <c r="C77" s="1294"/>
      <c r="D77" s="1294"/>
      <c r="E77" s="1294"/>
      <c r="F77" s="1294"/>
      <c r="G77" s="1294"/>
      <c r="H77" s="1294"/>
      <c r="I77" s="1294"/>
      <c r="J77" s="1294"/>
      <c r="K77" s="1294"/>
      <c r="L77" s="1294"/>
      <c r="M77" s="1294"/>
      <c r="N77" s="1294"/>
      <c r="O77" s="1294"/>
      <c r="P77" s="1294"/>
      <c r="Q77" s="1295"/>
      <c r="R77" s="111"/>
      <c r="S77" s="1053" t="s">
        <v>226</v>
      </c>
    </row>
    <row r="78" spans="1:19" ht="15" customHeight="1" x14ac:dyDescent="0.3">
      <c r="A78" s="820"/>
      <c r="B78" s="1041" t="str">
        <f>IF(vl_overridden_uom_oncosts_per=0,"",CONCATENATE("Please Note: Default UoM on-costs have been overridden. ",vl_overridden_uom_oncosts_per*100,"% oncosts have been applied. Check On-costs calculator tab for details"))</f>
        <v/>
      </c>
      <c r="C78" s="25"/>
      <c r="D78" s="25"/>
      <c r="E78" s="824"/>
      <c r="F78" s="1042"/>
      <c r="G78" s="740"/>
      <c r="H78" s="740"/>
      <c r="I78" s="740"/>
      <c r="J78" s="740"/>
      <c r="K78" s="25"/>
      <c r="L78" s="25"/>
      <c r="M78" s="25"/>
      <c r="N78" s="25"/>
      <c r="O78" s="25"/>
      <c r="P78" s="25"/>
      <c r="Q78" s="752"/>
      <c r="R78" s="111"/>
      <c r="S78" s="1317" t="s">
        <v>227</v>
      </c>
    </row>
    <row r="79" spans="1:19" ht="15.6" customHeight="1" x14ac:dyDescent="0.3">
      <c r="A79" s="825" t="s">
        <v>228</v>
      </c>
      <c r="B79" s="743" t="s">
        <v>229</v>
      </c>
      <c r="C79" s="743"/>
      <c r="D79" s="743"/>
      <c r="E79" s="25"/>
      <c r="F79" s="765" t="str">
        <f>"Year 1" &amp; IF(pStartYear&lt;&gt;""," ("&amp;pStartYear&amp;") ","")</f>
        <v xml:space="preserve">Year 1 (2026) </v>
      </c>
      <c r="G79" s="765" t="str">
        <f>"Year 2" &amp; IF(pStartYear&lt;&gt;"",IF(pStartYear+1&gt;pEndYear,""," ("&amp;pStartYear+1&amp;") "),"")</f>
        <v xml:space="preserve">Year 2 (2027) </v>
      </c>
      <c r="H79" s="765" t="str">
        <f>"Year 3" &amp; IF(pStartYear&lt;&gt;"",IF(pStartYear+2&gt;pEndYear,""," ("&amp;pStartYear+2&amp;") "),"")</f>
        <v xml:space="preserve">Year 3 (2028) </v>
      </c>
      <c r="I79" s="765" t="str">
        <f>"Year 4" &amp; IF(pStartYear&lt;&gt;"",IF(pStartYear+3&gt;pEndYear,""," ("&amp;pStartYear+3&amp;") "),"")</f>
        <v xml:space="preserve">Year 4 (2029) </v>
      </c>
      <c r="J79" s="765" t="str">
        <f>"Year 5" &amp; IF(pStartYear&lt;&gt;"",IF(pStartYear+4&gt;pEndYear,""," ("&amp;pStartYear+4&amp;") "),"")</f>
        <v xml:space="preserve">Year 5 (2030) </v>
      </c>
      <c r="K79" s="765" t="str">
        <f>"Year 6" &amp; IF(pStartYear&lt;&gt;"",IF(pStartYear+5&gt;pEndYear,""," ("&amp;pStartYear+5&amp;") "),"")</f>
        <v>Year 6</v>
      </c>
      <c r="L79" s="765" t="str">
        <f>"Year 7" &amp; IF(pStartYear&lt;&gt;"",IF(pStartYear+6&gt;pEndYear,""," ("&amp;pStartYear+6&amp;") "),"")</f>
        <v>Year 7</v>
      </c>
      <c r="M79" s="765" t="str">
        <f>"Year 8" &amp; IF(pStartYear&lt;&gt;"",IF(pStartYear+7&gt;pEndYear,""," ("&amp;pStartYear+7&amp;") "),"")</f>
        <v>Year 8</v>
      </c>
      <c r="N79" s="765" t="str">
        <f>"Year 9" &amp; IF(pStartYear&lt;&gt;"",IF(pStartYear+8&gt;pEndYear,""," ("&amp;pStartYear+8&amp;") "),"")</f>
        <v>Year 9</v>
      </c>
      <c r="O79" s="765" t="str">
        <f>"Year 10" &amp; IF(pStartYear&lt;&gt;"",IF(pStartYear+9&gt;pEndYear,""," ("&amp;pStartYear+9&amp;") "),"")</f>
        <v>Year 10</v>
      </c>
      <c r="P79" s="765" t="str">
        <f>IF(tbBudgetCurrency="AUD - Australian Dollar", "Total (AUD)",CONCATENATE("Total (",LEFT(tbBudgetCurrency,3),")"))</f>
        <v>Total (AUD)</v>
      </c>
      <c r="Q79" s="754"/>
      <c r="R79" s="111"/>
      <c r="S79" s="1318"/>
    </row>
    <row r="80" spans="1:19" ht="15" customHeight="1" x14ac:dyDescent="0.3">
      <c r="A80" s="820"/>
      <c r="B80" s="826" t="s">
        <v>230</v>
      </c>
      <c r="C80" s="827"/>
      <c r="D80" s="827"/>
      <c r="E80" s="25"/>
      <c r="F80" s="766">
        <f>SUMIFS('PART B Staff Costs'!$J$21:$J$40,'PART B Staff Costs'!$D$21:$D$40,"Continuing",'PART B Staff Costs'!$E$21:$E$40,"Academic")/pCRSalaries</f>
        <v>0</v>
      </c>
      <c r="G80" s="766">
        <f>SUMIFS('PART B Staff Costs'!$L$21:$L$40,'PART B Staff Costs'!$D$21:$D$40,"Continuing",'PART B Staff Costs'!$E$21:$E$40,"Academic")/pCRSalaries</f>
        <v>0</v>
      </c>
      <c r="H80" s="766">
        <f>SUMIFS('PART B Staff Costs'!$N$21:$N$40,'PART B Staff Costs'!$D$21:$D$40,"Continuing",'PART B Staff Costs'!$E$21:$E$40,"Academic")/pCRSalaries</f>
        <v>0</v>
      </c>
      <c r="I80" s="766">
        <f>SUMIFS('PART B Staff Costs'!$P$21:$P$40,'PART B Staff Costs'!$D$21:$D$40,"Continuing",'PART B Staff Costs'!$E$21:$E$40,"Academic")/pCRSalaries</f>
        <v>0</v>
      </c>
      <c r="J80" s="766">
        <f>SUMIFS('PART B Staff Costs'!$R$21:$R$40,'PART B Staff Costs'!$D$21:$D$40,"Continuing",'PART B Staff Costs'!$E$21:$E$40,"Academic")/pCRSalaries</f>
        <v>0</v>
      </c>
      <c r="K80" s="766">
        <f>SUMIFS('PART B Staff Costs'!$T$21:$T$40,'PART B Staff Costs'!$D$21:$D$40,"Continuing",'PART B Staff Costs'!$E$21:$E$40,"Academic")/pCRSalaries</f>
        <v>0</v>
      </c>
      <c r="L80" s="766">
        <f>SUMIFS('PART B Staff Costs'!$V$21:$V$40,'PART B Staff Costs'!$D$21:$D$40,"Continuing",'PART B Staff Costs'!$E$21:$E$40,"Academic")/pCRSalaries</f>
        <v>0</v>
      </c>
      <c r="M80" s="766">
        <f>SUMIFS('PART B Staff Costs'!$X$21:$X$40,'PART B Staff Costs'!$D$21:$D$40,"Continuing",'PART B Staff Costs'!$E$21:$E$40,"Academic")/pCRSalaries</f>
        <v>0</v>
      </c>
      <c r="N80" s="766">
        <f>SUMIFS('PART B Staff Costs'!$Z$21:$Z$40,'PART B Staff Costs'!$D$21:$D$40,"Continuing",'PART B Staff Costs'!$E$21:$E$40,"Academic")/pCRSalaries</f>
        <v>0</v>
      </c>
      <c r="O80" s="766">
        <f>SUMIFS('PART B Staff Costs'!$AB$21:$AB$40,'PART B Staff Costs'!$D$21:$D$40,"Continuing",'PART B Staff Costs'!$E$21:$E$40,"Academic")/pCRSalaries</f>
        <v>0</v>
      </c>
      <c r="P80" s="767">
        <f>SUM($F80:$O80)</f>
        <v>0</v>
      </c>
      <c r="Q80" s="828"/>
      <c r="R80" s="111"/>
      <c r="S80" s="1318"/>
    </row>
    <row r="81" spans="1:24" ht="15" customHeight="1" x14ac:dyDescent="0.3">
      <c r="A81" s="820"/>
      <c r="B81" s="826" t="s">
        <v>231</v>
      </c>
      <c r="C81" s="827"/>
      <c r="D81" s="827"/>
      <c r="E81" s="25"/>
      <c r="F81" s="766">
        <f>SUMIFS('PART B Staff Costs'!$J$21:$J$40,'PART B Staff Costs'!$D$21:$D$40,"Fixed-Term",'PART B Staff Costs'!$E$21:$E$40,"Academic")/pCRSalaries</f>
        <v>0</v>
      </c>
      <c r="G81" s="766">
        <f>SUMIFS('PART B Staff Costs'!$L$21:$L$40,'PART B Staff Costs'!$D$21:$D$40,"Fixed-Term",'PART B Staff Costs'!$E$21:$E$40,"Academic")/pCRSalaries</f>
        <v>0</v>
      </c>
      <c r="H81" s="766">
        <f>SUMIFS('PART B Staff Costs'!$N$21:$N$40,'PART B Staff Costs'!$D$21:$D$40,"Fixed-Term",'PART B Staff Costs'!$E$21:$E$40,"Academic")/pCRSalaries</f>
        <v>0</v>
      </c>
      <c r="I81" s="766">
        <f>SUMIFS('PART B Staff Costs'!$P$21:$P$40,'PART B Staff Costs'!$D$21:$D$40,"Fixed-Term",'PART B Staff Costs'!$E$21:$E$40,"Academic")/pCRSalaries</f>
        <v>0</v>
      </c>
      <c r="J81" s="766">
        <f>SUMIFS('PART B Staff Costs'!$R$21:$R$40,'PART B Staff Costs'!$D$21:$D$40,"Fixed-Term",'PART B Staff Costs'!$E$21:$E$40,"Academic")/pCRSalaries</f>
        <v>0</v>
      </c>
      <c r="K81" s="766">
        <f>SUMIFS('PART B Staff Costs'!$T$21:$T$40,'PART B Staff Costs'!$D$21:$D$40,"Fixed-Term",'PART B Staff Costs'!$E$21:$E$40,"Academic")/pCRSalaries</f>
        <v>0</v>
      </c>
      <c r="L81" s="766">
        <f>SUMIFS('PART B Staff Costs'!$V$21:$V$40,'PART B Staff Costs'!$D$21:$D$40,"Fixed-Term",'PART B Staff Costs'!$E$21:$E$40,"Academic")/pCRSalaries</f>
        <v>0</v>
      </c>
      <c r="M81" s="766">
        <f>SUMIFS('PART B Staff Costs'!$X$21:$X$40,'PART B Staff Costs'!$D$21:$D$40,"Fixed-Term",'PART B Staff Costs'!$E$21:$E$40,"Academic")/pCRSalaries</f>
        <v>0</v>
      </c>
      <c r="N81" s="766">
        <f>SUMIFS('PART B Staff Costs'!$Z$21:$Z$40,'PART B Staff Costs'!$D$21:$D$40,"Fixed-Term",'PART B Staff Costs'!$E$21:$E$40,"Academic")/pCRSalaries</f>
        <v>0</v>
      </c>
      <c r="O81" s="766">
        <f>SUMIFS('PART B Staff Costs'!$AB$21:$AB$40,'PART B Staff Costs'!$D$21:$D$40,"Fixed-Term",'PART B Staff Costs'!$E$21:$E$40,"Academic")/pCRSalaries</f>
        <v>0</v>
      </c>
      <c r="P81" s="767">
        <f t="shared" ref="P81:P86" si="3">SUM($F81:$O81)</f>
        <v>0</v>
      </c>
      <c r="Q81" s="752"/>
      <c r="R81" s="111"/>
      <c r="S81" s="1318"/>
    </row>
    <row r="82" spans="1:24" ht="15" customHeight="1" x14ac:dyDescent="0.3">
      <c r="A82" s="759"/>
      <c r="B82" s="826" t="s">
        <v>232</v>
      </c>
      <c r="C82" s="827"/>
      <c r="D82" s="827"/>
      <c r="E82" s="25"/>
      <c r="F82" s="766">
        <f>SUMIFS('PART B Staff Costs'!$J$21:$J$40,'PART B Staff Costs'!$D$21:$D$40,"Continuing",'PART B Staff Costs'!$E$21:$E$40,"Professional")/pCRSalaries</f>
        <v>0</v>
      </c>
      <c r="G82" s="766">
        <f>SUMIFS('PART B Staff Costs'!$L$21:$L$40,'PART B Staff Costs'!$D$21:$D$40,"Continuing",'PART B Staff Costs'!$E$21:$E$40,"Professional")/pCRSalaries</f>
        <v>0</v>
      </c>
      <c r="H82" s="766">
        <f>SUMIFS('PART B Staff Costs'!$N$21:$N$40,'PART B Staff Costs'!$D$21:$D$40,"Continuing",'PART B Staff Costs'!$E$21:$E$40,"Professional")/pCRSalaries</f>
        <v>0</v>
      </c>
      <c r="I82" s="766">
        <f>SUMIFS('PART B Staff Costs'!$P$21:$P$40,'PART B Staff Costs'!$D$21:$D$40,"Continuing",'PART B Staff Costs'!$E$21:$E$40,"Professional")/pCRSalaries</f>
        <v>0</v>
      </c>
      <c r="J82" s="766">
        <f>SUMIFS('PART B Staff Costs'!$R$21:$R$40,'PART B Staff Costs'!$D$21:$D$40,"Continuing",'PART B Staff Costs'!$E$21:$E$40,"Professional")/pCRSalaries</f>
        <v>0</v>
      </c>
      <c r="K82" s="766">
        <f>SUMIFS('PART B Staff Costs'!$T$21:$T$40,'PART B Staff Costs'!$D$21:$D$40,"Continuing",'PART B Staff Costs'!$E$21:$E$40,"Professional")/pCRSalaries</f>
        <v>0</v>
      </c>
      <c r="L82" s="766">
        <f>SUMIFS('PART B Staff Costs'!$V$21:$V$40,'PART B Staff Costs'!$D$21:$D$40,"Continuing",'PART B Staff Costs'!$E$21:$E$40,"Professional")/pCRSalaries</f>
        <v>0</v>
      </c>
      <c r="M82" s="766">
        <f>SUMIFS('PART B Staff Costs'!$X$21:$X$40,'PART B Staff Costs'!$D$21:$D$40,"Continuing",'PART B Staff Costs'!$E$21:$E$40,"Professional")/pCRSalaries</f>
        <v>0</v>
      </c>
      <c r="N82" s="766">
        <f>SUMIFS('PART B Staff Costs'!$Z$21:$Z$40,'PART B Staff Costs'!$D$21:$D$40,"Continuing",'PART B Staff Costs'!$E$21:$E$40,"Professional")/pCRSalaries</f>
        <v>0</v>
      </c>
      <c r="O82" s="766">
        <f>SUMIFS('PART B Staff Costs'!$AB$21:$AB$40,'PART B Staff Costs'!$D$21:$D$40,"Continuing",'PART B Staff Costs'!$E$21:$E$40,"Professional")/pCRSalaries</f>
        <v>0</v>
      </c>
      <c r="P82" s="767">
        <f t="shared" si="3"/>
        <v>0</v>
      </c>
      <c r="Q82" s="752"/>
      <c r="R82" s="111"/>
      <c r="S82" s="1318"/>
    </row>
    <row r="83" spans="1:24" ht="15" customHeight="1" x14ac:dyDescent="0.3">
      <c r="A83" s="759"/>
      <c r="B83" s="826" t="s">
        <v>233</v>
      </c>
      <c r="C83" s="827"/>
      <c r="D83" s="827"/>
      <c r="E83" s="25"/>
      <c r="F83" s="766">
        <f>SUMIFS('PART B Staff Costs'!$J$21:$J$40,'PART B Staff Costs'!$D$21:$D$40,"Fixed-Term",'PART B Staff Costs'!$E$21:$E$40,"Professional")/pCRSalaries</f>
        <v>0</v>
      </c>
      <c r="G83" s="766">
        <f>SUMIFS('PART B Staff Costs'!$L$21:$L$40,'PART B Staff Costs'!$D$21:$D$40,"Fixed-Term",'PART B Staff Costs'!$E$21:$E$40,"Professional")/pCRSalaries</f>
        <v>0</v>
      </c>
      <c r="H83" s="766">
        <f>SUMIFS('PART B Staff Costs'!$N$21:$N$40,'PART B Staff Costs'!$D$21:$D$40,"Fixed-Term",'PART B Staff Costs'!$E$21:$E$40,"Professional")/pCRSalaries</f>
        <v>0</v>
      </c>
      <c r="I83" s="766">
        <f>SUMIFS('PART B Staff Costs'!$P$21:$P$40,'PART B Staff Costs'!$D$21:$D$40,"Fixed-Term",'PART B Staff Costs'!$E$21:$E$40,"Professional")/pCRSalaries</f>
        <v>0</v>
      </c>
      <c r="J83" s="766">
        <f>SUMIFS('PART B Staff Costs'!$R$21:$R$40,'PART B Staff Costs'!$D$21:$D$40,"Fixed-Term",'PART B Staff Costs'!$E$21:$E$40,"Professional")/pCRSalaries</f>
        <v>0</v>
      </c>
      <c r="K83" s="766">
        <f>SUMIFS('PART B Staff Costs'!$T$21:$T$40,'PART B Staff Costs'!$D$21:$D$40,"Fixed-Term",'PART B Staff Costs'!$E$21:$E$40,"Professional")/pCRSalaries</f>
        <v>0</v>
      </c>
      <c r="L83" s="766">
        <f>SUMIFS('PART B Staff Costs'!$V$21:$V$40,'PART B Staff Costs'!$D$21:$D$40,"Fixed-Term",'PART B Staff Costs'!$E$21:$E$40,"Professional")/pCRSalaries</f>
        <v>0</v>
      </c>
      <c r="M83" s="766">
        <f>SUMIFS('PART B Staff Costs'!$X$21:$X$40,'PART B Staff Costs'!$D$21:$D$40,"Fixed-Term",'PART B Staff Costs'!$E$21:$E$40,"Professional")/pCRSalaries</f>
        <v>0</v>
      </c>
      <c r="N83" s="766">
        <f>SUMIFS('PART B Staff Costs'!$Z$21:$Z$40,'PART B Staff Costs'!$D$21:$D$40,"Fixed-Term",'PART B Staff Costs'!$E$21:$E$40,"Professional")/pCRSalaries</f>
        <v>0</v>
      </c>
      <c r="O83" s="766">
        <f>SUMIFS('PART B Staff Costs'!$AB$21:$AB$40,'PART B Staff Costs'!$D$21:$D$40,"Fixed-Term",'PART B Staff Costs'!$E$21:$E$40,"Professional")/pCRSalaries</f>
        <v>0</v>
      </c>
      <c r="P83" s="767">
        <f t="shared" si="3"/>
        <v>0</v>
      </c>
      <c r="Q83" s="752"/>
      <c r="R83" s="111"/>
      <c r="S83" s="1318"/>
    </row>
    <row r="84" spans="1:24" ht="15" customHeight="1" x14ac:dyDescent="0.3">
      <c r="A84" s="759"/>
      <c r="B84" s="826" t="s">
        <v>234</v>
      </c>
      <c r="C84" s="827"/>
      <c r="D84" s="827"/>
      <c r="E84" s="25"/>
      <c r="F84" s="766">
        <f>SUMIFS('PART B Staff Costs'!$J$21:$J$40,'PART B Staff Costs'!$D$21:$D$40,"Casual",'PART B Staff Costs'!$E$21:$E$40,"Academic")/pCRSalaries</f>
        <v>0</v>
      </c>
      <c r="G84" s="766">
        <f>SUMIFS('PART B Staff Costs'!$L$21:$L$40,'PART B Staff Costs'!$D$21:$D$40,"Casual",'PART B Staff Costs'!$E$21:$E$40,"Academic")/pCRSalaries</f>
        <v>0</v>
      </c>
      <c r="H84" s="766">
        <f>SUMIFS('PART B Staff Costs'!$N$21:$N$40,'PART B Staff Costs'!$D$21:$D$40,"Casual",'PART B Staff Costs'!$E$21:$E$40,"Academic")/pCRSalaries</f>
        <v>0</v>
      </c>
      <c r="I84" s="766">
        <f>SUMIFS('PART B Staff Costs'!$P$21:$P$40,'PART B Staff Costs'!$D$21:$D$40,"Casual",'PART B Staff Costs'!$E$21:$E$40,"Academic")/pCRSalaries</f>
        <v>0</v>
      </c>
      <c r="J84" s="766">
        <f>SUMIFS('PART B Staff Costs'!$R$21:$R$40,'PART B Staff Costs'!$D$21:$D$40,"Casual",'PART B Staff Costs'!$E$21:$E$40,"Academic")/pCRSalaries</f>
        <v>0</v>
      </c>
      <c r="K84" s="766">
        <f>SUMIFS('PART B Staff Costs'!$T$21:$T$40,'PART B Staff Costs'!$D$21:$D$40,"Casual",'PART B Staff Costs'!$E$21:$E$40,"Academic")/pCRSalaries</f>
        <v>0</v>
      </c>
      <c r="L84" s="766">
        <f>SUMIFS('PART B Staff Costs'!$V$21:$V$40,'PART B Staff Costs'!$D$21:$D$40,"Casual",'PART B Staff Costs'!$E$21:$E$40,"Academic")/pCRSalaries</f>
        <v>0</v>
      </c>
      <c r="M84" s="766">
        <f>SUMIFS('PART B Staff Costs'!$X$21:$X$40,'PART B Staff Costs'!$D$21:$D$40,"Casual",'PART B Staff Costs'!$E$21:$E$40,"Academic")/pCRSalaries</f>
        <v>0</v>
      </c>
      <c r="N84" s="766">
        <f>SUMIFS('PART B Staff Costs'!$Z$21:$Z$40,'PART B Staff Costs'!$D$21:$D$40,"Casual",'PART B Staff Costs'!$E$21:$E$40,"Academic")/pCRSalaries</f>
        <v>0</v>
      </c>
      <c r="O84" s="766">
        <f>SUMIFS('PART B Staff Costs'!$AB$21:$AB$40,'PART B Staff Costs'!$D$21:$D$40,"Casual",'PART B Staff Costs'!$E$21:$E$40,"Academic")/pCRSalaries</f>
        <v>0</v>
      </c>
      <c r="P84" s="767">
        <f t="shared" si="3"/>
        <v>0</v>
      </c>
      <c r="Q84" s="752"/>
      <c r="R84" s="111"/>
      <c r="S84" s="1318"/>
    </row>
    <row r="85" spans="1:24" ht="15" customHeight="1" x14ac:dyDescent="0.3">
      <c r="A85" s="759"/>
      <c r="B85" s="826" t="s">
        <v>235</v>
      </c>
      <c r="C85" s="827"/>
      <c r="D85" s="827"/>
      <c r="E85" s="25"/>
      <c r="F85" s="766">
        <f>SUMIFS('PART B Staff Costs'!$J$21:$J$40,'PART B Staff Costs'!$D$21:$D$40,"Casual",'PART B Staff Costs'!$E$21:$E$40,"Professional")/pCRSalaries</f>
        <v>0</v>
      </c>
      <c r="G85" s="766">
        <f>SUMIFS('PART B Staff Costs'!$L$21:$L$40,'PART B Staff Costs'!$D$21:$D$40,"Casual",'PART B Staff Costs'!$E$21:$E$40,"Professional")/pCRSalaries</f>
        <v>0</v>
      </c>
      <c r="H85" s="766">
        <f>SUMIFS('PART B Staff Costs'!$N$21:$N$40,'PART B Staff Costs'!$D$21:$D$40,"Casual",'PART B Staff Costs'!$E$21:$E$40,"Professional")/pCRSalaries</f>
        <v>0</v>
      </c>
      <c r="I85" s="766">
        <f>SUMIFS('PART B Staff Costs'!$P$21:$P$40,'PART B Staff Costs'!$D$21:$D$40,"Casual",'PART B Staff Costs'!$E$21:$E$40,"Professional")/pCRSalaries</f>
        <v>0</v>
      </c>
      <c r="J85" s="766">
        <f>SUMIFS('PART B Staff Costs'!$R$21:$R$40,'PART B Staff Costs'!$D$21:$D$40,"Casual",'PART B Staff Costs'!$E$21:$E$40,"Professional")/pCRSalaries</f>
        <v>0</v>
      </c>
      <c r="K85" s="766">
        <f>SUMIFS('PART B Staff Costs'!$T$21:$T$40,'PART B Staff Costs'!$D$21:$D$40,"Casual",'PART B Staff Costs'!$E$21:$E$40,"Professional")/pCRSalaries</f>
        <v>0</v>
      </c>
      <c r="L85" s="766">
        <f>SUMIFS('PART B Staff Costs'!$V$21:$V$40,'PART B Staff Costs'!$D$21:$D$40,"Casual",'PART B Staff Costs'!$E$21:$E$40,"Professional")/pCRSalaries</f>
        <v>0</v>
      </c>
      <c r="M85" s="766">
        <f>SUMIFS('PART B Staff Costs'!$X$21:$X$40,'PART B Staff Costs'!$D$21:$D$40,"Casual",'PART B Staff Costs'!$E$21:$E$40,"Professional")/pCRSalaries</f>
        <v>0</v>
      </c>
      <c r="N85" s="766">
        <f>SUMIFS('PART B Staff Costs'!$Z$21:$Z$40,'PART B Staff Costs'!$D$21:$D$40,"Casual",'PART B Staff Costs'!$E$21:$E$40,"Professional")/pCRSalaries</f>
        <v>0</v>
      </c>
      <c r="O85" s="766">
        <f>SUMIFS('PART B Staff Costs'!$AB$21:$AB$40,'PART B Staff Costs'!$D$21:$D$40,"Casual",'PART B Staff Costs'!$E$21:$E$40,"Professional")/pCRSalaries</f>
        <v>0</v>
      </c>
      <c r="P85" s="767">
        <f t="shared" si="3"/>
        <v>0</v>
      </c>
      <c r="Q85" s="752"/>
      <c r="R85" s="111"/>
      <c r="S85" s="1318"/>
    </row>
    <row r="86" spans="1:24" ht="17.100000000000001" customHeight="1" thickBot="1" x14ac:dyDescent="0.35">
      <c r="A86" s="759"/>
      <c r="B86" s="21" t="s">
        <v>236</v>
      </c>
      <c r="C86" s="743"/>
      <c r="D86" s="743"/>
      <c r="E86" s="25"/>
      <c r="F86" s="769">
        <f>SUM(F$80:F$85)</f>
        <v>0</v>
      </c>
      <c r="G86" s="769">
        <f t="shared" ref="G86:O86" si="4">SUM(G$80:G$85)</f>
        <v>0</v>
      </c>
      <c r="H86" s="769">
        <f t="shared" si="4"/>
        <v>0</v>
      </c>
      <c r="I86" s="769">
        <f t="shared" si="4"/>
        <v>0</v>
      </c>
      <c r="J86" s="769">
        <f t="shared" si="4"/>
        <v>0</v>
      </c>
      <c r="K86" s="769">
        <f t="shared" si="4"/>
        <v>0</v>
      </c>
      <c r="L86" s="769">
        <f t="shared" si="4"/>
        <v>0</v>
      </c>
      <c r="M86" s="769">
        <f t="shared" si="4"/>
        <v>0</v>
      </c>
      <c r="N86" s="769">
        <f t="shared" si="4"/>
        <v>0</v>
      </c>
      <c r="O86" s="769">
        <f t="shared" si="4"/>
        <v>0</v>
      </c>
      <c r="P86" s="769">
        <f t="shared" si="3"/>
        <v>0</v>
      </c>
      <c r="Q86" s="752"/>
      <c r="R86" s="111"/>
      <c r="S86" s="1318"/>
    </row>
    <row r="87" spans="1:24" ht="5.0999999999999996" customHeight="1" thickTop="1" x14ac:dyDescent="0.3">
      <c r="A87" s="759"/>
      <c r="B87" s="25"/>
      <c r="C87" s="25"/>
      <c r="D87" s="25"/>
      <c r="E87" s="25"/>
      <c r="F87" s="829"/>
      <c r="G87" s="34"/>
      <c r="H87" s="34"/>
      <c r="I87" s="34"/>
      <c r="J87" s="34"/>
      <c r="K87" s="34"/>
      <c r="L87" s="34"/>
      <c r="M87" s="34"/>
      <c r="N87" s="34"/>
      <c r="O87" s="34"/>
      <c r="P87" s="25"/>
      <c r="Q87" s="752"/>
      <c r="R87" s="111"/>
      <c r="S87" s="1318"/>
    </row>
    <row r="88" spans="1:24" ht="17.100000000000001" customHeight="1" x14ac:dyDescent="0.3">
      <c r="A88" s="830" t="s">
        <v>237</v>
      </c>
      <c r="B88" s="743" t="s">
        <v>238</v>
      </c>
      <c r="C88" s="25"/>
      <c r="D88" s="25"/>
      <c r="E88" s="25"/>
      <c r="F88" s="765" t="str">
        <f>"Year 1" &amp; IF(pStartYear&lt;&gt;""," ("&amp;pStartYear&amp;") ","")</f>
        <v xml:space="preserve">Year 1 (2026) </v>
      </c>
      <c r="G88" s="765" t="str">
        <f>"Year 2" &amp; IF(pStartYear&lt;&gt;"",IF(pStartYear+1&gt;pEndYear,""," ("&amp;pStartYear+1&amp;") "),"")</f>
        <v xml:space="preserve">Year 2 (2027) </v>
      </c>
      <c r="H88" s="765" t="str">
        <f>"Year 3" &amp; IF(pStartYear&lt;&gt;"",IF(pStartYear+2&gt;pEndYear,""," ("&amp;pStartYear+2&amp;") "),"")</f>
        <v xml:space="preserve">Year 3 (2028) </v>
      </c>
      <c r="I88" s="765" t="str">
        <f>"Year 4" &amp; IF(pStartYear&lt;&gt;"",IF(pStartYear+3&gt;pEndYear,""," ("&amp;pStartYear+3&amp;") "),"")</f>
        <v xml:space="preserve">Year 4 (2029) </v>
      </c>
      <c r="J88" s="765" t="str">
        <f>"Year 5" &amp; IF(pStartYear&lt;&gt;"",IF(pStartYear+4&gt;pEndYear,""," ("&amp;pStartYear+4&amp;") "),"")</f>
        <v xml:space="preserve">Year 5 (2030) </v>
      </c>
      <c r="K88" s="765" t="str">
        <f>"Year 6" &amp; IF(pStartYear&lt;&gt;"",IF(pStartYear+5&gt;pEndYear,""," ("&amp;pStartYear+5&amp;") "),"")</f>
        <v>Year 6</v>
      </c>
      <c r="L88" s="765" t="str">
        <f>"Year 7" &amp; IF(pStartYear&lt;&gt;"",IF(pStartYear+6&gt;pEndYear,""," ("&amp;pStartYear+6&amp;") "),"")</f>
        <v>Year 7</v>
      </c>
      <c r="M88" s="765" t="str">
        <f>"Year 8" &amp; IF(pStartYear&lt;&gt;"",IF(pStartYear+7&gt;pEndYear,""," ("&amp;pStartYear+7&amp;") "),"")</f>
        <v>Year 8</v>
      </c>
      <c r="N88" s="765" t="str">
        <f>"Year 9" &amp; IF(pStartYear&lt;&gt;"",IF(pStartYear+8&gt;pEndYear,""," ("&amp;pStartYear+8&amp;") "),"")</f>
        <v>Year 9</v>
      </c>
      <c r="O88" s="765" t="str">
        <f>"Year 10" &amp; IF(pStartYear&lt;&gt;"",IF(pStartYear+9&gt;pEndYear,""," ("&amp;pStartYear+9&amp;") "),"")</f>
        <v>Year 10</v>
      </c>
      <c r="P88" s="765" t="str">
        <f>IF(tbBudgetCurrency="AUD - Australian Dollar", "Total (AUD)",CONCATENATE("Total (",LEFT(tbBudgetCurrency,3),")"))</f>
        <v>Total (AUD)</v>
      </c>
      <c r="Q88" s="752"/>
      <c r="R88" s="111"/>
      <c r="S88" s="1318"/>
    </row>
    <row r="89" spans="1:24" ht="17.100000000000001" customHeight="1" thickBot="1" x14ac:dyDescent="0.35">
      <c r="A89" s="759"/>
      <c r="B89" s="21" t="s">
        <v>239</v>
      </c>
      <c r="C89" s="25"/>
      <c r="D89" s="25"/>
      <c r="E89" s="25"/>
      <c r="F89" s="769">
        <f t="shared" ref="F89:O89" si="5">(F$86*pCRSalaries)-F$86</f>
        <v>0</v>
      </c>
      <c r="G89" s="769">
        <f t="shared" si="5"/>
        <v>0</v>
      </c>
      <c r="H89" s="769">
        <f t="shared" si="5"/>
        <v>0</v>
      </c>
      <c r="I89" s="769">
        <f t="shared" si="5"/>
        <v>0</v>
      </c>
      <c r="J89" s="769">
        <f t="shared" si="5"/>
        <v>0</v>
      </c>
      <c r="K89" s="769">
        <f t="shared" si="5"/>
        <v>0</v>
      </c>
      <c r="L89" s="769">
        <f t="shared" si="5"/>
        <v>0</v>
      </c>
      <c r="M89" s="769">
        <f t="shared" si="5"/>
        <v>0</v>
      </c>
      <c r="N89" s="769">
        <f t="shared" si="5"/>
        <v>0</v>
      </c>
      <c r="O89" s="769">
        <f t="shared" si="5"/>
        <v>0</v>
      </c>
      <c r="P89" s="769">
        <f>SUM($F89:$O89)</f>
        <v>0</v>
      </c>
      <c r="Q89" s="752"/>
      <c r="R89" s="111"/>
      <c r="S89" s="1318"/>
    </row>
    <row r="90" spans="1:24" ht="7.95" customHeight="1" thickTop="1" x14ac:dyDescent="0.3">
      <c r="A90" s="759"/>
      <c r="B90" s="25"/>
      <c r="C90" s="25"/>
      <c r="D90" s="25"/>
      <c r="E90" s="25"/>
      <c r="F90" s="34"/>
      <c r="G90" s="34"/>
      <c r="H90" s="27"/>
      <c r="I90" s="27"/>
      <c r="J90" s="27"/>
      <c r="K90" s="27"/>
      <c r="L90" s="27"/>
      <c r="M90" s="27"/>
      <c r="N90" s="27"/>
      <c r="O90" s="27"/>
      <c r="P90" s="25"/>
      <c r="Q90" s="752"/>
      <c r="R90" s="111"/>
      <c r="S90" s="1318"/>
    </row>
    <row r="91" spans="1:24" ht="15" customHeight="1" x14ac:dyDescent="0.3">
      <c r="A91" s="759"/>
      <c r="B91" s="115" t="s">
        <v>240</v>
      </c>
      <c r="C91" s="25"/>
      <c r="D91" s="25"/>
      <c r="E91" s="25"/>
      <c r="F91" s="831">
        <f>pCRSalaries</f>
        <v>2.5</v>
      </c>
      <c r="G91" s="1303"/>
      <c r="H91" s="1303"/>
      <c r="I91" s="1303"/>
      <c r="J91" s="1303"/>
      <c r="K91" s="1303"/>
      <c r="L91" s="1303"/>
      <c r="M91" s="1303"/>
      <c r="N91" s="1303"/>
      <c r="O91" s="1303"/>
      <c r="P91" s="1303"/>
      <c r="Q91" s="752"/>
      <c r="R91" s="111"/>
      <c r="S91" s="1318"/>
      <c r="V91" s="1043"/>
      <c r="X91" s="1044"/>
    </row>
    <row r="92" spans="1:24" ht="12" customHeight="1" x14ac:dyDescent="0.3">
      <c r="A92" s="759"/>
      <c r="B92" s="22"/>
      <c r="C92" s="25"/>
      <c r="D92" s="25"/>
      <c r="E92" s="25"/>
      <c r="F92" s="832"/>
      <c r="G92" s="1303"/>
      <c r="H92" s="1303"/>
      <c r="I92" s="1303"/>
      <c r="J92" s="1303"/>
      <c r="K92" s="1303"/>
      <c r="L92" s="1303"/>
      <c r="M92" s="1303"/>
      <c r="N92" s="1303"/>
      <c r="O92" s="1303"/>
      <c r="P92" s="1303"/>
      <c r="Q92" s="752"/>
      <c r="R92" s="111"/>
      <c r="S92" s="1318"/>
      <c r="V92" s="1043"/>
    </row>
    <row r="93" spans="1:24" ht="14.85" customHeight="1" x14ac:dyDescent="0.3">
      <c r="A93" s="830" t="s">
        <v>241</v>
      </c>
      <c r="B93" s="743" t="s">
        <v>242</v>
      </c>
      <c r="C93" s="743"/>
      <c r="D93" s="743"/>
      <c r="E93" s="25"/>
      <c r="F93" s="765" t="str">
        <f>"Year 1" &amp; IF(pStartYear&lt;&gt;""," ("&amp;pStartYear&amp;") ","")</f>
        <v xml:space="preserve">Year 1 (2026) </v>
      </c>
      <c r="G93" s="765" t="str">
        <f>"Year 2" &amp; IF(pStartYear&lt;&gt;"",IF(pStartYear+1&gt;pEndYear,""," ("&amp;pStartYear+1&amp;") "),"")</f>
        <v xml:space="preserve">Year 2 (2027) </v>
      </c>
      <c r="H93" s="765" t="str">
        <f>"Year 3" &amp; IF(pStartYear&lt;&gt;"",IF(pStartYear+2&gt;pEndYear,""," ("&amp;pStartYear+2&amp;") "),"")</f>
        <v xml:space="preserve">Year 3 (2028) </v>
      </c>
      <c r="I93" s="765" t="str">
        <f>"Year 4" &amp; IF(pStartYear&lt;&gt;"",IF(pStartYear+3&gt;pEndYear,""," ("&amp;pStartYear+3&amp;") "),"")</f>
        <v xml:space="preserve">Year 4 (2029) </v>
      </c>
      <c r="J93" s="765" t="str">
        <f>"Year 5" &amp; IF(pStartYear&lt;&gt;"",IF(pStartYear+4&gt;pEndYear,""," ("&amp;pStartYear+4&amp;") "),"")</f>
        <v xml:space="preserve">Year 5 (2030) </v>
      </c>
      <c r="K93" s="765" t="str">
        <f>"Year 6" &amp; IF(pStartYear&lt;&gt;"",IF(pStartYear+5&gt;pEndYear,""," ("&amp;pStartYear+5&amp;") "),"")</f>
        <v>Year 6</v>
      </c>
      <c r="L93" s="765" t="str">
        <f>"Year 7" &amp; IF(pStartYear&lt;&gt;"",IF(pStartYear+6&gt;pEndYear,""," ("&amp;pStartYear+6&amp;") "),"")</f>
        <v>Year 7</v>
      </c>
      <c r="M93" s="765" t="str">
        <f>"Year 8" &amp; IF(pStartYear&lt;&gt;"",IF(pStartYear+7&gt;pEndYear,""," ("&amp;pStartYear+7&amp;") "),"")</f>
        <v>Year 8</v>
      </c>
      <c r="N93" s="765" t="str">
        <f>"Year 9" &amp; IF(pStartYear&lt;&gt;"",IF(pStartYear+8&gt;pEndYear,""," ("&amp;pStartYear+8&amp;") "),"")</f>
        <v>Year 9</v>
      </c>
      <c r="O93" s="765" t="str">
        <f>"Year 10" &amp; IF(pStartYear&lt;&gt;"",IF(pStartYear+9&gt;pEndYear,""," ("&amp;pStartYear+9&amp;") "),"")</f>
        <v>Year 10</v>
      </c>
      <c r="P93" s="765" t="str">
        <f>IF(tbBudgetCurrency="AUD - Australian Dollar", "Total (AUD)",CONCATENATE("Total (",LEFT(tbBudgetCurrency,3),")"))</f>
        <v>Total (AUD)</v>
      </c>
      <c r="Q93" s="752"/>
      <c r="R93" s="111"/>
      <c r="S93" s="1318"/>
    </row>
    <row r="94" spans="1:24" ht="17.100000000000001" customHeight="1" thickBot="1" x14ac:dyDescent="0.35">
      <c r="A94" s="759"/>
      <c r="B94" s="25"/>
      <c r="C94" s="25"/>
      <c r="D94" s="25"/>
      <c r="E94" s="25"/>
      <c r="F94" s="769">
        <f t="shared" ref="F94:O94" si="6">SUM(F$86,F$89)</f>
        <v>0</v>
      </c>
      <c r="G94" s="769">
        <f t="shared" si="6"/>
        <v>0</v>
      </c>
      <c r="H94" s="769">
        <f t="shared" si="6"/>
        <v>0</v>
      </c>
      <c r="I94" s="769">
        <f t="shared" si="6"/>
        <v>0</v>
      </c>
      <c r="J94" s="769">
        <f t="shared" si="6"/>
        <v>0</v>
      </c>
      <c r="K94" s="769">
        <f t="shared" si="6"/>
        <v>0</v>
      </c>
      <c r="L94" s="769">
        <f t="shared" si="6"/>
        <v>0</v>
      </c>
      <c r="M94" s="769">
        <f t="shared" si="6"/>
        <v>0</v>
      </c>
      <c r="N94" s="769">
        <f t="shared" si="6"/>
        <v>0</v>
      </c>
      <c r="O94" s="769">
        <f t="shared" si="6"/>
        <v>0</v>
      </c>
      <c r="P94" s="769">
        <f>SUM($F94:$O94)</f>
        <v>0</v>
      </c>
      <c r="Q94" s="752"/>
      <c r="R94" s="111"/>
      <c r="S94" s="1318"/>
    </row>
    <row r="95" spans="1:24" ht="26.1" customHeight="1" thickTop="1" x14ac:dyDescent="0.3">
      <c r="A95" s="833"/>
      <c r="B95" s="1298" t="s">
        <v>243</v>
      </c>
      <c r="C95" s="1298"/>
      <c r="D95" s="1298"/>
      <c r="E95" s="1298"/>
      <c r="F95" s="1313" t="str">
        <f>IF(Chk_CI_Costs = 0,"Please select an option in step 2. Staff Costs", IF(Chk_CI_Costs = 1,"Yes","No"))</f>
        <v>Yes</v>
      </c>
      <c r="G95" s="1313"/>
      <c r="H95" s="1045" t="s">
        <v>244</v>
      </c>
      <c r="I95" s="1045"/>
      <c r="J95" s="1045"/>
      <c r="K95" s="1045"/>
      <c r="L95" s="1045"/>
      <c r="M95" s="1045"/>
      <c r="N95" s="1045"/>
      <c r="O95" s="1045"/>
      <c r="P95" s="1045"/>
      <c r="Q95" s="752"/>
      <c r="R95" s="111"/>
      <c r="S95" s="1318"/>
    </row>
    <row r="96" spans="1:24" ht="36.6" hidden="1" customHeight="1" x14ac:dyDescent="0.3">
      <c r="A96" s="1354"/>
      <c r="B96" s="1355"/>
      <c r="C96" s="1355"/>
      <c r="D96" s="1355"/>
      <c r="E96" s="1046"/>
      <c r="F96" s="1314" t="s">
        <v>245</v>
      </c>
      <c r="G96" s="1314"/>
      <c r="H96" s="1314"/>
      <c r="I96" s="1314"/>
      <c r="J96" s="1314"/>
      <c r="K96" s="1314"/>
      <c r="L96" s="1314"/>
      <c r="M96" s="1314"/>
      <c r="N96" s="1314"/>
      <c r="O96" s="1314"/>
      <c r="P96" s="1314"/>
      <c r="Q96" s="752"/>
      <c r="R96" s="111"/>
      <c r="S96" s="1318"/>
    </row>
    <row r="97" spans="1:19" ht="15" thickBot="1" x14ac:dyDescent="0.35">
      <c r="A97" s="834"/>
      <c r="B97" s="835"/>
      <c r="C97" s="835"/>
      <c r="D97" s="835"/>
      <c r="E97" s="835"/>
      <c r="F97" s="836"/>
      <c r="G97" s="836"/>
      <c r="H97" s="836"/>
      <c r="I97" s="836"/>
      <c r="J97" s="836"/>
      <c r="K97" s="836"/>
      <c r="L97" s="836"/>
      <c r="M97" s="836"/>
      <c r="N97" s="836"/>
      <c r="O97" s="836"/>
      <c r="P97" s="836"/>
      <c r="Q97" s="837"/>
      <c r="R97" s="111"/>
      <c r="S97" s="1319"/>
    </row>
    <row r="98" spans="1:19" ht="25.5" customHeight="1" thickBot="1" x14ac:dyDescent="0.5">
      <c r="A98" s="664" t="s">
        <v>246</v>
      </c>
      <c r="B98" s="1294" t="s">
        <v>247</v>
      </c>
      <c r="C98" s="1294"/>
      <c r="D98" s="1294"/>
      <c r="E98" s="1294"/>
      <c r="F98" s="1294"/>
      <c r="G98" s="1294"/>
      <c r="H98" s="1294"/>
      <c r="I98" s="1294"/>
      <c r="J98" s="1294"/>
      <c r="K98" s="1294"/>
      <c r="L98" s="1294"/>
      <c r="M98" s="1294"/>
      <c r="N98" s="1294"/>
      <c r="O98" s="1294"/>
      <c r="P98" s="1294"/>
      <c r="Q98" s="1295"/>
      <c r="R98" s="111"/>
      <c r="S98" s="1053" t="s">
        <v>248</v>
      </c>
    </row>
    <row r="99" spans="1:19" ht="15" customHeight="1" x14ac:dyDescent="0.3">
      <c r="B99" s="824"/>
      <c r="C99" s="740"/>
      <c r="D99" s="740"/>
      <c r="E99" s="740"/>
      <c r="F99" s="740"/>
      <c r="G99" s="740"/>
      <c r="H99" s="740"/>
      <c r="I99" s="740"/>
      <c r="J99" s="740"/>
      <c r="K99" s="740"/>
      <c r="L99" s="740"/>
      <c r="M99" s="740"/>
      <c r="N99" s="740"/>
      <c r="O99" s="740"/>
      <c r="P99" s="740"/>
      <c r="Q99" s="741"/>
      <c r="R99" s="111"/>
      <c r="S99" s="1317"/>
    </row>
    <row r="100" spans="1:19" ht="15" customHeight="1" x14ac:dyDescent="0.3">
      <c r="A100" s="839" t="s">
        <v>249</v>
      </c>
      <c r="B100" s="743" t="s">
        <v>180</v>
      </c>
      <c r="C100" s="25"/>
      <c r="D100" s="25"/>
      <c r="E100" s="25"/>
      <c r="F100" s="765" t="str">
        <f>"Year 1" &amp; IF(pStartYear&lt;&gt;""," ("&amp;pStartYear&amp;") ","")</f>
        <v xml:space="preserve">Year 1 (2026) </v>
      </c>
      <c r="G100" s="765" t="str">
        <f>"Year 2" &amp; IF(pStartYear&lt;&gt;"",IF(pStartYear+1&gt;pEndYear,""," ("&amp;pStartYear+1&amp;") "),"")</f>
        <v xml:space="preserve">Year 2 (2027) </v>
      </c>
      <c r="H100" s="765" t="str">
        <f>"Year 3" &amp; IF(pStartYear&lt;&gt;"",IF(pStartYear+2&gt;pEndYear,""," ("&amp;pStartYear+2&amp;") "),"")</f>
        <v xml:space="preserve">Year 3 (2028) </v>
      </c>
      <c r="I100" s="765" t="str">
        <f>"Year 4" &amp; IF(pStartYear&lt;&gt;"",IF(pStartYear+3&gt;pEndYear,""," ("&amp;pStartYear+3&amp;") "),"")</f>
        <v xml:space="preserve">Year 4 (2029) </v>
      </c>
      <c r="J100" s="765" t="str">
        <f>"Year 5" &amp; IF(pStartYear&lt;&gt;"",IF(pStartYear+4&gt;pEndYear,""," ("&amp;pStartYear+4&amp;") "),"")</f>
        <v xml:space="preserve">Year 5 (2030) </v>
      </c>
      <c r="K100" s="765" t="str">
        <f>"Year 6" &amp; IF(pStartYear&lt;&gt;"",IF(pStartYear+5&gt;pEndYear,""," ("&amp;pStartYear+5&amp;") "),"")</f>
        <v>Year 6</v>
      </c>
      <c r="L100" s="765" t="str">
        <f>"Year 7" &amp; IF(pStartYear&lt;&gt;"",IF(pStartYear+6&gt;pEndYear,""," ("&amp;pStartYear+6&amp;") "),"")</f>
        <v>Year 7</v>
      </c>
      <c r="M100" s="765" t="str">
        <f>"Year 8" &amp; IF(pStartYear&lt;&gt;"",IF(pStartYear+7&gt;pEndYear,""," ("&amp;pStartYear+7&amp;") "),"")</f>
        <v>Year 8</v>
      </c>
      <c r="N100" s="765" t="str">
        <f>"Year 9" &amp; IF(pStartYear&lt;&gt;"",IF(pStartYear+8&gt;pEndYear,""," ("&amp;pStartYear+8&amp;") "),"")</f>
        <v>Year 9</v>
      </c>
      <c r="O100" s="765" t="str">
        <f>"Year 10" &amp; IF(pStartYear&lt;&gt;"",IF(pStartYear+9&gt;pEndYear,""," ("&amp;pStartYear+9&amp;") "),"")</f>
        <v>Year 10</v>
      </c>
      <c r="P100" s="765" t="str">
        <f>IF(tbBudgetCurrency="AUD - Australian Dollar", "Total (AUD)",CONCATENATE("Total (",LEFT(tbBudgetCurrency,3),")"))</f>
        <v>Total (AUD)</v>
      </c>
      <c r="Q100" s="752"/>
      <c r="R100" s="111"/>
      <c r="S100" s="1318"/>
    </row>
    <row r="101" spans="1:19" ht="15" customHeight="1" x14ac:dyDescent="0.3">
      <c r="A101" s="840"/>
      <c r="B101" s="826" t="s">
        <v>83</v>
      </c>
      <c r="C101" s="25"/>
      <c r="D101" s="25"/>
      <c r="E101" s="25"/>
      <c r="F101" s="766">
        <f>'PART C Non-Staff Costs'!F64+'PART C Non-Staff Costs'!F65</f>
        <v>0</v>
      </c>
      <c r="G101" s="766">
        <f>'PART C Non-Staff Costs'!G64+'PART C Non-Staff Costs'!G65</f>
        <v>0</v>
      </c>
      <c r="H101" s="766">
        <f>'PART C Non-Staff Costs'!H64+'PART C Non-Staff Costs'!H65</f>
        <v>0</v>
      </c>
      <c r="I101" s="766">
        <f>'PART C Non-Staff Costs'!I64+'PART C Non-Staff Costs'!I65</f>
        <v>0</v>
      </c>
      <c r="J101" s="766">
        <f>'PART C Non-Staff Costs'!J64+'PART C Non-Staff Costs'!J65</f>
        <v>0</v>
      </c>
      <c r="K101" s="766">
        <f>'PART C Non-Staff Costs'!K64+'PART C Non-Staff Costs'!K65</f>
        <v>0</v>
      </c>
      <c r="L101" s="766">
        <f>'PART C Non-Staff Costs'!L64+'PART C Non-Staff Costs'!L65</f>
        <v>0</v>
      </c>
      <c r="M101" s="766">
        <f>'PART C Non-Staff Costs'!M64+'PART C Non-Staff Costs'!M65</f>
        <v>0</v>
      </c>
      <c r="N101" s="766">
        <f>'PART C Non-Staff Costs'!N64+'PART C Non-Staff Costs'!N65</f>
        <v>0</v>
      </c>
      <c r="O101" s="766">
        <f>'PART C Non-Staff Costs'!O64+'PART C Non-Staff Costs'!O65</f>
        <v>0</v>
      </c>
      <c r="P101" s="767">
        <f t="shared" ref="P101:P111" si="7">SUM($F101:$O101)</f>
        <v>0</v>
      </c>
      <c r="Q101" s="752"/>
      <c r="R101" s="111"/>
      <c r="S101" s="1318"/>
    </row>
    <row r="102" spans="1:19" ht="15" customHeight="1" x14ac:dyDescent="0.3">
      <c r="A102" s="840"/>
      <c r="B102" s="826" t="s">
        <v>90</v>
      </c>
      <c r="C102" s="25"/>
      <c r="D102" s="25"/>
      <c r="E102" s="25"/>
      <c r="F102" s="766">
        <f>'PART C Non-Staff Costs'!F77+'PART C Non-Staff Costs'!F78+'PART C Non-Staff Costs'!F85+'PART C Non-Staff Costs'!F86</f>
        <v>0</v>
      </c>
      <c r="G102" s="766">
        <f>'PART C Non-Staff Costs'!G77+'PART C Non-Staff Costs'!G78+'PART C Non-Staff Costs'!G85+'PART C Non-Staff Costs'!G86</f>
        <v>0</v>
      </c>
      <c r="H102" s="766">
        <f>'PART C Non-Staff Costs'!H77+'PART C Non-Staff Costs'!H78+'PART C Non-Staff Costs'!H85+'PART C Non-Staff Costs'!H86</f>
        <v>0</v>
      </c>
      <c r="I102" s="766">
        <f>'PART C Non-Staff Costs'!I77+'PART C Non-Staff Costs'!I78+'PART C Non-Staff Costs'!I85+'PART C Non-Staff Costs'!I86</f>
        <v>0</v>
      </c>
      <c r="J102" s="766">
        <f>'PART C Non-Staff Costs'!J77+'PART C Non-Staff Costs'!J78+'PART C Non-Staff Costs'!J85+'PART C Non-Staff Costs'!J86</f>
        <v>0</v>
      </c>
      <c r="K102" s="766">
        <f>'PART C Non-Staff Costs'!K77+'PART C Non-Staff Costs'!K78+'PART C Non-Staff Costs'!K85+'PART C Non-Staff Costs'!K86</f>
        <v>0</v>
      </c>
      <c r="L102" s="766">
        <f>'PART C Non-Staff Costs'!L77+'PART C Non-Staff Costs'!L78+'PART C Non-Staff Costs'!L85+'PART C Non-Staff Costs'!L86</f>
        <v>0</v>
      </c>
      <c r="M102" s="766">
        <f>'PART C Non-Staff Costs'!M77+'PART C Non-Staff Costs'!M78+'PART C Non-Staff Costs'!M85+'PART C Non-Staff Costs'!M86</f>
        <v>0</v>
      </c>
      <c r="N102" s="766">
        <f>'PART C Non-Staff Costs'!N77+'PART C Non-Staff Costs'!N78+'PART C Non-Staff Costs'!N85+'PART C Non-Staff Costs'!N86</f>
        <v>0</v>
      </c>
      <c r="O102" s="766">
        <f>'PART C Non-Staff Costs'!O77+'PART C Non-Staff Costs'!O78+'PART C Non-Staff Costs'!O85+'PART C Non-Staff Costs'!O86</f>
        <v>0</v>
      </c>
      <c r="P102" s="767">
        <f t="shared" si="7"/>
        <v>0</v>
      </c>
      <c r="Q102" s="752"/>
      <c r="R102" s="111"/>
      <c r="S102" s="1318"/>
    </row>
    <row r="103" spans="1:19" ht="15" customHeight="1" x14ac:dyDescent="0.3">
      <c r="A103" s="840"/>
      <c r="B103" s="826" t="s">
        <v>96</v>
      </c>
      <c r="C103" s="25"/>
      <c r="D103" s="25"/>
      <c r="E103" s="25"/>
      <c r="F103" s="766">
        <f>'PART C Non-Staff Costs'!F99+'PART C Non-Staff Costs'!F100</f>
        <v>0</v>
      </c>
      <c r="G103" s="766">
        <f>'PART C Non-Staff Costs'!G99+'PART C Non-Staff Costs'!G100</f>
        <v>0</v>
      </c>
      <c r="H103" s="766">
        <f>'PART C Non-Staff Costs'!H99+'PART C Non-Staff Costs'!H100</f>
        <v>0</v>
      </c>
      <c r="I103" s="766">
        <f>'PART C Non-Staff Costs'!I99+'PART C Non-Staff Costs'!I100</f>
        <v>0</v>
      </c>
      <c r="J103" s="766">
        <f>'PART C Non-Staff Costs'!J99+'PART C Non-Staff Costs'!J100</f>
        <v>0</v>
      </c>
      <c r="K103" s="766">
        <f>'PART C Non-Staff Costs'!K99+'PART C Non-Staff Costs'!K100</f>
        <v>0</v>
      </c>
      <c r="L103" s="766">
        <f>'PART C Non-Staff Costs'!L99+'PART C Non-Staff Costs'!L100</f>
        <v>0</v>
      </c>
      <c r="M103" s="766">
        <f>'PART C Non-Staff Costs'!M99+'PART C Non-Staff Costs'!M100</f>
        <v>0</v>
      </c>
      <c r="N103" s="766">
        <f>'PART C Non-Staff Costs'!N99+'PART C Non-Staff Costs'!N100</f>
        <v>0</v>
      </c>
      <c r="O103" s="766">
        <f>'PART C Non-Staff Costs'!O99+'PART C Non-Staff Costs'!O100</f>
        <v>0</v>
      </c>
      <c r="P103" s="767">
        <f t="shared" si="7"/>
        <v>0</v>
      </c>
      <c r="Q103" s="752"/>
      <c r="R103" s="111"/>
      <c r="S103" s="1318"/>
    </row>
    <row r="104" spans="1:19" ht="17.25" customHeight="1" x14ac:dyDescent="0.3">
      <c r="A104" s="840"/>
      <c r="B104" s="841" t="s">
        <v>100</v>
      </c>
      <c r="C104" s="744"/>
      <c r="D104" s="744"/>
      <c r="E104" s="25"/>
      <c r="F104" s="766">
        <f>'PART C Non-Staff Costs'!F112+'PART C Non-Staff Costs'!F113+'PART C Non-Staff Costs'!F120+'PART C Non-Staff Costs'!F121+'PART C Non-Staff Costs'!F128+'PART C Non-Staff Costs'!F129+'PART C Non-Staff Costs'!F136+'PART C Non-Staff Costs'!F137+'PART C Non-Staff Costs'!F144+'PART C Non-Staff Costs'!F145</f>
        <v>0</v>
      </c>
      <c r="G104" s="766">
        <f>'PART C Non-Staff Costs'!G112+'PART C Non-Staff Costs'!G113+'PART C Non-Staff Costs'!G120+'PART C Non-Staff Costs'!G121+'PART C Non-Staff Costs'!G128+'PART C Non-Staff Costs'!G129+'PART C Non-Staff Costs'!G136+'PART C Non-Staff Costs'!G137+'PART C Non-Staff Costs'!G144+'PART C Non-Staff Costs'!G145</f>
        <v>0</v>
      </c>
      <c r="H104" s="766">
        <f>'PART C Non-Staff Costs'!H112+'PART C Non-Staff Costs'!H113+'PART C Non-Staff Costs'!H120+'PART C Non-Staff Costs'!H121+'PART C Non-Staff Costs'!H128+'PART C Non-Staff Costs'!H129+'PART C Non-Staff Costs'!H136+'PART C Non-Staff Costs'!H137+'PART C Non-Staff Costs'!H144+'PART C Non-Staff Costs'!H145</f>
        <v>0</v>
      </c>
      <c r="I104" s="766">
        <f>'PART C Non-Staff Costs'!I112+'PART C Non-Staff Costs'!I113+'PART C Non-Staff Costs'!I120+'PART C Non-Staff Costs'!I121+'PART C Non-Staff Costs'!I128+'PART C Non-Staff Costs'!I129+'PART C Non-Staff Costs'!I136+'PART C Non-Staff Costs'!I137+'PART C Non-Staff Costs'!I144+'PART C Non-Staff Costs'!I145</f>
        <v>0</v>
      </c>
      <c r="J104" s="766">
        <f>'PART C Non-Staff Costs'!J112+'PART C Non-Staff Costs'!J113+'PART C Non-Staff Costs'!J120+'PART C Non-Staff Costs'!J121+'PART C Non-Staff Costs'!J128+'PART C Non-Staff Costs'!J129+'PART C Non-Staff Costs'!J136+'PART C Non-Staff Costs'!J137+'PART C Non-Staff Costs'!J144+'PART C Non-Staff Costs'!J145</f>
        <v>0</v>
      </c>
      <c r="K104" s="766">
        <f>'PART C Non-Staff Costs'!K112+'PART C Non-Staff Costs'!K113+'PART C Non-Staff Costs'!K120+'PART C Non-Staff Costs'!K121+'PART C Non-Staff Costs'!K128+'PART C Non-Staff Costs'!K129+'PART C Non-Staff Costs'!K136+'PART C Non-Staff Costs'!K137+'PART C Non-Staff Costs'!K144+'PART C Non-Staff Costs'!K145</f>
        <v>0</v>
      </c>
      <c r="L104" s="766">
        <f>'PART C Non-Staff Costs'!L112+'PART C Non-Staff Costs'!L113+'PART C Non-Staff Costs'!L120+'PART C Non-Staff Costs'!L121+'PART C Non-Staff Costs'!L128+'PART C Non-Staff Costs'!L129+'PART C Non-Staff Costs'!L136+'PART C Non-Staff Costs'!L137+'PART C Non-Staff Costs'!L144+'PART C Non-Staff Costs'!L145</f>
        <v>0</v>
      </c>
      <c r="M104" s="766">
        <f>'PART C Non-Staff Costs'!M112+'PART C Non-Staff Costs'!M113+'PART C Non-Staff Costs'!M120+'PART C Non-Staff Costs'!M121+'PART C Non-Staff Costs'!M128+'PART C Non-Staff Costs'!M129+'PART C Non-Staff Costs'!M136+'PART C Non-Staff Costs'!M137+'PART C Non-Staff Costs'!M144+'PART C Non-Staff Costs'!M145</f>
        <v>0</v>
      </c>
      <c r="N104" s="766">
        <f>'PART C Non-Staff Costs'!N112+'PART C Non-Staff Costs'!N113+'PART C Non-Staff Costs'!N120+'PART C Non-Staff Costs'!N121+'PART C Non-Staff Costs'!N128+'PART C Non-Staff Costs'!N129+'PART C Non-Staff Costs'!N136+'PART C Non-Staff Costs'!N137+'PART C Non-Staff Costs'!N144+'PART C Non-Staff Costs'!N145</f>
        <v>0</v>
      </c>
      <c r="O104" s="766">
        <f>'PART C Non-Staff Costs'!O112+'PART C Non-Staff Costs'!O113+'PART C Non-Staff Costs'!O120+'PART C Non-Staff Costs'!O121+'PART C Non-Staff Costs'!O128+'PART C Non-Staff Costs'!O129+'PART C Non-Staff Costs'!O136+'PART C Non-Staff Costs'!O137+'PART C Non-Staff Costs'!O144+'PART C Non-Staff Costs'!O145</f>
        <v>0</v>
      </c>
      <c r="P104" s="767">
        <f t="shared" si="7"/>
        <v>0</v>
      </c>
      <c r="Q104" s="752"/>
      <c r="R104" s="111"/>
      <c r="S104" s="1318"/>
    </row>
    <row r="105" spans="1:19" x14ac:dyDescent="0.3">
      <c r="A105" s="840"/>
      <c r="B105" s="826" t="s">
        <v>107</v>
      </c>
      <c r="C105" s="25"/>
      <c r="D105" s="25"/>
      <c r="E105" s="25"/>
      <c r="F105" s="766">
        <f>'PART C Non-Staff Costs'!F157+'PART C Non-Staff Costs'!F158+'PART C Non-Staff Costs'!F165+'PART C Non-Staff Costs'!F166+'PART C Non-Staff Costs'!F173+'PART C Non-Staff Costs'!F174+'PART C Non-Staff Costs'!F181+'PART C Non-Staff Costs'!F182</f>
        <v>0</v>
      </c>
      <c r="G105" s="766">
        <f>'PART C Non-Staff Costs'!G157+'PART C Non-Staff Costs'!G158+'PART C Non-Staff Costs'!G165+'PART C Non-Staff Costs'!G166+'PART C Non-Staff Costs'!G173+'PART C Non-Staff Costs'!G174+'PART C Non-Staff Costs'!G181+'PART C Non-Staff Costs'!G182</f>
        <v>0</v>
      </c>
      <c r="H105" s="766">
        <f>'PART C Non-Staff Costs'!H157+'PART C Non-Staff Costs'!H158+'PART C Non-Staff Costs'!H165+'PART C Non-Staff Costs'!H166+'PART C Non-Staff Costs'!H173+'PART C Non-Staff Costs'!H174+'PART C Non-Staff Costs'!H181+'PART C Non-Staff Costs'!H182</f>
        <v>0</v>
      </c>
      <c r="I105" s="766">
        <f>'PART C Non-Staff Costs'!I157+'PART C Non-Staff Costs'!I158+'PART C Non-Staff Costs'!I165+'PART C Non-Staff Costs'!I166+'PART C Non-Staff Costs'!I173+'PART C Non-Staff Costs'!I174+'PART C Non-Staff Costs'!I181+'PART C Non-Staff Costs'!I182</f>
        <v>0</v>
      </c>
      <c r="J105" s="766">
        <f>'PART C Non-Staff Costs'!J157+'PART C Non-Staff Costs'!J158+'PART C Non-Staff Costs'!J165+'PART C Non-Staff Costs'!J166+'PART C Non-Staff Costs'!J173+'PART C Non-Staff Costs'!J174+'PART C Non-Staff Costs'!J181+'PART C Non-Staff Costs'!J182</f>
        <v>0</v>
      </c>
      <c r="K105" s="766">
        <f>'PART C Non-Staff Costs'!K157+'PART C Non-Staff Costs'!K158+'PART C Non-Staff Costs'!K165+'PART C Non-Staff Costs'!K166+'PART C Non-Staff Costs'!K173+'PART C Non-Staff Costs'!K174+'PART C Non-Staff Costs'!K181+'PART C Non-Staff Costs'!K182</f>
        <v>0</v>
      </c>
      <c r="L105" s="766">
        <f>'PART C Non-Staff Costs'!L157+'PART C Non-Staff Costs'!L158+'PART C Non-Staff Costs'!L165+'PART C Non-Staff Costs'!L166+'PART C Non-Staff Costs'!L173+'PART C Non-Staff Costs'!L174+'PART C Non-Staff Costs'!L181+'PART C Non-Staff Costs'!L182</f>
        <v>0</v>
      </c>
      <c r="M105" s="766">
        <f>'PART C Non-Staff Costs'!M157+'PART C Non-Staff Costs'!M158+'PART C Non-Staff Costs'!M165+'PART C Non-Staff Costs'!M166+'PART C Non-Staff Costs'!M173+'PART C Non-Staff Costs'!M174+'PART C Non-Staff Costs'!M181+'PART C Non-Staff Costs'!M182</f>
        <v>0</v>
      </c>
      <c r="N105" s="766">
        <f>'PART C Non-Staff Costs'!N157+'PART C Non-Staff Costs'!N158+'PART C Non-Staff Costs'!N165+'PART C Non-Staff Costs'!N166+'PART C Non-Staff Costs'!N173+'PART C Non-Staff Costs'!N174+'PART C Non-Staff Costs'!N181+'PART C Non-Staff Costs'!N182</f>
        <v>0</v>
      </c>
      <c r="O105" s="766">
        <f>'PART C Non-Staff Costs'!O157+'PART C Non-Staff Costs'!O158+'PART C Non-Staff Costs'!O165+'PART C Non-Staff Costs'!O166+'PART C Non-Staff Costs'!O173+'PART C Non-Staff Costs'!O174+'PART C Non-Staff Costs'!O181+'PART C Non-Staff Costs'!O182</f>
        <v>0</v>
      </c>
      <c r="P105" s="767">
        <f t="shared" si="7"/>
        <v>0</v>
      </c>
      <c r="Q105" s="752"/>
      <c r="R105" s="111"/>
      <c r="S105" s="1318"/>
    </row>
    <row r="106" spans="1:19" ht="15" customHeight="1" x14ac:dyDescent="0.3">
      <c r="A106" s="840"/>
      <c r="B106" s="826" t="s">
        <v>117</v>
      </c>
      <c r="C106" s="25"/>
      <c r="D106" s="25"/>
      <c r="E106" s="25"/>
      <c r="F106" s="766">
        <f>'PART C Non-Staff Costs'!F194+'PART C Non-Staff Costs'!F195+'PART C Non-Staff Costs'!F202+'PART C Non-Staff Costs'!F203</f>
        <v>0</v>
      </c>
      <c r="G106" s="766">
        <f>'PART C Non-Staff Costs'!G194+'PART C Non-Staff Costs'!G195+'PART C Non-Staff Costs'!G202+'PART C Non-Staff Costs'!G203</f>
        <v>0</v>
      </c>
      <c r="H106" s="766">
        <f>'PART C Non-Staff Costs'!H194+'PART C Non-Staff Costs'!H195+'PART C Non-Staff Costs'!H202+'PART C Non-Staff Costs'!H203</f>
        <v>0</v>
      </c>
      <c r="I106" s="766">
        <f>'PART C Non-Staff Costs'!I194+'PART C Non-Staff Costs'!I195+'PART C Non-Staff Costs'!I202+'PART C Non-Staff Costs'!I203</f>
        <v>0</v>
      </c>
      <c r="J106" s="766">
        <f>'PART C Non-Staff Costs'!J194+'PART C Non-Staff Costs'!J195+'PART C Non-Staff Costs'!J202+'PART C Non-Staff Costs'!J203</f>
        <v>0</v>
      </c>
      <c r="K106" s="766">
        <f>'PART C Non-Staff Costs'!K194+'PART C Non-Staff Costs'!K195+'PART C Non-Staff Costs'!K202+'PART C Non-Staff Costs'!K203</f>
        <v>0</v>
      </c>
      <c r="L106" s="766">
        <f>'PART C Non-Staff Costs'!L194+'PART C Non-Staff Costs'!L195+'PART C Non-Staff Costs'!L202+'PART C Non-Staff Costs'!L203</f>
        <v>0</v>
      </c>
      <c r="M106" s="766">
        <f>'PART C Non-Staff Costs'!M194+'PART C Non-Staff Costs'!M195+'PART C Non-Staff Costs'!M202+'PART C Non-Staff Costs'!M203</f>
        <v>0</v>
      </c>
      <c r="N106" s="766">
        <f>'PART C Non-Staff Costs'!N194+'PART C Non-Staff Costs'!N195+'PART C Non-Staff Costs'!N202+'PART C Non-Staff Costs'!N203</f>
        <v>0</v>
      </c>
      <c r="O106" s="766">
        <f>'PART C Non-Staff Costs'!O194+'PART C Non-Staff Costs'!O195+'PART C Non-Staff Costs'!O202+'PART C Non-Staff Costs'!O203</f>
        <v>0</v>
      </c>
      <c r="P106" s="767">
        <f t="shared" si="7"/>
        <v>0</v>
      </c>
      <c r="Q106" s="752"/>
      <c r="R106" s="111"/>
      <c r="S106" s="1318"/>
    </row>
    <row r="107" spans="1:19" ht="15" customHeight="1" x14ac:dyDescent="0.3">
      <c r="A107" s="840"/>
      <c r="B107" s="826" t="s">
        <v>123</v>
      </c>
      <c r="C107" s="25"/>
      <c r="D107" s="25"/>
      <c r="E107" s="25"/>
      <c r="F107" s="766">
        <f>'PART C Non-Staff Costs'!F215+'PART C Non-Staff Costs'!F216</f>
        <v>0</v>
      </c>
      <c r="G107" s="766">
        <f>'PART C Non-Staff Costs'!G215+'PART C Non-Staff Costs'!G216</f>
        <v>0</v>
      </c>
      <c r="H107" s="766">
        <f>'PART C Non-Staff Costs'!H215+'PART C Non-Staff Costs'!H216</f>
        <v>0</v>
      </c>
      <c r="I107" s="766">
        <f>'PART C Non-Staff Costs'!I215+'PART C Non-Staff Costs'!I216</f>
        <v>0</v>
      </c>
      <c r="J107" s="766">
        <f>'PART C Non-Staff Costs'!J215+'PART C Non-Staff Costs'!J216</f>
        <v>0</v>
      </c>
      <c r="K107" s="766">
        <f>'PART C Non-Staff Costs'!K215+'PART C Non-Staff Costs'!K216</f>
        <v>0</v>
      </c>
      <c r="L107" s="766">
        <f>'PART C Non-Staff Costs'!L215+'PART C Non-Staff Costs'!L216</f>
        <v>0</v>
      </c>
      <c r="M107" s="766">
        <f>'PART C Non-Staff Costs'!M215+'PART C Non-Staff Costs'!M216</f>
        <v>0</v>
      </c>
      <c r="N107" s="766">
        <f>'PART C Non-Staff Costs'!N215+'PART C Non-Staff Costs'!N216</f>
        <v>0</v>
      </c>
      <c r="O107" s="766">
        <f>'PART C Non-Staff Costs'!O215+'PART C Non-Staff Costs'!O216</f>
        <v>0</v>
      </c>
      <c r="P107" s="767">
        <f t="shared" si="7"/>
        <v>0</v>
      </c>
      <c r="Q107" s="752"/>
      <c r="R107" s="111"/>
      <c r="S107" s="1318"/>
    </row>
    <row r="108" spans="1:19" ht="15" customHeight="1" x14ac:dyDescent="0.3">
      <c r="A108" s="840"/>
      <c r="B108" s="826" t="s">
        <v>128</v>
      </c>
      <c r="C108" s="25"/>
      <c r="D108" s="25"/>
      <c r="E108" s="25"/>
      <c r="F108" s="766">
        <f>'PART C Non-Staff Costs'!F228+'PART C Non-Staff Costs'!F229</f>
        <v>0</v>
      </c>
      <c r="G108" s="766">
        <f>'PART C Non-Staff Costs'!G228+'PART C Non-Staff Costs'!G229</f>
        <v>0</v>
      </c>
      <c r="H108" s="766">
        <f>'PART C Non-Staff Costs'!H228+'PART C Non-Staff Costs'!H229</f>
        <v>0</v>
      </c>
      <c r="I108" s="766">
        <f>'PART C Non-Staff Costs'!I228+'PART C Non-Staff Costs'!I229</f>
        <v>0</v>
      </c>
      <c r="J108" s="766">
        <f>'PART C Non-Staff Costs'!J228+'PART C Non-Staff Costs'!J229</f>
        <v>0</v>
      </c>
      <c r="K108" s="766">
        <f>'PART C Non-Staff Costs'!K228+'PART C Non-Staff Costs'!K229</f>
        <v>0</v>
      </c>
      <c r="L108" s="766">
        <f>'PART C Non-Staff Costs'!L228+'PART C Non-Staff Costs'!L229</f>
        <v>0</v>
      </c>
      <c r="M108" s="766">
        <f>'PART C Non-Staff Costs'!M228+'PART C Non-Staff Costs'!M229</f>
        <v>0</v>
      </c>
      <c r="N108" s="766">
        <f>'PART C Non-Staff Costs'!N228+'PART C Non-Staff Costs'!N229</f>
        <v>0</v>
      </c>
      <c r="O108" s="766">
        <f>'PART C Non-Staff Costs'!O228+'PART C Non-Staff Costs'!O229</f>
        <v>0</v>
      </c>
      <c r="P108" s="767">
        <f t="shared" si="7"/>
        <v>0</v>
      </c>
      <c r="Q108" s="752"/>
      <c r="R108" s="111"/>
      <c r="S108" s="1318"/>
    </row>
    <row r="109" spans="1:19" ht="15" customHeight="1" x14ac:dyDescent="0.3">
      <c r="A109" s="840"/>
      <c r="B109" s="826" t="s">
        <v>132</v>
      </c>
      <c r="C109" s="25"/>
      <c r="D109" s="25"/>
      <c r="E109" s="25"/>
      <c r="F109" s="766">
        <f>'PART C Non-Staff Costs'!F241+'PART C Non-Staff Costs'!F242+'PART C Non-Staff Costs'!F249+'PART C Non-Staff Costs'!F250</f>
        <v>0</v>
      </c>
      <c r="G109" s="766">
        <f>'PART C Non-Staff Costs'!G241+'PART C Non-Staff Costs'!G242+'PART C Non-Staff Costs'!G249+'PART C Non-Staff Costs'!G250</f>
        <v>0</v>
      </c>
      <c r="H109" s="766">
        <f>'PART C Non-Staff Costs'!H241+'PART C Non-Staff Costs'!H242+'PART C Non-Staff Costs'!H249+'PART C Non-Staff Costs'!H250</f>
        <v>0</v>
      </c>
      <c r="I109" s="766">
        <f>'PART C Non-Staff Costs'!I241+'PART C Non-Staff Costs'!I242+'PART C Non-Staff Costs'!I249+'PART C Non-Staff Costs'!I250</f>
        <v>0</v>
      </c>
      <c r="J109" s="766">
        <f>'PART C Non-Staff Costs'!J241+'PART C Non-Staff Costs'!J242+'PART C Non-Staff Costs'!J249+'PART C Non-Staff Costs'!J250</f>
        <v>0</v>
      </c>
      <c r="K109" s="766">
        <f>'PART C Non-Staff Costs'!K241+'PART C Non-Staff Costs'!K242+'PART C Non-Staff Costs'!K249+'PART C Non-Staff Costs'!K250</f>
        <v>0</v>
      </c>
      <c r="L109" s="766">
        <f>'PART C Non-Staff Costs'!L241+'PART C Non-Staff Costs'!L242+'PART C Non-Staff Costs'!L249+'PART C Non-Staff Costs'!L250</f>
        <v>0</v>
      </c>
      <c r="M109" s="766">
        <f>'PART C Non-Staff Costs'!M241+'PART C Non-Staff Costs'!M242+'PART C Non-Staff Costs'!M249+'PART C Non-Staff Costs'!M250</f>
        <v>0</v>
      </c>
      <c r="N109" s="766">
        <f>'PART C Non-Staff Costs'!N241+'PART C Non-Staff Costs'!N242+'PART C Non-Staff Costs'!N249+'PART C Non-Staff Costs'!N250</f>
        <v>0</v>
      </c>
      <c r="O109" s="766">
        <f>'PART C Non-Staff Costs'!O241+'PART C Non-Staff Costs'!O242+'PART C Non-Staff Costs'!O249+'PART C Non-Staff Costs'!O250</f>
        <v>0</v>
      </c>
      <c r="P109" s="767">
        <f t="shared" si="7"/>
        <v>0</v>
      </c>
      <c r="Q109" s="752"/>
      <c r="R109" s="111"/>
      <c r="S109" s="1318"/>
    </row>
    <row r="110" spans="1:19" ht="15" customHeight="1" x14ac:dyDescent="0.3">
      <c r="A110" s="840"/>
      <c r="B110" s="826" t="s">
        <v>250</v>
      </c>
      <c r="C110" s="826"/>
      <c r="D110" s="826"/>
      <c r="E110" s="25"/>
      <c r="F110" s="766">
        <f>'PART C Non-Staff Costs'!F53</f>
        <v>0</v>
      </c>
      <c r="G110" s="766">
        <f>'PART C Non-Staff Costs'!G53</f>
        <v>0</v>
      </c>
      <c r="H110" s="766">
        <f>'PART C Non-Staff Costs'!H53</f>
        <v>0</v>
      </c>
      <c r="I110" s="766">
        <f>'PART C Non-Staff Costs'!I53</f>
        <v>0</v>
      </c>
      <c r="J110" s="766">
        <f>'PART C Non-Staff Costs'!J53</f>
        <v>0</v>
      </c>
      <c r="K110" s="766">
        <f>'PART C Non-Staff Costs'!K53</f>
        <v>0</v>
      </c>
      <c r="L110" s="766">
        <f>'PART C Non-Staff Costs'!L53</f>
        <v>0</v>
      </c>
      <c r="M110" s="766">
        <f>'PART C Non-Staff Costs'!M53</f>
        <v>0</v>
      </c>
      <c r="N110" s="766">
        <f>'PART C Non-Staff Costs'!N53</f>
        <v>0</v>
      </c>
      <c r="O110" s="766">
        <f>'PART C Non-Staff Costs'!O53</f>
        <v>0</v>
      </c>
      <c r="P110" s="767">
        <f t="shared" si="7"/>
        <v>0</v>
      </c>
      <c r="Q110" s="752"/>
      <c r="R110" s="111"/>
      <c r="S110" s="1318"/>
    </row>
    <row r="111" spans="1:19" ht="15.6" customHeight="1" thickBot="1" x14ac:dyDescent="0.35">
      <c r="A111" s="840"/>
      <c r="B111" s="743" t="s">
        <v>251</v>
      </c>
      <c r="C111" s="1011"/>
      <c r="D111" s="1011"/>
      <c r="F111" s="769">
        <f t="shared" ref="F111:O111" si="8">SUM(F101:F110)</f>
        <v>0</v>
      </c>
      <c r="G111" s="769">
        <f t="shared" si="8"/>
        <v>0</v>
      </c>
      <c r="H111" s="769">
        <f t="shared" si="8"/>
        <v>0</v>
      </c>
      <c r="I111" s="769">
        <f t="shared" si="8"/>
        <v>0</v>
      </c>
      <c r="J111" s="769">
        <f t="shared" si="8"/>
        <v>0</v>
      </c>
      <c r="K111" s="769">
        <f t="shared" si="8"/>
        <v>0</v>
      </c>
      <c r="L111" s="769">
        <f t="shared" si="8"/>
        <v>0</v>
      </c>
      <c r="M111" s="769">
        <f t="shared" si="8"/>
        <v>0</v>
      </c>
      <c r="N111" s="769">
        <f t="shared" si="8"/>
        <v>0</v>
      </c>
      <c r="O111" s="769">
        <f t="shared" si="8"/>
        <v>0</v>
      </c>
      <c r="P111" s="769">
        <f t="shared" si="7"/>
        <v>0</v>
      </c>
      <c r="Q111" s="1047"/>
      <c r="R111" s="111"/>
      <c r="S111" s="1318"/>
    </row>
    <row r="112" spans="1:19" ht="12" customHeight="1" thickTop="1" x14ac:dyDescent="0.3">
      <c r="Q112" s="752"/>
      <c r="R112" s="111"/>
      <c r="S112" s="1318"/>
    </row>
    <row r="113" spans="1:19" ht="12" hidden="1" customHeight="1" x14ac:dyDescent="0.3">
      <c r="A113" s="840"/>
      <c r="B113" s="743"/>
      <c r="C113" s="25"/>
      <c r="D113" s="25"/>
      <c r="E113" s="25"/>
      <c r="F113" s="842"/>
      <c r="G113" s="842"/>
      <c r="H113" s="842"/>
      <c r="I113" s="842"/>
      <c r="J113" s="842"/>
      <c r="K113" s="842"/>
      <c r="L113" s="842"/>
      <c r="M113" s="842"/>
      <c r="N113" s="842"/>
      <c r="O113" s="842"/>
      <c r="P113" s="842"/>
      <c r="Q113" s="752"/>
      <c r="R113" s="111"/>
      <c r="S113" s="1318"/>
    </row>
    <row r="114" spans="1:19" ht="14.1" customHeight="1" x14ac:dyDescent="0.3">
      <c r="A114" s="839" t="s">
        <v>252</v>
      </c>
      <c r="B114" s="743" t="s">
        <v>253</v>
      </c>
      <c r="C114" s="25"/>
      <c r="D114" s="1011"/>
      <c r="F114" s="765" t="str">
        <f>"Year 1" &amp; IF(pStartYear&lt;&gt;""," ("&amp;pStartYear&amp;") ","")</f>
        <v xml:space="preserve">Year 1 (2026) </v>
      </c>
      <c r="G114" s="765" t="str">
        <f>"Year 2" &amp; IF(pStartYear&lt;&gt;"",IF(pStartYear+1&gt;pEndYear,""," ("&amp;pStartYear+1&amp;") "),"")</f>
        <v xml:space="preserve">Year 2 (2027) </v>
      </c>
      <c r="H114" s="765" t="str">
        <f>"Year 3" &amp; IF(pStartYear&lt;&gt;"",IF(pStartYear+2&gt;pEndYear,""," ("&amp;pStartYear+2&amp;") "),"")</f>
        <v xml:space="preserve">Year 3 (2028) </v>
      </c>
      <c r="I114" s="765" t="str">
        <f>"Year 4" &amp; IF(pStartYear&lt;&gt;"",IF(pStartYear+3&gt;pEndYear,""," ("&amp;pStartYear+3&amp;") "),"")</f>
        <v xml:space="preserve">Year 4 (2029) </v>
      </c>
      <c r="J114" s="765" t="str">
        <f>"Year 5" &amp; IF(pStartYear&lt;&gt;"",IF(pStartYear+4&gt;pEndYear,""," ("&amp;pStartYear+4&amp;") "),"")</f>
        <v xml:space="preserve">Year 5 (2030) </v>
      </c>
      <c r="K114" s="765" t="str">
        <f>"Year 6" &amp; IF(pStartYear&lt;&gt;"",IF(pStartYear+5&gt;pEndYear,""," ("&amp;pStartYear+5&amp;") "),"")</f>
        <v>Year 6</v>
      </c>
      <c r="L114" s="765" t="str">
        <f>"Year 7" &amp; IF(pStartYear&lt;&gt;"",IF(pStartYear+6&gt;pEndYear,""," ("&amp;pStartYear+6&amp;") "),"")</f>
        <v>Year 7</v>
      </c>
      <c r="M114" s="765" t="str">
        <f>"Year 8" &amp; IF(pStartYear&lt;&gt;"",IF(pStartYear+7&gt;pEndYear,""," ("&amp;pStartYear+7&amp;") "),"")</f>
        <v>Year 8</v>
      </c>
      <c r="N114" s="765" t="str">
        <f>"Year 9" &amp; IF(pStartYear&lt;&gt;"",IF(pStartYear+8&gt;pEndYear,""," ("&amp;pStartYear+8&amp;") "),"")</f>
        <v>Year 9</v>
      </c>
      <c r="O114" s="765" t="str">
        <f>"Year 10" &amp; IF(pStartYear&lt;&gt;"",IF(pStartYear+9&gt;pEndYear,""," ("&amp;pStartYear+9&amp;") "),"")</f>
        <v>Year 10</v>
      </c>
      <c r="P114" s="765" t="str">
        <f>IF(tbBudgetCurrency="AUD - Australian Dollar", "Total (AUD)",CONCATENATE("Total (",LEFT(tbBudgetCurrency,3),")"))</f>
        <v>Total (AUD)</v>
      </c>
      <c r="Q114" s="752"/>
      <c r="R114" s="111"/>
      <c r="S114" s="1318"/>
    </row>
    <row r="115" spans="1:19" ht="15.75" customHeight="1" x14ac:dyDescent="0.3">
      <c r="A115" s="843"/>
      <c r="B115" s="844" t="s">
        <v>254</v>
      </c>
      <c r="C115" s="844"/>
      <c r="F115" s="766">
        <f>'PART C Non-Staff Costs'!F45</f>
        <v>0</v>
      </c>
      <c r="G115" s="766">
        <f>'PART C Non-Staff Costs'!G45</f>
        <v>0</v>
      </c>
      <c r="H115" s="766">
        <f>'PART C Non-Staff Costs'!H45</f>
        <v>0</v>
      </c>
      <c r="I115" s="766">
        <f>'PART C Non-Staff Costs'!I45</f>
        <v>0</v>
      </c>
      <c r="J115" s="766">
        <f>'PART C Non-Staff Costs'!J45</f>
        <v>0</v>
      </c>
      <c r="K115" s="766">
        <f>'PART C Non-Staff Costs'!K45</f>
        <v>0</v>
      </c>
      <c r="L115" s="766">
        <f>'PART C Non-Staff Costs'!L45</f>
        <v>0</v>
      </c>
      <c r="M115" s="766">
        <f>'PART C Non-Staff Costs'!M45</f>
        <v>0</v>
      </c>
      <c r="N115" s="766">
        <f>'PART C Non-Staff Costs'!N45</f>
        <v>0</v>
      </c>
      <c r="O115" s="766">
        <f>'PART C Non-Staff Costs'!O45</f>
        <v>0</v>
      </c>
      <c r="P115" s="767">
        <f>SUM(F115:O115)</f>
        <v>0</v>
      </c>
      <c r="Q115" s="752"/>
      <c r="R115" s="111"/>
      <c r="S115" s="1318"/>
    </row>
    <row r="116" spans="1:19" ht="12" customHeight="1" x14ac:dyDescent="0.3">
      <c r="A116" s="840"/>
      <c r="B116" s="25"/>
      <c r="C116" s="25"/>
      <c r="D116" s="25"/>
      <c r="E116" s="25"/>
      <c r="F116" s="746"/>
      <c r="G116" s="746"/>
      <c r="H116" s="746"/>
      <c r="I116" s="746"/>
      <c r="J116" s="746"/>
      <c r="K116" s="746"/>
      <c r="L116" s="746"/>
      <c r="M116" s="746"/>
      <c r="N116" s="746"/>
      <c r="O116" s="746"/>
      <c r="P116" s="25"/>
      <c r="Q116" s="752"/>
      <c r="R116" s="111"/>
      <c r="S116" s="1318"/>
    </row>
    <row r="117" spans="1:19" ht="13.35" customHeight="1" x14ac:dyDescent="0.3">
      <c r="A117" s="839" t="s">
        <v>255</v>
      </c>
      <c r="B117" s="743" t="s">
        <v>256</v>
      </c>
      <c r="C117" s="25"/>
      <c r="D117" s="25"/>
      <c r="E117" s="25"/>
      <c r="F117" s="765" t="str">
        <f>"Year 1" &amp; IF(pStartYear&lt;&gt;""," ("&amp;pStartYear&amp;") ","")</f>
        <v xml:space="preserve">Year 1 (2026) </v>
      </c>
      <c r="G117" s="765" t="str">
        <f>"Year 2" &amp; IF(pStartYear&lt;&gt;"",IF(pStartYear+1&gt;pEndYear,""," ("&amp;pStartYear+1&amp;") "),"")</f>
        <v xml:space="preserve">Year 2 (2027) </v>
      </c>
      <c r="H117" s="765" t="str">
        <f>"Year 3" &amp; IF(pStartYear&lt;&gt;"",IF(pStartYear+2&gt;pEndYear,""," ("&amp;pStartYear+2&amp;") "),"")</f>
        <v xml:space="preserve">Year 3 (2028) </v>
      </c>
      <c r="I117" s="765" t="str">
        <f>"Year 4" &amp; IF(pStartYear&lt;&gt;"",IF(pStartYear+3&gt;pEndYear,""," ("&amp;pStartYear+3&amp;") "),"")</f>
        <v xml:space="preserve">Year 4 (2029) </v>
      </c>
      <c r="J117" s="765" t="str">
        <f>"Year 5" &amp; IF(pStartYear&lt;&gt;"",IF(pStartYear+4&gt;pEndYear,""," ("&amp;pStartYear+4&amp;") "),"")</f>
        <v xml:space="preserve">Year 5 (2030) </v>
      </c>
      <c r="K117" s="765" t="str">
        <f>"Year 6" &amp; IF(pStartYear&lt;&gt;"",IF(pStartYear+5&gt;pEndYear,""," ("&amp;pStartYear+5&amp;") "),"")</f>
        <v>Year 6</v>
      </c>
      <c r="L117" s="765" t="str">
        <f>"Year 7" &amp; IF(pStartYear&lt;&gt;"",IF(pStartYear+6&gt;pEndYear,""," ("&amp;pStartYear+6&amp;") "),"")</f>
        <v>Year 7</v>
      </c>
      <c r="M117" s="765" t="str">
        <f>"Year 8" &amp; IF(pStartYear&lt;&gt;"",IF(pStartYear+7&gt;pEndYear,""," ("&amp;pStartYear+7&amp;") "),"")</f>
        <v>Year 8</v>
      </c>
      <c r="N117" s="765" t="str">
        <f>"Year 9" &amp; IF(pStartYear&lt;&gt;"",IF(pStartYear+8&gt;pEndYear,""," ("&amp;pStartYear+8&amp;") "),"")</f>
        <v>Year 9</v>
      </c>
      <c r="O117" s="765" t="str">
        <f>"Year 10" &amp; IF(pStartYear&lt;&gt;"",IF(pStartYear+9&gt;pEndYear,""," ("&amp;pStartYear+9&amp;") "),"")</f>
        <v>Year 10</v>
      </c>
      <c r="P117" s="765" t="str">
        <f>IF(tbBudgetCurrency="AUD - Australian Dollar", "Total (AUD)",CONCATENATE("Total (",LEFT(tbBudgetCurrency,3),")"))</f>
        <v>Total (AUD)</v>
      </c>
      <c r="Q117" s="752"/>
      <c r="R117" s="111"/>
      <c r="S117" s="1318"/>
    </row>
    <row r="118" spans="1:19" ht="15.75" customHeight="1" thickBot="1" x14ac:dyDescent="0.35">
      <c r="B118" s="743"/>
      <c r="C118" s="25"/>
      <c r="D118" s="25"/>
      <c r="E118" s="25"/>
      <c r="F118" s="769">
        <f>F111+F115</f>
        <v>0</v>
      </c>
      <c r="G118" s="769">
        <f t="shared" ref="G118:O118" si="9">G111+G115</f>
        <v>0</v>
      </c>
      <c r="H118" s="769">
        <f t="shared" si="9"/>
        <v>0</v>
      </c>
      <c r="I118" s="769">
        <f t="shared" si="9"/>
        <v>0</v>
      </c>
      <c r="J118" s="769">
        <f t="shared" si="9"/>
        <v>0</v>
      </c>
      <c r="K118" s="769">
        <f t="shared" si="9"/>
        <v>0</v>
      </c>
      <c r="L118" s="769">
        <f t="shared" si="9"/>
        <v>0</v>
      </c>
      <c r="M118" s="769">
        <f t="shared" si="9"/>
        <v>0</v>
      </c>
      <c r="N118" s="769">
        <f t="shared" si="9"/>
        <v>0</v>
      </c>
      <c r="O118" s="769">
        <f t="shared" si="9"/>
        <v>0</v>
      </c>
      <c r="P118" s="769">
        <f>SUM($F118:$O118)</f>
        <v>0</v>
      </c>
      <c r="Q118" s="752"/>
      <c r="R118" s="111"/>
      <c r="S118" s="1318"/>
    </row>
    <row r="119" spans="1:19" ht="15" customHeight="1" thickTop="1" thickBot="1" x14ac:dyDescent="0.35">
      <c r="B119" s="836"/>
      <c r="C119" s="836"/>
      <c r="D119" s="836"/>
      <c r="E119" s="836"/>
      <c r="F119" s="836"/>
      <c r="G119" s="836"/>
      <c r="H119" s="836"/>
      <c r="I119" s="836"/>
      <c r="J119" s="836"/>
      <c r="K119" s="836"/>
      <c r="L119" s="836"/>
      <c r="M119" s="836"/>
      <c r="N119" s="836"/>
      <c r="O119" s="836"/>
      <c r="P119" s="836"/>
      <c r="Q119" s="837"/>
      <c r="R119" s="111"/>
      <c r="S119" s="1319"/>
    </row>
    <row r="120" spans="1:19" ht="25.5" customHeight="1" thickBot="1" x14ac:dyDescent="0.5">
      <c r="A120" s="664" t="s">
        <v>257</v>
      </c>
      <c r="B120" s="1294" t="s">
        <v>258</v>
      </c>
      <c r="C120" s="1294"/>
      <c r="D120" s="1294"/>
      <c r="E120" s="1294"/>
      <c r="F120" s="1294"/>
      <c r="G120" s="1294"/>
      <c r="H120" s="1294"/>
      <c r="I120" s="1294"/>
      <c r="J120" s="1294"/>
      <c r="K120" s="1294"/>
      <c r="L120" s="1294"/>
      <c r="M120" s="1294"/>
      <c r="N120" s="1294"/>
      <c r="O120" s="1294"/>
      <c r="P120" s="1294"/>
      <c r="Q120" s="1295"/>
      <c r="R120" s="111"/>
      <c r="S120" s="1053" t="s">
        <v>259</v>
      </c>
    </row>
    <row r="121" spans="1:19" ht="15" customHeight="1" x14ac:dyDescent="0.3">
      <c r="B121" s="824"/>
      <c r="C121" s="824"/>
      <c r="D121" s="824"/>
      <c r="E121" s="824"/>
      <c r="F121" s="824"/>
      <c r="G121" s="740"/>
      <c r="H121" s="740"/>
      <c r="I121" s="740"/>
      <c r="J121" s="740"/>
      <c r="K121" s="740"/>
      <c r="L121" s="740"/>
      <c r="M121" s="740"/>
      <c r="N121" s="740"/>
      <c r="O121" s="740"/>
      <c r="P121" s="740"/>
      <c r="Q121" s="741"/>
      <c r="R121" s="111"/>
      <c r="S121" s="1317" t="s">
        <v>1416</v>
      </c>
    </row>
    <row r="122" spans="1:19" ht="14.85" customHeight="1" x14ac:dyDescent="0.3">
      <c r="A122" s="845" t="s">
        <v>260</v>
      </c>
      <c r="B122" s="743" t="s">
        <v>261</v>
      </c>
      <c r="C122" s="25"/>
      <c r="D122" s="25"/>
      <c r="E122" s="25"/>
      <c r="F122" s="765" t="str">
        <f>"Year 1" &amp; IF(pStartYear&lt;&gt;""," ("&amp;pStartYear&amp;") ","")</f>
        <v xml:space="preserve">Year 1 (2026) </v>
      </c>
      <c r="G122" s="765" t="str">
        <f>"Year 2" &amp; IF(pStartYear&lt;&gt;"",IF(pStartYear+1&gt;pEndYear,""," ("&amp;pStartYear+1&amp;") "),"")</f>
        <v xml:space="preserve">Year 2 (2027) </v>
      </c>
      <c r="H122" s="765" t="str">
        <f>"Year 3" &amp; IF(pStartYear&lt;&gt;"",IF(pStartYear+2&gt;pEndYear,""," ("&amp;pStartYear+2&amp;") "),"")</f>
        <v xml:space="preserve">Year 3 (2028) </v>
      </c>
      <c r="I122" s="765" t="str">
        <f>"Year 4" &amp; IF(pStartYear&lt;&gt;"",IF(pStartYear+3&gt;pEndYear,""," ("&amp;pStartYear+3&amp;") "),"")</f>
        <v xml:space="preserve">Year 4 (2029) </v>
      </c>
      <c r="J122" s="765" t="str">
        <f>"Year 5" &amp; IF(pStartYear&lt;&gt;"",IF(pStartYear+4&gt;pEndYear,""," ("&amp;pStartYear+4&amp;") "),"")</f>
        <v xml:space="preserve">Year 5 (2030) </v>
      </c>
      <c r="K122" s="765" t="str">
        <f>"Year 6" &amp; IF(pStartYear&lt;&gt;"",IF(pStartYear+5&gt;pEndYear,""," ("&amp;pStartYear+5&amp;") "),"")</f>
        <v>Year 6</v>
      </c>
      <c r="L122" s="765" t="str">
        <f>"Year 7" &amp; IF(pStartYear&lt;&gt;"",IF(pStartYear+6&gt;pEndYear,""," ("&amp;pStartYear+6&amp;") "),"")</f>
        <v>Year 7</v>
      </c>
      <c r="M122" s="765" t="str">
        <f>"Year 8" &amp; IF(pStartYear&lt;&gt;"",IF(pStartYear+7&gt;pEndYear,""," ("&amp;pStartYear+7&amp;") "),"")</f>
        <v>Year 8</v>
      </c>
      <c r="N122" s="765" t="str">
        <f>"Year 9" &amp; IF(pStartYear&lt;&gt;"",IF(pStartYear+8&gt;pEndYear,""," ("&amp;pStartYear+8&amp;") "),"")</f>
        <v>Year 9</v>
      </c>
      <c r="O122" s="765" t="str">
        <f>"Year 10" &amp; IF(pStartYear&lt;&gt;"",IF(pStartYear+9&gt;pEndYear,""," ("&amp;pStartYear+9&amp;") "),"")</f>
        <v>Year 10</v>
      </c>
      <c r="P122" s="765" t="str">
        <f>IF(tbBudgetCurrency="AUD - Australian Dollar", "Total (AUD)",CONCATENATE("Total (",LEFT(tbBudgetCurrency,3),")"))</f>
        <v>Total (AUD)</v>
      </c>
      <c r="Q122" s="752"/>
      <c r="R122" s="111"/>
      <c r="S122" s="1318"/>
    </row>
    <row r="123" spans="1:19" ht="15" customHeight="1" thickBot="1" x14ac:dyDescent="0.35">
      <c r="B123" s="1326" t="s">
        <v>262</v>
      </c>
      <c r="C123" s="1326"/>
      <c r="D123" s="21"/>
      <c r="E123" s="25"/>
      <c r="F123" s="769">
        <f>SUM(F$89,F$115)</f>
        <v>0</v>
      </c>
      <c r="G123" s="769">
        <f t="shared" ref="G123:O123" si="10">SUM(G$89,G$115)</f>
        <v>0</v>
      </c>
      <c r="H123" s="769">
        <f t="shared" si="10"/>
        <v>0</v>
      </c>
      <c r="I123" s="769">
        <f t="shared" si="10"/>
        <v>0</v>
      </c>
      <c r="J123" s="769">
        <f t="shared" si="10"/>
        <v>0</v>
      </c>
      <c r="K123" s="769">
        <f t="shared" si="10"/>
        <v>0</v>
      </c>
      <c r="L123" s="769">
        <f t="shared" si="10"/>
        <v>0</v>
      </c>
      <c r="M123" s="769">
        <f t="shared" si="10"/>
        <v>0</v>
      </c>
      <c r="N123" s="769">
        <f t="shared" si="10"/>
        <v>0</v>
      </c>
      <c r="O123" s="769">
        <f t="shared" si="10"/>
        <v>0</v>
      </c>
      <c r="P123" s="769">
        <f>SUM($F123:$O123)</f>
        <v>0</v>
      </c>
      <c r="Q123" s="752"/>
      <c r="R123" s="111"/>
      <c r="S123" s="1318"/>
    </row>
    <row r="124" spans="1:19" ht="15" customHeight="1" thickTop="1" x14ac:dyDescent="0.3">
      <c r="B124" s="743" t="s">
        <v>263</v>
      </c>
      <c r="C124" s="743"/>
      <c r="D124" s="21"/>
      <c r="E124" s="25"/>
      <c r="F124" s="846">
        <f t="shared" ref="F124:P124" si="11">IFERROR(F$123/F$38,0)</f>
        <v>0</v>
      </c>
      <c r="G124" s="846">
        <f t="shared" si="11"/>
        <v>0</v>
      </c>
      <c r="H124" s="846">
        <f t="shared" si="11"/>
        <v>0</v>
      </c>
      <c r="I124" s="846">
        <f t="shared" si="11"/>
        <v>0</v>
      </c>
      <c r="J124" s="846">
        <f t="shared" si="11"/>
        <v>0</v>
      </c>
      <c r="K124" s="846">
        <f t="shared" si="11"/>
        <v>0</v>
      </c>
      <c r="L124" s="846">
        <f t="shared" si="11"/>
        <v>0</v>
      </c>
      <c r="M124" s="846">
        <f t="shared" si="11"/>
        <v>0</v>
      </c>
      <c r="N124" s="846">
        <f t="shared" si="11"/>
        <v>0</v>
      </c>
      <c r="O124" s="846">
        <f t="shared" si="11"/>
        <v>0</v>
      </c>
      <c r="P124" s="846">
        <f t="shared" si="11"/>
        <v>0</v>
      </c>
      <c r="Q124" s="752"/>
      <c r="R124" s="111"/>
      <c r="S124" s="1318"/>
    </row>
    <row r="125" spans="1:19" ht="3.6" customHeight="1" x14ac:dyDescent="0.3">
      <c r="B125" s="26"/>
      <c r="C125" s="26"/>
      <c r="D125" s="26"/>
      <c r="E125" s="847"/>
      <c r="F125" s="848"/>
      <c r="G125" s="848"/>
      <c r="H125" s="848"/>
      <c r="I125" s="848"/>
      <c r="J125" s="848"/>
      <c r="K125" s="848"/>
      <c r="L125" s="848"/>
      <c r="M125" s="848"/>
      <c r="N125" s="848"/>
      <c r="O125" s="848"/>
      <c r="P125" s="25"/>
      <c r="Q125" s="752"/>
      <c r="R125" s="111"/>
      <c r="S125" s="1318"/>
    </row>
    <row r="126" spans="1:19" ht="17.100000000000001" customHeight="1" x14ac:dyDescent="0.3">
      <c r="A126" s="845" t="s">
        <v>264</v>
      </c>
      <c r="B126" s="21" t="s">
        <v>265</v>
      </c>
      <c r="C126" s="21"/>
      <c r="D126" s="21"/>
      <c r="E126" s="849"/>
      <c r="F126" s="850"/>
      <c r="G126" s="848"/>
      <c r="H126" s="848"/>
      <c r="I126" s="848"/>
      <c r="J126" s="848"/>
      <c r="K126" s="848"/>
      <c r="L126" s="848"/>
      <c r="M126" s="848"/>
      <c r="N126" s="848"/>
      <c r="O126" s="848"/>
      <c r="P126" s="25"/>
      <c r="Q126" s="752"/>
      <c r="R126" s="111"/>
      <c r="S126" s="1318"/>
    </row>
    <row r="127" spans="1:19" s="1048" customFormat="1" ht="24.6" customHeight="1" x14ac:dyDescent="0.3">
      <c r="A127" s="851"/>
      <c r="B127" s="1241" t="s">
        <v>266</v>
      </c>
      <c r="C127" s="1241"/>
      <c r="D127" s="1241"/>
      <c r="E127" s="1241"/>
      <c r="F127" s="1241"/>
      <c r="G127" s="1241"/>
      <c r="H127" s="1241"/>
      <c r="I127" s="1241"/>
      <c r="J127" s="1241"/>
      <c r="K127" s="1241"/>
      <c r="L127" s="1241"/>
      <c r="M127" s="1241"/>
      <c r="N127" s="1241"/>
      <c r="O127" s="1241"/>
      <c r="P127" s="1241"/>
      <c r="Q127" s="852"/>
      <c r="S127" s="1318"/>
    </row>
    <row r="128" spans="1:19" ht="14.85" customHeight="1" x14ac:dyDescent="0.3">
      <c r="B128" s="743" t="s">
        <v>267</v>
      </c>
      <c r="C128" s="25"/>
      <c r="D128" s="25"/>
      <c r="E128" s="765" t="s">
        <v>268</v>
      </c>
      <c r="F128" s="765" t="str">
        <f>"Year 1" &amp; IF(pStartYear&lt;&gt;""," ("&amp;pStartYear&amp;") ","")</f>
        <v xml:space="preserve">Year 1 (2026) </v>
      </c>
      <c r="G128" s="765" t="str">
        <f>"Year 2" &amp; IF(pStartYear&lt;&gt;"",IF(pStartYear+1&gt;pEndYear,""," ("&amp;pStartYear+1&amp;") "),"")</f>
        <v xml:space="preserve">Year 2 (2027) </v>
      </c>
      <c r="H128" s="765" t="str">
        <f>"Year 3" &amp; IF(pStartYear&lt;&gt;"",IF(pStartYear+2&gt;pEndYear,""," ("&amp;pStartYear+2&amp;") "),"")</f>
        <v xml:space="preserve">Year 3 (2028) </v>
      </c>
      <c r="I128" s="765" t="str">
        <f>"Year 4" &amp; IF(pStartYear&lt;&gt;"",IF(pStartYear+3&gt;pEndYear,""," ("&amp;pStartYear+3&amp;") "),"")</f>
        <v xml:space="preserve">Year 4 (2029) </v>
      </c>
      <c r="J128" s="765" t="str">
        <f>"Year 5" &amp; IF(pStartYear&lt;&gt;"",IF(pStartYear+4&gt;pEndYear,""," ("&amp;pStartYear+4&amp;") "),"")</f>
        <v xml:space="preserve">Year 5 (2030) </v>
      </c>
      <c r="K128" s="765" t="str">
        <f>"Year 6" &amp; IF(pStartYear&lt;&gt;"",IF(pStartYear+5&gt;pEndYear,""," ("&amp;pStartYear+5&amp;") "),"")</f>
        <v>Year 6</v>
      </c>
      <c r="L128" s="765" t="str">
        <f>"Year 7" &amp; IF(pStartYear&lt;&gt;"",IF(pStartYear+6&gt;pEndYear,""," ("&amp;pStartYear+6&amp;") "),"")</f>
        <v>Year 7</v>
      </c>
      <c r="M128" s="765" t="str">
        <f>"Year 8" &amp; IF(pStartYear&lt;&gt;"",IF(pStartYear+7&gt;pEndYear,""," ("&amp;pStartYear+7&amp;") "),"")</f>
        <v>Year 8</v>
      </c>
      <c r="N128" s="765" t="str">
        <f>"Year 9" &amp; IF(pStartYear&lt;&gt;"",IF(pStartYear+8&gt;pEndYear,""," ("&amp;pStartYear+8&amp;") "),"")</f>
        <v>Year 9</v>
      </c>
      <c r="O128" s="765" t="str">
        <f>"Year 10" &amp; IF(pStartYear&lt;&gt;"",IF(pStartYear+9&gt;pEndYear,""," ("&amp;pStartYear+9&amp;") "),"")</f>
        <v>Year 10</v>
      </c>
      <c r="P128" s="765" t="str">
        <f>IF(tbBudgetCurrency="AUD - Australian Dollar", "Total (AUD)",CONCATENATE("Total (",LEFT(tbBudgetCurrency,3),")"))</f>
        <v>Total (AUD)</v>
      </c>
      <c r="Q128" s="853"/>
      <c r="R128" s="111"/>
      <c r="S128" s="1318"/>
    </row>
    <row r="129" spans="1:24" ht="15" customHeight="1" x14ac:dyDescent="0.3">
      <c r="B129" s="1338" t="s">
        <v>12</v>
      </c>
      <c r="C129" s="1338"/>
      <c r="D129" s="826"/>
      <c r="E129" s="854">
        <v>1</v>
      </c>
      <c r="F129" s="766">
        <f t="shared" ref="F129:O133" si="12">$E129*F$123</f>
        <v>0</v>
      </c>
      <c r="G129" s="766">
        <f t="shared" si="12"/>
        <v>0</v>
      </c>
      <c r="H129" s="766">
        <f t="shared" si="12"/>
        <v>0</v>
      </c>
      <c r="I129" s="766">
        <f t="shared" si="12"/>
        <v>0</v>
      </c>
      <c r="J129" s="766">
        <f t="shared" si="12"/>
        <v>0</v>
      </c>
      <c r="K129" s="766">
        <f t="shared" si="12"/>
        <v>0</v>
      </c>
      <c r="L129" s="766">
        <f t="shared" si="12"/>
        <v>0</v>
      </c>
      <c r="M129" s="766">
        <f t="shared" si="12"/>
        <v>0</v>
      </c>
      <c r="N129" s="766">
        <f t="shared" si="12"/>
        <v>0</v>
      </c>
      <c r="O129" s="766">
        <f t="shared" si="12"/>
        <v>0</v>
      </c>
      <c r="P129" s="767">
        <f t="shared" ref="P129:P134" si="13">SUM($F129:$O129)</f>
        <v>0</v>
      </c>
      <c r="Q129" s="855"/>
      <c r="R129" s="111"/>
      <c r="S129" s="1318"/>
    </row>
    <row r="130" spans="1:24" ht="15" customHeight="1" x14ac:dyDescent="0.3">
      <c r="B130" s="1338" t="s">
        <v>269</v>
      </c>
      <c r="C130" s="1338"/>
      <c r="D130" s="826"/>
      <c r="E130" s="856">
        <v>0</v>
      </c>
      <c r="F130" s="766">
        <f t="shared" si="12"/>
        <v>0</v>
      </c>
      <c r="G130" s="766">
        <f t="shared" si="12"/>
        <v>0</v>
      </c>
      <c r="H130" s="766">
        <f t="shared" si="12"/>
        <v>0</v>
      </c>
      <c r="I130" s="766">
        <f t="shared" si="12"/>
        <v>0</v>
      </c>
      <c r="J130" s="766">
        <f t="shared" si="12"/>
        <v>0</v>
      </c>
      <c r="K130" s="766">
        <f t="shared" si="12"/>
        <v>0</v>
      </c>
      <c r="L130" s="766">
        <f t="shared" si="12"/>
        <v>0</v>
      </c>
      <c r="M130" s="766">
        <f t="shared" si="12"/>
        <v>0</v>
      </c>
      <c r="N130" s="766">
        <f t="shared" si="12"/>
        <v>0</v>
      </c>
      <c r="O130" s="766">
        <f t="shared" si="12"/>
        <v>0</v>
      </c>
      <c r="P130" s="767">
        <f t="shared" si="13"/>
        <v>0</v>
      </c>
      <c r="Q130" s="855"/>
      <c r="R130" s="111"/>
      <c r="S130" s="1318"/>
    </row>
    <row r="131" spans="1:24" ht="15" customHeight="1" x14ac:dyDescent="0.3">
      <c r="B131" s="1338" t="s">
        <v>270</v>
      </c>
      <c r="C131" s="1338"/>
      <c r="D131" s="826"/>
      <c r="E131" s="856">
        <v>0</v>
      </c>
      <c r="F131" s="766">
        <f t="shared" si="12"/>
        <v>0</v>
      </c>
      <c r="G131" s="766">
        <f t="shared" si="12"/>
        <v>0</v>
      </c>
      <c r="H131" s="766">
        <f t="shared" si="12"/>
        <v>0</v>
      </c>
      <c r="I131" s="766">
        <f t="shared" si="12"/>
        <v>0</v>
      </c>
      <c r="J131" s="766">
        <f t="shared" si="12"/>
        <v>0</v>
      </c>
      <c r="K131" s="766">
        <f t="shared" si="12"/>
        <v>0</v>
      </c>
      <c r="L131" s="766">
        <f t="shared" si="12"/>
        <v>0</v>
      </c>
      <c r="M131" s="766">
        <f t="shared" si="12"/>
        <v>0</v>
      </c>
      <c r="N131" s="766">
        <f t="shared" si="12"/>
        <v>0</v>
      </c>
      <c r="O131" s="766">
        <f t="shared" si="12"/>
        <v>0</v>
      </c>
      <c r="P131" s="767">
        <f t="shared" si="13"/>
        <v>0</v>
      </c>
      <c r="Q131" s="855"/>
      <c r="R131" s="111"/>
      <c r="S131" s="1318"/>
    </row>
    <row r="132" spans="1:24" ht="15" customHeight="1" x14ac:dyDescent="0.3">
      <c r="B132" s="1338" t="s">
        <v>271</v>
      </c>
      <c r="C132" s="1338"/>
      <c r="D132" s="826"/>
      <c r="E132" s="856">
        <v>0</v>
      </c>
      <c r="F132" s="766">
        <f t="shared" si="12"/>
        <v>0</v>
      </c>
      <c r="G132" s="766">
        <f t="shared" si="12"/>
        <v>0</v>
      </c>
      <c r="H132" s="766">
        <f t="shared" si="12"/>
        <v>0</v>
      </c>
      <c r="I132" s="766">
        <f t="shared" si="12"/>
        <v>0</v>
      </c>
      <c r="J132" s="766">
        <f t="shared" si="12"/>
        <v>0</v>
      </c>
      <c r="K132" s="766">
        <f t="shared" si="12"/>
        <v>0</v>
      </c>
      <c r="L132" s="766">
        <f t="shared" si="12"/>
        <v>0</v>
      </c>
      <c r="M132" s="766">
        <f t="shared" si="12"/>
        <v>0</v>
      </c>
      <c r="N132" s="766">
        <f t="shared" si="12"/>
        <v>0</v>
      </c>
      <c r="O132" s="766">
        <f t="shared" si="12"/>
        <v>0</v>
      </c>
      <c r="P132" s="767">
        <f t="shared" si="13"/>
        <v>0</v>
      </c>
      <c r="Q132" s="855"/>
      <c r="R132" s="111"/>
      <c r="S132" s="1318"/>
    </row>
    <row r="133" spans="1:24" ht="15" customHeight="1" x14ac:dyDescent="0.3">
      <c r="B133" s="1338" t="s">
        <v>9</v>
      </c>
      <c r="C133" s="1338"/>
      <c r="D133" s="826"/>
      <c r="E133" s="856">
        <v>0</v>
      </c>
      <c r="F133" s="766">
        <f t="shared" si="12"/>
        <v>0</v>
      </c>
      <c r="G133" s="766">
        <f t="shared" si="12"/>
        <v>0</v>
      </c>
      <c r="H133" s="766">
        <f t="shared" si="12"/>
        <v>0</v>
      </c>
      <c r="I133" s="766">
        <f t="shared" si="12"/>
        <v>0</v>
      </c>
      <c r="J133" s="766">
        <f t="shared" si="12"/>
        <v>0</v>
      </c>
      <c r="K133" s="766">
        <f t="shared" si="12"/>
        <v>0</v>
      </c>
      <c r="L133" s="766">
        <f t="shared" si="12"/>
        <v>0</v>
      </c>
      <c r="M133" s="766">
        <f t="shared" si="12"/>
        <v>0</v>
      </c>
      <c r="N133" s="766">
        <f t="shared" si="12"/>
        <v>0</v>
      </c>
      <c r="O133" s="766">
        <f t="shared" si="12"/>
        <v>0</v>
      </c>
      <c r="P133" s="767">
        <f t="shared" si="13"/>
        <v>0</v>
      </c>
      <c r="Q133" s="855"/>
      <c r="R133" s="111"/>
      <c r="S133" s="1318"/>
    </row>
    <row r="134" spans="1:24" ht="17.100000000000001" customHeight="1" thickBot="1" x14ac:dyDescent="0.35">
      <c r="B134" s="743" t="s">
        <v>272</v>
      </c>
      <c r="C134" s="743"/>
      <c r="D134" s="21"/>
      <c r="E134" s="857">
        <f>SUM(E$129:E$133)</f>
        <v>1</v>
      </c>
      <c r="F134" s="769">
        <f>SUM(F$129:F$133)</f>
        <v>0</v>
      </c>
      <c r="G134" s="769">
        <f t="shared" ref="G134:J134" si="14">SUM(G$129:G$133)</f>
        <v>0</v>
      </c>
      <c r="H134" s="769">
        <f t="shared" si="14"/>
        <v>0</v>
      </c>
      <c r="I134" s="769">
        <f t="shared" si="14"/>
        <v>0</v>
      </c>
      <c r="J134" s="769">
        <f t="shared" si="14"/>
        <v>0</v>
      </c>
      <c r="K134" s="769">
        <f t="shared" ref="K134:O134" si="15">SUM(K$129:K$132)</f>
        <v>0</v>
      </c>
      <c r="L134" s="769">
        <f t="shared" si="15"/>
        <v>0</v>
      </c>
      <c r="M134" s="769">
        <f t="shared" si="15"/>
        <v>0</v>
      </c>
      <c r="N134" s="769">
        <f t="shared" si="15"/>
        <v>0</v>
      </c>
      <c r="O134" s="769">
        <f t="shared" si="15"/>
        <v>0</v>
      </c>
      <c r="P134" s="769">
        <f t="shared" si="13"/>
        <v>0</v>
      </c>
      <c r="Q134" s="855"/>
      <c r="R134" s="111"/>
      <c r="S134" s="1318"/>
    </row>
    <row r="135" spans="1:24" s="1048" customFormat="1" ht="19.5" customHeight="1" thickTop="1" thickBot="1" x14ac:dyDescent="0.35">
      <c r="A135" s="851"/>
      <c r="B135" s="809"/>
      <c r="C135" s="809"/>
      <c r="D135" s="809"/>
      <c r="E135" s="858"/>
      <c r="F135" s="859"/>
      <c r="G135" s="859"/>
      <c r="H135" s="859"/>
      <c r="I135" s="859"/>
      <c r="J135" s="859"/>
      <c r="K135" s="859"/>
      <c r="L135" s="859"/>
      <c r="M135" s="859"/>
      <c r="N135" s="859"/>
      <c r="O135" s="859"/>
      <c r="P135" s="762" t="str">
        <f>IF($E$134&lt;&gt;1,"ERROR: Please ensure total allocation in Cell E105 equals 100%.","")</f>
        <v/>
      </c>
      <c r="Q135" s="860"/>
      <c r="S135" s="1318"/>
    </row>
    <row r="136" spans="1:24" ht="25.5" customHeight="1" thickBot="1" x14ac:dyDescent="0.5">
      <c r="A136" s="664" t="s">
        <v>273</v>
      </c>
      <c r="B136" s="1294" t="s">
        <v>274</v>
      </c>
      <c r="C136" s="1294"/>
      <c r="D136" s="1294"/>
      <c r="E136" s="1294"/>
      <c r="F136" s="1294"/>
      <c r="G136" s="1294"/>
      <c r="H136" s="1294"/>
      <c r="I136" s="1294"/>
      <c r="J136" s="1294"/>
      <c r="K136" s="1294"/>
      <c r="L136" s="1294"/>
      <c r="M136" s="1294"/>
      <c r="N136" s="1294"/>
      <c r="O136" s="1294"/>
      <c r="P136" s="1294"/>
      <c r="Q136" s="1295"/>
      <c r="R136" s="111"/>
      <c r="S136" s="1053" t="s">
        <v>275</v>
      </c>
      <c r="V136" s="111">
        <v>0</v>
      </c>
    </row>
    <row r="137" spans="1:24" ht="12" customHeight="1" x14ac:dyDescent="0.3">
      <c r="B137" s="861"/>
      <c r="C137" s="861"/>
      <c r="D137" s="861"/>
      <c r="E137" s="862"/>
      <c r="F137" s="863"/>
      <c r="G137" s="863"/>
      <c r="H137" s="863"/>
      <c r="I137" s="863"/>
      <c r="J137" s="863"/>
      <c r="K137" s="863"/>
      <c r="L137" s="863"/>
      <c r="M137" s="863"/>
      <c r="N137" s="863"/>
      <c r="O137" s="863"/>
      <c r="P137" s="863"/>
      <c r="Q137" s="864"/>
      <c r="R137" s="111"/>
      <c r="S137" s="1317"/>
    </row>
    <row r="138" spans="1:24" ht="38.25" customHeight="1" x14ac:dyDescent="0.3">
      <c r="A138" s="865" t="s">
        <v>276</v>
      </c>
      <c r="B138" s="1346" t="s">
        <v>277</v>
      </c>
      <c r="C138" s="1347"/>
      <c r="D138" s="1347"/>
      <c r="E138" s="1347"/>
      <c r="F138" s="1347"/>
      <c r="G138" s="1347"/>
      <c r="H138" s="1347"/>
      <c r="I138" s="1347"/>
      <c r="J138" s="1347"/>
      <c r="K138" s="1347"/>
      <c r="L138" s="1347"/>
      <c r="M138" s="1347"/>
      <c r="N138" s="1347"/>
      <c r="O138" s="1347"/>
      <c r="P138" s="1347"/>
      <c r="Q138" s="1348"/>
      <c r="R138" s="111"/>
      <c r="S138" s="1318"/>
    </row>
    <row r="139" spans="1:24" ht="15" customHeight="1" x14ac:dyDescent="0.3">
      <c r="A139" s="840"/>
      <c r="B139" s="743" t="s">
        <v>267</v>
      </c>
      <c r="C139" s="25"/>
      <c r="D139" s="25"/>
      <c r="E139" s="1142" t="s">
        <v>278</v>
      </c>
      <c r="F139" s="1142" t="str">
        <f>IF(tbBudgetCurrency="AUD - Australian Dollar", "Totals (AUD)",CONCATENATE("Total (",LEFT(tbBudgetCurrency,3),")"))</f>
        <v>Totals (AUD)</v>
      </c>
      <c r="G139" s="1142" t="s">
        <v>26</v>
      </c>
      <c r="H139" s="1349" t="s">
        <v>1418</v>
      </c>
      <c r="I139" s="1350"/>
      <c r="P139" s="25"/>
      <c r="Q139" s="752"/>
      <c r="R139" s="111"/>
      <c r="S139" s="1318"/>
      <c r="X139" s="1049"/>
    </row>
    <row r="140" spans="1:24" ht="15" customHeight="1" x14ac:dyDescent="0.3">
      <c r="A140" s="840"/>
      <c r="B140" s="1338" t="s">
        <v>12</v>
      </c>
      <c r="C140" s="1338"/>
      <c r="D140" s="826"/>
      <c r="E140" s="867">
        <f>IFERROR((SUM($E$129)*$P$123)/($P$38-$P$123),0)</f>
        <v>0</v>
      </c>
      <c r="F140" s="767">
        <f>SUM($P$129)</f>
        <v>0</v>
      </c>
      <c r="G140" s="25"/>
      <c r="H140" s="25"/>
      <c r="P140" s="25"/>
      <c r="Q140" s="752"/>
      <c r="R140" s="111"/>
      <c r="S140" s="1318"/>
    </row>
    <row r="141" spans="1:24" ht="15" customHeight="1" x14ac:dyDescent="0.3">
      <c r="A141" s="840"/>
      <c r="B141" s="1338" t="s">
        <v>269</v>
      </c>
      <c r="C141" s="1338"/>
      <c r="D141" s="826"/>
      <c r="E141" s="867">
        <f>IFERROR((SUM($E$130)*$P$123)/($P$38-$P$123),0)</f>
        <v>0</v>
      </c>
      <c r="F141" s="767">
        <f>SUM($P$130)</f>
        <v>0</v>
      </c>
      <c r="G141" s="25"/>
      <c r="H141" s="25"/>
      <c r="P141" s="25"/>
      <c r="Q141" s="752"/>
      <c r="R141" s="111"/>
      <c r="S141" s="1318"/>
    </row>
    <row r="142" spans="1:24" ht="15" customHeight="1" x14ac:dyDescent="0.3">
      <c r="A142" s="840"/>
      <c r="B142" s="1338" t="s">
        <v>270</v>
      </c>
      <c r="C142" s="1338"/>
      <c r="D142" s="826"/>
      <c r="E142" s="867">
        <f>IFERROR((SUM($E$131)*$P$123)/($P$38-$P$123),0)</f>
        <v>0</v>
      </c>
      <c r="F142" s="767">
        <f>SUM($P$131)</f>
        <v>0</v>
      </c>
      <c r="G142" s="25"/>
      <c r="H142" s="25"/>
      <c r="P142" s="25"/>
      <c r="Q142" s="752"/>
      <c r="R142" s="111"/>
      <c r="S142" s="1318"/>
    </row>
    <row r="143" spans="1:24" ht="15" customHeight="1" x14ac:dyDescent="0.3">
      <c r="A143" s="840"/>
      <c r="B143" s="1338" t="s">
        <v>279</v>
      </c>
      <c r="C143" s="1338"/>
      <c r="D143" s="826"/>
      <c r="E143" s="867">
        <f>IFERROR((SUM($E$132)*$P$123)/($P$38-$P$123),0)</f>
        <v>0</v>
      </c>
      <c r="F143" s="767">
        <f>SUM($P$132)</f>
        <v>0</v>
      </c>
      <c r="G143" s="868"/>
      <c r="H143" s="1367"/>
      <c r="I143" s="1368"/>
      <c r="P143" s="25"/>
      <c r="Q143" s="752"/>
      <c r="R143" s="111"/>
      <c r="S143" s="1318"/>
    </row>
    <row r="144" spans="1:24" ht="15" customHeight="1" thickBot="1" x14ac:dyDescent="0.35">
      <c r="A144" s="840"/>
      <c r="B144" s="1338" t="s">
        <v>9</v>
      </c>
      <c r="C144" s="1338"/>
      <c r="D144" s="826"/>
      <c r="E144" s="867">
        <f>IFERROR((SUM($E$133)*$P$123)/($P$38-$P$123),0)</f>
        <v>0</v>
      </c>
      <c r="F144" s="767">
        <f>SUM($P$133)</f>
        <v>0</v>
      </c>
      <c r="G144" s="868"/>
      <c r="H144" s="1367"/>
      <c r="I144" s="1368"/>
      <c r="P144" s="25"/>
      <c r="Q144" s="752"/>
      <c r="R144" s="111"/>
      <c r="S144" s="1318"/>
    </row>
    <row r="145" spans="1:19" ht="15" customHeight="1" thickBot="1" x14ac:dyDescent="0.35">
      <c r="A145" s="840"/>
      <c r="B145" s="1326" t="s">
        <v>280</v>
      </c>
      <c r="C145" s="1326"/>
      <c r="D145" s="21"/>
      <c r="E145" s="869">
        <f>SUM(E$140:E$144)</f>
        <v>0</v>
      </c>
      <c r="F145" s="769">
        <f>SUM(F$140:F$144)</f>
        <v>0</v>
      </c>
      <c r="G145" s="25"/>
      <c r="H145" s="25"/>
      <c r="I145" s="25"/>
      <c r="J145" s="25"/>
      <c r="K145" s="25"/>
      <c r="L145" s="25"/>
      <c r="M145" s="25"/>
      <c r="N145" s="1050"/>
      <c r="O145" s="25"/>
      <c r="P145" s="25"/>
      <c r="Q145" s="752"/>
      <c r="R145" s="111"/>
      <c r="S145" s="1318"/>
    </row>
    <row r="146" spans="1:19" ht="15" customHeight="1" thickTop="1" x14ac:dyDescent="0.3">
      <c r="A146" s="840"/>
      <c r="B146" s="1336" t="s">
        <v>281</v>
      </c>
      <c r="C146" s="1336"/>
      <c r="D146" s="1336"/>
      <c r="E146" s="1336"/>
      <c r="F146" s="1336"/>
      <c r="G146" s="1336"/>
      <c r="H146" s="1336"/>
      <c r="I146" s="1336"/>
      <c r="J146" s="1336"/>
      <c r="K146" s="1336"/>
      <c r="L146" s="1336"/>
      <c r="M146" s="1336"/>
      <c r="N146" s="1336"/>
      <c r="O146" s="1336"/>
      <c r="P146" s="1336"/>
      <c r="Q146" s="871"/>
      <c r="R146" s="111"/>
      <c r="S146" s="1318"/>
    </row>
    <row r="147" spans="1:19" ht="9" customHeight="1" thickBot="1" x14ac:dyDescent="0.35">
      <c r="A147" s="840"/>
      <c r="B147" s="836"/>
      <c r="C147" s="836"/>
      <c r="D147" s="836"/>
      <c r="E147" s="836"/>
      <c r="F147" s="836"/>
      <c r="G147" s="836"/>
      <c r="H147" s="836"/>
      <c r="I147" s="836"/>
      <c r="J147" s="836"/>
      <c r="K147" s="836"/>
      <c r="L147" s="836"/>
      <c r="M147" s="836"/>
      <c r="N147" s="836"/>
      <c r="O147" s="836"/>
      <c r="P147" s="836"/>
      <c r="Q147" s="837"/>
      <c r="R147" s="111"/>
      <c r="S147" s="1319"/>
    </row>
    <row r="148" spans="1:19" ht="25.5" customHeight="1" thickBot="1" x14ac:dyDescent="0.5">
      <c r="A148" s="840"/>
      <c r="B148" s="1294" t="s">
        <v>282</v>
      </c>
      <c r="C148" s="1294"/>
      <c r="D148" s="1294"/>
      <c r="E148" s="1294"/>
      <c r="F148" s="1294"/>
      <c r="G148" s="1294"/>
      <c r="H148" s="1294"/>
      <c r="I148" s="1294"/>
      <c r="J148" s="1294"/>
      <c r="K148" s="1294"/>
      <c r="L148" s="1294"/>
      <c r="M148" s="1294"/>
      <c r="N148" s="1294"/>
      <c r="O148" s="1294"/>
      <c r="P148" s="1294"/>
      <c r="Q148" s="1295"/>
      <c r="R148" s="111"/>
      <c r="S148" s="1053" t="s">
        <v>283</v>
      </c>
    </row>
    <row r="149" spans="1:19" ht="30" customHeight="1" x14ac:dyDescent="0.3">
      <c r="A149" s="840"/>
      <c r="B149" s="824"/>
      <c r="C149" s="1362" t="str">
        <f>CONCATENATE("The cost multiplier specified in in-kind (University investment) Staff Costs is : ",pCRInKind)</f>
        <v>The cost multiplier specified in in-kind (University investment) Staff Costs is : 2.5</v>
      </c>
      <c r="D149" s="1362"/>
      <c r="E149" s="1362"/>
      <c r="F149" s="1362"/>
      <c r="G149" s="1362"/>
      <c r="H149" s="1363" t="s">
        <v>284</v>
      </c>
      <c r="I149" s="1363"/>
      <c r="J149" s="1363"/>
      <c r="K149" s="1363"/>
      <c r="L149" s="1363"/>
      <c r="M149" s="1363"/>
      <c r="N149" s="1363"/>
      <c r="O149" s="1363"/>
      <c r="P149" s="1363"/>
      <c r="Q149" s="1364"/>
      <c r="R149" s="111"/>
      <c r="S149" s="1323"/>
    </row>
    <row r="150" spans="1:19" ht="16.350000000000001" customHeight="1" x14ac:dyDescent="0.3">
      <c r="A150" s="839" t="s">
        <v>285</v>
      </c>
      <c r="B150" s="743" t="s">
        <v>286</v>
      </c>
      <c r="C150" s="743"/>
      <c r="D150" s="872"/>
      <c r="E150" s="873"/>
      <c r="F150" s="765" t="str">
        <f>"Year 1" &amp; IF(pStartYear&lt;&gt;""," ("&amp;pStartYear&amp;") ","")</f>
        <v xml:space="preserve">Year 1 (2026) </v>
      </c>
      <c r="G150" s="765" t="str">
        <f>"Year 2" &amp; IF(pStartYear&lt;&gt;"",IF(pStartYear+1&gt;pEndYear,""," ("&amp;pStartYear+1&amp;") "),"")</f>
        <v xml:space="preserve">Year 2 (2027) </v>
      </c>
      <c r="H150" s="765" t="str">
        <f>"Year 3" &amp; IF(pStartYear&lt;&gt;"",IF(pStartYear+2&gt;pEndYear,""," ("&amp;pStartYear+2&amp;") "),"")</f>
        <v xml:space="preserve">Year 3 (2028) </v>
      </c>
      <c r="I150" s="765" t="str">
        <f>"Year 4" &amp; IF(pStartYear&lt;&gt;"",IF(pStartYear+3&gt;pEndYear,""," ("&amp;pStartYear+3&amp;") "),"")</f>
        <v xml:space="preserve">Year 4 (2029) </v>
      </c>
      <c r="J150" s="765" t="str">
        <f>"Year 5" &amp; IF(pStartYear&lt;&gt;"",IF(pStartYear+4&gt;pEndYear,""," ("&amp;pStartYear+4&amp;") "),"")</f>
        <v xml:space="preserve">Year 5 (2030) </v>
      </c>
      <c r="K150" s="765" t="str">
        <f>"Year 6" &amp; IF(pStartYear&lt;&gt;"",IF(pStartYear+5&gt;pEndYear,""," ("&amp;pStartYear+5&amp;") "),"")</f>
        <v>Year 6</v>
      </c>
      <c r="L150" s="765" t="str">
        <f>"Year 7" &amp; IF(pStartYear&lt;&gt;"",IF(pStartYear+6&gt;pEndYear,""," ("&amp;pStartYear+6&amp;") "),"")</f>
        <v>Year 7</v>
      </c>
      <c r="M150" s="765" t="str">
        <f>"Year 8" &amp; IF(pStartYear&lt;&gt;"",IF(pStartYear+7&gt;pEndYear,""," ("&amp;pStartYear+7&amp;") "),"")</f>
        <v>Year 8</v>
      </c>
      <c r="N150" s="765" t="str">
        <f>"Year 9" &amp; IF(pStartYear&lt;&gt;"",IF(pStartYear+8&gt;pEndYear,""," ("&amp;pStartYear+8&amp;") "),"")</f>
        <v>Year 9</v>
      </c>
      <c r="O150" s="765" t="str">
        <f>"Year 10" &amp; IF(pStartYear&lt;&gt;"",IF(pStartYear+9&gt;pEndYear,""," ("&amp;pStartYear+9&amp;") "),"")</f>
        <v>Year 10</v>
      </c>
      <c r="P150" s="765" t="str">
        <f>IF(tbBudgetCurrency="AUD - Australian Dollar", "Total (AUD)",CONCATENATE("Total (",LEFT(tbBudgetCurrency,3),")"))</f>
        <v>Total (AUD)</v>
      </c>
      <c r="Q150" s="754"/>
      <c r="R150" s="111"/>
      <c r="S150" s="1324"/>
    </row>
    <row r="151" spans="1:19" ht="15" customHeight="1" x14ac:dyDescent="0.3">
      <c r="A151" s="840"/>
      <c r="B151" s="826" t="s">
        <v>230</v>
      </c>
      <c r="C151" s="826"/>
      <c r="E151" s="838"/>
      <c r="F151" s="766">
        <f>SUMIFS('PART B Staff Costs'!$J$53:$J$72,'PART B Staff Costs'!$D$53:$D$72,"Continuing",'PART B Staff Costs'!$E$53:$E$72,"Academic")</f>
        <v>0</v>
      </c>
      <c r="G151" s="766">
        <f>SUMIFS('PART B Staff Costs'!$L$53:$L$72,'PART B Staff Costs'!$D$53:$D$72,"Continuing",'PART B Staff Costs'!$E$53:$E$72,"Academic")</f>
        <v>0</v>
      </c>
      <c r="H151" s="766">
        <f>SUMIFS('PART B Staff Costs'!$N$53:$N$72,'PART B Staff Costs'!$D$53:$D$72,"Continuing",'PART B Staff Costs'!$E$53:$E$72,"Academic")</f>
        <v>0</v>
      </c>
      <c r="I151" s="766">
        <f>SUMIFS('PART B Staff Costs'!$P$53:$P$72,'PART B Staff Costs'!$D$53:$D$72,"Continuing",'PART B Staff Costs'!$E$53:$E$72,"Academic")</f>
        <v>0</v>
      </c>
      <c r="J151" s="766">
        <f>SUMIFS('PART B Staff Costs'!$R$53:$R$72,'PART B Staff Costs'!$D$53:$D$72,"Continuing",'PART B Staff Costs'!$E$53:$E$72,"Academic")</f>
        <v>0</v>
      </c>
      <c r="K151" s="766">
        <f>SUMIFS('PART B Staff Costs'!$T$53:$T$72,'PART B Staff Costs'!$D$53:$D$72,"Continuing",'PART B Staff Costs'!$E$53:$E$72,"Academic")</f>
        <v>0</v>
      </c>
      <c r="L151" s="766">
        <f>SUMIFS('PART B Staff Costs'!$V$53:$V$72,'PART B Staff Costs'!$D$53:$D$72,"Continuing",'PART B Staff Costs'!$E$53:$E$72,"Academic")</f>
        <v>0</v>
      </c>
      <c r="M151" s="766">
        <f>SUMIFS('PART B Staff Costs'!$X$53:$X$72,'PART B Staff Costs'!$D$53:$D$72,"Continuing",'PART B Staff Costs'!$E$53:$E$72,"Academic")</f>
        <v>0</v>
      </c>
      <c r="N151" s="766">
        <f>SUMIFS('PART B Staff Costs'!$Z$53:$Z$72,'PART B Staff Costs'!$D$53:$D$72,"Continuing",'PART B Staff Costs'!$E$53:$E$72,"Academic")</f>
        <v>0</v>
      </c>
      <c r="O151" s="766">
        <f>SUMIFS('PART B Staff Costs'!$AB$53:$AB$72,'PART B Staff Costs'!$D$53:$D$72,"Continuing",'PART B Staff Costs'!$E$53:$E$72,"Academic")</f>
        <v>0</v>
      </c>
      <c r="P151" s="767">
        <f t="shared" ref="P151:P157" si="16">SUM($F151:$O151)</f>
        <v>0</v>
      </c>
      <c r="Q151" s="828"/>
      <c r="R151" s="111"/>
      <c r="S151" s="1324"/>
    </row>
    <row r="152" spans="1:19" ht="15" customHeight="1" x14ac:dyDescent="0.3">
      <c r="A152" s="840"/>
      <c r="B152" s="826" t="s">
        <v>231</v>
      </c>
      <c r="C152" s="826"/>
      <c r="F152" s="766">
        <f>SUMIFS('PART B Staff Costs'!$J$53:$J$72,'PART B Staff Costs'!$D$53:$D$72,"Fixed-Term",'PART B Staff Costs'!$E$53:$E$72,"Academic")</f>
        <v>0</v>
      </c>
      <c r="G152" s="766">
        <f>SUMIFS('PART B Staff Costs'!$L$53:$L$72,'PART B Staff Costs'!$D$53:$D$72,"Fixed-Term",'PART B Staff Costs'!$E$53:$E$72,"Academic")</f>
        <v>0</v>
      </c>
      <c r="H152" s="766">
        <f>SUMIFS('PART B Staff Costs'!$N$53:$N$72,'PART B Staff Costs'!$D$53:$D$72,"Fixed-Term",'PART B Staff Costs'!$E$53:$E$72,"Academic")</f>
        <v>0</v>
      </c>
      <c r="I152" s="766">
        <f>SUMIFS('PART B Staff Costs'!$P$53:$P$72,'PART B Staff Costs'!$D$53:$D$72,"Fixed-Term",'PART B Staff Costs'!$E$53:$E$72,"Academic")</f>
        <v>0</v>
      </c>
      <c r="J152" s="766">
        <f>SUMIFS('PART B Staff Costs'!$R$53:$R$72,'PART B Staff Costs'!$D$53:$D$72,"Fixed-Term",'PART B Staff Costs'!$E$53:$E$72,"Academic")</f>
        <v>0</v>
      </c>
      <c r="K152" s="766">
        <f>SUMIFS('PART B Staff Costs'!$T$53:$T$72,'PART B Staff Costs'!$D$53:$D$72,"Fixed-Term",'PART B Staff Costs'!$E$53:$E$72,"Academic")</f>
        <v>0</v>
      </c>
      <c r="L152" s="766">
        <f>SUMIFS('PART B Staff Costs'!$V$53:$V$72,'PART B Staff Costs'!$D$53:$D$72,"Fixed-Term",'PART B Staff Costs'!$E$53:$E$72,"Academic")</f>
        <v>0</v>
      </c>
      <c r="M152" s="766">
        <f>SUMIFS('PART B Staff Costs'!$X$53:$X$72,'PART B Staff Costs'!$D$53:$D$72,"Fixed-Term",'PART B Staff Costs'!$E$53:$E$72,"Academic")</f>
        <v>0</v>
      </c>
      <c r="N152" s="766">
        <f>SUMIFS('PART B Staff Costs'!$Z$53:$Z$72,'PART B Staff Costs'!$D$53:$D$72,"Fixed-Term",'PART B Staff Costs'!$E$53:$E$72,"Academic")</f>
        <v>0</v>
      </c>
      <c r="O152" s="766">
        <f>SUMIFS('PART B Staff Costs'!$AB$53:$AB$72,'PART B Staff Costs'!$D$53:$D$72,"Fixed-Term",'PART B Staff Costs'!$E$53:$E$72,"Academic")</f>
        <v>0</v>
      </c>
      <c r="P152" s="767">
        <f t="shared" si="16"/>
        <v>0</v>
      </c>
      <c r="Q152" s="752"/>
      <c r="R152" s="111"/>
      <c r="S152" s="1324"/>
    </row>
    <row r="153" spans="1:19" ht="15" customHeight="1" x14ac:dyDescent="0.3">
      <c r="A153" s="840"/>
      <c r="B153" s="826" t="s">
        <v>232</v>
      </c>
      <c r="C153" s="826"/>
      <c r="D153" s="827"/>
      <c r="E153" s="25"/>
      <c r="F153" s="766">
        <f>SUMIFS('PART B Staff Costs'!$J$53:$J$72,'PART B Staff Costs'!$D$53:$D$72,"Continuing",'PART B Staff Costs'!$E$53:$E$72,"Professional")</f>
        <v>0</v>
      </c>
      <c r="G153" s="766">
        <f>SUMIFS('PART B Staff Costs'!$L$53:$L$72,'PART B Staff Costs'!$D$53:$D$72,"Continuing",'PART B Staff Costs'!$E$53:$E$72,"Professional")</f>
        <v>0</v>
      </c>
      <c r="H153" s="766">
        <f>SUMIFS('PART B Staff Costs'!$N$53:$N$72,'PART B Staff Costs'!$D$53:$D$72,"Continuing",'PART B Staff Costs'!$E$53:$E$72,"Professional")</f>
        <v>0</v>
      </c>
      <c r="I153" s="766">
        <f>SUMIFS('PART B Staff Costs'!$P$53:$P$72,'PART B Staff Costs'!$D$53:$D$72,"Continuing",'PART B Staff Costs'!$E$53:$E$72,"Professional")</f>
        <v>0</v>
      </c>
      <c r="J153" s="766">
        <f>SUMIFS('PART B Staff Costs'!$R$53:$R$72,'PART B Staff Costs'!$D$53:$D$72,"Continuing",'PART B Staff Costs'!$E$53:$E$72,"Professional")</f>
        <v>0</v>
      </c>
      <c r="K153" s="766">
        <f>SUMIFS('PART B Staff Costs'!$T$53:$T$72,'PART B Staff Costs'!$D$53:$D$72,"Continuing",'PART B Staff Costs'!$E$53:$E$72,"Professional")</f>
        <v>0</v>
      </c>
      <c r="L153" s="766">
        <f>SUMIFS('PART B Staff Costs'!$V$53:$V$72,'PART B Staff Costs'!$D$53:$D$72,"Continuing",'PART B Staff Costs'!$E$53:$E$72,"Professional")</f>
        <v>0</v>
      </c>
      <c r="M153" s="766">
        <f>SUMIFS('PART B Staff Costs'!$X$53:$X$72,'PART B Staff Costs'!$D$53:$D$72,"Continuing",'PART B Staff Costs'!$E$53:$E$72,"Professional")</f>
        <v>0</v>
      </c>
      <c r="N153" s="766">
        <f>SUMIFS('PART B Staff Costs'!$Z$53:$Z$72,'PART B Staff Costs'!$D$53:$D$72,"Continuing",'PART B Staff Costs'!$E$53:$E$72,"Professional")</f>
        <v>0</v>
      </c>
      <c r="O153" s="766">
        <f>SUMIFS('PART B Staff Costs'!$AB$53:$AB$72,'PART B Staff Costs'!$D$53:$D$72,"Continuing",'PART B Staff Costs'!$E$53:$E$72,"Professional")</f>
        <v>0</v>
      </c>
      <c r="P153" s="767">
        <f t="shared" si="16"/>
        <v>0</v>
      </c>
      <c r="Q153" s="752"/>
      <c r="R153" s="111"/>
      <c r="S153" s="1324"/>
    </row>
    <row r="154" spans="1:19" ht="15" customHeight="1" x14ac:dyDescent="0.3">
      <c r="A154" s="840"/>
      <c r="B154" s="826" t="s">
        <v>233</v>
      </c>
      <c r="C154" s="826"/>
      <c r="D154" s="827"/>
      <c r="E154" s="25"/>
      <c r="F154" s="766">
        <f>SUMIFS('PART B Staff Costs'!$J$53:$J$72,'PART B Staff Costs'!$D$53:$D$72,"Fixed-Term",'PART B Staff Costs'!$E$53:$E$72,"Professional")</f>
        <v>0</v>
      </c>
      <c r="G154" s="766">
        <f>SUMIFS('PART B Staff Costs'!$L$53:$L$72,'PART B Staff Costs'!$D$53:$D$72,"Fixed-Term",'PART B Staff Costs'!$E$53:$E$72,"Professional")</f>
        <v>0</v>
      </c>
      <c r="H154" s="766">
        <f>SUMIFS('PART B Staff Costs'!$N$53:$N$72,'PART B Staff Costs'!$D$53:$D$72,"Fixed-Term",'PART B Staff Costs'!$E$53:$E$72,"Professional")</f>
        <v>0</v>
      </c>
      <c r="I154" s="766">
        <f>SUMIFS('PART B Staff Costs'!$P$53:$P$72,'PART B Staff Costs'!$D$53:$D$72,"Fixed-Term",'PART B Staff Costs'!$E$53:$E$72,"Professional")</f>
        <v>0</v>
      </c>
      <c r="J154" s="766">
        <f>SUMIFS('PART B Staff Costs'!$R$53:$R$72,'PART B Staff Costs'!$D$53:$D$72,"Fixed-Term",'PART B Staff Costs'!$E$53:$E$72,"Professional")</f>
        <v>0</v>
      </c>
      <c r="K154" s="766">
        <f>SUMIFS('PART B Staff Costs'!$T$53:$T$72,'PART B Staff Costs'!$D$53:$D$72,"Fixed-Term",'PART B Staff Costs'!$E$53:$E$72,"Professional")</f>
        <v>0</v>
      </c>
      <c r="L154" s="766">
        <f>SUMIFS('PART B Staff Costs'!$V$53:$V$72,'PART B Staff Costs'!$D$53:$D$72,"Fixed-Term",'PART B Staff Costs'!$E$53:$E$72,"Professional")</f>
        <v>0</v>
      </c>
      <c r="M154" s="766">
        <f>SUMIFS('PART B Staff Costs'!$X$53:$X$72,'PART B Staff Costs'!$D$53:$D$72,"Fixed-Term",'PART B Staff Costs'!$E$53:$E$72,"Professional")</f>
        <v>0</v>
      </c>
      <c r="N154" s="766">
        <f>SUMIFS('PART B Staff Costs'!$Z$53:$Z$72,'PART B Staff Costs'!$D$53:$D$72,"Fixed-Term",'PART B Staff Costs'!$E$53:$E$72,"Professional")</f>
        <v>0</v>
      </c>
      <c r="O154" s="766">
        <f>SUMIFS('PART B Staff Costs'!$AB$53:$AB$72,'PART B Staff Costs'!$D$53:$D$72,"Fixed-Term",'PART B Staff Costs'!$E$53:$E$72,"Professional")</f>
        <v>0</v>
      </c>
      <c r="P154" s="767">
        <f t="shared" si="16"/>
        <v>0</v>
      </c>
      <c r="Q154" s="752"/>
      <c r="R154" s="111"/>
      <c r="S154" s="1324"/>
    </row>
    <row r="155" spans="1:19" ht="15" customHeight="1" x14ac:dyDescent="0.3">
      <c r="A155" s="840"/>
      <c r="B155" s="826" t="s">
        <v>234</v>
      </c>
      <c r="C155" s="826"/>
      <c r="D155" s="827"/>
      <c r="E155" s="25"/>
      <c r="F155" s="766">
        <f>SUMIFS('PART B Staff Costs'!$J$53:$J$72,'PART B Staff Costs'!$D$53:$D$72,"Casual",'PART B Staff Costs'!$E$53:$E$72,"Academic")</f>
        <v>0</v>
      </c>
      <c r="G155" s="766">
        <f>SUMIFS('PART B Staff Costs'!$L$53:$L$72,'PART B Staff Costs'!$D$53:$D$72,"Casual",'PART B Staff Costs'!$E$53:$E$72,"Academic")</f>
        <v>0</v>
      </c>
      <c r="H155" s="766">
        <f>SUMIFS('PART B Staff Costs'!$N$53:$N$72,'PART B Staff Costs'!$D$53:$D$72,"Casual",'PART B Staff Costs'!$E$53:$E$72,"Academic")</f>
        <v>0</v>
      </c>
      <c r="I155" s="766">
        <f>SUMIFS('PART B Staff Costs'!$P$53:$P$72,'PART B Staff Costs'!$D$53:$D$72,"Casual",'PART B Staff Costs'!$E$53:$E$72,"Academic")</f>
        <v>0</v>
      </c>
      <c r="J155" s="766">
        <f>SUMIFS('PART B Staff Costs'!$R$53:$R$72,'PART B Staff Costs'!$D$53:$D$72,"Casual",'PART B Staff Costs'!$E$53:$E$72,"Academic")</f>
        <v>0</v>
      </c>
      <c r="K155" s="766">
        <f>SUMIFS('PART B Staff Costs'!$T$53:$T$72,'PART B Staff Costs'!$D$53:$D$72,"Casual",'PART B Staff Costs'!$E$53:$E$72,"Academic")</f>
        <v>0</v>
      </c>
      <c r="L155" s="766">
        <f>SUMIFS('PART B Staff Costs'!$V$53:$V$72,'PART B Staff Costs'!$D$53:$D$72,"Casual",'PART B Staff Costs'!$E$53:$E$72,"Academic")</f>
        <v>0</v>
      </c>
      <c r="M155" s="766">
        <f>SUMIFS('PART B Staff Costs'!$X$53:$X$72,'PART B Staff Costs'!$D$53:$D$72,"Casual",'PART B Staff Costs'!$E$53:$E$72,"Academic")</f>
        <v>0</v>
      </c>
      <c r="N155" s="766">
        <f>SUMIFS('PART B Staff Costs'!$Z$53:$Z$72,'PART B Staff Costs'!$D$53:$D$72,"Casual",'PART B Staff Costs'!$E$53:$E$72,"Academic")</f>
        <v>0</v>
      </c>
      <c r="O155" s="766">
        <f>SUMIFS('PART B Staff Costs'!$AB$53:$AB$72,'PART B Staff Costs'!$D$53:$D$72,"Casual",'PART B Staff Costs'!$E$53:$E$72,"Academic")</f>
        <v>0</v>
      </c>
      <c r="P155" s="767">
        <f t="shared" si="16"/>
        <v>0</v>
      </c>
      <c r="Q155" s="752"/>
      <c r="R155" s="111"/>
      <c r="S155" s="1324"/>
    </row>
    <row r="156" spans="1:19" ht="15" customHeight="1" x14ac:dyDescent="0.3">
      <c r="A156" s="840"/>
      <c r="B156" s="826" t="s">
        <v>287</v>
      </c>
      <c r="C156" s="826"/>
      <c r="D156" s="827"/>
      <c r="E156" s="25"/>
      <c r="F156" s="766">
        <f>SUMIFS('PART B Staff Costs'!$J$53:$J$72,'PART B Staff Costs'!$D$53:$D$72,"Casual",'PART B Staff Costs'!$E$53:$E$72,"Professional")</f>
        <v>0</v>
      </c>
      <c r="G156" s="766">
        <f>SUMIFS('PART B Staff Costs'!$L$53:$L$72,'PART B Staff Costs'!$D$53:$D$72,"Casual",'PART B Staff Costs'!$E$53:$E$72,"Professional")</f>
        <v>0</v>
      </c>
      <c r="H156" s="766">
        <f>SUMIFS('PART B Staff Costs'!$N$53:$N$72,'PART B Staff Costs'!$D$53:$D$72,"Casual",'PART B Staff Costs'!$E$53:$E$72,"Professional")</f>
        <v>0</v>
      </c>
      <c r="I156" s="766">
        <f>SUMIFS('PART B Staff Costs'!$P$53:$P$72,'PART B Staff Costs'!$D$53:$D$72,"Casual",'PART B Staff Costs'!$E$53:$E$72,"Professional")</f>
        <v>0</v>
      </c>
      <c r="J156" s="766">
        <f>SUMIFS('PART B Staff Costs'!$R$53:$R$72,'PART B Staff Costs'!$D$53:$D$72,"Casual",'PART B Staff Costs'!$E$53:$E$72,"Professional")</f>
        <v>0</v>
      </c>
      <c r="K156" s="766">
        <f>SUMIFS('PART B Staff Costs'!$T$53:$T$72,'PART B Staff Costs'!$D$53:$D$72,"Casual",'PART B Staff Costs'!$E$53:$E$72,"Professional")</f>
        <v>0</v>
      </c>
      <c r="L156" s="766">
        <f>SUMIFS('PART B Staff Costs'!$V$53:$V$72,'PART B Staff Costs'!$D$53:$D$72,"Casual",'PART B Staff Costs'!$E$53:$E$72,"Professional")</f>
        <v>0</v>
      </c>
      <c r="M156" s="766">
        <f>SUMIFS('PART B Staff Costs'!$X$53:$X$72,'PART B Staff Costs'!$D$53:$D$72,"Casual",'PART B Staff Costs'!$E$53:$E$72,"Professional")</f>
        <v>0</v>
      </c>
      <c r="N156" s="766">
        <f>SUMIFS('PART B Staff Costs'!$Z$53:$Z$72,'PART B Staff Costs'!$D$53:$D$72,"Casual",'PART B Staff Costs'!$E$53:$E$72,"Professional")</f>
        <v>0</v>
      </c>
      <c r="O156" s="766">
        <f>SUMIFS('PART B Staff Costs'!$AB$53:$AB$72,'PART B Staff Costs'!$D$53:$D$72,"Casual",'PART B Staff Costs'!$E$53:$E$72,"Professional")</f>
        <v>0</v>
      </c>
      <c r="P156" s="767">
        <f t="shared" si="16"/>
        <v>0</v>
      </c>
      <c r="Q156" s="752"/>
      <c r="R156" s="111"/>
      <c r="S156" s="1324"/>
    </row>
    <row r="157" spans="1:19" ht="17.100000000000001" customHeight="1" thickBot="1" x14ac:dyDescent="0.35">
      <c r="A157" s="840"/>
      <c r="B157" s="21" t="s">
        <v>288</v>
      </c>
      <c r="C157" s="743"/>
      <c r="D157" s="743"/>
      <c r="E157" s="25"/>
      <c r="F157" s="769">
        <f t="shared" ref="F157:O157" si="17">SUM(F$151:F$156)</f>
        <v>0</v>
      </c>
      <c r="G157" s="769">
        <f t="shared" si="17"/>
        <v>0</v>
      </c>
      <c r="H157" s="769">
        <f t="shared" si="17"/>
        <v>0</v>
      </c>
      <c r="I157" s="769">
        <f t="shared" si="17"/>
        <v>0</v>
      </c>
      <c r="J157" s="769">
        <f t="shared" si="17"/>
        <v>0</v>
      </c>
      <c r="K157" s="769">
        <f t="shared" si="17"/>
        <v>0</v>
      </c>
      <c r="L157" s="769">
        <f t="shared" si="17"/>
        <v>0</v>
      </c>
      <c r="M157" s="769">
        <f t="shared" si="17"/>
        <v>0</v>
      </c>
      <c r="N157" s="769">
        <f t="shared" si="17"/>
        <v>0</v>
      </c>
      <c r="O157" s="769">
        <f t="shared" si="17"/>
        <v>0</v>
      </c>
      <c r="P157" s="769">
        <f t="shared" si="16"/>
        <v>0</v>
      </c>
      <c r="Q157" s="752"/>
      <c r="R157" s="111"/>
      <c r="S157" s="1324"/>
    </row>
    <row r="158" spans="1:19" ht="5.0999999999999996" customHeight="1" thickTop="1" x14ac:dyDescent="0.3">
      <c r="A158" s="840"/>
      <c r="B158" s="25"/>
      <c r="C158" s="25"/>
      <c r="D158" s="25"/>
      <c r="E158" s="25"/>
      <c r="F158" s="829"/>
      <c r="G158" s="34"/>
      <c r="H158" s="34"/>
      <c r="I158" s="34"/>
      <c r="J158" s="34"/>
      <c r="K158" s="34"/>
      <c r="L158" s="34"/>
      <c r="M158" s="34"/>
      <c r="N158" s="34"/>
      <c r="O158" s="34"/>
      <c r="P158" s="25"/>
      <c r="Q158" s="752"/>
      <c r="R158" s="111"/>
      <c r="S158" s="1324"/>
    </row>
    <row r="159" spans="1:19" ht="14.85" customHeight="1" x14ac:dyDescent="0.3">
      <c r="A159" s="839" t="s">
        <v>289</v>
      </c>
      <c r="B159" s="743" t="s">
        <v>157</v>
      </c>
      <c r="C159" s="25"/>
      <c r="D159" s="25"/>
      <c r="E159" s="25"/>
      <c r="F159" s="765" t="str">
        <f>"Year 1" &amp; IF(pStartYear&lt;&gt;""," ("&amp;pStartYear&amp;") ","")</f>
        <v xml:space="preserve">Year 1 (2026) </v>
      </c>
      <c r="G159" s="765" t="str">
        <f>"Year 2" &amp; IF(pStartYear&lt;&gt;"",IF(pStartYear+1&gt;pEndYear,""," ("&amp;pStartYear+1&amp;") "),"")</f>
        <v xml:space="preserve">Year 2 (2027) </v>
      </c>
      <c r="H159" s="765" t="str">
        <f>"Year 3" &amp; IF(pStartYear&lt;&gt;"",IF(pStartYear+2&gt;pEndYear,""," ("&amp;pStartYear+2&amp;") "),"")</f>
        <v xml:space="preserve">Year 3 (2028) </v>
      </c>
      <c r="I159" s="765" t="str">
        <f>"Year 4" &amp; IF(pStartYear&lt;&gt;"",IF(pStartYear+3&gt;pEndYear,""," ("&amp;pStartYear+3&amp;") "),"")</f>
        <v xml:space="preserve">Year 4 (2029) </v>
      </c>
      <c r="J159" s="765" t="str">
        <f>"Year 5" &amp; IF(pStartYear&lt;&gt;"",IF(pStartYear+4&gt;pEndYear,""," ("&amp;pStartYear+4&amp;") "),"")</f>
        <v xml:space="preserve">Year 5 (2030) </v>
      </c>
      <c r="K159" s="765" t="str">
        <f>"Year 6" &amp; IF(pStartYear&lt;&gt;"",IF(pStartYear+5&gt;pEndYear,""," ("&amp;pStartYear+5&amp;") "),"")</f>
        <v>Year 6</v>
      </c>
      <c r="L159" s="765" t="str">
        <f>"Year 7" &amp; IF(pStartYear&lt;&gt;"",IF(pStartYear+6&gt;pEndYear,""," ("&amp;pStartYear+6&amp;") "),"")</f>
        <v>Year 7</v>
      </c>
      <c r="M159" s="765" t="str">
        <f>"Year 8" &amp; IF(pStartYear&lt;&gt;"",IF(pStartYear+7&gt;pEndYear,""," ("&amp;pStartYear+7&amp;") "),"")</f>
        <v>Year 8</v>
      </c>
      <c r="N159" s="765" t="str">
        <f>"Year 9" &amp; IF(pStartYear&lt;&gt;"",IF(pStartYear+8&gt;pEndYear,""," ("&amp;pStartYear+8&amp;") "),"")</f>
        <v>Year 9</v>
      </c>
      <c r="O159" s="765" t="str">
        <f>"Year 10" &amp; IF(pStartYear&lt;&gt;"",IF(pStartYear+9&gt;pEndYear,""," ("&amp;pStartYear+9&amp;") "),"")</f>
        <v>Year 10</v>
      </c>
      <c r="P159" s="765" t="str">
        <f>IF(tbBudgetCurrency="AUD - Australian Dollar", "Total (AUD)",CONCATENATE("Total (",LEFT(tbBudgetCurrency,3),")"))</f>
        <v>Total (AUD)</v>
      </c>
      <c r="Q159" s="752"/>
      <c r="R159" s="111"/>
      <c r="S159" s="1324"/>
    </row>
    <row r="160" spans="1:19" ht="15" customHeight="1" x14ac:dyDescent="0.3">
      <c r="A160" s="840"/>
      <c r="B160" s="826" t="s">
        <v>83</v>
      </c>
      <c r="C160" s="25"/>
      <c r="D160" s="25"/>
      <c r="E160" s="25"/>
      <c r="F160" s="766">
        <f>'PART C Non-Staff Costs'!F68+'PART C Non-Staff Costs'!F69</f>
        <v>0</v>
      </c>
      <c r="G160" s="766">
        <f>'PART C Non-Staff Costs'!G68+'PART C Non-Staff Costs'!G69</f>
        <v>0</v>
      </c>
      <c r="H160" s="766">
        <f>'PART C Non-Staff Costs'!H68+'PART C Non-Staff Costs'!H69</f>
        <v>0</v>
      </c>
      <c r="I160" s="766">
        <f>'PART C Non-Staff Costs'!I68+'PART C Non-Staff Costs'!I69</f>
        <v>0</v>
      </c>
      <c r="J160" s="766">
        <f>'PART C Non-Staff Costs'!J68+'PART C Non-Staff Costs'!J69</f>
        <v>0</v>
      </c>
      <c r="K160" s="766">
        <f>'PART C Non-Staff Costs'!K68+'PART C Non-Staff Costs'!K69</f>
        <v>0</v>
      </c>
      <c r="L160" s="766">
        <f>'PART C Non-Staff Costs'!L68+'PART C Non-Staff Costs'!L69</f>
        <v>0</v>
      </c>
      <c r="M160" s="766">
        <f>'PART C Non-Staff Costs'!M68+'PART C Non-Staff Costs'!M69</f>
        <v>0</v>
      </c>
      <c r="N160" s="766">
        <f>'PART C Non-Staff Costs'!N68+'PART C Non-Staff Costs'!N69</f>
        <v>0</v>
      </c>
      <c r="O160" s="766">
        <f>'PART C Non-Staff Costs'!O68+'PART C Non-Staff Costs'!O69</f>
        <v>0</v>
      </c>
      <c r="P160" s="767">
        <f>SUM($F160:$O160)</f>
        <v>0</v>
      </c>
      <c r="Q160" s="752"/>
      <c r="R160" s="111"/>
      <c r="S160" s="1324"/>
    </row>
    <row r="161" spans="1:19" ht="15" customHeight="1" x14ac:dyDescent="0.3">
      <c r="A161" s="840"/>
      <c r="B161" s="826" t="s">
        <v>90</v>
      </c>
      <c r="C161" s="25"/>
      <c r="D161" s="25"/>
      <c r="E161" s="25"/>
      <c r="F161" s="766">
        <f>'PART C Non-Staff Costs'!F81+'PART C Non-Staff Costs'!F82+'PART C Non-Staff Costs'!F89+'PART C Non-Staff Costs'!F90</f>
        <v>0</v>
      </c>
      <c r="G161" s="766">
        <f>'PART C Non-Staff Costs'!G81+'PART C Non-Staff Costs'!G82+'PART C Non-Staff Costs'!G89+'PART C Non-Staff Costs'!G90</f>
        <v>0</v>
      </c>
      <c r="H161" s="766">
        <f>'PART C Non-Staff Costs'!H81+'PART C Non-Staff Costs'!H82+'PART C Non-Staff Costs'!H89+'PART C Non-Staff Costs'!H90</f>
        <v>0</v>
      </c>
      <c r="I161" s="766">
        <f>'PART C Non-Staff Costs'!I81+'PART C Non-Staff Costs'!I82+'PART C Non-Staff Costs'!I89+'PART C Non-Staff Costs'!I90</f>
        <v>0</v>
      </c>
      <c r="J161" s="766">
        <f>'PART C Non-Staff Costs'!J81+'PART C Non-Staff Costs'!J82+'PART C Non-Staff Costs'!J89+'PART C Non-Staff Costs'!J90</f>
        <v>0</v>
      </c>
      <c r="K161" s="766">
        <f>'PART C Non-Staff Costs'!K81+'PART C Non-Staff Costs'!K82+'PART C Non-Staff Costs'!K89+'PART C Non-Staff Costs'!K90</f>
        <v>0</v>
      </c>
      <c r="L161" s="766">
        <f>'PART C Non-Staff Costs'!L81+'PART C Non-Staff Costs'!L82+'PART C Non-Staff Costs'!L89+'PART C Non-Staff Costs'!L90</f>
        <v>0</v>
      </c>
      <c r="M161" s="766">
        <f>'PART C Non-Staff Costs'!M81+'PART C Non-Staff Costs'!M82+'PART C Non-Staff Costs'!M89+'PART C Non-Staff Costs'!M90</f>
        <v>0</v>
      </c>
      <c r="N161" s="766">
        <f>'PART C Non-Staff Costs'!N81+'PART C Non-Staff Costs'!N82+'PART C Non-Staff Costs'!N89+'PART C Non-Staff Costs'!N90</f>
        <v>0</v>
      </c>
      <c r="O161" s="766">
        <f>'PART C Non-Staff Costs'!O81+'PART C Non-Staff Costs'!O82+'PART C Non-Staff Costs'!O89+'PART C Non-Staff Costs'!O90</f>
        <v>0</v>
      </c>
      <c r="P161" s="767"/>
      <c r="Q161" s="752"/>
      <c r="R161" s="111"/>
      <c r="S161" s="1324"/>
    </row>
    <row r="162" spans="1:19" ht="15" customHeight="1" x14ac:dyDescent="0.3">
      <c r="A162" s="840"/>
      <c r="B162" s="826" t="s">
        <v>96</v>
      </c>
      <c r="C162" s="25"/>
      <c r="D162" s="25"/>
      <c r="E162" s="25"/>
      <c r="F162" s="766">
        <f>'PART C Non-Staff Costs'!F103+'PART C Non-Staff Costs'!F104</f>
        <v>0</v>
      </c>
      <c r="G162" s="766">
        <f>'PART C Non-Staff Costs'!G103+'PART C Non-Staff Costs'!G104</f>
        <v>0</v>
      </c>
      <c r="H162" s="766">
        <f>'PART C Non-Staff Costs'!H103+'PART C Non-Staff Costs'!H104</f>
        <v>0</v>
      </c>
      <c r="I162" s="766">
        <f>'PART C Non-Staff Costs'!I103+'PART C Non-Staff Costs'!I104</f>
        <v>0</v>
      </c>
      <c r="J162" s="766">
        <f>'PART C Non-Staff Costs'!J103+'PART C Non-Staff Costs'!J104</f>
        <v>0</v>
      </c>
      <c r="K162" s="766">
        <f>'PART C Non-Staff Costs'!K103+'PART C Non-Staff Costs'!K104</f>
        <v>0</v>
      </c>
      <c r="L162" s="766">
        <f>'PART C Non-Staff Costs'!L103+'PART C Non-Staff Costs'!L104</f>
        <v>0</v>
      </c>
      <c r="M162" s="766">
        <f>'PART C Non-Staff Costs'!M103+'PART C Non-Staff Costs'!M104</f>
        <v>0</v>
      </c>
      <c r="N162" s="766">
        <f>'PART C Non-Staff Costs'!N103+'PART C Non-Staff Costs'!N104</f>
        <v>0</v>
      </c>
      <c r="O162" s="766">
        <f>'PART C Non-Staff Costs'!O103+'PART C Non-Staff Costs'!O104</f>
        <v>0</v>
      </c>
      <c r="P162" s="767"/>
      <c r="Q162" s="752"/>
      <c r="R162" s="111"/>
      <c r="S162" s="1324"/>
    </row>
    <row r="163" spans="1:19" ht="15" customHeight="1" x14ac:dyDescent="0.3">
      <c r="A163" s="840"/>
      <c r="B163" s="841" t="s">
        <v>100</v>
      </c>
      <c r="C163" s="25"/>
      <c r="D163" s="25"/>
      <c r="E163" s="25"/>
      <c r="F163" s="766">
        <f>'PART C Non-Staff Costs'!F116+'PART C Non-Staff Costs'!F117+'PART C Non-Staff Costs'!F124+'PART C Non-Staff Costs'!F125+'PART C Non-Staff Costs'!F132+'PART C Non-Staff Costs'!F133+'PART C Non-Staff Costs'!F140+'PART C Non-Staff Costs'!F141+'PART C Non-Staff Costs'!F148+'PART C Non-Staff Costs'!F149</f>
        <v>0</v>
      </c>
      <c r="G163" s="766">
        <f>'PART C Non-Staff Costs'!G116+'PART C Non-Staff Costs'!G117+'PART C Non-Staff Costs'!G124+'PART C Non-Staff Costs'!G125+'PART C Non-Staff Costs'!G132+'PART C Non-Staff Costs'!G133+'PART C Non-Staff Costs'!G140+'PART C Non-Staff Costs'!G141+'PART C Non-Staff Costs'!G148+'PART C Non-Staff Costs'!G149</f>
        <v>0</v>
      </c>
      <c r="H163" s="766">
        <f>'PART C Non-Staff Costs'!H116+'PART C Non-Staff Costs'!H117+'PART C Non-Staff Costs'!H124+'PART C Non-Staff Costs'!H125+'PART C Non-Staff Costs'!H132+'PART C Non-Staff Costs'!H133+'PART C Non-Staff Costs'!H140+'PART C Non-Staff Costs'!H141+'PART C Non-Staff Costs'!H148+'PART C Non-Staff Costs'!H149</f>
        <v>0</v>
      </c>
      <c r="I163" s="766">
        <f>'PART C Non-Staff Costs'!I116+'PART C Non-Staff Costs'!I117+'PART C Non-Staff Costs'!I124+'PART C Non-Staff Costs'!I125+'PART C Non-Staff Costs'!I132+'PART C Non-Staff Costs'!I133+'PART C Non-Staff Costs'!I140+'PART C Non-Staff Costs'!I141+'PART C Non-Staff Costs'!I148+'PART C Non-Staff Costs'!I149</f>
        <v>0</v>
      </c>
      <c r="J163" s="766">
        <f>'PART C Non-Staff Costs'!J116+'PART C Non-Staff Costs'!J117+'PART C Non-Staff Costs'!J124+'PART C Non-Staff Costs'!J125+'PART C Non-Staff Costs'!J132+'PART C Non-Staff Costs'!J133+'PART C Non-Staff Costs'!J140+'PART C Non-Staff Costs'!J141+'PART C Non-Staff Costs'!J148+'PART C Non-Staff Costs'!J149</f>
        <v>0</v>
      </c>
      <c r="K163" s="766">
        <f>'PART C Non-Staff Costs'!K116+'PART C Non-Staff Costs'!K117+'PART C Non-Staff Costs'!K124+'PART C Non-Staff Costs'!K125+'PART C Non-Staff Costs'!K132+'PART C Non-Staff Costs'!K133+'PART C Non-Staff Costs'!K140+'PART C Non-Staff Costs'!K141+'PART C Non-Staff Costs'!K148+'PART C Non-Staff Costs'!K149</f>
        <v>0</v>
      </c>
      <c r="L163" s="766">
        <f>'PART C Non-Staff Costs'!L116+'PART C Non-Staff Costs'!L117+'PART C Non-Staff Costs'!L124+'PART C Non-Staff Costs'!L125+'PART C Non-Staff Costs'!L132+'PART C Non-Staff Costs'!L133+'PART C Non-Staff Costs'!L140+'PART C Non-Staff Costs'!L141+'PART C Non-Staff Costs'!L148+'PART C Non-Staff Costs'!L149</f>
        <v>0</v>
      </c>
      <c r="M163" s="766">
        <f>'PART C Non-Staff Costs'!M116+'PART C Non-Staff Costs'!M117+'PART C Non-Staff Costs'!M124+'PART C Non-Staff Costs'!M125+'PART C Non-Staff Costs'!M132+'PART C Non-Staff Costs'!M133+'PART C Non-Staff Costs'!M140+'PART C Non-Staff Costs'!M141+'PART C Non-Staff Costs'!M148+'PART C Non-Staff Costs'!M149</f>
        <v>0</v>
      </c>
      <c r="N163" s="766">
        <f>'PART C Non-Staff Costs'!N116+'PART C Non-Staff Costs'!N117+'PART C Non-Staff Costs'!N124+'PART C Non-Staff Costs'!N125+'PART C Non-Staff Costs'!N132+'PART C Non-Staff Costs'!N133+'PART C Non-Staff Costs'!N140+'PART C Non-Staff Costs'!N141+'PART C Non-Staff Costs'!N148+'PART C Non-Staff Costs'!N149</f>
        <v>0</v>
      </c>
      <c r="O163" s="766">
        <f>'PART C Non-Staff Costs'!O116+'PART C Non-Staff Costs'!O117+'PART C Non-Staff Costs'!O124+'PART C Non-Staff Costs'!O125+'PART C Non-Staff Costs'!O132+'PART C Non-Staff Costs'!O133+'PART C Non-Staff Costs'!O140+'PART C Non-Staff Costs'!O141+'PART C Non-Staff Costs'!O148+'PART C Non-Staff Costs'!O149</f>
        <v>0</v>
      </c>
      <c r="P163" s="767"/>
      <c r="Q163" s="752"/>
      <c r="R163" s="111"/>
      <c r="S163" s="1324"/>
    </row>
    <row r="164" spans="1:19" ht="15" customHeight="1" x14ac:dyDescent="0.3">
      <c r="A164" s="840"/>
      <c r="B164" s="826" t="s">
        <v>107</v>
      </c>
      <c r="C164" s="25"/>
      <c r="D164" s="25"/>
      <c r="E164" s="25"/>
      <c r="F164" s="766">
        <f>'PART C Non-Staff Costs'!F161+'PART C Non-Staff Costs'!F162+'PART C Non-Staff Costs'!F169+'PART C Non-Staff Costs'!F170+'PART C Non-Staff Costs'!F177+'PART C Non-Staff Costs'!F178+'PART C Non-Staff Costs'!F185+'PART C Non-Staff Costs'!F186</f>
        <v>0</v>
      </c>
      <c r="G164" s="766">
        <f>'PART C Non-Staff Costs'!G161+'PART C Non-Staff Costs'!G162+'PART C Non-Staff Costs'!G169+'PART C Non-Staff Costs'!G170+'PART C Non-Staff Costs'!G177+'PART C Non-Staff Costs'!G178+'PART C Non-Staff Costs'!G185+'PART C Non-Staff Costs'!G186</f>
        <v>0</v>
      </c>
      <c r="H164" s="766">
        <f>'PART C Non-Staff Costs'!H161+'PART C Non-Staff Costs'!H162+'PART C Non-Staff Costs'!H169+'PART C Non-Staff Costs'!H170+'PART C Non-Staff Costs'!H177+'PART C Non-Staff Costs'!H178+'PART C Non-Staff Costs'!H185+'PART C Non-Staff Costs'!H186</f>
        <v>0</v>
      </c>
      <c r="I164" s="766">
        <f>'PART C Non-Staff Costs'!I161+'PART C Non-Staff Costs'!I162+'PART C Non-Staff Costs'!I169+'PART C Non-Staff Costs'!I170+'PART C Non-Staff Costs'!I177+'PART C Non-Staff Costs'!I178+'PART C Non-Staff Costs'!I185+'PART C Non-Staff Costs'!I186</f>
        <v>0</v>
      </c>
      <c r="J164" s="766">
        <f>'PART C Non-Staff Costs'!J161+'PART C Non-Staff Costs'!J162+'PART C Non-Staff Costs'!J169+'PART C Non-Staff Costs'!J170+'PART C Non-Staff Costs'!J177+'PART C Non-Staff Costs'!J178+'PART C Non-Staff Costs'!J185+'PART C Non-Staff Costs'!J186</f>
        <v>0</v>
      </c>
      <c r="K164" s="766">
        <f>'PART C Non-Staff Costs'!K161+'PART C Non-Staff Costs'!K162+'PART C Non-Staff Costs'!K169+'PART C Non-Staff Costs'!K170+'PART C Non-Staff Costs'!K177+'PART C Non-Staff Costs'!K178+'PART C Non-Staff Costs'!K185+'PART C Non-Staff Costs'!K186</f>
        <v>0</v>
      </c>
      <c r="L164" s="766">
        <f>'PART C Non-Staff Costs'!L161+'PART C Non-Staff Costs'!L162+'PART C Non-Staff Costs'!L169+'PART C Non-Staff Costs'!L170+'PART C Non-Staff Costs'!L177+'PART C Non-Staff Costs'!L178+'PART C Non-Staff Costs'!L185+'PART C Non-Staff Costs'!L186</f>
        <v>0</v>
      </c>
      <c r="M164" s="766">
        <f>'PART C Non-Staff Costs'!M161+'PART C Non-Staff Costs'!M162+'PART C Non-Staff Costs'!M169+'PART C Non-Staff Costs'!M170+'PART C Non-Staff Costs'!M177+'PART C Non-Staff Costs'!M178+'PART C Non-Staff Costs'!M185+'PART C Non-Staff Costs'!M186</f>
        <v>0</v>
      </c>
      <c r="N164" s="766">
        <f>'PART C Non-Staff Costs'!N161+'PART C Non-Staff Costs'!N162+'PART C Non-Staff Costs'!N169+'PART C Non-Staff Costs'!N170+'PART C Non-Staff Costs'!N177+'PART C Non-Staff Costs'!N178+'PART C Non-Staff Costs'!N185+'PART C Non-Staff Costs'!N186</f>
        <v>0</v>
      </c>
      <c r="O164" s="766">
        <f>'PART C Non-Staff Costs'!O161+'PART C Non-Staff Costs'!O162+'PART C Non-Staff Costs'!O169+'PART C Non-Staff Costs'!O170+'PART C Non-Staff Costs'!O177+'PART C Non-Staff Costs'!O178+'PART C Non-Staff Costs'!O185+'PART C Non-Staff Costs'!O186</f>
        <v>0</v>
      </c>
      <c r="P164" s="767"/>
      <c r="Q164" s="752"/>
      <c r="R164" s="111"/>
      <c r="S164" s="1324"/>
    </row>
    <row r="165" spans="1:19" ht="15" customHeight="1" x14ac:dyDescent="0.3">
      <c r="A165" s="840"/>
      <c r="B165" s="826" t="s">
        <v>117</v>
      </c>
      <c r="C165" s="25"/>
      <c r="D165" s="25"/>
      <c r="E165" s="25"/>
      <c r="F165" s="766">
        <f>'PART C Non-Staff Costs'!F198+'PART C Non-Staff Costs'!F199+'PART C Non-Staff Costs'!F206+'PART C Non-Staff Costs'!F207</f>
        <v>0</v>
      </c>
      <c r="G165" s="766">
        <f>'PART C Non-Staff Costs'!G198+'PART C Non-Staff Costs'!G199+'PART C Non-Staff Costs'!G206+'PART C Non-Staff Costs'!G207</f>
        <v>0</v>
      </c>
      <c r="H165" s="766">
        <f>'PART C Non-Staff Costs'!H198+'PART C Non-Staff Costs'!H199+'PART C Non-Staff Costs'!H206+'PART C Non-Staff Costs'!H207</f>
        <v>0</v>
      </c>
      <c r="I165" s="766">
        <f>'PART C Non-Staff Costs'!I198+'PART C Non-Staff Costs'!I199+'PART C Non-Staff Costs'!I206+'PART C Non-Staff Costs'!I207</f>
        <v>0</v>
      </c>
      <c r="J165" s="766">
        <f>'PART C Non-Staff Costs'!J198+'PART C Non-Staff Costs'!J199+'PART C Non-Staff Costs'!J206+'PART C Non-Staff Costs'!J207</f>
        <v>0</v>
      </c>
      <c r="K165" s="766">
        <f>'PART C Non-Staff Costs'!K198+'PART C Non-Staff Costs'!K199+'PART C Non-Staff Costs'!K206+'PART C Non-Staff Costs'!K207</f>
        <v>0</v>
      </c>
      <c r="L165" s="766">
        <f>'PART C Non-Staff Costs'!L198+'PART C Non-Staff Costs'!L199+'PART C Non-Staff Costs'!L206+'PART C Non-Staff Costs'!L207</f>
        <v>0</v>
      </c>
      <c r="M165" s="766">
        <f>'PART C Non-Staff Costs'!M198+'PART C Non-Staff Costs'!M199+'PART C Non-Staff Costs'!M206+'PART C Non-Staff Costs'!M207</f>
        <v>0</v>
      </c>
      <c r="N165" s="766">
        <f>'PART C Non-Staff Costs'!N198+'PART C Non-Staff Costs'!N199+'PART C Non-Staff Costs'!N206+'PART C Non-Staff Costs'!N207</f>
        <v>0</v>
      </c>
      <c r="O165" s="766">
        <f>'PART C Non-Staff Costs'!O198+'PART C Non-Staff Costs'!O199+'PART C Non-Staff Costs'!O206+'PART C Non-Staff Costs'!O207</f>
        <v>0</v>
      </c>
      <c r="P165" s="767">
        <f>SUM($F165:$O165)</f>
        <v>0</v>
      </c>
      <c r="Q165" s="752"/>
      <c r="R165" s="111"/>
      <c r="S165" s="1324"/>
    </row>
    <row r="166" spans="1:19" ht="15" customHeight="1" x14ac:dyDescent="0.3">
      <c r="A166" s="840"/>
      <c r="B166" s="826" t="s">
        <v>123</v>
      </c>
      <c r="C166" s="25"/>
      <c r="D166" s="25"/>
      <c r="E166" s="25"/>
      <c r="F166" s="766">
        <f>'PART C Non-Staff Costs'!F219+'PART C Non-Staff Costs'!F220</f>
        <v>0</v>
      </c>
      <c r="G166" s="766">
        <f>'PART C Non-Staff Costs'!G219+'PART C Non-Staff Costs'!G220</f>
        <v>0</v>
      </c>
      <c r="H166" s="766">
        <f>'PART C Non-Staff Costs'!H219+'PART C Non-Staff Costs'!H220</f>
        <v>0</v>
      </c>
      <c r="I166" s="766">
        <f>'PART C Non-Staff Costs'!I219+'PART C Non-Staff Costs'!I220</f>
        <v>0</v>
      </c>
      <c r="J166" s="766">
        <f>'PART C Non-Staff Costs'!J219+'PART C Non-Staff Costs'!J220</f>
        <v>0</v>
      </c>
      <c r="K166" s="766">
        <f>'PART C Non-Staff Costs'!K219+'PART C Non-Staff Costs'!K220</f>
        <v>0</v>
      </c>
      <c r="L166" s="766">
        <f>'PART C Non-Staff Costs'!L219+'PART C Non-Staff Costs'!L220</f>
        <v>0</v>
      </c>
      <c r="M166" s="766">
        <f>'PART C Non-Staff Costs'!M219+'PART C Non-Staff Costs'!M220</f>
        <v>0</v>
      </c>
      <c r="N166" s="766">
        <f>'PART C Non-Staff Costs'!N219+'PART C Non-Staff Costs'!N220</f>
        <v>0</v>
      </c>
      <c r="O166" s="766">
        <f>'PART C Non-Staff Costs'!O219+'PART C Non-Staff Costs'!O220</f>
        <v>0</v>
      </c>
      <c r="P166" s="767">
        <f>SUM($F166:$O166)</f>
        <v>0</v>
      </c>
      <c r="Q166" s="752"/>
      <c r="R166" s="111"/>
      <c r="S166" s="1324"/>
    </row>
    <row r="167" spans="1:19" ht="15" customHeight="1" x14ac:dyDescent="0.3">
      <c r="A167" s="840"/>
      <c r="B167" s="826" t="s">
        <v>128</v>
      </c>
      <c r="C167" s="744"/>
      <c r="D167" s="744"/>
      <c r="E167" s="25"/>
      <c r="F167" s="766">
        <f>'PART C Non-Staff Costs'!F232+'PART C Non-Staff Costs'!F233</f>
        <v>0</v>
      </c>
      <c r="G167" s="766">
        <f>'PART C Non-Staff Costs'!G232+'PART C Non-Staff Costs'!G233</f>
        <v>0</v>
      </c>
      <c r="H167" s="766">
        <f>'PART C Non-Staff Costs'!H232+'PART C Non-Staff Costs'!H233</f>
        <v>0</v>
      </c>
      <c r="I167" s="766">
        <f>'PART C Non-Staff Costs'!I232+'PART C Non-Staff Costs'!I233</f>
        <v>0</v>
      </c>
      <c r="J167" s="766">
        <f>'PART C Non-Staff Costs'!J232+'PART C Non-Staff Costs'!J233</f>
        <v>0</v>
      </c>
      <c r="K167" s="766">
        <f>'PART C Non-Staff Costs'!K232+'PART C Non-Staff Costs'!K233</f>
        <v>0</v>
      </c>
      <c r="L167" s="766">
        <f>'PART C Non-Staff Costs'!L232+'PART C Non-Staff Costs'!L233</f>
        <v>0</v>
      </c>
      <c r="M167" s="766">
        <f>'PART C Non-Staff Costs'!M232+'PART C Non-Staff Costs'!M233</f>
        <v>0</v>
      </c>
      <c r="N167" s="766">
        <f>'PART C Non-Staff Costs'!N232+'PART C Non-Staff Costs'!N233</f>
        <v>0</v>
      </c>
      <c r="O167" s="766">
        <f>'PART C Non-Staff Costs'!O232+'PART C Non-Staff Costs'!O233</f>
        <v>0</v>
      </c>
      <c r="P167" s="767">
        <f>SUM($F167:$O167)</f>
        <v>0</v>
      </c>
      <c r="Q167" s="752"/>
      <c r="R167" s="111"/>
      <c r="S167" s="1324"/>
    </row>
    <row r="168" spans="1:19" ht="15" customHeight="1" x14ac:dyDescent="0.3">
      <c r="A168" s="840"/>
      <c r="B168" s="826" t="s">
        <v>132</v>
      </c>
      <c r="C168" s="744"/>
      <c r="D168" s="744"/>
      <c r="E168" s="25"/>
      <c r="F168" s="766">
        <f>'PART C Non-Staff Costs'!F245+'PART C Non-Staff Costs'!F246+'PART C Non-Staff Costs'!F253+'PART C Non-Staff Costs'!F254</f>
        <v>0</v>
      </c>
      <c r="G168" s="766">
        <f>'PART C Non-Staff Costs'!G245+'PART C Non-Staff Costs'!G246+'PART C Non-Staff Costs'!G253+'PART C Non-Staff Costs'!G254</f>
        <v>0</v>
      </c>
      <c r="H168" s="766">
        <f>'PART C Non-Staff Costs'!H245+'PART C Non-Staff Costs'!H246+'PART C Non-Staff Costs'!H253+'PART C Non-Staff Costs'!H254</f>
        <v>0</v>
      </c>
      <c r="I168" s="766">
        <f>'PART C Non-Staff Costs'!I245+'PART C Non-Staff Costs'!I246+'PART C Non-Staff Costs'!I253+'PART C Non-Staff Costs'!I254</f>
        <v>0</v>
      </c>
      <c r="J168" s="766">
        <f>'PART C Non-Staff Costs'!J245+'PART C Non-Staff Costs'!J246+'PART C Non-Staff Costs'!J253+'PART C Non-Staff Costs'!J254</f>
        <v>0</v>
      </c>
      <c r="K168" s="766">
        <f>'PART C Non-Staff Costs'!K245+'PART C Non-Staff Costs'!K246+'PART C Non-Staff Costs'!K253+'PART C Non-Staff Costs'!K254</f>
        <v>0</v>
      </c>
      <c r="L168" s="766">
        <f>'PART C Non-Staff Costs'!L245+'PART C Non-Staff Costs'!L246+'PART C Non-Staff Costs'!L253+'PART C Non-Staff Costs'!L254</f>
        <v>0</v>
      </c>
      <c r="M168" s="766">
        <f>'PART C Non-Staff Costs'!M245+'PART C Non-Staff Costs'!M246+'PART C Non-Staff Costs'!M253+'PART C Non-Staff Costs'!M254</f>
        <v>0</v>
      </c>
      <c r="N168" s="766">
        <f>'PART C Non-Staff Costs'!N245+'PART C Non-Staff Costs'!N246+'PART C Non-Staff Costs'!N253+'PART C Non-Staff Costs'!N254</f>
        <v>0</v>
      </c>
      <c r="O168" s="766">
        <f>'PART C Non-Staff Costs'!O245+'PART C Non-Staff Costs'!O246+'PART C Non-Staff Costs'!O253+'PART C Non-Staff Costs'!O254</f>
        <v>0</v>
      </c>
      <c r="P168" s="842"/>
      <c r="Q168" s="752"/>
      <c r="R168" s="111"/>
      <c r="S168" s="1324"/>
    </row>
    <row r="169" spans="1:19" ht="17.100000000000001" customHeight="1" thickBot="1" x14ac:dyDescent="0.35">
      <c r="A169" s="840"/>
      <c r="B169" s="21" t="s">
        <v>290</v>
      </c>
      <c r="C169" s="743"/>
      <c r="D169" s="743"/>
      <c r="E169" s="25"/>
      <c r="F169" s="769">
        <f>SUM(F$160:F$168)</f>
        <v>0</v>
      </c>
      <c r="G169" s="769">
        <f t="shared" ref="G169:O169" si="18">SUM(G$160:G$168)</f>
        <v>0</v>
      </c>
      <c r="H169" s="769">
        <f t="shared" si="18"/>
        <v>0</v>
      </c>
      <c r="I169" s="769">
        <f t="shared" si="18"/>
        <v>0</v>
      </c>
      <c r="J169" s="769">
        <f t="shared" si="18"/>
        <v>0</v>
      </c>
      <c r="K169" s="769">
        <f t="shared" si="18"/>
        <v>0</v>
      </c>
      <c r="L169" s="769">
        <f t="shared" si="18"/>
        <v>0</v>
      </c>
      <c r="M169" s="769">
        <f t="shared" si="18"/>
        <v>0</v>
      </c>
      <c r="N169" s="769">
        <f t="shared" si="18"/>
        <v>0</v>
      </c>
      <c r="O169" s="769">
        <f t="shared" si="18"/>
        <v>0</v>
      </c>
      <c r="P169" s="769">
        <f>SUM($F169:$O169)</f>
        <v>0</v>
      </c>
      <c r="Q169" s="752"/>
      <c r="R169" s="111"/>
      <c r="S169" s="1324"/>
    </row>
    <row r="170" spans="1:19" ht="6.75" customHeight="1" thickTop="1" x14ac:dyDescent="0.3">
      <c r="A170" s="840"/>
      <c r="B170" s="25"/>
      <c r="C170" s="25"/>
      <c r="D170" s="25"/>
      <c r="E170" s="25"/>
      <c r="F170" s="746"/>
      <c r="G170" s="746"/>
      <c r="H170" s="746"/>
      <c r="I170" s="746"/>
      <c r="J170" s="746"/>
      <c r="K170" s="746"/>
      <c r="L170" s="746"/>
      <c r="M170" s="746"/>
      <c r="N170" s="746"/>
      <c r="O170" s="746"/>
      <c r="P170" s="25"/>
      <c r="Q170" s="752"/>
      <c r="R170" s="111"/>
      <c r="S170" s="1324"/>
    </row>
    <row r="171" spans="1:19" ht="4.5" customHeight="1" x14ac:dyDescent="0.3">
      <c r="A171" s="840"/>
      <c r="B171" s="25"/>
      <c r="C171" s="25"/>
      <c r="D171" s="25"/>
      <c r="E171" s="25"/>
      <c r="F171" s="746"/>
      <c r="G171" s="746"/>
      <c r="H171" s="746"/>
      <c r="I171" s="746"/>
      <c r="J171" s="746"/>
      <c r="K171" s="746"/>
      <c r="L171" s="746"/>
      <c r="M171" s="746"/>
      <c r="N171" s="746"/>
      <c r="O171" s="746"/>
      <c r="P171" s="25"/>
      <c r="Q171" s="752"/>
      <c r="R171" s="111"/>
      <c r="S171" s="1324"/>
    </row>
    <row r="172" spans="1:19" ht="17.100000000000001" customHeight="1" x14ac:dyDescent="0.3">
      <c r="A172" s="839" t="s">
        <v>291</v>
      </c>
      <c r="B172" s="743" t="s">
        <v>292</v>
      </c>
      <c r="C172" s="25"/>
      <c r="D172" s="25"/>
      <c r="E172" s="25"/>
      <c r="F172" s="765" t="str">
        <f>"Year 1" &amp; IF(pStartYear&lt;&gt;""," ("&amp;pStartYear&amp;") ","")</f>
        <v xml:space="preserve">Year 1 (2026) </v>
      </c>
      <c r="G172" s="765" t="str">
        <f>"Year 2" &amp; IF(pStartYear&lt;&gt;"",IF(pStartYear+1&gt;pEndYear,""," ("&amp;pStartYear+1&amp;") "),"")</f>
        <v xml:space="preserve">Year 2 (2027) </v>
      </c>
      <c r="H172" s="765" t="str">
        <f>"Year 3" &amp; IF(pStartYear&lt;&gt;"",IF(pStartYear+2&gt;pEndYear,""," ("&amp;pStartYear+2&amp;") "),"")</f>
        <v xml:space="preserve">Year 3 (2028) </v>
      </c>
      <c r="I172" s="765" t="str">
        <f>"Year 4" &amp; IF(pStartYear&lt;&gt;"",IF(pStartYear+3&gt;pEndYear,""," ("&amp;pStartYear+3&amp;") "),"")</f>
        <v xml:space="preserve">Year 4 (2029) </v>
      </c>
      <c r="J172" s="765" t="str">
        <f>"Year 5" &amp; IF(pStartYear&lt;&gt;"",IF(pStartYear+4&gt;pEndYear,""," ("&amp;pStartYear+4&amp;") "),"")</f>
        <v xml:space="preserve">Year 5 (2030) </v>
      </c>
      <c r="K172" s="765" t="str">
        <f>"Year 6" &amp; IF(pStartYear&lt;&gt;"",IF(pStartYear+5&gt;pEndYear,""," ("&amp;pStartYear+5&amp;") "),"")</f>
        <v>Year 6</v>
      </c>
      <c r="L172" s="765" t="str">
        <f>"Year 7" &amp; IF(pStartYear&lt;&gt;"",IF(pStartYear+6&gt;pEndYear,""," ("&amp;pStartYear+6&amp;") "),"")</f>
        <v>Year 7</v>
      </c>
      <c r="M172" s="765" t="str">
        <f>"Year 8" &amp; IF(pStartYear&lt;&gt;"",IF(pStartYear+7&gt;pEndYear,""," ("&amp;pStartYear+7&amp;") "),"")</f>
        <v>Year 8</v>
      </c>
      <c r="N172" s="765" t="str">
        <f>"Year 9" &amp; IF(pStartYear&lt;&gt;"",IF(pStartYear+8&gt;pEndYear,""," ("&amp;pStartYear+8&amp;") "),"")</f>
        <v>Year 9</v>
      </c>
      <c r="O172" s="765" t="str">
        <f>"Year 10" &amp; IF(pStartYear&lt;&gt;"",IF(pStartYear+9&gt;pEndYear,""," ("&amp;pStartYear+9&amp;") "),"")</f>
        <v>Year 10</v>
      </c>
      <c r="P172" s="765" t="str">
        <f>IF(tbBudgetCurrency="AUD - Australian Dollar", "Total (AUD)",CONCATENATE("Total (",LEFT(tbBudgetCurrency,3),")"))</f>
        <v>Total (AUD)</v>
      </c>
      <c r="Q172" s="752"/>
      <c r="R172" s="111"/>
      <c r="S172" s="1324"/>
    </row>
    <row r="173" spans="1:19" ht="17.100000000000001" customHeight="1" thickBot="1" x14ac:dyDescent="0.35">
      <c r="A173" s="840"/>
      <c r="B173" s="25"/>
      <c r="C173" s="25"/>
      <c r="D173" s="25"/>
      <c r="E173" s="25"/>
      <c r="F173" s="769">
        <f t="shared" ref="F173:O173" si="19">SUM(F$157,F$169)</f>
        <v>0</v>
      </c>
      <c r="G173" s="769">
        <f t="shared" si="19"/>
        <v>0</v>
      </c>
      <c r="H173" s="769">
        <f t="shared" si="19"/>
        <v>0</v>
      </c>
      <c r="I173" s="769">
        <f t="shared" si="19"/>
        <v>0</v>
      </c>
      <c r="J173" s="769">
        <f t="shared" si="19"/>
        <v>0</v>
      </c>
      <c r="K173" s="769">
        <f t="shared" si="19"/>
        <v>0</v>
      </c>
      <c r="L173" s="769">
        <f t="shared" si="19"/>
        <v>0</v>
      </c>
      <c r="M173" s="769">
        <f t="shared" si="19"/>
        <v>0</v>
      </c>
      <c r="N173" s="769">
        <f t="shared" si="19"/>
        <v>0</v>
      </c>
      <c r="O173" s="769">
        <f t="shared" si="19"/>
        <v>0</v>
      </c>
      <c r="P173" s="769">
        <f>SUM($F173:$O173)</f>
        <v>0</v>
      </c>
      <c r="Q173" s="752"/>
      <c r="R173" s="111"/>
      <c r="S173" s="1324"/>
    </row>
    <row r="174" spans="1:19" ht="15" customHeight="1" thickTop="1" thickBot="1" x14ac:dyDescent="0.35">
      <c r="A174" s="840"/>
      <c r="B174" s="821"/>
      <c r="C174" s="821"/>
      <c r="D174" s="821"/>
      <c r="E174" s="822"/>
      <c r="F174" s="822"/>
      <c r="G174" s="822"/>
      <c r="H174" s="822"/>
      <c r="I174" s="822"/>
      <c r="J174" s="822"/>
      <c r="K174" s="822"/>
      <c r="L174" s="822"/>
      <c r="M174" s="822"/>
      <c r="N174" s="822"/>
      <c r="O174" s="822"/>
      <c r="P174" s="822"/>
      <c r="Q174" s="823"/>
      <c r="R174" s="111"/>
      <c r="S174" s="1325"/>
    </row>
    <row r="175" spans="1:19" ht="25.5" customHeight="1" thickBot="1" x14ac:dyDescent="0.35">
      <c r="A175" s="840"/>
      <c r="B175" s="1365" t="s">
        <v>293</v>
      </c>
      <c r="C175" s="1365"/>
      <c r="D175" s="1365"/>
      <c r="E175" s="1365"/>
      <c r="F175" s="1365"/>
      <c r="G175" s="1365"/>
      <c r="H175" s="1365"/>
      <c r="I175" s="1365"/>
      <c r="J175" s="1365"/>
      <c r="K175" s="1365"/>
      <c r="L175" s="1365"/>
      <c r="M175" s="1365"/>
      <c r="N175" s="1365"/>
      <c r="O175" s="1365"/>
      <c r="P175" s="1365"/>
      <c r="Q175" s="1366"/>
      <c r="R175" s="111"/>
      <c r="S175" s="1053" t="s">
        <v>294</v>
      </c>
    </row>
    <row r="176" spans="1:19" ht="11.1" customHeight="1" x14ac:dyDescent="0.3">
      <c r="A176" s="840"/>
      <c r="B176" s="861"/>
      <c r="C176" s="861"/>
      <c r="D176" s="861"/>
      <c r="E176" s="862"/>
      <c r="F176" s="863"/>
      <c r="G176" s="863"/>
      <c r="H176" s="863"/>
      <c r="I176" s="863"/>
      <c r="J176" s="863"/>
      <c r="K176" s="863"/>
      <c r="L176" s="863"/>
      <c r="M176" s="863"/>
      <c r="N176" s="863"/>
      <c r="O176" s="863"/>
      <c r="P176" s="863"/>
      <c r="Q176" s="864"/>
      <c r="R176" s="111"/>
      <c r="S176" s="1055"/>
    </row>
    <row r="177" spans="1:20" ht="15" customHeight="1" x14ac:dyDescent="0.3">
      <c r="A177" s="840"/>
      <c r="B177" s="119" t="s">
        <v>295</v>
      </c>
      <c r="C177" s="870"/>
      <c r="D177" s="870"/>
      <c r="E177" s="874"/>
      <c r="F177" s="875"/>
      <c r="G177" s="875"/>
      <c r="H177" s="875"/>
      <c r="I177" s="875"/>
      <c r="J177" s="875"/>
      <c r="K177" s="875"/>
      <c r="L177" s="875"/>
      <c r="M177" s="875"/>
      <c r="N177" s="875"/>
      <c r="O177" s="875"/>
      <c r="P177" s="875"/>
      <c r="Q177" s="855"/>
      <c r="R177" s="111"/>
      <c r="S177" s="1055"/>
    </row>
    <row r="178" spans="1:20" s="1009" customFormat="1" ht="20.25" customHeight="1" x14ac:dyDescent="0.3">
      <c r="A178" s="840"/>
      <c r="B178" s="1337" t="s">
        <v>296</v>
      </c>
      <c r="C178" s="1337"/>
      <c r="D178" s="1337"/>
      <c r="E178" s="1337"/>
      <c r="F178" s="1337"/>
      <c r="G178" s="1337"/>
      <c r="H178" s="1337"/>
      <c r="I178" s="1337"/>
      <c r="J178" s="1337"/>
      <c r="K178" s="275"/>
      <c r="L178" s="275"/>
      <c r="M178" s="275"/>
      <c r="N178" s="275"/>
      <c r="O178" s="275"/>
      <c r="P178" s="275"/>
      <c r="Q178" s="876"/>
      <c r="R178" s="111"/>
      <c r="S178" s="1056"/>
      <c r="T178" s="111"/>
    </row>
    <row r="179" spans="1:20" ht="27" customHeight="1" x14ac:dyDescent="0.3">
      <c r="A179" s="840"/>
      <c r="B179" s="877" t="s">
        <v>297</v>
      </c>
      <c r="C179" s="1327" t="s">
        <v>298</v>
      </c>
      <c r="D179" s="1328"/>
      <c r="E179" s="1329"/>
      <c r="F179" s="765" t="s">
        <v>299</v>
      </c>
      <c r="G179" s="765" t="s">
        <v>300</v>
      </c>
      <c r="H179" s="765" t="s">
        <v>301</v>
      </c>
      <c r="I179" s="765" t="s">
        <v>302</v>
      </c>
      <c r="J179" s="765" t="s">
        <v>303</v>
      </c>
      <c r="K179" s="282"/>
      <c r="L179" s="282"/>
      <c r="M179" s="282"/>
      <c r="N179" s="282"/>
      <c r="O179" s="282"/>
      <c r="P179" s="275"/>
      <c r="Q179" s="878"/>
      <c r="R179" s="1052"/>
      <c r="S179" s="1055"/>
    </row>
    <row r="180" spans="1:20" ht="110.1" customHeight="1" x14ac:dyDescent="0.3">
      <c r="A180" s="840"/>
      <c r="B180" s="879"/>
      <c r="C180" s="1330" t="s">
        <v>304</v>
      </c>
      <c r="D180" s="1331"/>
      <c r="E180" s="1332"/>
      <c r="F180" s="880"/>
      <c r="G180" s="880" t="s">
        <v>305</v>
      </c>
      <c r="H180" s="880" t="s">
        <v>306</v>
      </c>
      <c r="I180" s="880" t="s">
        <v>307</v>
      </c>
      <c r="J180" s="880" t="s">
        <v>308</v>
      </c>
      <c r="K180" s="881"/>
      <c r="L180" s="881"/>
      <c r="M180" s="881"/>
      <c r="N180" s="881"/>
      <c r="O180" s="881"/>
      <c r="P180" s="275"/>
      <c r="Q180" s="882"/>
      <c r="R180" s="1052"/>
      <c r="S180" s="1055"/>
    </row>
    <row r="181" spans="1:20" ht="15" customHeight="1" x14ac:dyDescent="0.3">
      <c r="A181" s="840"/>
      <c r="B181" s="879">
        <v>1</v>
      </c>
      <c r="C181" s="1333"/>
      <c r="D181" s="1334"/>
      <c r="E181" s="1335"/>
      <c r="F181" s="883"/>
      <c r="G181" s="884"/>
      <c r="H181" s="885"/>
      <c r="I181" s="883"/>
      <c r="J181" s="883"/>
      <c r="K181" s="866"/>
      <c r="L181" s="866"/>
      <c r="M181" s="866"/>
      <c r="N181" s="866"/>
      <c r="O181" s="866"/>
      <c r="P181" s="275"/>
      <c r="Q181" s="886"/>
      <c r="R181" s="1052"/>
      <c r="S181" s="1055"/>
    </row>
    <row r="182" spans="1:20" x14ac:dyDescent="0.3">
      <c r="A182" s="840"/>
      <c r="B182" s="879">
        <v>2</v>
      </c>
      <c r="C182" s="1333"/>
      <c r="D182" s="1334"/>
      <c r="E182" s="1335"/>
      <c r="F182" s="883"/>
      <c r="G182" s="884"/>
      <c r="H182" s="885"/>
      <c r="I182" s="883"/>
      <c r="J182" s="883"/>
      <c r="K182" s="866"/>
      <c r="L182" s="866"/>
      <c r="M182" s="866"/>
      <c r="N182" s="866"/>
      <c r="O182" s="866"/>
      <c r="P182" s="275"/>
      <c r="Q182" s="886"/>
      <c r="R182" s="1052"/>
      <c r="S182" s="1055"/>
    </row>
    <row r="183" spans="1:20" x14ac:dyDescent="0.3">
      <c r="A183" s="840"/>
      <c r="B183" s="879">
        <v>3</v>
      </c>
      <c r="C183" s="1333"/>
      <c r="D183" s="1334"/>
      <c r="E183" s="1335"/>
      <c r="F183" s="883"/>
      <c r="G183" s="884"/>
      <c r="H183" s="885"/>
      <c r="I183" s="883"/>
      <c r="J183" s="883"/>
      <c r="K183" s="866"/>
      <c r="L183" s="866"/>
      <c r="M183" s="866"/>
      <c r="N183" s="866"/>
      <c r="O183" s="866"/>
      <c r="P183" s="275"/>
      <c r="Q183" s="886"/>
      <c r="R183" s="1052"/>
      <c r="S183" s="1055"/>
    </row>
    <row r="184" spans="1:20" x14ac:dyDescent="0.3">
      <c r="A184" s="840"/>
      <c r="B184" s="879">
        <v>4</v>
      </c>
      <c r="C184" s="1333"/>
      <c r="D184" s="1334"/>
      <c r="E184" s="1335"/>
      <c r="F184" s="883"/>
      <c r="G184" s="884"/>
      <c r="H184" s="885"/>
      <c r="I184" s="883"/>
      <c r="J184" s="883"/>
      <c r="K184" s="866"/>
      <c r="L184" s="866"/>
      <c r="M184" s="866"/>
      <c r="N184" s="866"/>
      <c r="O184" s="866"/>
      <c r="P184" s="275"/>
      <c r="Q184" s="886"/>
      <c r="R184" s="1052"/>
      <c r="S184" s="1055"/>
    </row>
    <row r="185" spans="1:20" x14ac:dyDescent="0.3">
      <c r="A185" s="840"/>
      <c r="B185" s="879">
        <v>5</v>
      </c>
      <c r="C185" s="1333"/>
      <c r="D185" s="1334"/>
      <c r="E185" s="1335"/>
      <c r="F185" s="883"/>
      <c r="G185" s="884"/>
      <c r="H185" s="885"/>
      <c r="I185" s="883"/>
      <c r="J185" s="883"/>
      <c r="K185" s="866"/>
      <c r="L185" s="866"/>
      <c r="M185" s="866"/>
      <c r="N185" s="866"/>
      <c r="O185" s="866"/>
      <c r="P185" s="275"/>
      <c r="Q185" s="886"/>
      <c r="R185" s="1052"/>
      <c r="S185" s="1055"/>
    </row>
    <row r="186" spans="1:20" x14ac:dyDescent="0.3">
      <c r="A186" s="840"/>
      <c r="B186" s="879">
        <v>6</v>
      </c>
      <c r="C186" s="1333"/>
      <c r="D186" s="1334"/>
      <c r="E186" s="1335"/>
      <c r="F186" s="883"/>
      <c r="G186" s="884"/>
      <c r="H186" s="885"/>
      <c r="I186" s="883"/>
      <c r="J186" s="883"/>
      <c r="K186" s="866"/>
      <c r="L186" s="866"/>
      <c r="M186" s="866"/>
      <c r="N186" s="866"/>
      <c r="O186" s="866"/>
      <c r="P186" s="275"/>
      <c r="Q186" s="886"/>
      <c r="R186" s="1052"/>
      <c r="S186" s="1055"/>
    </row>
    <row r="187" spans="1:20" x14ac:dyDescent="0.3">
      <c r="A187" s="840"/>
      <c r="B187" s="879">
        <v>7</v>
      </c>
      <c r="C187" s="1333"/>
      <c r="D187" s="1334"/>
      <c r="E187" s="1335"/>
      <c r="F187" s="883"/>
      <c r="G187" s="884"/>
      <c r="H187" s="885"/>
      <c r="I187" s="883"/>
      <c r="J187" s="883"/>
      <c r="K187" s="866"/>
      <c r="L187" s="866"/>
      <c r="M187" s="866"/>
      <c r="N187" s="866"/>
      <c r="O187" s="866"/>
      <c r="P187" s="275"/>
      <c r="Q187" s="886"/>
      <c r="R187" s="1052"/>
      <c r="S187" s="1055"/>
    </row>
    <row r="188" spans="1:20" x14ac:dyDescent="0.3">
      <c r="A188" s="840"/>
      <c r="B188" s="879">
        <v>8</v>
      </c>
      <c r="C188" s="1333"/>
      <c r="D188" s="1334"/>
      <c r="E188" s="1335"/>
      <c r="F188" s="883"/>
      <c r="G188" s="884"/>
      <c r="H188" s="885"/>
      <c r="I188" s="883"/>
      <c r="J188" s="883"/>
      <c r="K188" s="866"/>
      <c r="L188" s="866"/>
      <c r="M188" s="866"/>
      <c r="N188" s="866"/>
      <c r="O188" s="866"/>
      <c r="P188" s="275"/>
      <c r="Q188" s="886"/>
      <c r="R188" s="1052"/>
      <c r="S188" s="1055"/>
    </row>
    <row r="189" spans="1:20" x14ac:dyDescent="0.3">
      <c r="A189" s="840"/>
      <c r="B189" s="879">
        <v>9</v>
      </c>
      <c r="C189" s="1333"/>
      <c r="D189" s="1334"/>
      <c r="E189" s="1335"/>
      <c r="F189" s="883"/>
      <c r="G189" s="884"/>
      <c r="H189" s="885"/>
      <c r="I189" s="883"/>
      <c r="J189" s="883"/>
      <c r="K189" s="866"/>
      <c r="L189" s="866"/>
      <c r="M189" s="866"/>
      <c r="N189" s="866"/>
      <c r="O189" s="866"/>
      <c r="P189" s="275"/>
      <c r="Q189" s="886"/>
      <c r="R189" s="1052"/>
      <c r="S189" s="1055"/>
    </row>
    <row r="190" spans="1:20" x14ac:dyDescent="0.3">
      <c r="A190" s="840"/>
      <c r="B190" s="879">
        <v>10</v>
      </c>
      <c r="C190" s="1333"/>
      <c r="D190" s="1334"/>
      <c r="E190" s="1335"/>
      <c r="F190" s="883"/>
      <c r="G190" s="884"/>
      <c r="H190" s="885"/>
      <c r="I190" s="883"/>
      <c r="J190" s="883"/>
      <c r="K190" s="866"/>
      <c r="L190" s="866"/>
      <c r="M190" s="866"/>
      <c r="N190" s="866"/>
      <c r="O190" s="866"/>
      <c r="P190" s="275"/>
      <c r="Q190" s="886"/>
      <c r="R190" s="1052"/>
      <c r="S190" s="1055"/>
    </row>
    <row r="191" spans="1:20" x14ac:dyDescent="0.3">
      <c r="A191" s="840"/>
      <c r="B191" s="879">
        <v>11</v>
      </c>
      <c r="C191" s="1333"/>
      <c r="D191" s="1334"/>
      <c r="E191" s="1335"/>
      <c r="F191" s="883"/>
      <c r="G191" s="884"/>
      <c r="H191" s="885"/>
      <c r="I191" s="883"/>
      <c r="J191" s="883"/>
      <c r="K191" s="866"/>
      <c r="L191" s="866"/>
      <c r="M191" s="866"/>
      <c r="N191" s="866"/>
      <c r="O191" s="866"/>
      <c r="P191" s="275"/>
      <c r="Q191" s="886"/>
      <c r="R191" s="1052"/>
      <c r="S191" s="1055"/>
    </row>
    <row r="192" spans="1:20" x14ac:dyDescent="0.3">
      <c r="A192" s="840"/>
      <c r="B192" s="879">
        <v>12</v>
      </c>
      <c r="C192" s="1333"/>
      <c r="D192" s="1334"/>
      <c r="E192" s="1335"/>
      <c r="F192" s="883"/>
      <c r="G192" s="884"/>
      <c r="H192" s="885"/>
      <c r="I192" s="883"/>
      <c r="J192" s="883"/>
      <c r="K192" s="866"/>
      <c r="L192" s="866"/>
      <c r="M192" s="866"/>
      <c r="N192" s="866"/>
      <c r="O192" s="866"/>
      <c r="P192" s="275"/>
      <c r="Q192" s="886"/>
      <c r="R192" s="1052"/>
      <c r="S192" s="1055"/>
    </row>
    <row r="193" spans="1:19" x14ac:dyDescent="0.3">
      <c r="A193" s="840"/>
      <c r="B193" s="879">
        <v>13</v>
      </c>
      <c r="C193" s="1333"/>
      <c r="D193" s="1334"/>
      <c r="E193" s="1335"/>
      <c r="F193" s="883"/>
      <c r="G193" s="884"/>
      <c r="H193" s="885"/>
      <c r="I193" s="883"/>
      <c r="J193" s="883"/>
      <c r="K193" s="866"/>
      <c r="L193" s="866"/>
      <c r="M193" s="866"/>
      <c r="N193" s="866"/>
      <c r="O193" s="866"/>
      <c r="P193" s="275"/>
      <c r="Q193" s="886"/>
      <c r="R193" s="1052"/>
      <c r="S193" s="1055"/>
    </row>
    <row r="194" spans="1:19" x14ac:dyDescent="0.3">
      <c r="A194" s="840"/>
      <c r="B194" s="879">
        <v>14</v>
      </c>
      <c r="C194" s="1333"/>
      <c r="D194" s="1334"/>
      <c r="E194" s="1335"/>
      <c r="F194" s="883"/>
      <c r="G194" s="884"/>
      <c r="H194" s="885"/>
      <c r="I194" s="883"/>
      <c r="J194" s="883"/>
      <c r="K194" s="866"/>
      <c r="L194" s="866"/>
      <c r="M194" s="866"/>
      <c r="N194" s="866"/>
      <c r="O194" s="866"/>
      <c r="P194" s="275"/>
      <c r="Q194" s="886"/>
      <c r="R194" s="1052"/>
      <c r="S194" s="1055"/>
    </row>
    <row r="195" spans="1:19" x14ac:dyDescent="0.3">
      <c r="A195" s="840"/>
      <c r="B195" s="879">
        <v>15</v>
      </c>
      <c r="C195" s="1333"/>
      <c r="D195" s="1334"/>
      <c r="E195" s="1335"/>
      <c r="F195" s="883"/>
      <c r="G195" s="884"/>
      <c r="H195" s="885"/>
      <c r="I195" s="883"/>
      <c r="J195" s="883"/>
      <c r="K195" s="866"/>
      <c r="L195" s="866"/>
      <c r="M195" s="866"/>
      <c r="N195" s="866"/>
      <c r="O195" s="866"/>
      <c r="P195" s="275"/>
      <c r="Q195" s="886"/>
      <c r="R195" s="1052"/>
      <c r="S195" s="1055"/>
    </row>
    <row r="196" spans="1:19" x14ac:dyDescent="0.3">
      <c r="A196" s="840"/>
      <c r="B196" s="879">
        <v>16</v>
      </c>
      <c r="C196" s="1333"/>
      <c r="D196" s="1334"/>
      <c r="E196" s="1335"/>
      <c r="F196" s="883"/>
      <c r="G196" s="884"/>
      <c r="H196" s="885"/>
      <c r="I196" s="883"/>
      <c r="J196" s="883"/>
      <c r="K196" s="866"/>
      <c r="L196" s="866"/>
      <c r="M196" s="866"/>
      <c r="N196" s="866"/>
      <c r="O196" s="866"/>
      <c r="P196" s="275"/>
      <c r="Q196" s="886"/>
      <c r="R196" s="1052"/>
      <c r="S196" s="1055"/>
    </row>
    <row r="197" spans="1:19" x14ac:dyDescent="0.3">
      <c r="A197" s="840"/>
      <c r="B197" s="879">
        <v>17</v>
      </c>
      <c r="C197" s="1333"/>
      <c r="D197" s="1334"/>
      <c r="E197" s="1335"/>
      <c r="F197" s="883"/>
      <c r="G197" s="884"/>
      <c r="H197" s="885"/>
      <c r="I197" s="883"/>
      <c r="J197" s="883"/>
      <c r="K197" s="866"/>
      <c r="L197" s="866"/>
      <c r="M197" s="866"/>
      <c r="N197" s="866"/>
      <c r="O197" s="866"/>
      <c r="P197" s="275"/>
      <c r="Q197" s="886"/>
      <c r="R197" s="1052"/>
      <c r="S197" s="1055"/>
    </row>
    <row r="198" spans="1:19" x14ac:dyDescent="0.3">
      <c r="A198" s="840"/>
      <c r="B198" s="879">
        <v>18</v>
      </c>
      <c r="C198" s="1333"/>
      <c r="D198" s="1334"/>
      <c r="E198" s="1335"/>
      <c r="F198" s="883"/>
      <c r="G198" s="884"/>
      <c r="H198" s="885"/>
      <c r="I198" s="883"/>
      <c r="J198" s="883"/>
      <c r="K198" s="866"/>
      <c r="L198" s="866"/>
      <c r="M198" s="866"/>
      <c r="N198" s="866"/>
      <c r="O198" s="866"/>
      <c r="P198" s="275"/>
      <c r="Q198" s="886"/>
      <c r="R198" s="1052"/>
      <c r="S198" s="1055"/>
    </row>
    <row r="199" spans="1:19" x14ac:dyDescent="0.3">
      <c r="A199" s="840"/>
      <c r="B199" s="879">
        <v>19</v>
      </c>
      <c r="C199" s="1333"/>
      <c r="D199" s="1334"/>
      <c r="E199" s="1335"/>
      <c r="F199" s="883"/>
      <c r="G199" s="884"/>
      <c r="H199" s="885"/>
      <c r="I199" s="883"/>
      <c r="J199" s="883"/>
      <c r="K199" s="866"/>
      <c r="L199" s="866"/>
      <c r="M199" s="866"/>
      <c r="N199" s="866"/>
      <c r="O199" s="866"/>
      <c r="P199" s="275"/>
      <c r="Q199" s="886"/>
      <c r="R199" s="1052"/>
      <c r="S199" s="1055"/>
    </row>
    <row r="200" spans="1:19" x14ac:dyDescent="0.3">
      <c r="A200" s="840"/>
      <c r="B200" s="879">
        <v>20</v>
      </c>
      <c r="C200" s="1333"/>
      <c r="D200" s="1334"/>
      <c r="E200" s="1335"/>
      <c r="F200" s="883"/>
      <c r="G200" s="884"/>
      <c r="H200" s="885"/>
      <c r="I200" s="883"/>
      <c r="J200" s="883"/>
      <c r="K200" s="866"/>
      <c r="L200" s="866"/>
      <c r="M200" s="866"/>
      <c r="N200" s="866"/>
      <c r="O200" s="866"/>
      <c r="P200" s="275"/>
      <c r="Q200" s="886"/>
      <c r="R200" s="1052"/>
      <c r="S200" s="1055"/>
    </row>
    <row r="201" spans="1:19" hidden="1" outlineLevel="1" x14ac:dyDescent="0.3">
      <c r="A201" s="840"/>
      <c r="B201" s="879">
        <v>21</v>
      </c>
      <c r="C201" s="1333"/>
      <c r="D201" s="1334"/>
      <c r="E201" s="1335"/>
      <c r="F201" s="883"/>
      <c r="G201" s="884"/>
      <c r="H201" s="885"/>
      <c r="I201" s="883"/>
      <c r="J201" s="883"/>
      <c r="K201" s="866"/>
      <c r="L201" s="866"/>
      <c r="M201" s="866"/>
      <c r="N201" s="866"/>
      <c r="O201" s="866"/>
      <c r="P201" s="275"/>
      <c r="Q201" s="886"/>
      <c r="R201" s="1352"/>
      <c r="S201" s="1318"/>
    </row>
    <row r="202" spans="1:19" hidden="1" outlineLevel="1" x14ac:dyDescent="0.3">
      <c r="A202" s="840"/>
      <c r="B202" s="879">
        <v>22</v>
      </c>
      <c r="C202" s="1333"/>
      <c r="D202" s="1334"/>
      <c r="E202" s="1335"/>
      <c r="F202" s="883"/>
      <c r="G202" s="884"/>
      <c r="H202" s="885"/>
      <c r="I202" s="883"/>
      <c r="J202" s="883"/>
      <c r="K202" s="866"/>
      <c r="L202" s="866"/>
      <c r="M202" s="866"/>
      <c r="N202" s="866"/>
      <c r="O202" s="866"/>
      <c r="P202" s="275"/>
      <c r="Q202" s="886"/>
      <c r="R202" s="1353"/>
      <c r="S202" s="1318"/>
    </row>
    <row r="203" spans="1:19" hidden="1" outlineLevel="1" x14ac:dyDescent="0.3">
      <c r="A203" s="840"/>
      <c r="B203" s="879">
        <v>23</v>
      </c>
      <c r="C203" s="1333"/>
      <c r="D203" s="1334"/>
      <c r="E203" s="1335"/>
      <c r="F203" s="883"/>
      <c r="G203" s="884"/>
      <c r="H203" s="885"/>
      <c r="I203" s="883"/>
      <c r="J203" s="883"/>
      <c r="K203" s="866"/>
      <c r="L203" s="866"/>
      <c r="M203" s="866"/>
      <c r="N203" s="866"/>
      <c r="O203" s="866"/>
      <c r="P203" s="275"/>
      <c r="Q203" s="886"/>
      <c r="R203" s="1353"/>
      <c r="S203" s="1318"/>
    </row>
    <row r="204" spans="1:19" hidden="1" outlineLevel="1" x14ac:dyDescent="0.3">
      <c r="A204" s="840"/>
      <c r="B204" s="879">
        <v>24</v>
      </c>
      <c r="C204" s="1333"/>
      <c r="D204" s="1334"/>
      <c r="E204" s="1335"/>
      <c r="F204" s="883"/>
      <c r="G204" s="884"/>
      <c r="H204" s="885"/>
      <c r="I204" s="883"/>
      <c r="J204" s="883"/>
      <c r="K204" s="866"/>
      <c r="L204" s="866"/>
      <c r="M204" s="866"/>
      <c r="N204" s="866"/>
      <c r="O204" s="866"/>
      <c r="P204" s="275"/>
      <c r="Q204" s="886"/>
      <c r="R204" s="1353"/>
      <c r="S204" s="1318"/>
    </row>
    <row r="205" spans="1:19" hidden="1" outlineLevel="1" x14ac:dyDescent="0.3">
      <c r="A205" s="840"/>
      <c r="B205" s="879">
        <v>25</v>
      </c>
      <c r="C205" s="1333"/>
      <c r="D205" s="1334"/>
      <c r="E205" s="1335"/>
      <c r="F205" s="883"/>
      <c r="G205" s="884"/>
      <c r="H205" s="885"/>
      <c r="I205" s="883"/>
      <c r="J205" s="883"/>
      <c r="K205" s="866"/>
      <c r="L205" s="866"/>
      <c r="M205" s="866"/>
      <c r="N205" s="866"/>
      <c r="O205" s="866"/>
      <c r="P205" s="275"/>
      <c r="Q205" s="886"/>
      <c r="R205" s="1353"/>
      <c r="S205" s="1318"/>
    </row>
    <row r="206" spans="1:19" hidden="1" outlineLevel="1" x14ac:dyDescent="0.3">
      <c r="A206" s="840"/>
      <c r="B206" s="879">
        <v>26</v>
      </c>
      <c r="C206" s="1333"/>
      <c r="D206" s="1334"/>
      <c r="E206" s="1335"/>
      <c r="F206" s="883"/>
      <c r="G206" s="884"/>
      <c r="H206" s="885"/>
      <c r="I206" s="883"/>
      <c r="J206" s="883"/>
      <c r="K206" s="866"/>
      <c r="L206" s="866"/>
      <c r="M206" s="866"/>
      <c r="N206" s="866"/>
      <c r="O206" s="866"/>
      <c r="P206" s="275"/>
      <c r="Q206" s="886"/>
      <c r="R206" s="1353"/>
      <c r="S206" s="1318"/>
    </row>
    <row r="207" spans="1:19" hidden="1" outlineLevel="1" x14ac:dyDescent="0.3">
      <c r="A207" s="840"/>
      <c r="B207" s="879">
        <v>27</v>
      </c>
      <c r="C207" s="1333"/>
      <c r="D207" s="1334"/>
      <c r="E207" s="1335"/>
      <c r="F207" s="883"/>
      <c r="G207" s="884"/>
      <c r="H207" s="885"/>
      <c r="I207" s="883"/>
      <c r="J207" s="883"/>
      <c r="K207" s="866"/>
      <c r="L207" s="866"/>
      <c r="M207" s="866"/>
      <c r="N207" s="866"/>
      <c r="O207" s="866"/>
      <c r="P207" s="275"/>
      <c r="Q207" s="886"/>
      <c r="R207" s="1353"/>
      <c r="S207" s="1318"/>
    </row>
    <row r="208" spans="1:19" hidden="1" outlineLevel="1" x14ac:dyDescent="0.3">
      <c r="A208" s="840"/>
      <c r="B208" s="879">
        <v>28</v>
      </c>
      <c r="C208" s="1333"/>
      <c r="D208" s="1334"/>
      <c r="E208" s="1335"/>
      <c r="F208" s="883"/>
      <c r="G208" s="884"/>
      <c r="H208" s="885"/>
      <c r="I208" s="883"/>
      <c r="J208" s="883"/>
      <c r="K208" s="866"/>
      <c r="L208" s="866"/>
      <c r="M208" s="866"/>
      <c r="N208" s="866"/>
      <c r="O208" s="866"/>
      <c r="P208" s="275"/>
      <c r="Q208" s="886"/>
      <c r="R208" s="1353"/>
      <c r="S208" s="1318"/>
    </row>
    <row r="209" spans="1:19" hidden="1" outlineLevel="1" x14ac:dyDescent="0.3">
      <c r="A209" s="840"/>
      <c r="B209" s="879">
        <v>29</v>
      </c>
      <c r="C209" s="1333"/>
      <c r="D209" s="1334"/>
      <c r="E209" s="1335"/>
      <c r="F209" s="883"/>
      <c r="G209" s="884"/>
      <c r="H209" s="885"/>
      <c r="I209" s="883"/>
      <c r="J209" s="883"/>
      <c r="K209" s="866"/>
      <c r="L209" s="866"/>
      <c r="M209" s="866"/>
      <c r="N209" s="866"/>
      <c r="O209" s="866"/>
      <c r="P209" s="275"/>
      <c r="Q209" s="886"/>
      <c r="R209" s="1353"/>
      <c r="S209" s="1318"/>
    </row>
    <row r="210" spans="1:19" hidden="1" outlineLevel="1" x14ac:dyDescent="0.3">
      <c r="A210" s="840"/>
      <c r="B210" s="879">
        <v>30</v>
      </c>
      <c r="C210" s="1333"/>
      <c r="D210" s="1334"/>
      <c r="E210" s="1335"/>
      <c r="F210" s="883"/>
      <c r="G210" s="884"/>
      <c r="H210" s="885"/>
      <c r="I210" s="883"/>
      <c r="J210" s="883"/>
      <c r="K210" s="866"/>
      <c r="L210" s="866"/>
      <c r="M210" s="866"/>
      <c r="N210" s="866"/>
      <c r="O210" s="866"/>
      <c r="P210" s="275"/>
      <c r="Q210" s="886"/>
      <c r="R210" s="1353"/>
      <c r="S210" s="1318"/>
    </row>
    <row r="211" spans="1:19" hidden="1" outlineLevel="1" x14ac:dyDescent="0.3">
      <c r="A211" s="840"/>
      <c r="B211" s="879">
        <v>31</v>
      </c>
      <c r="C211" s="1333"/>
      <c r="D211" s="1334"/>
      <c r="E211" s="1335"/>
      <c r="F211" s="883"/>
      <c r="G211" s="884"/>
      <c r="H211" s="885"/>
      <c r="I211" s="883"/>
      <c r="J211" s="883"/>
      <c r="K211" s="866"/>
      <c r="L211" s="866"/>
      <c r="M211" s="866"/>
      <c r="N211" s="866"/>
      <c r="O211" s="866"/>
      <c r="P211" s="275"/>
      <c r="Q211" s="886"/>
      <c r="R211" s="1353"/>
      <c r="S211" s="1318"/>
    </row>
    <row r="212" spans="1:19" hidden="1" outlineLevel="1" x14ac:dyDescent="0.3">
      <c r="A212" s="840"/>
      <c r="B212" s="879">
        <v>32</v>
      </c>
      <c r="C212" s="1333"/>
      <c r="D212" s="1334"/>
      <c r="E212" s="1335"/>
      <c r="F212" s="883"/>
      <c r="G212" s="884"/>
      <c r="H212" s="885"/>
      <c r="I212" s="883"/>
      <c r="J212" s="883"/>
      <c r="K212" s="866"/>
      <c r="L212" s="866"/>
      <c r="M212" s="866"/>
      <c r="N212" s="866"/>
      <c r="O212" s="866"/>
      <c r="P212" s="275"/>
      <c r="Q212" s="886"/>
      <c r="R212" s="1353"/>
      <c r="S212" s="1318"/>
    </row>
    <row r="213" spans="1:19" hidden="1" outlineLevel="1" x14ac:dyDescent="0.3">
      <c r="A213" s="840"/>
      <c r="B213" s="879">
        <v>33</v>
      </c>
      <c r="C213" s="1333"/>
      <c r="D213" s="1334"/>
      <c r="E213" s="1335"/>
      <c r="F213" s="883"/>
      <c r="G213" s="884"/>
      <c r="H213" s="885"/>
      <c r="I213" s="883"/>
      <c r="J213" s="883"/>
      <c r="K213" s="866"/>
      <c r="L213" s="866"/>
      <c r="M213" s="866"/>
      <c r="N213" s="866"/>
      <c r="O213" s="866"/>
      <c r="P213" s="275"/>
      <c r="Q213" s="886"/>
      <c r="R213" s="1353"/>
      <c r="S213" s="1318"/>
    </row>
    <row r="214" spans="1:19" hidden="1" outlineLevel="1" x14ac:dyDescent="0.3">
      <c r="A214" s="840"/>
      <c r="B214" s="879">
        <v>34</v>
      </c>
      <c r="C214" s="1333"/>
      <c r="D214" s="1334"/>
      <c r="E214" s="1335"/>
      <c r="F214" s="883"/>
      <c r="G214" s="884"/>
      <c r="H214" s="885"/>
      <c r="I214" s="883"/>
      <c r="J214" s="883"/>
      <c r="K214" s="866"/>
      <c r="L214" s="866"/>
      <c r="M214" s="866"/>
      <c r="N214" s="866"/>
      <c r="O214" s="866"/>
      <c r="P214" s="275"/>
      <c r="Q214" s="886"/>
      <c r="R214" s="1353"/>
      <c r="S214" s="1318"/>
    </row>
    <row r="215" spans="1:19" hidden="1" outlineLevel="1" x14ac:dyDescent="0.3">
      <c r="A215" s="840"/>
      <c r="B215" s="879">
        <v>35</v>
      </c>
      <c r="C215" s="1333"/>
      <c r="D215" s="1334"/>
      <c r="E215" s="1335"/>
      <c r="F215" s="883"/>
      <c r="G215" s="884"/>
      <c r="H215" s="885"/>
      <c r="I215" s="883"/>
      <c r="J215" s="883"/>
      <c r="K215" s="866"/>
      <c r="L215" s="866"/>
      <c r="M215" s="866"/>
      <c r="N215" s="866"/>
      <c r="O215" s="866"/>
      <c r="P215" s="275"/>
      <c r="Q215" s="886"/>
      <c r="R215" s="1353"/>
      <c r="S215" s="1318"/>
    </row>
    <row r="216" spans="1:19" hidden="1" outlineLevel="1" x14ac:dyDescent="0.3">
      <c r="A216" s="840"/>
      <c r="B216" s="879">
        <v>36</v>
      </c>
      <c r="C216" s="1333"/>
      <c r="D216" s="1334"/>
      <c r="E216" s="1335"/>
      <c r="F216" s="883"/>
      <c r="G216" s="884"/>
      <c r="H216" s="885"/>
      <c r="I216" s="883"/>
      <c r="J216" s="883"/>
      <c r="K216" s="866"/>
      <c r="L216" s="866"/>
      <c r="M216" s="866"/>
      <c r="N216" s="866"/>
      <c r="O216" s="866"/>
      <c r="P216" s="275"/>
      <c r="Q216" s="886"/>
      <c r="R216" s="1353"/>
      <c r="S216" s="1318"/>
    </row>
    <row r="217" spans="1:19" hidden="1" outlineLevel="1" x14ac:dyDescent="0.3">
      <c r="A217" s="840"/>
      <c r="B217" s="879">
        <v>37</v>
      </c>
      <c r="C217" s="1333"/>
      <c r="D217" s="1334"/>
      <c r="E217" s="1335"/>
      <c r="F217" s="883"/>
      <c r="G217" s="884"/>
      <c r="H217" s="885"/>
      <c r="I217" s="883"/>
      <c r="J217" s="883"/>
      <c r="K217" s="866"/>
      <c r="L217" s="866"/>
      <c r="M217" s="866"/>
      <c r="N217" s="866"/>
      <c r="O217" s="866"/>
      <c r="P217" s="275"/>
      <c r="Q217" s="886"/>
      <c r="R217" s="1353"/>
      <c r="S217" s="1318"/>
    </row>
    <row r="218" spans="1:19" hidden="1" outlineLevel="1" x14ac:dyDescent="0.3">
      <c r="A218" s="840"/>
      <c r="B218" s="879">
        <v>38</v>
      </c>
      <c r="C218" s="1333"/>
      <c r="D218" s="1334"/>
      <c r="E218" s="1335"/>
      <c r="F218" s="883"/>
      <c r="G218" s="884"/>
      <c r="H218" s="885"/>
      <c r="I218" s="883"/>
      <c r="J218" s="883"/>
      <c r="K218" s="866"/>
      <c r="L218" s="866"/>
      <c r="M218" s="866"/>
      <c r="N218" s="866"/>
      <c r="O218" s="866"/>
      <c r="P218" s="275"/>
      <c r="Q218" s="886"/>
      <c r="R218" s="1353"/>
      <c r="S218" s="1318"/>
    </row>
    <row r="219" spans="1:19" hidden="1" outlineLevel="1" x14ac:dyDescent="0.3">
      <c r="A219" s="840"/>
      <c r="B219" s="879">
        <v>39</v>
      </c>
      <c r="C219" s="1333"/>
      <c r="D219" s="1334"/>
      <c r="E219" s="1335"/>
      <c r="F219" s="883"/>
      <c r="G219" s="884"/>
      <c r="H219" s="885"/>
      <c r="I219" s="883"/>
      <c r="J219" s="883"/>
      <c r="K219" s="866"/>
      <c r="L219" s="866"/>
      <c r="M219" s="866"/>
      <c r="N219" s="866"/>
      <c r="O219" s="866"/>
      <c r="P219" s="275"/>
      <c r="Q219" s="886"/>
      <c r="R219" s="1353"/>
      <c r="S219" s="1318"/>
    </row>
    <row r="220" spans="1:19" hidden="1" outlineLevel="1" x14ac:dyDescent="0.3">
      <c r="A220" s="840"/>
      <c r="B220" s="879">
        <v>40</v>
      </c>
      <c r="C220" s="1333"/>
      <c r="D220" s="1334"/>
      <c r="E220" s="1335"/>
      <c r="F220" s="883"/>
      <c r="G220" s="884"/>
      <c r="H220" s="885"/>
      <c r="I220" s="883"/>
      <c r="J220" s="883"/>
      <c r="K220" s="866"/>
      <c r="L220" s="866"/>
      <c r="M220" s="866"/>
      <c r="N220" s="866"/>
      <c r="O220" s="866"/>
      <c r="P220" s="275"/>
      <c r="Q220" s="886"/>
      <c r="R220" s="1353"/>
      <c r="S220" s="1318"/>
    </row>
    <row r="221" spans="1:19" hidden="1" outlineLevel="1" x14ac:dyDescent="0.3">
      <c r="A221" s="840"/>
      <c r="B221" s="879">
        <v>41</v>
      </c>
      <c r="C221" s="1333"/>
      <c r="D221" s="1334"/>
      <c r="E221" s="1335"/>
      <c r="F221" s="883"/>
      <c r="G221" s="884"/>
      <c r="H221" s="885"/>
      <c r="I221" s="883"/>
      <c r="J221" s="883"/>
      <c r="K221" s="866"/>
      <c r="L221" s="866"/>
      <c r="M221" s="866"/>
      <c r="N221" s="866"/>
      <c r="O221" s="866"/>
      <c r="P221" s="275"/>
      <c r="Q221" s="886"/>
      <c r="R221" s="1353"/>
      <c r="S221" s="1318"/>
    </row>
    <row r="222" spans="1:19" hidden="1" outlineLevel="1" x14ac:dyDescent="0.3">
      <c r="A222" s="840"/>
      <c r="B222" s="879">
        <v>42</v>
      </c>
      <c r="C222" s="1333"/>
      <c r="D222" s="1334"/>
      <c r="E222" s="1335"/>
      <c r="F222" s="883"/>
      <c r="G222" s="884"/>
      <c r="H222" s="885"/>
      <c r="I222" s="883"/>
      <c r="J222" s="883"/>
      <c r="K222" s="866"/>
      <c r="L222" s="866"/>
      <c r="M222" s="866"/>
      <c r="N222" s="866"/>
      <c r="O222" s="866"/>
      <c r="P222" s="275"/>
      <c r="Q222" s="886"/>
      <c r="R222" s="1353"/>
      <c r="S222" s="1318"/>
    </row>
    <row r="223" spans="1:19" hidden="1" outlineLevel="1" x14ac:dyDescent="0.3">
      <c r="A223" s="840"/>
      <c r="B223" s="879">
        <v>43</v>
      </c>
      <c r="C223" s="1333"/>
      <c r="D223" s="1334"/>
      <c r="E223" s="1335"/>
      <c r="F223" s="883"/>
      <c r="G223" s="884"/>
      <c r="H223" s="885"/>
      <c r="I223" s="883"/>
      <c r="J223" s="883"/>
      <c r="K223" s="866"/>
      <c r="L223" s="866"/>
      <c r="M223" s="866"/>
      <c r="N223" s="866"/>
      <c r="O223" s="866"/>
      <c r="P223" s="275"/>
      <c r="Q223" s="886"/>
      <c r="R223" s="1353"/>
      <c r="S223" s="1318"/>
    </row>
    <row r="224" spans="1:19" hidden="1" outlineLevel="1" x14ac:dyDescent="0.3">
      <c r="A224" s="840"/>
      <c r="B224" s="879">
        <v>44</v>
      </c>
      <c r="C224" s="1333"/>
      <c r="D224" s="1334"/>
      <c r="E224" s="1335"/>
      <c r="F224" s="883"/>
      <c r="G224" s="884"/>
      <c r="H224" s="885"/>
      <c r="I224" s="883"/>
      <c r="J224" s="883"/>
      <c r="K224" s="866"/>
      <c r="L224" s="866"/>
      <c r="M224" s="866"/>
      <c r="N224" s="866"/>
      <c r="O224" s="866"/>
      <c r="P224" s="275"/>
      <c r="Q224" s="886"/>
      <c r="R224" s="1353"/>
      <c r="S224" s="1318"/>
    </row>
    <row r="225" spans="1:19" hidden="1" outlineLevel="1" x14ac:dyDescent="0.3">
      <c r="A225" s="840"/>
      <c r="B225" s="879">
        <v>45</v>
      </c>
      <c r="C225" s="1333"/>
      <c r="D225" s="1334"/>
      <c r="E225" s="1335"/>
      <c r="F225" s="883"/>
      <c r="G225" s="884"/>
      <c r="H225" s="885"/>
      <c r="I225" s="883"/>
      <c r="J225" s="883"/>
      <c r="K225" s="866"/>
      <c r="L225" s="866"/>
      <c r="M225" s="866"/>
      <c r="N225" s="866"/>
      <c r="O225" s="866"/>
      <c r="P225" s="275"/>
      <c r="Q225" s="886"/>
      <c r="R225" s="1353"/>
      <c r="S225" s="1318"/>
    </row>
    <row r="226" spans="1:19" ht="15" hidden="1" customHeight="1" outlineLevel="1" x14ac:dyDescent="0.3">
      <c r="A226" s="840"/>
      <c r="B226" s="879">
        <v>46</v>
      </c>
      <c r="C226" s="1333"/>
      <c r="D226" s="1334"/>
      <c r="E226" s="1335"/>
      <c r="F226" s="883"/>
      <c r="G226" s="884"/>
      <c r="H226" s="885"/>
      <c r="I226" s="883"/>
      <c r="J226" s="883"/>
      <c r="K226" s="866"/>
      <c r="L226" s="866"/>
      <c r="M226" s="866"/>
      <c r="N226" s="866"/>
      <c r="O226" s="866"/>
      <c r="P226" s="275"/>
      <c r="Q226" s="886"/>
      <c r="R226" s="1051"/>
      <c r="S226" s="1318"/>
    </row>
    <row r="227" spans="1:19" ht="15" hidden="1" customHeight="1" outlineLevel="1" x14ac:dyDescent="0.3">
      <c r="A227" s="840"/>
      <c r="B227" s="879">
        <v>47</v>
      </c>
      <c r="C227" s="1333"/>
      <c r="D227" s="1334"/>
      <c r="E227" s="1335"/>
      <c r="F227" s="883"/>
      <c r="G227" s="884"/>
      <c r="H227" s="885"/>
      <c r="I227" s="883"/>
      <c r="J227" s="883"/>
      <c r="K227" s="866"/>
      <c r="L227" s="866"/>
      <c r="M227" s="866"/>
      <c r="N227" s="866"/>
      <c r="O227" s="866"/>
      <c r="P227" s="275"/>
      <c r="Q227" s="886"/>
      <c r="R227" s="1052"/>
      <c r="S227" s="1318"/>
    </row>
    <row r="228" spans="1:19" ht="15" hidden="1" customHeight="1" outlineLevel="1" x14ac:dyDescent="0.3">
      <c r="A228" s="840"/>
      <c r="B228" s="879">
        <v>48</v>
      </c>
      <c r="C228" s="1333"/>
      <c r="D228" s="1334"/>
      <c r="E228" s="1335"/>
      <c r="F228" s="883"/>
      <c r="G228" s="884"/>
      <c r="H228" s="885"/>
      <c r="I228" s="883"/>
      <c r="J228" s="883"/>
      <c r="K228" s="866"/>
      <c r="L228" s="866"/>
      <c r="M228" s="866"/>
      <c r="N228" s="866"/>
      <c r="O228" s="866"/>
      <c r="P228" s="275"/>
      <c r="Q228" s="886"/>
      <c r="R228" s="1052"/>
      <c r="S228" s="1318"/>
    </row>
    <row r="229" spans="1:19" ht="15" hidden="1" customHeight="1" outlineLevel="1" x14ac:dyDescent="0.3">
      <c r="A229" s="840"/>
      <c r="B229" s="879">
        <v>49</v>
      </c>
      <c r="C229" s="1333"/>
      <c r="D229" s="1334"/>
      <c r="E229" s="1335"/>
      <c r="F229" s="883"/>
      <c r="G229" s="884"/>
      <c r="H229" s="885"/>
      <c r="I229" s="883"/>
      <c r="J229" s="883"/>
      <c r="K229" s="866"/>
      <c r="L229" s="866"/>
      <c r="M229" s="866"/>
      <c r="N229" s="866"/>
      <c r="O229" s="866"/>
      <c r="P229" s="275"/>
      <c r="Q229" s="886"/>
      <c r="R229" s="1052"/>
      <c r="S229" s="1318"/>
    </row>
    <row r="230" spans="1:19" ht="15" hidden="1" customHeight="1" outlineLevel="1" x14ac:dyDescent="0.3">
      <c r="A230" s="840"/>
      <c r="B230" s="879">
        <v>50</v>
      </c>
      <c r="C230" s="1333"/>
      <c r="D230" s="1334"/>
      <c r="E230" s="1335"/>
      <c r="F230" s="883"/>
      <c r="G230" s="884"/>
      <c r="H230" s="885"/>
      <c r="I230" s="883"/>
      <c r="J230" s="883"/>
      <c r="K230" s="866"/>
      <c r="L230" s="866"/>
      <c r="M230" s="866"/>
      <c r="N230" s="866"/>
      <c r="O230" s="866"/>
      <c r="P230" s="275"/>
      <c r="Q230" s="886"/>
      <c r="R230" s="1052"/>
      <c r="S230" s="1318"/>
    </row>
    <row r="231" spans="1:19" ht="15" hidden="1" customHeight="1" outlineLevel="1" x14ac:dyDescent="0.3">
      <c r="A231" s="840"/>
      <c r="B231" s="879">
        <v>51</v>
      </c>
      <c r="C231" s="1333"/>
      <c r="D231" s="1334"/>
      <c r="E231" s="1335"/>
      <c r="F231" s="883"/>
      <c r="G231" s="884"/>
      <c r="H231" s="885"/>
      <c r="I231" s="883"/>
      <c r="J231" s="883"/>
      <c r="K231" s="866"/>
      <c r="L231" s="866"/>
      <c r="M231" s="866"/>
      <c r="N231" s="866"/>
      <c r="O231" s="866"/>
      <c r="P231" s="275"/>
      <c r="Q231" s="886"/>
      <c r="R231" s="1052"/>
      <c r="S231" s="1318"/>
    </row>
    <row r="232" spans="1:19" ht="15" hidden="1" customHeight="1" outlineLevel="1" x14ac:dyDescent="0.3">
      <c r="A232" s="840"/>
      <c r="B232" s="879">
        <v>52</v>
      </c>
      <c r="C232" s="1333"/>
      <c r="D232" s="1334"/>
      <c r="E232" s="1335"/>
      <c r="F232" s="883"/>
      <c r="G232" s="884"/>
      <c r="H232" s="885"/>
      <c r="I232" s="883"/>
      <c r="J232" s="883"/>
      <c r="K232" s="866"/>
      <c r="L232" s="866"/>
      <c r="M232" s="866"/>
      <c r="N232" s="866"/>
      <c r="O232" s="866"/>
      <c r="P232" s="275"/>
      <c r="Q232" s="886"/>
      <c r="R232" s="1052"/>
      <c r="S232" s="1318"/>
    </row>
    <row r="233" spans="1:19" ht="15" hidden="1" customHeight="1" outlineLevel="1" x14ac:dyDescent="0.3">
      <c r="A233" s="840"/>
      <c r="B233" s="879">
        <v>53</v>
      </c>
      <c r="C233" s="1333"/>
      <c r="D233" s="1334"/>
      <c r="E233" s="1335"/>
      <c r="F233" s="883"/>
      <c r="G233" s="884"/>
      <c r="H233" s="885"/>
      <c r="I233" s="883"/>
      <c r="J233" s="883"/>
      <c r="K233" s="866"/>
      <c r="L233" s="866"/>
      <c r="M233" s="866"/>
      <c r="N233" s="866"/>
      <c r="O233" s="866"/>
      <c r="P233" s="275"/>
      <c r="Q233" s="886"/>
      <c r="R233" s="1052"/>
      <c r="S233" s="1318"/>
    </row>
    <row r="234" spans="1:19" ht="15" hidden="1" customHeight="1" outlineLevel="1" x14ac:dyDescent="0.3">
      <c r="A234" s="840"/>
      <c r="B234" s="879">
        <v>54</v>
      </c>
      <c r="C234" s="1333"/>
      <c r="D234" s="1334"/>
      <c r="E234" s="1335"/>
      <c r="F234" s="883"/>
      <c r="G234" s="884"/>
      <c r="H234" s="885"/>
      <c r="I234" s="883"/>
      <c r="J234" s="883"/>
      <c r="K234" s="866"/>
      <c r="L234" s="866"/>
      <c r="M234" s="866"/>
      <c r="N234" s="866"/>
      <c r="O234" s="866"/>
      <c r="P234" s="275"/>
      <c r="Q234" s="886"/>
      <c r="R234" s="1052"/>
      <c r="S234" s="1318"/>
    </row>
    <row r="235" spans="1:19" ht="15" hidden="1" customHeight="1" outlineLevel="1" x14ac:dyDescent="0.3">
      <c r="A235" s="840"/>
      <c r="B235" s="879">
        <v>55</v>
      </c>
      <c r="C235" s="1333"/>
      <c r="D235" s="1334"/>
      <c r="E235" s="1335"/>
      <c r="F235" s="883"/>
      <c r="G235" s="884"/>
      <c r="H235" s="885"/>
      <c r="I235" s="883"/>
      <c r="J235" s="883"/>
      <c r="K235" s="866"/>
      <c r="L235" s="866"/>
      <c r="M235" s="866"/>
      <c r="N235" s="866"/>
      <c r="O235" s="866"/>
      <c r="P235" s="275"/>
      <c r="Q235" s="886"/>
      <c r="R235" s="1052"/>
      <c r="S235" s="1318"/>
    </row>
    <row r="236" spans="1:19" ht="15" hidden="1" customHeight="1" outlineLevel="1" x14ac:dyDescent="0.3">
      <c r="A236" s="840"/>
      <c r="B236" s="879">
        <v>56</v>
      </c>
      <c r="C236" s="1333"/>
      <c r="D236" s="1334"/>
      <c r="E236" s="1335"/>
      <c r="F236" s="883"/>
      <c r="G236" s="884"/>
      <c r="H236" s="885"/>
      <c r="I236" s="883"/>
      <c r="J236" s="883"/>
      <c r="K236" s="866"/>
      <c r="L236" s="866"/>
      <c r="M236" s="866"/>
      <c r="N236" s="866"/>
      <c r="O236" s="866"/>
      <c r="P236" s="275"/>
      <c r="Q236" s="886"/>
      <c r="R236" s="1052"/>
      <c r="S236" s="1318"/>
    </row>
    <row r="237" spans="1:19" ht="15" hidden="1" customHeight="1" outlineLevel="1" x14ac:dyDescent="0.3">
      <c r="A237" s="840"/>
      <c r="B237" s="879">
        <v>57</v>
      </c>
      <c r="C237" s="1333"/>
      <c r="D237" s="1334"/>
      <c r="E237" s="1335"/>
      <c r="F237" s="883"/>
      <c r="G237" s="884"/>
      <c r="H237" s="885"/>
      <c r="I237" s="883"/>
      <c r="J237" s="883"/>
      <c r="K237" s="866"/>
      <c r="L237" s="866"/>
      <c r="M237" s="866"/>
      <c r="N237" s="866"/>
      <c r="O237" s="866"/>
      <c r="P237" s="275"/>
      <c r="Q237" s="886"/>
      <c r="R237" s="1052"/>
      <c r="S237" s="1318"/>
    </row>
    <row r="238" spans="1:19" ht="15" hidden="1" customHeight="1" outlineLevel="1" x14ac:dyDescent="0.3">
      <c r="A238" s="840"/>
      <c r="B238" s="879">
        <v>58</v>
      </c>
      <c r="C238" s="1333"/>
      <c r="D238" s="1334"/>
      <c r="E238" s="1335"/>
      <c r="F238" s="883"/>
      <c r="G238" s="884"/>
      <c r="H238" s="885"/>
      <c r="I238" s="883"/>
      <c r="J238" s="883"/>
      <c r="K238" s="866"/>
      <c r="L238" s="866"/>
      <c r="M238" s="866"/>
      <c r="N238" s="866"/>
      <c r="O238" s="866"/>
      <c r="P238" s="275"/>
      <c r="Q238" s="886"/>
      <c r="R238" s="1052"/>
      <c r="S238" s="1318"/>
    </row>
    <row r="239" spans="1:19" ht="15" hidden="1" customHeight="1" outlineLevel="1" x14ac:dyDescent="0.3">
      <c r="A239" s="840"/>
      <c r="B239" s="879">
        <v>59</v>
      </c>
      <c r="C239" s="1333"/>
      <c r="D239" s="1334"/>
      <c r="E239" s="1335"/>
      <c r="F239" s="883"/>
      <c r="G239" s="884"/>
      <c r="H239" s="885"/>
      <c r="I239" s="883"/>
      <c r="J239" s="883"/>
      <c r="K239" s="866"/>
      <c r="L239" s="866"/>
      <c r="M239" s="866"/>
      <c r="N239" s="866"/>
      <c r="O239" s="866"/>
      <c r="P239" s="275"/>
      <c r="Q239" s="886"/>
      <c r="R239" s="1052"/>
      <c r="S239" s="1318"/>
    </row>
    <row r="240" spans="1:19" ht="15" hidden="1" customHeight="1" outlineLevel="1" x14ac:dyDescent="0.3">
      <c r="A240" s="840"/>
      <c r="B240" s="879">
        <v>60</v>
      </c>
      <c r="C240" s="1333"/>
      <c r="D240" s="1334"/>
      <c r="E240" s="1335"/>
      <c r="F240" s="883"/>
      <c r="G240" s="884"/>
      <c r="H240" s="885"/>
      <c r="I240" s="883"/>
      <c r="J240" s="883"/>
      <c r="K240" s="866"/>
      <c r="L240" s="866"/>
      <c r="M240" s="866"/>
      <c r="N240" s="866"/>
      <c r="O240" s="866"/>
      <c r="P240" s="275"/>
      <c r="Q240" s="886"/>
      <c r="R240" s="1052"/>
      <c r="S240" s="1318"/>
    </row>
    <row r="241" spans="1:19" ht="16.350000000000001" customHeight="1" collapsed="1" thickBot="1" x14ac:dyDescent="0.35">
      <c r="A241" s="887"/>
      <c r="B241" s="888"/>
      <c r="C241" s="888"/>
      <c r="D241" s="888"/>
      <c r="E241" s="888"/>
      <c r="F241" s="888"/>
      <c r="G241" s="888"/>
      <c r="H241" s="888"/>
      <c r="I241" s="888"/>
      <c r="J241" s="888"/>
      <c r="K241" s="888"/>
      <c r="L241" s="888"/>
      <c r="M241" s="888"/>
      <c r="N241" s="888"/>
      <c r="O241" s="888"/>
      <c r="P241" s="888"/>
      <c r="Q241" s="889"/>
      <c r="R241" s="1052"/>
      <c r="S241" s="1319"/>
    </row>
    <row r="248" spans="1:19" x14ac:dyDescent="0.3">
      <c r="C248" s="1009"/>
      <c r="D248" s="1009"/>
    </row>
  </sheetData>
  <sheetProtection sheet="1" objects="1" scenarios="1" selectLockedCells="1"/>
  <customSheetViews>
    <customSheetView guid="{14CC7D48-F74C-409C-986F-C21E8F9D3A08}" showGridLines="0" hiddenColumns="1" topLeftCell="A4">
      <selection activeCell="F26" sqref="F26"/>
      <rowBreaks count="3" manualBreakCount="3">
        <brk id="72" max="16383" man="1"/>
        <brk id="126" max="16383" man="1"/>
        <brk id="151" max="16383" man="1"/>
      </rowBreaks>
      <pageMargins left="0" right="0" top="0" bottom="0" header="0" footer="0"/>
      <printOptions horizontalCentered="1"/>
      <pageSetup paperSize="9" scale="77" fitToHeight="3" orientation="portrait" r:id="rId1"/>
    </customSheetView>
  </customSheetViews>
  <mergeCells count="141">
    <mergeCell ref="D10:F10"/>
    <mergeCell ref="G10:J10"/>
    <mergeCell ref="C240:E240"/>
    <mergeCell ref="C230:E230"/>
    <mergeCell ref="C231:E231"/>
    <mergeCell ref="C232:E232"/>
    <mergeCell ref="C233:E233"/>
    <mergeCell ref="C234:E234"/>
    <mergeCell ref="C235:E235"/>
    <mergeCell ref="C224:E224"/>
    <mergeCell ref="C225:E225"/>
    <mergeCell ref="C226:E226"/>
    <mergeCell ref="C227:E227"/>
    <mergeCell ref="C228:E228"/>
    <mergeCell ref="C229:E229"/>
    <mergeCell ref="C236:E236"/>
    <mergeCell ref="C237:E237"/>
    <mergeCell ref="C238:E238"/>
    <mergeCell ref="C239:E239"/>
    <mergeCell ref="C190:E190"/>
    <mergeCell ref="C211:E211"/>
    <mergeCell ref="C201:E201"/>
    <mergeCell ref="C202:E202"/>
    <mergeCell ref="C203:E203"/>
    <mergeCell ref="B131:C131"/>
    <mergeCell ref="B141:C141"/>
    <mergeCell ref="C204:E204"/>
    <mergeCell ref="C205:E205"/>
    <mergeCell ref="C191:E191"/>
    <mergeCell ref="C199:E199"/>
    <mergeCell ref="C200:E200"/>
    <mergeCell ref="C194:E194"/>
    <mergeCell ref="C195:E195"/>
    <mergeCell ref="C196:E196"/>
    <mergeCell ref="C188:E188"/>
    <mergeCell ref="C189:E189"/>
    <mergeCell ref="C207:E207"/>
    <mergeCell ref="C197:E197"/>
    <mergeCell ref="C198:E198"/>
    <mergeCell ref="H144:I144"/>
    <mergeCell ref="C185:E185"/>
    <mergeCell ref="C186:E186"/>
    <mergeCell ref="C187:E187"/>
    <mergeCell ref="C206:E206"/>
    <mergeCell ref="C222:E222"/>
    <mergeCell ref="C223:E223"/>
    <mergeCell ref="C221:E221"/>
    <mergeCell ref="C213:E213"/>
    <mergeCell ref="C214:E214"/>
    <mergeCell ref="C215:E215"/>
    <mergeCell ref="C216:E216"/>
    <mergeCell ref="C220:E220"/>
    <mergeCell ref="C208:E208"/>
    <mergeCell ref="C209:E209"/>
    <mergeCell ref="C210:E210"/>
    <mergeCell ref="C217:E217"/>
    <mergeCell ref="C218:E218"/>
    <mergeCell ref="C219:E219"/>
    <mergeCell ref="C212:E212"/>
    <mergeCell ref="H139:I139"/>
    <mergeCell ref="B68:C68"/>
    <mergeCell ref="D68:F68"/>
    <mergeCell ref="F71:J71"/>
    <mergeCell ref="G68:I68"/>
    <mergeCell ref="R201:R225"/>
    <mergeCell ref="A96:D96"/>
    <mergeCell ref="B72:J72"/>
    <mergeCell ref="B75:J75"/>
    <mergeCell ref="C149:G149"/>
    <mergeCell ref="H149:Q149"/>
    <mergeCell ref="C193:E193"/>
    <mergeCell ref="C182:E182"/>
    <mergeCell ref="C183:E183"/>
    <mergeCell ref="C184:E184"/>
    <mergeCell ref="C192:E192"/>
    <mergeCell ref="B132:C132"/>
    <mergeCell ref="B140:C140"/>
    <mergeCell ref="B144:C144"/>
    <mergeCell ref="B143:C143"/>
    <mergeCell ref="B148:Q148"/>
    <mergeCell ref="B175:Q175"/>
    <mergeCell ref="H143:I143"/>
    <mergeCell ref="B127:P127"/>
    <mergeCell ref="D32:E32"/>
    <mergeCell ref="B145:C145"/>
    <mergeCell ref="C179:E179"/>
    <mergeCell ref="C180:E180"/>
    <mergeCell ref="C181:E181"/>
    <mergeCell ref="B146:P146"/>
    <mergeCell ref="B178:J178"/>
    <mergeCell ref="B130:C130"/>
    <mergeCell ref="B51:E51"/>
    <mergeCell ref="B62:E62"/>
    <mergeCell ref="B142:C142"/>
    <mergeCell ref="B133:C133"/>
    <mergeCell ref="B129:C129"/>
    <mergeCell ref="B57:C57"/>
    <mergeCell ref="D57:F57"/>
    <mergeCell ref="G57:I57"/>
    <mergeCell ref="B64:C64"/>
    <mergeCell ref="D64:F64"/>
    <mergeCell ref="G64:I64"/>
    <mergeCell ref="B123:C123"/>
    <mergeCell ref="B138:Q138"/>
    <mergeCell ref="B53:C53"/>
    <mergeCell ref="D53:F53"/>
    <mergeCell ref="G53:I53"/>
    <mergeCell ref="S51:S59"/>
    <mergeCell ref="S61:S76"/>
    <mergeCell ref="S201:S241"/>
    <mergeCell ref="S5:S34"/>
    <mergeCell ref="S78:S97"/>
    <mergeCell ref="S99:S119"/>
    <mergeCell ref="S137:S147"/>
    <mergeCell ref="S36:S49"/>
    <mergeCell ref="S121:S135"/>
    <mergeCell ref="S149:S174"/>
    <mergeCell ref="D22:F22"/>
    <mergeCell ref="B4:Q4"/>
    <mergeCell ref="B35:Q35"/>
    <mergeCell ref="B50:Q50"/>
    <mergeCell ref="B60:Q60"/>
    <mergeCell ref="B77:Q77"/>
    <mergeCell ref="B98:Q98"/>
    <mergeCell ref="B120:Q120"/>
    <mergeCell ref="B136:Q136"/>
    <mergeCell ref="B95:E95"/>
    <mergeCell ref="D8:J8"/>
    <mergeCell ref="I6:J6"/>
    <mergeCell ref="G91:P92"/>
    <mergeCell ref="D18:J18"/>
    <mergeCell ref="D30:E30"/>
    <mergeCell ref="I22:J22"/>
    <mergeCell ref="B24:C25"/>
    <mergeCell ref="I24:J24"/>
    <mergeCell ref="D12:J12"/>
    <mergeCell ref="D14:J14"/>
    <mergeCell ref="D16:J16"/>
    <mergeCell ref="F95:G95"/>
    <mergeCell ref="F96:P96"/>
    <mergeCell ref="I25:J25"/>
  </mergeCells>
  <conditionalFormatting sqref="P135">
    <cfRule type="expression" dxfId="40" priority="92">
      <formula>$E$134=0</formula>
    </cfRule>
  </conditionalFormatting>
  <conditionalFormatting sqref="D8:J8">
    <cfRule type="cellIs" dxfId="39" priority="89" operator="equal">
      <formula>0</formula>
    </cfRule>
  </conditionalFormatting>
  <conditionalFormatting sqref="B8">
    <cfRule type="expression" dxfId="38" priority="88">
      <formula>Project_title=0</formula>
    </cfRule>
  </conditionalFormatting>
  <conditionalFormatting sqref="D10">
    <cfRule type="cellIs" dxfId="37" priority="85" operator="equal">
      <formula>0</formula>
    </cfRule>
  </conditionalFormatting>
  <conditionalFormatting sqref="D18:J18">
    <cfRule type="cellIs" dxfId="36" priority="84" operator="equal">
      <formula>0</formula>
    </cfRule>
  </conditionalFormatting>
  <conditionalFormatting sqref="B10">
    <cfRule type="expression" dxfId="35" priority="81">
      <formula>bf_external_party=0</formula>
    </cfRule>
  </conditionalFormatting>
  <conditionalFormatting sqref="B18">
    <cfRule type="expression" dxfId="34" priority="80">
      <formula>bf_chief_inv=0</formula>
    </cfRule>
  </conditionalFormatting>
  <conditionalFormatting sqref="B20">
    <cfRule type="expression" dxfId="33" priority="79">
      <formula>bf_agreement_admin=0</formula>
    </cfRule>
  </conditionalFormatting>
  <conditionalFormatting sqref="B22">
    <cfRule type="expression" dxfId="32" priority="78">
      <formula>bf_department=0</formula>
    </cfRule>
  </conditionalFormatting>
  <conditionalFormatting sqref="D28:E28">
    <cfRule type="cellIs" dxfId="31" priority="77" operator="equal">
      <formula>0</formula>
    </cfRule>
  </conditionalFormatting>
  <conditionalFormatting sqref="D25">
    <cfRule type="cellIs" dxfId="30" priority="68" operator="equal">
      <formula>0</formula>
    </cfRule>
  </conditionalFormatting>
  <conditionalFormatting sqref="F25">
    <cfRule type="cellIs" dxfId="29" priority="67" operator="equal">
      <formula>0</formula>
    </cfRule>
  </conditionalFormatting>
  <conditionalFormatting sqref="B24:C25">
    <cfRule type="expression" dxfId="28" priority="66">
      <formula>OR(pStartYear=0,pEndYear=0)</formula>
    </cfRule>
  </conditionalFormatting>
  <conditionalFormatting sqref="F24">
    <cfRule type="expression" dxfId="27" priority="64">
      <formula>pEndYear=0</formula>
    </cfRule>
  </conditionalFormatting>
  <conditionalFormatting sqref="D24">
    <cfRule type="expression" dxfId="26" priority="63">
      <formula>pStartYear=0</formula>
    </cfRule>
  </conditionalFormatting>
  <conditionalFormatting sqref="D27:G27">
    <cfRule type="expression" dxfId="25" priority="62">
      <formula>bf_company=0</formula>
    </cfRule>
  </conditionalFormatting>
  <conditionalFormatting sqref="B140">
    <cfRule type="expression" dxfId="24" priority="35">
      <formula>Faculty_Budget_Unit=""</formula>
    </cfRule>
  </conditionalFormatting>
  <conditionalFormatting sqref="B141">
    <cfRule type="expression" dxfId="23" priority="32">
      <formula>AND(School_Budget_Unit="",School_percentage&gt;0)</formula>
    </cfRule>
  </conditionalFormatting>
  <conditionalFormatting sqref="G143:H143 H144">
    <cfRule type="expression" dxfId="22" priority="30">
      <formula>AND(Ci_Cost_Centre="",Ci_percentage&gt;0)</formula>
    </cfRule>
  </conditionalFormatting>
  <conditionalFormatting sqref="B143">
    <cfRule type="expression" dxfId="21" priority="26">
      <formula>AND(OR(Ci_Budget_Unit="",Ci_Cost_Centre="",Ci_Project="",Ci_LPC=""),Ci_percentage&gt;0)</formula>
    </cfRule>
  </conditionalFormatting>
  <conditionalFormatting sqref="B144">
    <cfRule type="expression" dxfId="20" priority="24">
      <formula>AND(OR(Other_Budget_Unit="",Other_Cost_Centre="",Other_Project="",Other_LPC=""),Other_percentage&gt;0)</formula>
    </cfRule>
  </conditionalFormatting>
  <conditionalFormatting sqref="G144">
    <cfRule type="expression" dxfId="19" priority="22">
      <formula>AND(Other_Cost_Centre="",Other_percentage&gt;0)</formula>
    </cfRule>
  </conditionalFormatting>
  <conditionalFormatting sqref="A96:D96">
    <cfRule type="expression" dxfId="18" priority="19">
      <formula>AND(Chk_CI_Costs = 2,CI_Justification="")</formula>
    </cfRule>
  </conditionalFormatting>
  <conditionalFormatting sqref="A95:B95">
    <cfRule type="expression" dxfId="17" priority="18">
      <formula>Chk_CI_Costs = 0</formula>
    </cfRule>
  </conditionalFormatting>
  <conditionalFormatting sqref="F96:P96">
    <cfRule type="expression" dxfId="16" priority="17">
      <formula>AND(Chk_CI_Costs = 2,CI_Justification="")</formula>
    </cfRule>
  </conditionalFormatting>
  <conditionalFormatting sqref="F95">
    <cfRule type="expression" dxfId="15" priority="15">
      <formula>Chk_CI_Costs = 0</formula>
    </cfRule>
  </conditionalFormatting>
  <conditionalFormatting sqref="B71:J72">
    <cfRule type="expression" dxfId="14" priority="1">
      <formula>AND(pCRSalaries&lt;Minimum_Cost_Recovery_Multiplier,OR(justification&lt;=1, ISBLANK(justification),ISBLANK(justification_long),justification_long="Please provide a reason in this text box - this information facilitates contract executions and helps prevent delays resulting from requests for additional explanation. This section should be completed before presentation to a Dean or Dean's delegate."))</formula>
    </cfRule>
  </conditionalFormatting>
  <conditionalFormatting sqref="D22:F22">
    <cfRule type="cellIs" dxfId="13" priority="6" operator="equal">
      <formula>0</formula>
    </cfRule>
  </conditionalFormatting>
  <conditionalFormatting sqref="B62">
    <cfRule type="expression" dxfId="12" priority="4">
      <formula>AND(pCRSalaries&lt;Minimum_Cost_Recovery_Multiplier,OR(justification&lt;=1,ISBLANK(justification),ISBLANK(justification_long),justification_long="Please provide a reason in this text box - this information facilitates contract executions and helps prevent delays resulting from requests for additional explanation. This section should be completed before presentation to a Dean or Dean's delegate."))</formula>
    </cfRule>
  </conditionalFormatting>
  <conditionalFormatting sqref="F62">
    <cfRule type="expression" dxfId="11" priority="2">
      <formula>AND(pCRSalaries&lt;Minimum_Cost_Recovery_Multiplier,OR(justification&lt;=1, ISBLANK(justification),ISBLANK(justification_long),justification_long="Please provide a reason in this text box - this information facilitates contract executions and helps prevent delays resulting from requests for additional explanation. This section should be completed before presentation to a Dean or Dean's delegate."))</formula>
    </cfRule>
  </conditionalFormatting>
  <dataValidations count="10">
    <dataValidation type="list" allowBlank="1" showInputMessage="1" showErrorMessage="1" sqref="E39" xr:uid="{00000000-0002-0000-0500-000001000000}">
      <formula1>"Yes,No"</formula1>
    </dataValidation>
    <dataValidation type="list" allowBlank="1" showInputMessage="1" showErrorMessage="1" sqref="F181:F240" xr:uid="{00000000-0002-0000-0500-000002000000}">
      <formula1>dDeliverableType</formula1>
    </dataValidation>
    <dataValidation type="list" allowBlank="1" showInputMessage="1" showErrorMessage="1" sqref="D25 F25" xr:uid="{00000000-0002-0000-0500-000004000000}">
      <formula1>dYear</formula1>
    </dataValidation>
    <dataValidation type="list" allowBlank="1" showInputMessage="1" showErrorMessage="1" sqref="E25 G25" xr:uid="{00000000-0002-0000-0500-000005000000}">
      <formula1>dMonth</formula1>
    </dataValidation>
    <dataValidation type="list" allowBlank="1" showInputMessage="1" showErrorMessage="1" sqref="G28" xr:uid="{00000000-0002-0000-0500-000006000000}">
      <formula1>dLocation</formula1>
    </dataValidation>
    <dataValidation type="list" allowBlank="1" showInputMessage="1" showErrorMessage="1" sqref="F28" xr:uid="{00000000-0002-0000-0500-000007000000}">
      <formula1>dActivity</formula1>
    </dataValidation>
    <dataValidation type="list" allowBlank="1" showInputMessage="1" showErrorMessage="1" sqref="I25" xr:uid="{00000000-0002-0000-0500-000008000000}">
      <formula1>dCurrency</formula1>
    </dataValidation>
    <dataValidation type="list" allowBlank="1" showInputMessage="1" showErrorMessage="1" sqref="V23 V10" xr:uid="{00000000-0002-0000-0500-000009000000}">
      <formula1>#REF!</formula1>
    </dataValidation>
    <dataValidation type="custom" allowBlank="1" showInputMessage="1" showErrorMessage="1" sqref="D8:J8" xr:uid="{9582BBD4-4677-4002-8D4E-73B02561B648}">
      <formula1>"COUNTIF(D7,"""")=0 "</formula1>
    </dataValidation>
    <dataValidation type="list" operator="equal" allowBlank="1" showInputMessage="1" showErrorMessage="1" sqref="F71:J71" xr:uid="{47087C96-7FF8-4AB4-A4E0-43561B82B27C}">
      <formula1>Justification_Options</formula1>
    </dataValidation>
  </dataValidations>
  <hyperlinks>
    <hyperlink ref="H95:P95" location="CI_Costs_Confirmation" display="Update answer" xr:uid="{83E17B10-94E4-4060-AB28-E578F6DD292D}"/>
    <hyperlink ref="H149" location="pCRInKind" display="Change cost multiplier for in-kind contributions" xr:uid="{70D458FE-C0B9-49DA-8EC4-541C044E8EF6}"/>
    <hyperlink ref="I62" location="'PART B Staff Costs'!A11" display="Change cost multiplier" xr:uid="{692844B4-E324-44F1-819E-6DA448B0528D}"/>
    <hyperlink ref="H95" location="'PART B Staff Costs'!A13" display="Update answer" xr:uid="{EDA78DC4-56C5-4101-B3E9-5612E19B0CBF}"/>
    <hyperlink ref="E34" location="vl_gst_flag" display="vl_gst_flag" xr:uid="{7D6D5EE3-51C1-4415-B515-DF4BC5A18658}"/>
  </hyperlinks>
  <printOptions horizontalCentered="1"/>
  <pageMargins left="0.25" right="0.25" top="0.54" bottom="0.4" header="0.3" footer="0.3"/>
  <pageSetup paperSize="9" scale="44" fitToHeight="0" orientation="portrait" r:id="rId2"/>
  <headerFooter>
    <oddHeader>&amp;C&amp;"Calibri,Bold"&amp;16&amp;K03+000Project Research Budget</oddHeader>
    <oddFooter>&amp;L&amp;F&amp;C&amp;P of &amp;N  pages&amp;RThe University of Melbourne - Research Innovation and Commercialisation</oddFooter>
  </headerFooter>
  <rowBreaks count="2" manualBreakCount="2">
    <brk id="119" max="18" man="1"/>
    <brk id="59" max="18" man="1"/>
  </rowBreaks>
  <drawing r:id="rId3"/>
  <legacyDrawing r:id="rId4"/>
  <mc:AlternateContent xmlns:mc="http://schemas.openxmlformats.org/markup-compatibility/2006">
    <mc:Choice Requires="x14">
      <controls>
        <mc:AlternateContent xmlns:mc="http://schemas.openxmlformats.org/markup-compatibility/2006">
          <mc:Choice Requires="x14">
            <control shapeId="165900" r:id="rId5" name="Drop Down 12">
              <controlPr defaultSize="0" autoLine="0" autoPict="0">
                <anchor moveWithCells="1">
                  <from>
                    <xdr:col>5</xdr:col>
                    <xdr:colOff>0</xdr:colOff>
                    <xdr:row>70</xdr:row>
                    <xdr:rowOff>7620</xdr:rowOff>
                  </from>
                  <to>
                    <xdr:col>9</xdr:col>
                    <xdr:colOff>891540</xdr:colOff>
                    <xdr:row>70</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317B6-02A4-471A-822E-57B5B7A6AD86}">
  <sheetPr codeName="Sheet19">
    <tabColor theme="3"/>
    <pageSetUpPr autoPageBreaks="0" fitToPage="1"/>
  </sheetPr>
  <dimension ref="A1:BD851"/>
  <sheetViews>
    <sheetView showGridLines="0" zoomScale="88" zoomScaleNormal="88" workbookViewId="0">
      <pane ySplit="6" topLeftCell="A7" activePane="bottomLeft" state="frozen"/>
      <selection pane="bottomLeft" activeCell="K7" sqref="K7"/>
    </sheetView>
  </sheetViews>
  <sheetFormatPr defaultColWidth="9.44140625" defaultRowHeight="14.4" outlineLevelRow="1" outlineLevelCol="1" x14ac:dyDescent="0.3"/>
  <cols>
    <col min="1" max="1" width="19.44140625" style="739" customWidth="1"/>
    <col min="2" max="2" width="17" style="738" customWidth="1"/>
    <col min="3" max="3" width="17" style="738" hidden="1" customWidth="1"/>
    <col min="4" max="8" width="17" style="738" customWidth="1"/>
    <col min="9" max="9" width="40.44140625" style="738" customWidth="1"/>
    <col min="10" max="10" width="12.44140625" style="738" customWidth="1"/>
    <col min="11" max="11" width="15.44140625" style="738" customWidth="1"/>
    <col min="12" max="12" width="14" style="738" customWidth="1"/>
    <col min="13" max="13" width="20" style="738" customWidth="1"/>
    <col min="14" max="14" width="13.44140625" style="738" customWidth="1"/>
    <col min="15" max="15" width="16.5546875" style="738" customWidth="1"/>
    <col min="16" max="16" width="16" style="738" customWidth="1"/>
    <col min="17" max="17" width="15.5546875" style="738" customWidth="1"/>
    <col min="18" max="18" width="13.44140625" style="738" customWidth="1"/>
    <col min="19" max="19" width="14.44140625" style="738" customWidth="1"/>
    <col min="20" max="20" width="13.44140625" style="738" hidden="1" customWidth="1" outlineLevel="1"/>
    <col min="21" max="21" width="13.5546875" style="738" hidden="1" customWidth="1" outlineLevel="1"/>
    <col min="22" max="22" width="13.44140625" style="738" hidden="1" customWidth="1" outlineLevel="1"/>
    <col min="23" max="23" width="16.44140625" style="738" hidden="1" customWidth="1" outlineLevel="1"/>
    <col min="24" max="24" width="12.5546875" style="738" hidden="1" customWidth="1" outlineLevel="1"/>
    <col min="25" max="25" width="13.5546875" style="738" hidden="1" customWidth="1" outlineLevel="1"/>
    <col min="26" max="26" width="12.5546875" style="738" hidden="1" customWidth="1" outlineLevel="1"/>
    <col min="27" max="28" width="13.5546875" style="738" hidden="1" customWidth="1" outlineLevel="1"/>
    <col min="29" max="29" width="14.44140625" style="738" hidden="1" customWidth="1" outlineLevel="1"/>
    <col min="30" max="30" width="23.44140625" style="738" customWidth="1" collapsed="1"/>
    <col min="31" max="31" width="9.44140625" style="738"/>
    <col min="32" max="33" width="14.44140625" style="738" bestFit="1" customWidth="1"/>
    <col min="34" max="16384" width="9.44140625" style="738"/>
  </cols>
  <sheetData>
    <row r="1" spans="1:56" s="1" customFormat="1" ht="39" customHeight="1" x14ac:dyDescent="0.3">
      <c r="A1" s="666"/>
      <c r="B1" s="709" t="str">
        <f>tool_name_and_version</f>
        <v>Research Costing and Pricing tool v4.3.1</v>
      </c>
      <c r="C1" s="666"/>
      <c r="D1" s="709"/>
      <c r="E1" s="666"/>
      <c r="F1" s="666"/>
      <c r="G1" s="666"/>
      <c r="H1" s="666"/>
      <c r="I1" s="666"/>
      <c r="J1" s="666"/>
      <c r="K1" s="666"/>
      <c r="L1" s="666"/>
      <c r="M1" s="666"/>
      <c r="N1" s="1386"/>
      <c r="O1" s="1386"/>
      <c r="P1" s="1386"/>
      <c r="Q1" s="1386"/>
      <c r="R1" s="666"/>
      <c r="S1" s="666"/>
      <c r="T1" s="666"/>
      <c r="U1" s="666"/>
      <c r="V1" s="666"/>
      <c r="W1" s="666"/>
      <c r="X1" s="666"/>
      <c r="Y1" s="666"/>
      <c r="Z1" s="666"/>
      <c r="AA1" s="666"/>
      <c r="AB1" s="666"/>
      <c r="AC1" s="666"/>
      <c r="AD1" s="667"/>
    </row>
    <row r="2" spans="1:56" s="1" customFormat="1" ht="25.2" customHeight="1" x14ac:dyDescent="0.3">
      <c r="A2" s="1088"/>
      <c r="B2" s="1088"/>
      <c r="C2" s="1089"/>
      <c r="D2" s="1090"/>
      <c r="E2" s="1090"/>
      <c r="F2" s="1088"/>
      <c r="G2" s="1089"/>
      <c r="H2" s="1090"/>
      <c r="I2" s="1090"/>
      <c r="J2" s="1088"/>
      <c r="K2" s="1089"/>
      <c r="L2" s="1090"/>
      <c r="M2" s="1090"/>
      <c r="N2" s="1088"/>
      <c r="O2" s="1089"/>
      <c r="P2" s="1090"/>
      <c r="Q2" s="1090"/>
      <c r="R2" s="1088"/>
      <c r="S2" s="1089"/>
      <c r="T2" s="1090"/>
      <c r="U2" s="1090"/>
      <c r="V2" s="1088"/>
      <c r="W2" s="1089"/>
      <c r="X2" s="1090"/>
      <c r="Y2" s="1090"/>
      <c r="Z2" s="1088"/>
      <c r="AA2" s="1089"/>
      <c r="AB2" s="1090"/>
      <c r="AC2" s="1090"/>
      <c r="AD2" s="1088"/>
    </row>
    <row r="3" spans="1:56" s="1" customFormat="1" ht="21" customHeight="1" x14ac:dyDescent="0.3">
      <c r="A3" s="712"/>
      <c r="B3" s="25"/>
      <c r="C3" s="25"/>
      <c r="D3" s="955" t="str">
        <f>IF(vl_overridden_uom_oncosts_per=0,"",CONCATENATE("Note: Default UoM oncosts have been overridden. ",vl_overridden_uom_oncosts_per*100,"%"))</f>
        <v/>
      </c>
      <c r="E3" s="25"/>
      <c r="F3" s="25"/>
      <c r="G3" s="25"/>
      <c r="H3" s="20"/>
      <c r="I3" s="20"/>
      <c r="J3" s="1112"/>
      <c r="K3" s="1112" t="str">
        <f>IF(tbBudgetCurrency="AUD - Australian Dollar", "",tb_xrate)</f>
        <v/>
      </c>
      <c r="L3" s="20"/>
      <c r="M3" s="20"/>
      <c r="N3" s="20"/>
      <c r="O3" s="20"/>
      <c r="P3" s="20"/>
      <c r="Q3" s="20"/>
      <c r="R3" s="20"/>
      <c r="S3" s="20"/>
      <c r="T3" s="20"/>
      <c r="U3" s="20"/>
      <c r="V3" s="20"/>
      <c r="W3" s="20"/>
      <c r="X3" s="20"/>
      <c r="Y3" s="20"/>
      <c r="Z3" s="20"/>
      <c r="AA3" s="20"/>
      <c r="AB3" s="20"/>
      <c r="AC3" s="20"/>
      <c r="AD3" s="20"/>
    </row>
    <row r="4" spans="1:56" s="1" customFormat="1" ht="27" customHeight="1" thickBot="1" x14ac:dyDescent="0.35">
      <c r="A4" s="718"/>
      <c r="B4" s="1373" t="s">
        <v>42</v>
      </c>
      <c r="C4" s="1373"/>
      <c r="D4" s="1373"/>
      <c r="E4" s="1373"/>
      <c r="F4" s="1373"/>
      <c r="G4" s="1373"/>
      <c r="H4" s="1373"/>
      <c r="I4" s="1372"/>
      <c r="J4" s="1372" t="str">
        <f>IF(vl_overridden_uom_oncosts_per=0,"",CONCATENATE("Note: Default UoM oncosts have been overridden. ", vl_overridden_uom_oncosts_per*100,"% oncosts applied"))</f>
        <v/>
      </c>
      <c r="K4" s="1372"/>
      <c r="L4" s="1372"/>
      <c r="M4" s="1372"/>
      <c r="N4" s="1372"/>
      <c r="O4" s="1372"/>
      <c r="P4" s="1372"/>
      <c r="Q4" s="1372"/>
      <c r="R4" s="1372"/>
      <c r="S4" s="1372"/>
      <c r="T4" s="1372"/>
      <c r="U4" s="1372"/>
      <c r="V4" s="1372"/>
      <c r="W4" s="1372"/>
      <c r="X4" s="1372"/>
      <c r="Y4" s="1372"/>
      <c r="Z4" s="1372"/>
      <c r="AA4" s="913"/>
      <c r="AB4" s="913"/>
      <c r="AC4" s="913"/>
      <c r="AD4" s="1123" t="str">
        <f>IF(tbBudgetCurrency="AUD - Australian Dollar", "",tb_xrate)</f>
        <v/>
      </c>
      <c r="AL4" s="14"/>
      <c r="AM4" s="14"/>
      <c r="AN4" s="14"/>
      <c r="AO4" s="14"/>
      <c r="AP4" s="14"/>
      <c r="AQ4" s="14"/>
      <c r="AR4" s="14"/>
      <c r="AS4" s="14"/>
      <c r="AT4" s="14"/>
      <c r="AU4" s="14"/>
      <c r="AV4" s="14"/>
      <c r="AW4" s="14"/>
      <c r="AX4" s="14"/>
      <c r="AY4" s="14"/>
      <c r="AZ4" s="14"/>
      <c r="BA4" s="14"/>
      <c r="BB4" s="14"/>
      <c r="BC4" s="14"/>
      <c r="BD4" s="14"/>
    </row>
    <row r="5" spans="1:56" s="6" customFormat="1" ht="15.6" customHeight="1" x14ac:dyDescent="0.3">
      <c r="A5" s="726"/>
      <c r="B5" s="1374" t="s">
        <v>58</v>
      </c>
      <c r="C5" s="1374" t="s">
        <v>309</v>
      </c>
      <c r="D5" s="1374" t="s">
        <v>47</v>
      </c>
      <c r="E5" s="1374" t="s">
        <v>48</v>
      </c>
      <c r="F5" s="1374" t="s">
        <v>49</v>
      </c>
      <c r="G5" s="1374" t="s">
        <v>50</v>
      </c>
      <c r="H5" s="1374" t="s">
        <v>310</v>
      </c>
      <c r="I5" s="1374" t="s">
        <v>311</v>
      </c>
      <c r="J5" s="1374" t="str">
        <f>"Year 1" &amp; IF(pStartYear&lt;&gt;"",IF(First_year_fraction=12," ("&amp;pStartYear&amp;") "," ("&amp;pStartYear&amp;") " &amp; "- " &amp;First_year_fraction&amp; " months"),"")</f>
        <v xml:space="preserve">Year 1 (2026) </v>
      </c>
      <c r="K5" s="1374"/>
      <c r="L5" s="1387" t="str">
        <f>"Year 2" &amp; IF(OR(pStartYear="",pStartYear+1&gt;pEndYear),"",(IF(pStartYear+1=pEndYear,(IF(Last_Year_Fraction=12," ("&amp;pStartYear+1&amp;") "," ("&amp;pStartYear+1&amp;") - "&amp;Last_Year_Fraction&amp;" months"))," ("&amp;pStartYear+1&amp;") ")))</f>
        <v xml:space="preserve">Year 2 (2027) </v>
      </c>
      <c r="M5" s="1387"/>
      <c r="N5" s="1374" t="str">
        <f>"Year 3" &amp; IF(OR(pStartYear="",pStartYear+2&gt;pEndYear),"",(IF(pStartYear+2=pEndYear,(IF(Last_Year_Fraction=12," ("&amp;pStartYear+2&amp;") "," ("&amp;pStartYear+2&amp;") - "&amp;Last_Year_Fraction&amp;" months"))," ("&amp;pStartYear+2&amp;") ")))</f>
        <v xml:space="preserve">Year 3 (2028) </v>
      </c>
      <c r="O5" s="1374"/>
      <c r="P5" s="1374" t="str">
        <f>"Year 4" &amp; IF(OR(pStartYear="",pStartYear+3&gt;pEndYear),"",(IF(pStartYear+3=pEndYear,(IF(Last_Year_Fraction=12," ("&amp;pStartYear+3&amp;") "," ("&amp;pStartYear+3&amp;") - "&amp;Last_Year_Fraction&amp;" months"))," ("&amp;pStartYear+3&amp;") ")))</f>
        <v xml:space="preserve">Year 4 (2029) </v>
      </c>
      <c r="Q5" s="1374"/>
      <c r="R5" s="1374" t="str">
        <f>"Year 5" &amp; IF(OR(pStartYear="",pStartYear+4&gt;pEndYear),"",(IF(pStartYear+4=pEndYear,(IF(Last_Year_Fraction=12," ("&amp;pStartYear+4&amp;") "," ("&amp;pStartYear+4&amp;") - "&amp;Last_Year_Fraction&amp;" months"))," ("&amp;pStartYear+4&amp;") ")))</f>
        <v xml:space="preserve">Year 5 (2030) </v>
      </c>
      <c r="S5" s="1374"/>
      <c r="T5" s="1381" t="str">
        <f>"Year 6" &amp; IF(OR(pStartYear="",pStartYear+5&gt;pEndYear),"",(IF(pStartYear+5=pEndYear,(IF(Last_Year_Fraction=12," ("&amp;pStartYear+5&amp;") "," ("&amp;pStartYear+5&amp;") - "&amp;Last_Year_Fraction&amp;" months"))," ("&amp;pStartYear+5&amp;") ")))</f>
        <v>Year 6</v>
      </c>
      <c r="U5" s="1382"/>
      <c r="V5" s="1388" t="str">
        <f>"Year 7" &amp; IF(OR(pStartYear="",pStartYear+6&gt;pEndYear),"",(IF(pStartYear+6=pEndYear,(IF(Last_Year_Fraction=12," ("&amp;pStartYear+6&amp;") "," ("&amp;pStartYear+6&amp;") - "&amp;Last_Year_Fraction&amp;" months"))," ("&amp;pStartYear+6&amp;") ")))</f>
        <v>Year 7</v>
      </c>
      <c r="W5" s="1382"/>
      <c r="X5" s="1388" t="str">
        <f>"Year 8" &amp; IF(OR(pStartYear="",pStartYear+7&gt;pEndYear),"",(IF(pStartYear+7=pEndYear,(IF(Last_Year_Fraction=12," ("&amp;pStartYear+7&amp;") "," ("&amp;pStartYear+7&amp;") - "&amp;Last_Year_Fraction&amp;" months"))," ("&amp;pStartYear+7&amp;") ")))</f>
        <v>Year 8</v>
      </c>
      <c r="Y5" s="1382"/>
      <c r="Z5" s="1388" t="str">
        <f>"Year 9" &amp; IF(OR(pStartYear="",pStartYear+8&gt;pEndYear),"",(IF(pStartYear+8=pEndYear,(IF(Last_Year_Fraction=12," ("&amp;pStartYear+8&amp;") "," ("&amp;pStartYear+8&amp;") - "&amp;Last_Year_Fraction&amp;" months"))," ("&amp;pStartYear+8&amp;") ")))</f>
        <v>Year 9</v>
      </c>
      <c r="AA5" s="1382"/>
      <c r="AB5" s="1388" t="str">
        <f>"Year 10" &amp; IF(OR(pStartYear="",pStartYear+9&gt;pEndYear),"",(IF(pStartYear+9=pEndYear,(IF(Last_Year_Fraction=12," ("&amp;pStartYear+9&amp;") "," ("&amp;pStartYear+9&amp;") - "&amp;Last_Year_Fraction&amp;" months"))," ("&amp;pStartYear+9&amp;") ")))</f>
        <v>Year 10</v>
      </c>
      <c r="AC5" s="1382"/>
      <c r="AD5" s="1113" t="str">
        <f>IF(tbBudgetCurrency="AUD - Australian Dollar","Total (AUD)",CONCATENATE("Total (",LEFT(tbBudgetCurrency,3),")"))</f>
        <v>Total (AUD)</v>
      </c>
      <c r="AE5" s="1"/>
      <c r="AF5" s="1"/>
      <c r="AG5" s="1"/>
      <c r="AH5" s="1"/>
      <c r="AI5" s="1"/>
      <c r="AJ5" s="1"/>
      <c r="AK5" s="1"/>
      <c r="AL5" s="15"/>
      <c r="AM5" s="15"/>
      <c r="AN5" s="15"/>
      <c r="AO5" s="15"/>
      <c r="AP5" s="15"/>
      <c r="AQ5" s="15"/>
      <c r="AR5" s="15"/>
      <c r="AS5" s="15"/>
      <c r="AT5" s="15"/>
      <c r="AU5" s="15"/>
      <c r="AV5" s="15"/>
      <c r="AW5" s="15"/>
      <c r="AX5" s="15"/>
      <c r="AY5" s="15"/>
      <c r="AZ5" s="15"/>
      <c r="BA5" s="15"/>
      <c r="BB5" s="15"/>
      <c r="BC5" s="15"/>
      <c r="BD5" s="15"/>
    </row>
    <row r="6" spans="1:56" s="6" customFormat="1" ht="17.100000000000001" customHeight="1" thickBot="1" x14ac:dyDescent="0.35">
      <c r="A6" s="726"/>
      <c r="B6" s="1374"/>
      <c r="C6" s="1374"/>
      <c r="D6" s="1374"/>
      <c r="E6" s="1374"/>
      <c r="F6" s="1374"/>
      <c r="G6" s="1374"/>
      <c r="H6" s="1374"/>
      <c r="I6" s="1374"/>
      <c r="J6" s="724" t="s">
        <v>312</v>
      </c>
      <c r="K6" s="725" t="str">
        <f>IF(tbBudgetCurrency="AUD - Australian Dollar","Total (AUD)",CONCATENATE("Total (",LEFT(tbBudgetCurrency,3),")"))</f>
        <v>Total (AUD)</v>
      </c>
      <c r="L6" s="724" t="s">
        <v>312</v>
      </c>
      <c r="M6" s="725" t="str">
        <f>IF(tbBudgetCurrency="AUD - Australian Dollar","Total (AUD)",CONCATENATE("Total (",LEFT(tbBudgetCurrency,3),")"))</f>
        <v>Total (AUD)</v>
      </c>
      <c r="N6" s="724" t="s">
        <v>312</v>
      </c>
      <c r="O6" s="725" t="str">
        <f>IF(tbBudgetCurrency="AUD - Australian Dollar","Total (AUD)",CONCATENATE("Total (",LEFT(tbBudgetCurrency,3),")"))</f>
        <v>Total (AUD)</v>
      </c>
      <c r="P6" s="724" t="s">
        <v>312</v>
      </c>
      <c r="Q6" s="725" t="str">
        <f>IF(tbBudgetCurrency="AUD - Australian Dollar","Total (AUD)",CONCATENATE("Total (",LEFT(tbBudgetCurrency,3),")"))</f>
        <v>Total (AUD)</v>
      </c>
      <c r="R6" s="724" t="s">
        <v>312</v>
      </c>
      <c r="S6" s="725" t="str">
        <f>IF(tbBudgetCurrency="AUD - Australian Dollar","Total (AUD)",CONCATENATE("Total (",LEFT(tbBudgetCurrency,3),")"))</f>
        <v>Total (AUD)</v>
      </c>
      <c r="T6" s="719" t="s">
        <v>312</v>
      </c>
      <c r="U6" s="224" t="str">
        <f>IF(tbBudgetCurrency="AUD - Australian Dollar","Total (AUD)",CONCATENATE("Total (",LEFT(tbBudgetCurrency,3),")"))</f>
        <v>Total (AUD)</v>
      </c>
      <c r="V6" s="278" t="s">
        <v>312</v>
      </c>
      <c r="W6" s="224" t="str">
        <f>IF(tbBudgetCurrency="AUD - Australian Dollar","Total (AUD)",CONCATENATE("Total (",LEFT(tbBudgetCurrency,3),")"))</f>
        <v>Total (AUD)</v>
      </c>
      <c r="X6" s="278" t="s">
        <v>312</v>
      </c>
      <c r="Y6" s="224" t="str">
        <f>IF(tbBudgetCurrency="AUD - Australian Dollar","Total (AUD)",CONCATENATE("Total (",LEFT(tbBudgetCurrency,3),")"))</f>
        <v>Total (AUD)</v>
      </c>
      <c r="Z6" s="278" t="s">
        <v>312</v>
      </c>
      <c r="AA6" s="224" t="str">
        <f>IF(tbBudgetCurrency="AUD - Australian Dollar","Total (AUD)",CONCATENATE("Total (",LEFT(tbBudgetCurrency,3),")"))</f>
        <v>Total (AUD)</v>
      </c>
      <c r="AB6" s="278" t="s">
        <v>312</v>
      </c>
      <c r="AC6" s="224" t="str">
        <f>IF(tbBudgetCurrency="AUD - Australian Dollar","Total (AUD)",CONCATENATE("Total (",LEFT(tbBudgetCurrency,3),")"))</f>
        <v>Total (AUD)</v>
      </c>
      <c r="AD6" s="1114"/>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row>
    <row r="7" spans="1:56" s="1" customFormat="1" x14ac:dyDescent="0.3">
      <c r="A7" s="727"/>
      <c r="B7" s="330" t="str">
        <f>IF('PART B Staff Costs'!B21="","",'PART B Staff Costs'!B21)</f>
        <v/>
      </c>
      <c r="C7" s="329" t="str">
        <f>IF('PART B Staff Costs'!C21="","",'PART B Staff Costs'!C21)</f>
        <v xml:space="preserve"> </v>
      </c>
      <c r="D7" s="331" t="str">
        <f>IF('PART B Staff Costs'!D21="","",'PART B Staff Costs'!D21)</f>
        <v/>
      </c>
      <c r="E7" s="331" t="str">
        <f>IF('PART B Staff Costs'!E21="","",'PART B Staff Costs'!E21)</f>
        <v/>
      </c>
      <c r="F7" s="331" t="str">
        <f>IF('PART B Staff Costs'!F21="","",'PART B Staff Costs'!F21)</f>
        <v/>
      </c>
      <c r="G7" s="331" t="str">
        <f>IF('PART B Staff Costs'!G21="","",'PART B Staff Costs'!G21)</f>
        <v/>
      </c>
      <c r="H7" s="331" t="str">
        <f>CONCATENATE(IF(D7=0,"",D7)," ",IF(E7=0,"",E7)," ",IF(F7=0,"",F7),,IF(OR(G7=0,G7=""),"",CONCATENATE(" (",G7,")")))</f>
        <v xml:space="preserve">  </v>
      </c>
      <c r="I7" s="331" t="s">
        <v>313</v>
      </c>
      <c r="J7" s="720">
        <f>_xlfn.IFNA('PART B Staff Costs'!$H21*'PART B Staff Costs'!J$10,0)*new_xrate</f>
        <v>0</v>
      </c>
      <c r="K7" s="1186"/>
      <c r="L7" s="722">
        <f>_xlfn.IFNA(IF(pStartYear+1&gt;pEndYear,0,VLOOKUP(CONCATENATE(
IF(OR($D7="Continuing",$D7="Fixed-Term"),"Fortnight",IF($D7="Casual","Casual",)),
$E7,
IF(OR($D7="Continuing",$D7="Fixed-Term"),
IF(LEFT($F7,6)="UOM 10","UOM 10",(LEFT($F7,LEN($F7)-1)&amp;MIN(RIGHT($F7,1)+COUNTIFS($J8:K8,"&gt;0")/2,VLOOKUP(LEFT($F7,LEN($F7)-2),tSalaryMax,2,FALSE)))),
IF($D7="Casual",
$F7,))
),tSalaryRate,5,FALSE)*VLOOKUP($G7,tSalaryRateMultiplier,2,FALSE)*'PART B Staff Costs'!L$10),0)*new_xrate</f>
        <v>0</v>
      </c>
      <c r="M7" s="723"/>
      <c r="N7" s="720">
        <f>_xlfn.IFNA(IF(pStartYear+2&gt;pEndYear,0,VLOOKUP(CONCATENATE(
IF(OR($D7="Continuing",$D7="Fixed-Term"),"Fortnight",IF($D7="Casual","Casual",)),
$E7,
IF(OR($D7="Continuing",$D7="Fixed-Term"),
IF(LEFT($F7,6)="UOM 10","UOM 10",(LEFT($F7,LEN($F7)-1)&amp;MIN(RIGHT($F7,1)+COUNTIFS($J8:M8,"&gt;0")/2,VLOOKUP(LEFT($F7,LEN($F7)-2),tSalaryMax,2,FALSE)))),
IF($D7="Casual",
$F7,))
),tSalaryRate,5,FALSE)*VLOOKUP($G7,tSalaryRateMultiplier,2,FALSE)*'PART B Staff Costs'!N$10),0)*new_xrate</f>
        <v>0</v>
      </c>
      <c r="O7" s="721"/>
      <c r="P7" s="722">
        <f>_xlfn.IFNA(IF(pStartYear+3&gt;pEndYear,0,VLOOKUP(CONCATENATE(
IF(OR($D7="Continuing",$D7="Fixed-Term"),"Fortnight",IF($D7="Casual","Casual",)),
$E7,
IF(OR($D7="Continuing",$D7="Fixed-Term"),
IF(LEFT($F7,6)="UOM 10","UOM 10",(LEFT($F7,LEN($F7)-1)&amp;MIN(RIGHT($F7,1)+COUNTIFS($J8:O8,"&gt;0")/2,VLOOKUP(LEFT($F7,LEN($F7)-2),tSalaryMax,2,FALSE)))),
IF($D7="Casual",
$F7,))
),tSalaryRate,5,FALSE)*VLOOKUP($G7,tSalaryRateMultiplier,2,FALSE)*'PART B Staff Costs'!P$10),0)*new_xrate</f>
        <v>0</v>
      </c>
      <c r="Q7" s="723"/>
      <c r="R7" s="720">
        <f>_xlfn.IFNA(IF(pStartYear+4&gt;pEndYear,0,VLOOKUP(CONCATENATE(
IF(OR($D7="Continuing",$D7="Fixed-Term"),"Fortnight",IF($D7="Casual","Casual",)),
$E7,
IF(OR($D7="Continuing",$D7="Fixed-Term"),
IF(LEFT($F7,6)="UOM 10","UOM 10",(LEFT($F7,LEN($F7)-1)&amp;MIN(RIGHT($F7,1)+COUNTIFS($J8:Q8,"&gt;0")/2,VLOOKUP(LEFT($F7,LEN($F7)-2),tSalaryMax,2,FALSE)))),
IF($D7="Casual",
$F7,))
),tSalaryRate,5,FALSE)*VLOOKUP($G7,tSalaryRateMultiplier,2,FALSE)*'PART B Staff Costs'!R$10),0)*new_xrate</f>
        <v>0</v>
      </c>
      <c r="S7" s="721"/>
      <c r="T7" s="334">
        <f>_xlfn.IFNA(IF(pStartYear+5&gt;pEndYear,0,VLOOKUP(CONCATENATE(
IF(OR($D7="Continuing",$D7="Fixed-Term"),"Fortnight",IF($D7="Casual","Casual",)),
$E7,
IF(OR($D7="Continuing",$D7="Fixed-Term"),
IF(LEFT($F7,6)="UOM 10","UOM 10",(LEFT($F7,LEN($F7)-1)&amp;MIN(RIGHT($F7,1)+COUNTIFS($J8:S8,"&gt;0")/2,VLOOKUP(LEFT($F7,LEN($F7)-2),tSalaryMax,2,FALSE)))),
IF($D7="Casual",
$F7,))
),tSalaryRate,5,FALSE)*VLOOKUP($G7,tSalaryRateMultiplier,2,FALSE)*'PART B Staff Costs'!T$10),0)*new_xrate</f>
        <v>0</v>
      </c>
      <c r="U7" s="449"/>
      <c r="V7" s="333">
        <f>_xlfn.IFNA(IF(pStartYear+6&gt;pEndYear,0,VLOOKUP(CONCATENATE(
IF(OR($D7="Continuing",$D7="Fixed-Term"),"Fortnight",IF($D7="Casual","Casual",)),
$E7,
IF(OR($D7="Continuing",$D7="Fixed-Term"),
IF(LEFT($F7,6)="UOM 10","UOM 10",(LEFT($F7,LEN($F7)-1)&amp;MIN(RIGHT($F7,1)+COUNTIFS($J8:U8,"&gt;0")/2,VLOOKUP(LEFT($F7,LEN($F7)-2),tSalaryMax,2,FALSE)))),
IF($D7="Casual",
$F7,))
),tSalaryRate,5,FALSE)*VLOOKUP($G7,tSalaryRateMultiplier,2,FALSE)*'PART B Staff Costs'!V$10),0)*new_xrate</f>
        <v>0</v>
      </c>
      <c r="W7" s="441"/>
      <c r="X7" s="334">
        <f>IFERROR(_xlfn.IFNA(IF(pStartYear+7&gt;pEndYear,0,VLOOKUP(CONCATENATE(
IF(OR($D7="Continuing",$D7="Fixed-Term"),"Fortnight",IF($D7="Casual","Casual",)),
$E7,
IF(OR($D7="Continuing",$D7="Fixed-Term"),
IF(LEFT($F7,6)="UOM 10","UOM 10",(LEFT($F7,LEN($F7)-1)&amp;MIN(RIGHT($F7,1)+COUNTIFS($J8:W8,"&gt;0")/2,VLOOKUP(LEFT($F7,LEN($F7)-2),tSalaryMax,2,FALSE)))),
IF($D7="Casual",
$F7,))
),tSalaryRate,5,FALSE)*VLOOKUP($G7,tSalaryRateMultiplier,2,FALSE)*'PART B Staff Costs'!X$10),0)*new_xrate,0)</f>
        <v>0</v>
      </c>
      <c r="Y7" s="449"/>
      <c r="Z7" s="333">
        <f>IFERROR(_xlfn.IFNA(IF(pStartYear+8&gt;pEndYear,0,VLOOKUP(CONCATENATE(
IF(OR($D7="Continuing",$D7="Fixed-Term"),"Fortnight",IF($D7="Casual","Casual",)),
$E7,
IF(OR($D7="Continuing",$D7="Fixed-Term"),
IF(LEFT($F7,6)="UOM 10","UOM 10",(LEFT($F7,LEN($F7)-1)&amp;MIN(RIGHT($F7,1)+COUNTIFS($J8:Y8,"&gt;0")/2,VLOOKUP(LEFT($F7,LEN($F7)-2),tSalaryMax,2,FALSE)))),
IF($D7="Casual",
$F7,))
),tSalaryRate,5,FALSE)*VLOOKUP($G7,tSalaryRateMultiplier,2,FALSE)*'PART B Staff Costs'!Z$10),0)*new_xrate,0)</f>
        <v>0</v>
      </c>
      <c r="AA7" s="441"/>
      <c r="AB7" s="334">
        <f>IFERROR(_xlfn.IFNA(IF(pStartYear+9&gt;pEndYear,0,VLOOKUP(CONCATENATE(
IF(OR($D7="Continuing",$D7="Fixed-Term"),"Fortnight",IF($D7="Casual","Casual",)),
$E7,
IF(OR($D7="Continuing",$D7="Fixed-Term"),
IF(LEFT($F7,6)="UOM 10","UOM 10",(LEFT($F7,LEN($F7)-1)&amp;MIN(RIGHT($F7,1)+COUNTIFS($J8:AA8,"&gt;0")/2,VLOOKUP(LEFT($F7,LEN($F7)-2),tSalaryMax,2,FALSE)))),
IF($D7="Casual",
$F7,))
),tSalaryRate,5,FALSE)*VLOOKUP($G7,tSalaryRateMultiplier,2,FALSE)*'PART B Staff Costs'!AB$10),0)*new_xrate,0)</f>
        <v>0</v>
      </c>
      <c r="AC7" s="1115"/>
      <c r="AD7" s="335"/>
      <c r="AE7" s="14"/>
      <c r="AF7" s="1166"/>
      <c r="AG7" s="1180"/>
      <c r="AH7" s="14"/>
      <c r="AI7" s="14"/>
      <c r="AJ7" s="14"/>
      <c r="AK7" s="14"/>
      <c r="AL7" s="14"/>
      <c r="AM7" s="14"/>
      <c r="AN7" s="14"/>
      <c r="AO7" s="14"/>
      <c r="AP7" s="14"/>
      <c r="AQ7" s="14"/>
      <c r="AR7" s="14"/>
      <c r="AS7" s="14"/>
      <c r="AT7" s="14"/>
      <c r="AU7" s="14"/>
      <c r="AV7" s="14"/>
      <c r="AW7" s="14"/>
      <c r="AX7" s="14"/>
      <c r="AY7" s="14"/>
      <c r="AZ7" s="14"/>
      <c r="BA7" s="14"/>
      <c r="BB7" s="14"/>
      <c r="BC7" s="14"/>
      <c r="BD7" s="14"/>
    </row>
    <row r="8" spans="1:56" s="1" customFormat="1" ht="15" customHeight="1" x14ac:dyDescent="0.3">
      <c r="A8" s="727"/>
      <c r="B8" s="1377"/>
      <c r="C8" s="1377"/>
      <c r="D8" s="1377"/>
      <c r="E8" s="1377"/>
      <c r="F8" s="1377"/>
      <c r="G8" s="1377"/>
      <c r="H8" s="1378"/>
      <c r="I8" s="336" t="str">
        <f>IF('PART B Staff Costs'!G21&lt;&gt;"",CONCATENATE("Time/Requested salary"," (",'PART B Staff Costs'!G21,")"),"Time/Requested salary")</f>
        <v>Time/Requested salary</v>
      </c>
      <c r="J8" s="337">
        <f>_xlfn.IFNA('PART B Staff Costs'!I21,0)</f>
        <v>0</v>
      </c>
      <c r="K8" s="442">
        <f>IF('PART B Staff Costs'!$G$21="FTE",J8*J7*(First_year_fraction/12),J8*J7)</f>
        <v>0</v>
      </c>
      <c r="L8" s="338">
        <f>_xlfn.IFNA('PART B Staff Costs'!K21,0)</f>
        <v>0</v>
      </c>
      <c r="M8" s="450">
        <f>IF(pStartYear+1=pEndYear,IF('PART B Staff Costs'!$G$21="FTE",(L8*L7)*Last_Year_Fraction/12,L8*L7),L8*L7)</f>
        <v>0</v>
      </c>
      <c r="N8" s="337">
        <f>_xlfn.IFNA('PART B Staff Costs'!M21,0)</f>
        <v>0</v>
      </c>
      <c r="O8" s="442">
        <f>IF(pStartYear+2=pEndYear,IF('PART B Staff Costs'!$G$21="FTE",(N8*N7)*Last_Year_Fraction/12,N8*N7),N8*N7)</f>
        <v>0</v>
      </c>
      <c r="P8" s="338">
        <f>_xlfn.IFNA('PART B Staff Costs'!O21,0)</f>
        <v>0</v>
      </c>
      <c r="Q8" s="450">
        <f>IF(pStartYear+3=pEndYear,IF('PART B Staff Costs'!$G$21="FTE",(P8*P7)*Last_Year_Fraction/12,P8*P7),P8*P7)</f>
        <v>0</v>
      </c>
      <c r="R8" s="337">
        <f>_xlfn.IFNA('PART B Staff Costs'!Q21,0)</f>
        <v>0</v>
      </c>
      <c r="S8" s="442">
        <f>IF(pStartYear+4=pEndYear,IF('PART B Staff Costs'!$G$21="FTE",(R8*R7)*Last_Year_Fraction/12,R8*R7),R8*R7)</f>
        <v>0</v>
      </c>
      <c r="T8" s="338">
        <f>_xlfn.IFNA('PART B Staff Costs'!S21,0)</f>
        <v>0</v>
      </c>
      <c r="U8" s="450">
        <f>IF(pStartYear+5=pEndYear,IF('PART B Staff Costs'!$G$21="FTE",(T8*T7)*Last_Year_Fraction/12,T8*T7),T8*T7)</f>
        <v>0</v>
      </c>
      <c r="V8" s="337">
        <f>_xlfn.IFNA('PART B Staff Costs'!U21,0)</f>
        <v>0</v>
      </c>
      <c r="W8" s="442">
        <f>IF(pStartYear+6=pEndYear,IF('PART B Staff Costs'!$G$21="FTE",(V8*V7)*Last_Year_Fraction/12,V8*V7),V8*V7)</f>
        <v>0</v>
      </c>
      <c r="X8" s="338">
        <f>_xlfn.IFNA('PART B Staff Costs'!W21,0)</f>
        <v>0</v>
      </c>
      <c r="Y8" s="450">
        <f>IF(pStartYear+7=pEndYear,IF('PART B Staff Costs'!$G$21="FTE",(X8*X7)*Last_Year_Fraction/12,X8*X7),X8*X7)</f>
        <v>0</v>
      </c>
      <c r="Z8" s="337">
        <f>_xlfn.IFNA('PART B Staff Costs'!Y21,0)</f>
        <v>0</v>
      </c>
      <c r="AA8" s="442">
        <f>IF(pStartYear+8=pEndYear,IF('PART B Staff Costs'!$G$21="FTE",(Z8*Z7)*Last_Year_Fraction/12,Z8*Z7),Z8*Z7)</f>
        <v>0</v>
      </c>
      <c r="AB8" s="338">
        <f>_xlfn.IFNA('PART B Staff Costs'!AA21,0)</f>
        <v>0</v>
      </c>
      <c r="AC8" s="1116">
        <f>IF(pStartYear+9=pEndYear,IF('PART B Staff Costs'!$G$21="FTE",(AB8*AB7)*Last_Year_Fraction/12,AB8*AB7),AB8*AB7)</f>
        <v>0</v>
      </c>
      <c r="AD8" s="335"/>
      <c r="AE8" s="14"/>
      <c r="AF8" s="1166"/>
      <c r="AG8" s="1180"/>
      <c r="AH8" s="14"/>
      <c r="AI8" s="14"/>
      <c r="AJ8" s="14"/>
      <c r="AK8" s="14"/>
      <c r="AL8" s="14"/>
      <c r="AM8" s="14"/>
      <c r="AN8" s="14"/>
      <c r="AO8" s="14"/>
      <c r="AP8" s="14"/>
      <c r="AQ8" s="14"/>
      <c r="AR8" s="14"/>
      <c r="AS8" s="14"/>
      <c r="AT8" s="14"/>
      <c r="AU8" s="14"/>
      <c r="AV8" s="14"/>
      <c r="AW8" s="14"/>
      <c r="AX8" s="14"/>
      <c r="AY8" s="14"/>
      <c r="AZ8" s="14"/>
      <c r="BA8" s="14"/>
      <c r="BB8" s="14"/>
      <c r="BC8" s="14"/>
      <c r="BD8" s="14"/>
    </row>
    <row r="9" spans="1:56" s="1" customFormat="1" ht="15" customHeight="1" x14ac:dyDescent="0.3">
      <c r="A9" s="727"/>
      <c r="B9" s="1379"/>
      <c r="C9" s="1379"/>
      <c r="D9" s="1379"/>
      <c r="E9" s="1379"/>
      <c r="F9" s="1379"/>
      <c r="G9" s="1379"/>
      <c r="H9" s="1380"/>
      <c r="I9" s="336" t="str">
        <f>IF(tbBudgetCurrency="AUD - Australian Dollar",CONCATENATE("Leave Loading (max of AU$",vl_Max_Leave_Loading,")"),CONCATENATE("Leave Loading (max of ",ROUND(vl_Max_Leave_Loading*new_xrate,2)," ",LEFT(tbBudgetCurrency,3),")"))</f>
        <v>Leave Loading (max of AU$1611.3)</v>
      </c>
      <c r="J9" s="339">
        <f>_xlfn.IFNA(VLOOKUP($D7,tbLeaveLoading,2,FALSE),0)</f>
        <v>0</v>
      </c>
      <c r="K9" s="443">
        <f>IF(K8*J9&gt;vl_Max_Leave_Loading*new_xrate,vl_Max_Leave_Loading*new_xrate,K8*J9)</f>
        <v>0</v>
      </c>
      <c r="L9" s="340">
        <f>_xlfn.IFNA(VLOOKUP($D7,tbLeaveLoading,2,FALSE),0)</f>
        <v>0</v>
      </c>
      <c r="M9" s="451">
        <f>IF(M8*L9&gt;vl_Max_Leave_Loading*new_xrate,vl_Max_Leave_Loading*new_xrate,M8*L9)</f>
        <v>0</v>
      </c>
      <c r="N9" s="339">
        <f>_xlfn.IFNA(VLOOKUP($D7,tbLeaveLoading,2,FALSE),0)</f>
        <v>0</v>
      </c>
      <c r="O9" s="443">
        <f>IF(O8*N9&gt;vl_Max_Leave_Loading*new_xrate,vl_Max_Leave_Loading*new_xrate,O8*N9)</f>
        <v>0</v>
      </c>
      <c r="P9" s="340">
        <f>_xlfn.IFNA(VLOOKUP($D7,tbLeaveLoading,2,FALSE),0)</f>
        <v>0</v>
      </c>
      <c r="Q9" s="451">
        <f>IF(Q8*P9&gt;vl_Max_Leave_Loading*new_xrate,vl_Max_Leave_Loading*new_xrate,Q8*P9)</f>
        <v>0</v>
      </c>
      <c r="R9" s="339">
        <f>_xlfn.IFNA(VLOOKUP($D7,tbLeaveLoading,2,FALSE),0)</f>
        <v>0</v>
      </c>
      <c r="S9" s="443">
        <f>IF(S8*R9&gt;vl_Max_Leave_Loading*new_xrate,vl_Max_Leave_Loading*new_xrate,S8*R9)</f>
        <v>0</v>
      </c>
      <c r="T9" s="340">
        <f>_xlfn.IFNA(VLOOKUP($D7,tbLeaveLoading,2,FALSE),0)</f>
        <v>0</v>
      </c>
      <c r="U9" s="451">
        <f>IF(U8*T9&gt;vl_Max_Leave_Loading*new_xrate,vl_Max_Leave_Loading*new_xrate,U8*T9)</f>
        <v>0</v>
      </c>
      <c r="V9" s="339">
        <f>_xlfn.IFNA(VLOOKUP($D7,tbLeaveLoading,2,FALSE),0)</f>
        <v>0</v>
      </c>
      <c r="W9" s="443">
        <f>IF(W8*V9&gt;vl_Max_Leave_Loading*new_xrate,vl_Max_Leave_Loading*new_xrate,W8*V9)</f>
        <v>0</v>
      </c>
      <c r="X9" s="340">
        <f>_xlfn.IFNA(VLOOKUP($D7,tbLeaveLoading,2,FALSE),0)</f>
        <v>0</v>
      </c>
      <c r="Y9" s="451">
        <f>IF(Y8*X9&gt;vl_Max_Leave_Loading*new_xrate,vl_Max_Leave_Loading*new_xrate,Y8*X9)</f>
        <v>0</v>
      </c>
      <c r="Z9" s="339">
        <f>_xlfn.IFNA(VLOOKUP($D7,tbLeaveLoading,2,FALSE),0)</f>
        <v>0</v>
      </c>
      <c r="AA9" s="443">
        <f>IF(AA8*Z9&gt;vl_Max_Leave_Loading*new_xrate,vl_Max_Leave_Loading*new_xrate,AA8*Z9)</f>
        <v>0</v>
      </c>
      <c r="AB9" s="340">
        <f>_xlfn.IFNA(VLOOKUP($D7,tbLeaveLoading,2,FALSE),0)</f>
        <v>0</v>
      </c>
      <c r="AC9" s="1117">
        <f>IF(AC8*AB9&gt;vl_Max_Leave_Loading*new_xrate,vl_Max_Leave_Loading*new_xrate,AC8*AB9)</f>
        <v>0</v>
      </c>
      <c r="AD9" s="335"/>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row>
    <row r="10" spans="1:56" s="1" customFormat="1" ht="15" customHeight="1" x14ac:dyDescent="0.3">
      <c r="A10" s="727"/>
      <c r="B10" s="1379"/>
      <c r="C10" s="1379"/>
      <c r="D10" s="1379"/>
      <c r="E10" s="1379"/>
      <c r="F10" s="1379"/>
      <c r="G10" s="1379"/>
      <c r="H10" s="1380"/>
      <c r="I10" s="336" t="s">
        <v>314</v>
      </c>
      <c r="J10" s="339">
        <f>_xlfn.IFNA(_xlfn.IFNA(VLOOKUP(CONCATENATE(pStartYear,$D7),tbSuperannuation,4,FALSE),VLOOKUP($D7,tbSuperannuation2026onwards,2,FALSE)),0)</f>
        <v>0</v>
      </c>
      <c r="K10" s="443">
        <f>K8*J10</f>
        <v>0</v>
      </c>
      <c r="L10" s="340">
        <f>_xlfn.IFNA(_xlfn.IFNA(VLOOKUP(CONCATENATE(pStartYear+1,$D7),tbSuperannuation,4,FALSE),VLOOKUP($D7,tbSuperannuation2026onwards,2,FALSE)),0)</f>
        <v>0</v>
      </c>
      <c r="M10" s="451">
        <f t="shared" ref="M10:U10" si="0">M8*L10</f>
        <v>0</v>
      </c>
      <c r="N10" s="339">
        <f>_xlfn.IFNA(_xlfn.IFNA(VLOOKUP(CONCATENATE(pStartYear+2,$D7),tbSuperannuation,4,FALSE),VLOOKUP($D7,tbSuperannuation2026onwards,2,FALSE)),0)</f>
        <v>0</v>
      </c>
      <c r="O10" s="443">
        <f>O8*N10</f>
        <v>0</v>
      </c>
      <c r="P10" s="340">
        <f>_xlfn.IFNA(_xlfn.IFNA(VLOOKUP(CONCATENATE(pStartYear+3,$D7),tbSuperannuation,4,FALSE),VLOOKUP($D7,tbSuperannuation2026onwards,2,FALSE)),0)</f>
        <v>0</v>
      </c>
      <c r="Q10" s="451">
        <f t="shared" si="0"/>
        <v>0</v>
      </c>
      <c r="R10" s="339">
        <f>_xlfn.IFNA(_xlfn.IFNA(VLOOKUP(CONCATENATE(pStartYear+4,$D7),tbSuperannuation,4,FALSE),VLOOKUP($D7,tbSuperannuation2026onwards,2,FALSE)),0)</f>
        <v>0</v>
      </c>
      <c r="S10" s="443">
        <f>S8*R10</f>
        <v>0</v>
      </c>
      <c r="T10" s="340">
        <f>_xlfn.IFNA(_xlfn.IFNA(VLOOKUP(CONCATENATE(pStartYear+5,$D7),tbSuperannuation,4,FALSE),VLOOKUP($D7,tbSuperannuation2026onwards,2,FALSE)),0)</f>
        <v>0</v>
      </c>
      <c r="U10" s="451">
        <f t="shared" si="0"/>
        <v>0</v>
      </c>
      <c r="V10" s="339">
        <f>_xlfn.IFNA(_xlfn.IFNA(VLOOKUP(CONCATENATE(pStartYear+6,$D7),tbSuperannuation,4,FALSE),VLOOKUP($D7,tbSuperannuation2026onwards,2,FALSE)),0)</f>
        <v>0</v>
      </c>
      <c r="W10" s="443">
        <f>W8*V10</f>
        <v>0</v>
      </c>
      <c r="X10" s="340">
        <f>_xlfn.IFNA(_xlfn.IFNA(VLOOKUP(CONCATENATE(pStartYear+7,$D7),tbSuperannuation,4,FALSE),VLOOKUP($D7,tbSuperannuation2026onwards,2,FALSE)),0)</f>
        <v>0</v>
      </c>
      <c r="Y10" s="451">
        <f t="shared" ref="Y10:AC10" si="1">Y8*X10</f>
        <v>0</v>
      </c>
      <c r="Z10" s="339">
        <f>_xlfn.IFNA(_xlfn.IFNA(VLOOKUP(CONCATENATE(pStartYear+8,$D7),tbSuperannuation,4,FALSE),VLOOKUP($D7,tbSuperannuation2026onwards,2,FALSE)),0)</f>
        <v>0</v>
      </c>
      <c r="AA10" s="443">
        <f>AA8*Z10</f>
        <v>0</v>
      </c>
      <c r="AB10" s="340">
        <f>_xlfn.IFNA(_xlfn.IFNA(VLOOKUP(CONCATENATE(pStartYear+9,$D7),tbSuperannuation,4,FALSE),VLOOKUP($D7,tbSuperannuation2026onwards,2,FALSE)),0)</f>
        <v>0</v>
      </c>
      <c r="AC10" s="1117">
        <f t="shared" si="1"/>
        <v>0</v>
      </c>
      <c r="AD10" s="335"/>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row>
    <row r="11" spans="1:56" s="1" customFormat="1" ht="15" customHeight="1" x14ac:dyDescent="0.3">
      <c r="A11" s="727"/>
      <c r="B11" s="1379"/>
      <c r="C11" s="1379"/>
      <c r="D11" s="1379"/>
      <c r="E11" s="1379"/>
      <c r="F11" s="1379"/>
      <c r="G11" s="1379"/>
      <c r="H11" s="1380"/>
      <c r="I11" s="341" t="s">
        <v>315</v>
      </c>
      <c r="J11" s="342"/>
      <c r="K11" s="444">
        <f>K9+K10+K8</f>
        <v>0</v>
      </c>
      <c r="L11" s="342"/>
      <c r="M11" s="444">
        <f t="shared" ref="M11" si="2">M9+M10+M8</f>
        <v>0</v>
      </c>
      <c r="N11" s="342"/>
      <c r="O11" s="444">
        <f>O9+O10+O8</f>
        <v>0</v>
      </c>
      <c r="P11" s="342"/>
      <c r="Q11" s="444">
        <f t="shared" ref="Q11" si="3">Q9+Q10+Q8</f>
        <v>0</v>
      </c>
      <c r="R11" s="342"/>
      <c r="S11" s="444">
        <f>S9+S10+S8</f>
        <v>0</v>
      </c>
      <c r="T11" s="342"/>
      <c r="U11" s="444">
        <f t="shared" ref="U11" si="4">U9+U10+U8</f>
        <v>0</v>
      </c>
      <c r="V11" s="342"/>
      <c r="W11" s="444">
        <f>W9+W10+W8</f>
        <v>0</v>
      </c>
      <c r="X11" s="342"/>
      <c r="Y11" s="444">
        <f t="shared" ref="Y11" si="5">Y9+Y10+Y8</f>
        <v>0</v>
      </c>
      <c r="Z11" s="342"/>
      <c r="AA11" s="444">
        <f>AA9+AA10+AA8</f>
        <v>0</v>
      </c>
      <c r="AB11" s="342"/>
      <c r="AC11" s="1118">
        <f t="shared" ref="AC11" si="6">AC9+AC10+AC8</f>
        <v>0</v>
      </c>
      <c r="AD11" s="335">
        <f t="shared" ref="AD11:AD24" si="7">IFERROR($K11+$M11+$O11+$Q11+$S11+$U11+$W11+$Y11+$AA11+$AC11,0)</f>
        <v>0</v>
      </c>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row>
    <row r="12" spans="1:56" s="1" customFormat="1" ht="15" customHeight="1" x14ac:dyDescent="0.3">
      <c r="A12" s="727"/>
      <c r="B12" s="1379"/>
      <c r="C12" s="1379"/>
      <c r="D12" s="1379"/>
      <c r="E12" s="1379"/>
      <c r="F12" s="1379"/>
      <c r="G12" s="1379"/>
      <c r="H12" s="1380"/>
      <c r="I12" s="336" t="s">
        <v>316</v>
      </c>
      <c r="J12" s="339">
        <f>_xlfn.IFNA(_xlfn.IFNA(VLOOKUP(pStartYear,tbPayrollTax,2,FALSE),vl_MaxPayrollTax),0)</f>
        <v>5.8500000000000003E-2</v>
      </c>
      <c r="K12" s="443">
        <f>J12*K11</f>
        <v>0</v>
      </c>
      <c r="L12" s="340">
        <f>_xlfn.IFNA(_xlfn.IFNA(VLOOKUP(pStartYear+1,tbPayrollTax,2,FALSE),vl_MaxPayrollTax),0)</f>
        <v>5.8500000000000003E-2</v>
      </c>
      <c r="M12" s="451">
        <f t="shared" ref="M12:U12" si="8">L12*M11</f>
        <v>0</v>
      </c>
      <c r="N12" s="339">
        <f>_xlfn.IFNA(_xlfn.IFNA(VLOOKUP(pStartYear+2,tbPayrollTax,2,FALSE),vl_MaxPayrollTax),0)</f>
        <v>5.8500000000000003E-2</v>
      </c>
      <c r="O12" s="443">
        <f>N12*O11</f>
        <v>0</v>
      </c>
      <c r="P12" s="340">
        <f>_xlfn.IFNA(_xlfn.IFNA(VLOOKUP(pStartYear+3,tbPayrollTax,2,FALSE),vl_MaxPayrollTax),0)</f>
        <v>5.8500000000000003E-2</v>
      </c>
      <c r="Q12" s="451">
        <f t="shared" si="8"/>
        <v>0</v>
      </c>
      <c r="R12" s="339">
        <f>_xlfn.IFNA(_xlfn.IFNA(VLOOKUP(pStartYear+4,tbPayrollTax,2,FALSE),vl_MaxPayrollTax),0)</f>
        <v>5.8500000000000003E-2</v>
      </c>
      <c r="S12" s="443">
        <f>R12*S11</f>
        <v>0</v>
      </c>
      <c r="T12" s="340">
        <f>_xlfn.IFNA(_xlfn.IFNA(VLOOKUP(pStartYear+5,tbPayrollTax,2,FALSE),vl_MaxPayrollTax),0)</f>
        <v>5.8500000000000003E-2</v>
      </c>
      <c r="U12" s="451">
        <f t="shared" si="8"/>
        <v>0</v>
      </c>
      <c r="V12" s="339">
        <f>_xlfn.IFNA(_xlfn.IFNA(VLOOKUP(pStartYear+6,tbPayrollTax,2,FALSE),vl_MaxPayrollTax),0)</f>
        <v>5.8500000000000003E-2</v>
      </c>
      <c r="W12" s="443">
        <f>V12*W11</f>
        <v>0</v>
      </c>
      <c r="X12" s="340">
        <f>_xlfn.IFNA(_xlfn.IFNA(VLOOKUP(pStartYear+7,tbPayrollTax,2,FALSE),vl_MaxPayrollTax),0)</f>
        <v>5.8500000000000003E-2</v>
      </c>
      <c r="Y12" s="451">
        <f t="shared" ref="Y12:AC12" si="9">X12*Y11</f>
        <v>0</v>
      </c>
      <c r="Z12" s="339">
        <f>_xlfn.IFNA(_xlfn.IFNA(VLOOKUP(pStartYear+8,tbPayrollTax,2,FALSE),vl_MaxPayrollTax),0)</f>
        <v>5.8500000000000003E-2</v>
      </c>
      <c r="AA12" s="443">
        <f>Z12*AA11</f>
        <v>0</v>
      </c>
      <c r="AB12" s="340">
        <f>_xlfn.IFNA(_xlfn.IFNA(VLOOKUP(pStartYear+9,tbPayrollTax,2,FALSE),vl_MaxPayrollTax),0)</f>
        <v>5.8500000000000003E-2</v>
      </c>
      <c r="AC12" s="1117">
        <f t="shared" si="9"/>
        <v>0</v>
      </c>
      <c r="AD12" s="335"/>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row>
    <row r="13" spans="1:56" s="1" customFormat="1" ht="15" customHeight="1" x14ac:dyDescent="0.3">
      <c r="A13" s="727"/>
      <c r="B13" s="1379"/>
      <c r="C13" s="1379"/>
      <c r="D13" s="1379"/>
      <c r="E13" s="1379"/>
      <c r="F13" s="1379"/>
      <c r="G13" s="1379"/>
      <c r="H13" s="1380"/>
      <c r="I13" s="336" t="s">
        <v>317</v>
      </c>
      <c r="J13" s="339">
        <f>_xlfn.IFNA(VLOOKUP($D7,tbWorkCover,2,FALSE),0)</f>
        <v>0</v>
      </c>
      <c r="K13" s="443">
        <f>J13*K11</f>
        <v>0</v>
      </c>
      <c r="L13" s="340">
        <f>_xlfn.IFNA(VLOOKUP($D7,tbWorkCover,2,FALSE),0)</f>
        <v>0</v>
      </c>
      <c r="M13" s="451">
        <f t="shared" ref="M13:U13" si="10">L13*M11</f>
        <v>0</v>
      </c>
      <c r="N13" s="339">
        <f>_xlfn.IFNA(VLOOKUP($D7,tbWorkCover,2,FALSE),0)</f>
        <v>0</v>
      </c>
      <c r="O13" s="443">
        <f>N13*O11</f>
        <v>0</v>
      </c>
      <c r="P13" s="340">
        <f>_xlfn.IFNA(VLOOKUP($D7,tbWorkCover,2,FALSE),0)</f>
        <v>0</v>
      </c>
      <c r="Q13" s="451">
        <f t="shared" si="10"/>
        <v>0</v>
      </c>
      <c r="R13" s="339">
        <f>_xlfn.IFNA(VLOOKUP($D7,tbWorkCover,2,FALSE),0)</f>
        <v>0</v>
      </c>
      <c r="S13" s="443">
        <f>R13*S11</f>
        <v>0</v>
      </c>
      <c r="T13" s="340">
        <f>_xlfn.IFNA(VLOOKUP($D7,tbWorkCover,2,FALSE),0)</f>
        <v>0</v>
      </c>
      <c r="U13" s="451">
        <f t="shared" si="10"/>
        <v>0</v>
      </c>
      <c r="V13" s="339">
        <f>_xlfn.IFNA(VLOOKUP($D7,tbWorkCover,2,FALSE),0)</f>
        <v>0</v>
      </c>
      <c r="W13" s="443">
        <f>V13*W11</f>
        <v>0</v>
      </c>
      <c r="X13" s="340">
        <f>_xlfn.IFNA(VLOOKUP($D7,tbWorkCover,2,FALSE),0)</f>
        <v>0</v>
      </c>
      <c r="Y13" s="451">
        <f t="shared" ref="Y13:AC13" si="11">X13*Y11</f>
        <v>0</v>
      </c>
      <c r="Z13" s="339">
        <f>_xlfn.IFNA(VLOOKUP($D7,tbWorkCover,2,FALSE),0)</f>
        <v>0</v>
      </c>
      <c r="AA13" s="443">
        <f>Z13*AA11</f>
        <v>0</v>
      </c>
      <c r="AB13" s="340">
        <f>_xlfn.IFNA(VLOOKUP($D7,tbWorkCover,2,FALSE),0)</f>
        <v>0</v>
      </c>
      <c r="AC13" s="1117">
        <f t="shared" si="11"/>
        <v>0</v>
      </c>
      <c r="AD13" s="335"/>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row>
    <row r="14" spans="1:56" s="1" customFormat="1" ht="15" customHeight="1" x14ac:dyDescent="0.3">
      <c r="A14" s="727"/>
      <c r="B14" s="1379"/>
      <c r="C14" s="1379"/>
      <c r="D14" s="1379"/>
      <c r="E14" s="1379"/>
      <c r="F14" s="1379"/>
      <c r="G14" s="1379"/>
      <c r="H14" s="1380"/>
      <c r="I14" s="336" t="s">
        <v>318</v>
      </c>
      <c r="J14" s="339">
        <f>_xlfn.IFNA(VLOOKUP($D7,tbLongServiceLeave,2,FALSE),0)</f>
        <v>0</v>
      </c>
      <c r="K14" s="443">
        <f>J14*K8</f>
        <v>0</v>
      </c>
      <c r="L14" s="340">
        <f>_xlfn.IFNA(VLOOKUP($D7,tbLongServiceLeave,2,FALSE),0)</f>
        <v>0</v>
      </c>
      <c r="M14" s="451">
        <f t="shared" ref="M14:U14" si="12">L14*M8</f>
        <v>0</v>
      </c>
      <c r="N14" s="339">
        <f>_xlfn.IFNA(VLOOKUP($D7,tbLongServiceLeave,2,FALSE),0)</f>
        <v>0</v>
      </c>
      <c r="O14" s="443">
        <f>N14*O8</f>
        <v>0</v>
      </c>
      <c r="P14" s="340">
        <f>_xlfn.IFNA(VLOOKUP($D7,tbLongServiceLeave,2,FALSE),0)</f>
        <v>0</v>
      </c>
      <c r="Q14" s="451">
        <f t="shared" si="12"/>
        <v>0</v>
      </c>
      <c r="R14" s="339">
        <f>_xlfn.IFNA(VLOOKUP($D7,tbLongServiceLeave,2,FALSE),0)</f>
        <v>0</v>
      </c>
      <c r="S14" s="443">
        <f>R14*S8</f>
        <v>0</v>
      </c>
      <c r="T14" s="340">
        <f>_xlfn.IFNA(VLOOKUP($D7,tbLongServiceLeave,2,FALSE),0)</f>
        <v>0</v>
      </c>
      <c r="U14" s="451">
        <f t="shared" si="12"/>
        <v>0</v>
      </c>
      <c r="V14" s="339">
        <f>_xlfn.IFNA(VLOOKUP($D7,tbLongServiceLeave,2,FALSE),0)</f>
        <v>0</v>
      </c>
      <c r="W14" s="443">
        <f>V14*W8</f>
        <v>0</v>
      </c>
      <c r="X14" s="340">
        <f>_xlfn.IFNA(VLOOKUP($D7,tbLongServiceLeave,2,FALSE),0)</f>
        <v>0</v>
      </c>
      <c r="Y14" s="451">
        <f t="shared" ref="Y14:AC14" si="13">X14*Y8</f>
        <v>0</v>
      </c>
      <c r="Z14" s="339">
        <f>_xlfn.IFNA(VLOOKUP($D7,tbLongServiceLeave,2,FALSE),0)</f>
        <v>0</v>
      </c>
      <c r="AA14" s="443">
        <f>Z14*AA8</f>
        <v>0</v>
      </c>
      <c r="AB14" s="340">
        <f>_xlfn.IFNA(VLOOKUP($D7,tbLongServiceLeave,2,FALSE),0)</f>
        <v>0</v>
      </c>
      <c r="AC14" s="1117">
        <f t="shared" si="13"/>
        <v>0</v>
      </c>
      <c r="AD14" s="335"/>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row>
    <row r="15" spans="1:56" s="1" customFormat="1" ht="15" customHeight="1" x14ac:dyDescent="0.3">
      <c r="A15" s="727"/>
      <c r="B15" s="1379"/>
      <c r="C15" s="1379"/>
      <c r="D15" s="1379"/>
      <c r="E15" s="1379"/>
      <c r="F15" s="1379"/>
      <c r="G15" s="1379"/>
      <c r="H15" s="1380"/>
      <c r="I15" s="336" t="s">
        <v>319</v>
      </c>
      <c r="J15" s="339">
        <f>_xlfn.IFNA(VLOOKUP($D7,tbParentalLeave,2,FALSE),0)</f>
        <v>0</v>
      </c>
      <c r="K15" s="443">
        <f>J15*K8</f>
        <v>0</v>
      </c>
      <c r="L15" s="340">
        <f>_xlfn.IFNA(VLOOKUP($D7,tbParentalLeave,2,FALSE),0)</f>
        <v>0</v>
      </c>
      <c r="M15" s="451">
        <f t="shared" ref="M15:U15" si="14">L15*M8</f>
        <v>0</v>
      </c>
      <c r="N15" s="339">
        <f>_xlfn.IFNA(VLOOKUP($D7,tbParentalLeave,2,FALSE),0)</f>
        <v>0</v>
      </c>
      <c r="O15" s="443">
        <f>N15*O8</f>
        <v>0</v>
      </c>
      <c r="P15" s="340">
        <f>_xlfn.IFNA(VLOOKUP($D7,tbParentalLeave,2,FALSE),0)</f>
        <v>0</v>
      </c>
      <c r="Q15" s="451">
        <f t="shared" si="14"/>
        <v>0</v>
      </c>
      <c r="R15" s="339">
        <f>_xlfn.IFNA(VLOOKUP($D7,tbParentalLeave,2,FALSE),0)</f>
        <v>0</v>
      </c>
      <c r="S15" s="443">
        <f>R15*S8</f>
        <v>0</v>
      </c>
      <c r="T15" s="340">
        <f>_xlfn.IFNA(VLOOKUP($D7,tbParentalLeave,2,FALSE),0)</f>
        <v>0</v>
      </c>
      <c r="U15" s="451">
        <f t="shared" si="14"/>
        <v>0</v>
      </c>
      <c r="V15" s="339">
        <f>_xlfn.IFNA(VLOOKUP($D7,tbParentalLeave,2,FALSE),0)</f>
        <v>0</v>
      </c>
      <c r="W15" s="443">
        <f>V15*W8</f>
        <v>0</v>
      </c>
      <c r="X15" s="340">
        <f>_xlfn.IFNA(VLOOKUP($D7,tbParentalLeave,2,FALSE),0)</f>
        <v>0</v>
      </c>
      <c r="Y15" s="451">
        <f t="shared" ref="Y15:AC15" si="15">X15*Y8</f>
        <v>0</v>
      </c>
      <c r="Z15" s="339">
        <f>_xlfn.IFNA(VLOOKUP($D7,tbParentalLeave,2,FALSE),0)</f>
        <v>0</v>
      </c>
      <c r="AA15" s="443">
        <f>Z15*AA8</f>
        <v>0</v>
      </c>
      <c r="AB15" s="340">
        <f>_xlfn.IFNA(VLOOKUP($D7,tbParentalLeave,2,FALSE),0)</f>
        <v>0</v>
      </c>
      <c r="AC15" s="1117">
        <f t="shared" si="15"/>
        <v>0</v>
      </c>
      <c r="AD15" s="335"/>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row>
    <row r="16" spans="1:56" s="1" customFormat="1" ht="15" customHeight="1" x14ac:dyDescent="0.3">
      <c r="A16" s="727"/>
      <c r="B16" s="1379"/>
      <c r="C16" s="1379"/>
      <c r="D16" s="1379"/>
      <c r="E16" s="1379"/>
      <c r="F16" s="1379"/>
      <c r="G16" s="1379"/>
      <c r="H16" s="1380"/>
      <c r="I16" s="437" t="s">
        <v>320</v>
      </c>
      <c r="J16" s="438">
        <f>vl_overridden_uom_oncosts_per</f>
        <v>0</v>
      </c>
      <c r="K16" s="445">
        <f>J16*K8</f>
        <v>0</v>
      </c>
      <c r="L16" s="438">
        <f>vl_overridden_uom_oncosts_per</f>
        <v>0</v>
      </c>
      <c r="M16" s="445">
        <f>L16*M8</f>
        <v>0</v>
      </c>
      <c r="N16" s="438">
        <f>vl_overridden_uom_oncosts_per</f>
        <v>0</v>
      </c>
      <c r="O16" s="445">
        <f t="shared" ref="O16" si="16">N16*O8</f>
        <v>0</v>
      </c>
      <c r="P16" s="438">
        <f>vl_overridden_uom_oncosts_per</f>
        <v>0</v>
      </c>
      <c r="Q16" s="445">
        <f t="shared" ref="Q16" si="17">P16*Q8</f>
        <v>0</v>
      </c>
      <c r="R16" s="438">
        <f>vl_overridden_uom_oncosts_per</f>
        <v>0</v>
      </c>
      <c r="S16" s="445">
        <f t="shared" ref="S16" si="18">R16*S8</f>
        <v>0</v>
      </c>
      <c r="T16" s="438">
        <f>vl_overridden_uom_oncosts_per</f>
        <v>0</v>
      </c>
      <c r="U16" s="445">
        <f t="shared" ref="U16" si="19">T16*U8</f>
        <v>0</v>
      </c>
      <c r="V16" s="438">
        <f>vl_overridden_uom_oncosts_per</f>
        <v>0</v>
      </c>
      <c r="W16" s="445">
        <f t="shared" ref="W16" si="20">V16*W8</f>
        <v>0</v>
      </c>
      <c r="X16" s="438">
        <f>vl_overridden_uom_oncosts_per</f>
        <v>0</v>
      </c>
      <c r="Y16" s="445">
        <f t="shared" ref="Y16" si="21">X16*Y8</f>
        <v>0</v>
      </c>
      <c r="Z16" s="438">
        <f>vl_overridden_uom_oncosts_per</f>
        <v>0</v>
      </c>
      <c r="AA16" s="445">
        <f t="shared" ref="AA16" si="22">Z16*AA8</f>
        <v>0</v>
      </c>
      <c r="AB16" s="438">
        <f>vl_overridden_uom_oncosts_per</f>
        <v>0</v>
      </c>
      <c r="AC16" s="1119">
        <f t="shared" ref="AC16" si="23">AB16*AC8</f>
        <v>0</v>
      </c>
      <c r="AD16" s="335"/>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row>
    <row r="17" spans="1:56" s="1" customFormat="1" ht="15" customHeight="1" x14ac:dyDescent="0.3">
      <c r="A17" s="727"/>
      <c r="B17" s="1379"/>
      <c r="C17" s="1379"/>
      <c r="D17" s="1379"/>
      <c r="E17" s="1379"/>
      <c r="F17" s="1379"/>
      <c r="G17" s="1379"/>
      <c r="H17" s="1380"/>
      <c r="I17" s="341" t="s">
        <v>321</v>
      </c>
      <c r="J17" s="342"/>
      <c r="K17" s="444">
        <f>SUM(K11:K16)</f>
        <v>0</v>
      </c>
      <c r="L17" s="342"/>
      <c r="M17" s="444">
        <f>SUM(M11:M16)</f>
        <v>0</v>
      </c>
      <c r="N17" s="342"/>
      <c r="O17" s="444">
        <f>SUM(O11:O16)</f>
        <v>0</v>
      </c>
      <c r="P17" s="342"/>
      <c r="Q17" s="444">
        <f>SUM(Q11:Q16)</f>
        <v>0</v>
      </c>
      <c r="R17" s="342"/>
      <c r="S17" s="444">
        <f>SUM(S11:S16)</f>
        <v>0</v>
      </c>
      <c r="T17" s="342"/>
      <c r="U17" s="444">
        <f t="shared" ref="U17" si="24">SUM(U11:U16)</f>
        <v>0</v>
      </c>
      <c r="V17" s="342"/>
      <c r="W17" s="444">
        <f t="shared" ref="W17" si="25">SUM(W11:W16)</f>
        <v>0</v>
      </c>
      <c r="X17" s="342"/>
      <c r="Y17" s="444">
        <f t="shared" ref="Y17" si="26">SUM(Y11:Y16)</f>
        <v>0</v>
      </c>
      <c r="Z17" s="342"/>
      <c r="AA17" s="444">
        <f t="shared" ref="AA17" si="27">SUM(AA11:AA16)</f>
        <v>0</v>
      </c>
      <c r="AB17" s="342"/>
      <c r="AC17" s="1118">
        <f t="shared" ref="AC17" si="28">SUM(AC11:AC16)</f>
        <v>0</v>
      </c>
      <c r="AD17" s="335">
        <f t="shared" si="7"/>
        <v>0</v>
      </c>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row>
    <row r="18" spans="1:56" s="1" customFormat="1" ht="15" customHeight="1" x14ac:dyDescent="0.3">
      <c r="A18" s="727"/>
      <c r="B18" s="1379"/>
      <c r="C18" s="1379"/>
      <c r="D18" s="1379"/>
      <c r="E18" s="1379"/>
      <c r="F18" s="1379"/>
      <c r="G18" s="1379"/>
      <c r="H18" s="1380"/>
      <c r="I18" s="336" t="s">
        <v>322</v>
      </c>
      <c r="J18" s="339">
        <f>_xlfn.IFNA(VLOOKUP($D7,tbAnnualLeaveProvision,2,FALSE),0)</f>
        <v>0</v>
      </c>
      <c r="K18" s="443">
        <f>J18*K8</f>
        <v>0</v>
      </c>
      <c r="L18" s="340">
        <f>_xlfn.IFNA(VLOOKUP($D7,tbAnnualLeaveProvision,2,FALSE),0)</f>
        <v>0</v>
      </c>
      <c r="M18" s="451">
        <f t="shared" ref="M18:U18" si="29">L18*M8</f>
        <v>0</v>
      </c>
      <c r="N18" s="339">
        <f>_xlfn.IFNA(VLOOKUP($D7,tbAnnualLeaveProvision,2,FALSE),0)</f>
        <v>0</v>
      </c>
      <c r="O18" s="443">
        <f>N18*O8</f>
        <v>0</v>
      </c>
      <c r="P18" s="340">
        <f>_xlfn.IFNA(VLOOKUP($D7,tbAnnualLeaveProvision,2,FALSE),0)</f>
        <v>0</v>
      </c>
      <c r="Q18" s="451">
        <f t="shared" si="29"/>
        <v>0</v>
      </c>
      <c r="R18" s="339">
        <f>_xlfn.IFNA(VLOOKUP($D7,tbAnnualLeaveProvision,2,FALSE),0)</f>
        <v>0</v>
      </c>
      <c r="S18" s="443">
        <f>R18*S8</f>
        <v>0</v>
      </c>
      <c r="T18" s="340">
        <f>_xlfn.IFNA(VLOOKUP($D7,tbAnnualLeaveProvision,2,FALSE),0)</f>
        <v>0</v>
      </c>
      <c r="U18" s="451">
        <f t="shared" si="29"/>
        <v>0</v>
      </c>
      <c r="V18" s="339">
        <f>_xlfn.IFNA(VLOOKUP($D7,tbAnnualLeaveProvision,2,FALSE),0)</f>
        <v>0</v>
      </c>
      <c r="W18" s="443">
        <f>V18*W8</f>
        <v>0</v>
      </c>
      <c r="X18" s="340">
        <f>_xlfn.IFNA(VLOOKUP($D7,tbAnnualLeaveProvision,2,FALSE),0)</f>
        <v>0</v>
      </c>
      <c r="Y18" s="451">
        <f t="shared" ref="Y18:AC18" si="30">X18*Y8</f>
        <v>0</v>
      </c>
      <c r="Z18" s="339">
        <f>_xlfn.IFNA(VLOOKUP($D7,tbAnnualLeaveProvision,2,FALSE),0)</f>
        <v>0</v>
      </c>
      <c r="AA18" s="443">
        <f>Z18*AA8</f>
        <v>0</v>
      </c>
      <c r="AB18" s="340">
        <f>_xlfn.IFNA(VLOOKUP($D7,tbAnnualLeaveProvision,2,FALSE),0)</f>
        <v>0</v>
      </c>
      <c r="AC18" s="1117">
        <f t="shared" si="30"/>
        <v>0</v>
      </c>
      <c r="AD18" s="335"/>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row>
    <row r="19" spans="1:56" s="1" customFormat="1" ht="15" customHeight="1" x14ac:dyDescent="0.3">
      <c r="A19" s="727"/>
      <c r="B19" s="1379"/>
      <c r="C19" s="1379"/>
      <c r="D19" s="1379"/>
      <c r="E19" s="1379"/>
      <c r="F19" s="1379"/>
      <c r="G19" s="1379"/>
      <c r="H19" s="1380"/>
      <c r="I19" s="336" t="s">
        <v>323</v>
      </c>
      <c r="J19" s="339"/>
      <c r="K19" s="446">
        <f>K17+K18</f>
        <v>0</v>
      </c>
      <c r="L19" s="340"/>
      <c r="M19" s="452">
        <f t="shared" ref="M19" si="31">M17+M18</f>
        <v>0</v>
      </c>
      <c r="N19" s="339"/>
      <c r="O19" s="446">
        <f>O17+O18</f>
        <v>0</v>
      </c>
      <c r="P19" s="340"/>
      <c r="Q19" s="452">
        <f t="shared" ref="Q19" si="32">Q17+Q18</f>
        <v>0</v>
      </c>
      <c r="R19" s="339"/>
      <c r="S19" s="446">
        <f>S17+S18</f>
        <v>0</v>
      </c>
      <c r="T19" s="340"/>
      <c r="U19" s="452">
        <f t="shared" ref="U19" si="33">U17+U18</f>
        <v>0</v>
      </c>
      <c r="V19" s="339"/>
      <c r="W19" s="446">
        <f>W17+W18</f>
        <v>0</v>
      </c>
      <c r="X19" s="340"/>
      <c r="Y19" s="452">
        <f t="shared" ref="Y19" si="34">Y17+Y18</f>
        <v>0</v>
      </c>
      <c r="Z19" s="339"/>
      <c r="AA19" s="446">
        <f>AA17+AA18</f>
        <v>0</v>
      </c>
      <c r="AB19" s="340"/>
      <c r="AC19" s="1120">
        <f t="shared" ref="AC19" si="35">AC17+AC18</f>
        <v>0</v>
      </c>
      <c r="AD19" s="335"/>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row>
    <row r="20" spans="1:56" s="1" customFormat="1" ht="15.75" customHeight="1" x14ac:dyDescent="0.3">
      <c r="A20" s="727"/>
      <c r="B20" s="1379"/>
      <c r="C20" s="1379"/>
      <c r="D20" s="1379"/>
      <c r="E20" s="1379"/>
      <c r="F20" s="1379"/>
      <c r="G20" s="1379"/>
      <c r="H20" s="1380"/>
      <c r="I20" s="343" t="s">
        <v>324</v>
      </c>
      <c r="J20" s="344"/>
      <c r="K20" s="443">
        <f>IFERROR(-(K17/vl_working_days_per_year)*J20,0)</f>
        <v>0</v>
      </c>
      <c r="L20" s="345"/>
      <c r="M20" s="451">
        <f>IFERROR(-(M17/vl_working_days_per_year)*L20,0)</f>
        <v>0</v>
      </c>
      <c r="N20" s="344"/>
      <c r="O20" s="443">
        <f>-(O17/vl_working_days_per_year)*N20</f>
        <v>0</v>
      </c>
      <c r="P20" s="345"/>
      <c r="Q20" s="451">
        <f>-(Q17/vl_working_days_per_year)*P20</f>
        <v>0</v>
      </c>
      <c r="R20" s="344"/>
      <c r="S20" s="443">
        <f>-(S17/vl_working_days_per_year)*R20</f>
        <v>0</v>
      </c>
      <c r="T20" s="345"/>
      <c r="U20" s="451">
        <f>-(U17/vl_working_days_per_year)*T20</f>
        <v>0</v>
      </c>
      <c r="V20" s="344"/>
      <c r="W20" s="443">
        <f>-(W17/vl_working_days_per_year)*V20</f>
        <v>0</v>
      </c>
      <c r="X20" s="345"/>
      <c r="Y20" s="451">
        <f>-(Y17/vl_working_days_per_year)*X20</f>
        <v>0</v>
      </c>
      <c r="Z20" s="344"/>
      <c r="AA20" s="443">
        <f>-(AA17/vl_working_days_per_year)*Z20</f>
        <v>0</v>
      </c>
      <c r="AB20" s="345"/>
      <c r="AC20" s="1117">
        <f>-(AC17/vl_working_days_per_year)*AB20</f>
        <v>0</v>
      </c>
      <c r="AD20" s="335">
        <f t="shared" si="7"/>
        <v>0</v>
      </c>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row>
    <row r="21" spans="1:56" s="1" customFormat="1" ht="15" customHeight="1" x14ac:dyDescent="0.3">
      <c r="A21" s="727"/>
      <c r="B21" s="1379"/>
      <c r="C21" s="1379"/>
      <c r="D21" s="1379"/>
      <c r="E21" s="1379"/>
      <c r="F21" s="1379"/>
      <c r="G21" s="1379"/>
      <c r="H21" s="1380"/>
      <c r="I21" s="341" t="s">
        <v>325</v>
      </c>
      <c r="J21" s="346"/>
      <c r="K21" s="444">
        <f>K19+K20</f>
        <v>0</v>
      </c>
      <c r="L21" s="346"/>
      <c r="M21" s="444">
        <f t="shared" ref="M21" si="36">M19+M20</f>
        <v>0</v>
      </c>
      <c r="N21" s="346"/>
      <c r="O21" s="444">
        <f>O19+O20</f>
        <v>0</v>
      </c>
      <c r="P21" s="346"/>
      <c r="Q21" s="444">
        <f t="shared" ref="Q21" si="37">Q19+Q20</f>
        <v>0</v>
      </c>
      <c r="R21" s="346"/>
      <c r="S21" s="444">
        <f>S19+S20</f>
        <v>0</v>
      </c>
      <c r="T21" s="346"/>
      <c r="U21" s="444">
        <f t="shared" ref="U21" si="38">U19+U20</f>
        <v>0</v>
      </c>
      <c r="V21" s="346"/>
      <c r="W21" s="444">
        <f>W19+W20</f>
        <v>0</v>
      </c>
      <c r="X21" s="346"/>
      <c r="Y21" s="444">
        <f t="shared" ref="Y21" si="39">Y19+Y20</f>
        <v>0</v>
      </c>
      <c r="Z21" s="346"/>
      <c r="AA21" s="444">
        <f>AA19+AA20</f>
        <v>0</v>
      </c>
      <c r="AB21" s="346"/>
      <c r="AC21" s="1118">
        <f t="shared" ref="AC21" si="40">AC19+AC20</f>
        <v>0</v>
      </c>
      <c r="AD21" s="335">
        <f t="shared" si="7"/>
        <v>0</v>
      </c>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row>
    <row r="22" spans="1:56" s="1" customFormat="1" ht="15" customHeight="1" x14ac:dyDescent="0.3">
      <c r="A22" s="727"/>
      <c r="B22" s="1379"/>
      <c r="C22" s="1379"/>
      <c r="D22" s="1379"/>
      <c r="E22" s="1379"/>
      <c r="F22" s="1379"/>
      <c r="G22" s="1379"/>
      <c r="H22" s="1380"/>
      <c r="I22" s="382" t="s">
        <v>326</v>
      </c>
      <c r="J22" s="383">
        <f>IFERROR(K22/K8,0)</f>
        <v>0</v>
      </c>
      <c r="K22" s="447">
        <f>SUM(K9:K10,K12:K15,K18)</f>
        <v>0</v>
      </c>
      <c r="L22" s="434">
        <f>IFERROR(M22/M8,0)</f>
        <v>0</v>
      </c>
      <c r="M22" s="453">
        <f t="shared" ref="M22" si="41">SUM(M9:M10,M12:M15,M18)</f>
        <v>0</v>
      </c>
      <c r="N22" s="383">
        <f t="shared" ref="N22" si="42">IFERROR(O22/O8,0)</f>
        <v>0</v>
      </c>
      <c r="O22" s="447">
        <f t="shared" ref="O22" si="43">SUM(O9:O10,O12:O15,O18)</f>
        <v>0</v>
      </c>
      <c r="P22" s="434">
        <f t="shared" ref="P22" si="44">IFERROR(Q22/Q8,0)</f>
        <v>0</v>
      </c>
      <c r="Q22" s="453">
        <f t="shared" ref="Q22" si="45">SUM(Q9:Q10,Q12:Q15,Q18)</f>
        <v>0</v>
      </c>
      <c r="R22" s="383">
        <f t="shared" ref="R22" si="46">IFERROR(S22/S8,0)</f>
        <v>0</v>
      </c>
      <c r="S22" s="447">
        <f t="shared" ref="S22" si="47">SUM(S9:S10,S12:S15,S18)</f>
        <v>0</v>
      </c>
      <c r="T22" s="434">
        <f t="shared" ref="T22" si="48">IFERROR(U22/U8,0)</f>
        <v>0</v>
      </c>
      <c r="U22" s="453">
        <f t="shared" ref="U22" si="49">SUM(U9:U10,U12:U15,U18)</f>
        <v>0</v>
      </c>
      <c r="V22" s="383">
        <f t="shared" ref="V22" si="50">IFERROR(W22/W8,0)</f>
        <v>0</v>
      </c>
      <c r="W22" s="447">
        <f t="shared" ref="W22" si="51">SUM(W9:W10,W12:W15,W18)</f>
        <v>0</v>
      </c>
      <c r="X22" s="434">
        <f t="shared" ref="X22" si="52">IFERROR(Y22/Y8,0)</f>
        <v>0</v>
      </c>
      <c r="Y22" s="453">
        <f t="shared" ref="Y22" si="53">SUM(Y9:Y10,Y12:Y15,Y18)</f>
        <v>0</v>
      </c>
      <c r="Z22" s="383">
        <f t="shared" ref="Z22" si="54">IFERROR(AA22/AA8,0)</f>
        <v>0</v>
      </c>
      <c r="AA22" s="447">
        <f t="shared" ref="AA22" si="55">SUM(AA9:AA10,AA12:AA15,AA18)</f>
        <v>0</v>
      </c>
      <c r="AB22" s="434">
        <f t="shared" ref="AB22" si="56">IFERROR(AC22/AC8,0)</f>
        <v>0</v>
      </c>
      <c r="AC22" s="1121">
        <f t="shared" ref="AC22" si="57">SUM(AC9:AC10,AC12:AC15,AC18)</f>
        <v>0</v>
      </c>
      <c r="AD22" s="377">
        <f t="shared" si="7"/>
        <v>0</v>
      </c>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row>
    <row r="23" spans="1:56" s="1" customFormat="1" ht="15" customHeight="1" x14ac:dyDescent="0.3">
      <c r="A23" s="727"/>
      <c r="B23" s="1379"/>
      <c r="C23" s="1379"/>
      <c r="D23" s="1379"/>
      <c r="E23" s="1379"/>
      <c r="F23" s="1379"/>
      <c r="G23" s="1379"/>
      <c r="H23" s="1380"/>
      <c r="I23" s="382" t="s">
        <v>327</v>
      </c>
      <c r="J23" s="384">
        <f>pCRSalaries</f>
        <v>2.5</v>
      </c>
      <c r="K23" s="447"/>
      <c r="L23" s="435">
        <f>pCRSalaries</f>
        <v>2.5</v>
      </c>
      <c r="M23" s="453"/>
      <c r="N23" s="384">
        <f>pCRSalaries</f>
        <v>2.5</v>
      </c>
      <c r="O23" s="447"/>
      <c r="P23" s="435">
        <f>pCRSalaries</f>
        <v>2.5</v>
      </c>
      <c r="Q23" s="453"/>
      <c r="R23" s="384">
        <f>pCRSalaries</f>
        <v>2.5</v>
      </c>
      <c r="S23" s="447"/>
      <c r="T23" s="435">
        <f>pCRSalaries</f>
        <v>2.5</v>
      </c>
      <c r="U23" s="453"/>
      <c r="V23" s="384">
        <f>pCRSalaries</f>
        <v>2.5</v>
      </c>
      <c r="W23" s="447"/>
      <c r="X23" s="435">
        <f>pCRSalaries</f>
        <v>2.5</v>
      </c>
      <c r="Y23" s="453"/>
      <c r="Z23" s="384">
        <f>pCRSalaries</f>
        <v>2.5</v>
      </c>
      <c r="AA23" s="447"/>
      <c r="AB23" s="435">
        <f>pCRSalaries</f>
        <v>2.5</v>
      </c>
      <c r="AC23" s="1121"/>
      <c r="AD23" s="335"/>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row>
    <row r="24" spans="1:56" s="1" customFormat="1" ht="15" customHeight="1" thickBot="1" x14ac:dyDescent="0.35">
      <c r="A24" s="727"/>
      <c r="B24" s="710"/>
      <c r="C24" s="347" t="s">
        <v>328</v>
      </c>
      <c r="D24" s="347" t="s">
        <v>328</v>
      </c>
      <c r="E24" s="347" t="s">
        <v>328</v>
      </c>
      <c r="F24" s="347" t="s">
        <v>328</v>
      </c>
      <c r="G24" s="347" t="s">
        <v>328</v>
      </c>
      <c r="H24" s="347"/>
      <c r="I24" s="436" t="s">
        <v>329</v>
      </c>
      <c r="J24" s="348"/>
      <c r="K24" s="448">
        <f>J23*K19</f>
        <v>0</v>
      </c>
      <c r="L24" s="348"/>
      <c r="M24" s="448">
        <f t="shared" ref="M24" si="58">L23*M19</f>
        <v>0</v>
      </c>
      <c r="N24" s="348"/>
      <c r="O24" s="448">
        <f t="shared" ref="O24" si="59">N23*O19</f>
        <v>0</v>
      </c>
      <c r="P24" s="348"/>
      <c r="Q24" s="448">
        <f t="shared" ref="Q24" si="60">P23*Q19</f>
        <v>0</v>
      </c>
      <c r="R24" s="348"/>
      <c r="S24" s="448">
        <f t="shared" ref="S24" si="61">R23*S19</f>
        <v>0</v>
      </c>
      <c r="T24" s="348"/>
      <c r="U24" s="448">
        <f t="shared" ref="U24" si="62">T23*U19</f>
        <v>0</v>
      </c>
      <c r="V24" s="348"/>
      <c r="W24" s="448">
        <f t="shared" ref="W24" si="63">V23*W19</f>
        <v>0</v>
      </c>
      <c r="X24" s="348"/>
      <c r="Y24" s="448">
        <f t="shared" ref="Y24" si="64">X23*Y19</f>
        <v>0</v>
      </c>
      <c r="Z24" s="348"/>
      <c r="AA24" s="448">
        <f t="shared" ref="AA24" si="65">Z23*AA19</f>
        <v>0</v>
      </c>
      <c r="AB24" s="348"/>
      <c r="AC24" s="1122">
        <f t="shared" ref="AC24" si="66">AB23*AC19</f>
        <v>0</v>
      </c>
      <c r="AD24" s="335">
        <f t="shared" si="7"/>
        <v>0</v>
      </c>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row>
    <row r="25" spans="1:56" s="354" customFormat="1" ht="13.5" customHeight="1" thickBot="1" x14ac:dyDescent="0.35">
      <c r="A25" s="728"/>
      <c r="B25" s="1181"/>
      <c r="C25" s="1181"/>
      <c r="D25" s="1181"/>
      <c r="E25" s="1181"/>
      <c r="F25" s="1181"/>
      <c r="G25" s="1181"/>
      <c r="H25" s="1181"/>
      <c r="I25" s="350"/>
      <c r="J25" s="351"/>
      <c r="K25" s="351"/>
      <c r="L25" s="351"/>
      <c r="M25" s="352"/>
      <c r="N25" s="351"/>
      <c r="O25" s="352"/>
      <c r="P25" s="351"/>
      <c r="Q25" s="352"/>
      <c r="R25" s="351"/>
      <c r="S25" s="352"/>
      <c r="T25" s="351"/>
      <c r="U25" s="352"/>
      <c r="V25" s="351"/>
      <c r="W25" s="352"/>
      <c r="X25" s="351"/>
      <c r="Y25" s="352"/>
      <c r="Z25" s="351"/>
      <c r="AA25" s="352"/>
      <c r="AB25" s="351"/>
      <c r="AC25" s="352"/>
      <c r="AD25" s="353" t="str">
        <f>IF(tbBudgetCurrency="AUD - Australian Dollar","",IFERROR(K25+M25+O25+Q25+S25+U25+W25+Y25+AA25+AC25,0))</f>
        <v/>
      </c>
    </row>
    <row r="26" spans="1:56" x14ac:dyDescent="0.3">
      <c r="A26" s="1182"/>
      <c r="B26" s="330" t="str">
        <f>IF('PART B Staff Costs'!B22="","",'PART B Staff Costs'!B22)</f>
        <v/>
      </c>
      <c r="C26" s="330" t="str">
        <f>IF('PART B Staff Costs'!C22="","",'PART B Staff Costs'!C22)</f>
        <v xml:space="preserve"> </v>
      </c>
      <c r="D26" s="331" t="str">
        <f>IF('PART B Staff Costs'!D22="","",'PART B Staff Costs'!D22)</f>
        <v/>
      </c>
      <c r="E26" s="331" t="str">
        <f>IF('PART B Staff Costs'!E22="","",'PART B Staff Costs'!E22)</f>
        <v/>
      </c>
      <c r="F26" s="331" t="str">
        <f>IF('PART B Staff Costs'!F22="","",'PART B Staff Costs'!F22)</f>
        <v/>
      </c>
      <c r="G26" s="331" t="str">
        <f>IF('PART B Staff Costs'!G22="","",'PART B Staff Costs'!G22)</f>
        <v/>
      </c>
      <c r="H26" s="331" t="str">
        <f>CONCATENATE(IF(D26=0,"",D26)," ",IF(E26=0,"",E26)," ",IF(F26=0,"",F26),,IF(OR(G26=0,G26=""),"",CONCATENATE(" (",G26,")")))</f>
        <v xml:space="preserve">  </v>
      </c>
      <c r="I26" s="332" t="s">
        <v>313</v>
      </c>
      <c r="J26" s="333">
        <f>_xlfn.IFNA('PART B Staff Costs'!H22*'PART B Staff Costs'!J$10,0)*new_xrate</f>
        <v>0</v>
      </c>
      <c r="K26" s="441"/>
      <c r="L26" s="334">
        <f>_xlfn.IFNA(IF(pStartYear+1&gt;pEndYear,0,VLOOKUP(CONCATENATE(
IF(OR($D26="Continuing",$D26="Fixed-Term"),"Fortnight",IF($D26="Casual","Casual",)),
$E26,
IF(OR($D26="Continuing",$D26="Fixed-Term"),
IF(LEFT($F26,6)="UOM 10","UOM 10",(LEFT($F26,LEN($F26)-1)&amp;MIN(RIGHT($F26,1)++COUNTIFS($J27:K27,"&gt;0")/2,VLOOKUP(LEFT($F26,LEN($F26)-2),tSalaryMax,2,FALSE)))),
IF($D26="Casual",
$F26,))
),tSalaryRate,5,FALSE)*VLOOKUP($G26,tSalaryRateMultiplier,2,FALSE)*'PART B Staff Costs'!L$10),0)*new_xrate</f>
        <v>0</v>
      </c>
      <c r="M26" s="449"/>
      <c r="N26" s="333">
        <f>_xlfn.IFNA(IF(pStartYear+2&gt;pEndYear,0,VLOOKUP(CONCATENATE(
IF(OR($D26="Continuing",$D26="Fixed-Term"),"Fortnight",IF($D26="Casual","Casual",)),
$E26,
IF(OR($D26="Continuing",$D26="Fixed-Term"),
IF(LEFT($F26,6)="UOM 10","UOM 10",(LEFT($F26,LEN($F26)-1)&amp;MIN(RIGHT($F26,1)++COUNTIFS($J27:M27,"&gt;0")/2,VLOOKUP(LEFT($F26,LEN($F26)-2),tSalaryMax,2,FALSE)))),
IF($D26="Casual",
$F26,))
),tSalaryRate,5,FALSE)*VLOOKUP($G26,tSalaryRateMultiplier,2,FALSE)*'PART B Staff Costs'!N$10),0)*new_xrate</f>
        <v>0</v>
      </c>
      <c r="O26" s="441"/>
      <c r="P26" s="334">
        <f>_xlfn.IFNA(IF(pStartYear+3&gt;pEndYear,0,VLOOKUP(CONCATENATE(
IF(OR($D26="Continuing",$D26="Fixed-Term"),"Fortnight",IF($D26="Casual","Casual",)),
$E26,
IF(OR($D26="Continuing",$D26="Fixed-Term"),
IF(LEFT($F26,6)="UOM 10","UOM 10",(LEFT($F26,LEN($F26)-1)&amp;MIN(RIGHT($F26,1)++COUNTIFS($J27:O27,"&gt;0")/2,VLOOKUP(LEFT($F26,LEN($F26)-2),tSalaryMax,2,FALSE)))),
IF($D26="Casual",
$F26,))
),tSalaryRate,5,FALSE)*VLOOKUP($G26,tSalaryRateMultiplier,2,FALSE)*'PART B Staff Costs'!P$10),0)*new_xrate</f>
        <v>0</v>
      </c>
      <c r="Q26" s="449"/>
      <c r="R26" s="333">
        <f>_xlfn.IFNA(IF(pStartYear+4&gt;pEndYear,0,VLOOKUP(CONCATENATE(
IF(OR($D26="Continuing",$D26="Fixed-Term"),"Fortnight",IF($D26="Casual","Casual",)),
$E26,
IF(OR($D26="Continuing",$D26="Fixed-Term"),
IF(LEFT($F26,6)="UOM 10","UOM 10",(LEFT($F26,LEN($F26)-1)&amp;MIN(RIGHT($F26,1)++COUNTIFS($J27:Q27,"&gt;0")/2,VLOOKUP(LEFT($F26,LEN($F26)-2),tSalaryMax,2,FALSE)))),
IF($D26="Casual",
$F26,))
),tSalaryRate,5,FALSE)*VLOOKUP($G26,tSalaryRateMultiplier,2,FALSE)*'PART B Staff Costs'!R$10),0)*new_xrate</f>
        <v>0</v>
      </c>
      <c r="S26" s="441"/>
      <c r="T26" s="334">
        <f>_xlfn.IFNA(IF(pStartYear+5&gt;pEndYear,0,VLOOKUP(CONCATENATE(
IF(OR($D26="Continuing",$D26="Fixed-Term"),"Fortnight",IF($D26="Casual","Casual",)),
$E26,
IF(OR($D26="Continuing",$D26="Fixed-Term"),
IF(LEFT($F26,6)="UOM 10","UOM 10",(LEFT($F26,LEN($F26)-1)&amp;MIN(RIGHT($F26,1)++COUNTIFS($J27:S27,"&gt;0")/2,VLOOKUP(LEFT($F26,LEN($F26)-2),tSalaryMax,2,FALSE)))),
IF($D26="Casual",
$F26,))
),tSalaryRate,5,FALSE)*VLOOKUP($G26,tSalaryRateMultiplier,2,FALSE)*'PART B Staff Costs'!T$10),0)*new_xrate</f>
        <v>0</v>
      </c>
      <c r="U26" s="449"/>
      <c r="V26" s="333">
        <f>_xlfn.IFNA(IF(pStartYear+6&gt;pEndYear,0,VLOOKUP(CONCATENATE(
IF(OR($D26="Continuing",$D26="Fixed-Term"),"Fortnight",IF($D26="Casual","Casual",)),
$E26,
IF(OR($D26="Continuing",$D26="Fixed-Term"),
IF(LEFT($F26,6)="UOM 10","UOM 10",(LEFT($F26,LEN($F26)-1)&amp;MIN(RIGHT($F26,1)++COUNTIFS($J27:U27,"&gt;0")/2,VLOOKUP(LEFT($F26,LEN($F26)-2),tSalaryMax,2,FALSE)))),
IF($D26="Casual",
$F26,))
),tSalaryRate,5,FALSE)*VLOOKUP($G26,tSalaryRateMultiplier,2,FALSE)*'PART B Staff Costs'!V$10),0)*new_xrate</f>
        <v>0</v>
      </c>
      <c r="W26" s="441"/>
      <c r="X26" s="334">
        <f>_xlfn.IFNA(IF(pStartYear+7&gt;pEndYear,0,VLOOKUP(CONCATENATE(
IF(OR($D26="Continuing",$D26="Fixed-Term"),"Fortnight",IF($D26="Casual","Casual",)),
$E26,
IF(OR($D26="Continuing",$D26="Fixed-Term"),
IF(LEFT($F26,6)="UOM 10","UOM 10",(LEFT($F26,LEN($F26)-1)&amp;MIN(RIGHT($F26,1)++COUNTIFS($J27:W27,"&gt;0")/2,VLOOKUP(LEFT($F26,LEN($F26)-2),tSalaryMax,2,FALSE)))),
IF($D26="Casual",
$F26,))
),tSalaryRate,5,FALSE)*VLOOKUP($G26,tSalaryRateMultiplier,2,FALSE)*'PART B Staff Costs'!X$10),0)*new_xrate</f>
        <v>0</v>
      </c>
      <c r="Y26" s="449"/>
      <c r="Z26" s="333">
        <f>_xlfn.IFNA(IF(pStartYear+8&gt;pEndYear,0,VLOOKUP(CONCATENATE(
IF(OR($D26="Continuing",$D26="Fixed-Term"),"Fortnight",IF($D26="Casual","Casual",)),
$E26,
IF(OR($D26="Continuing",$D26="Fixed-Term"),
IF(LEFT($F26,6)="UOM 10","UOM 10",(LEFT($F26,LEN($F26)-1)&amp;MIN(RIGHT($F26,1)++COUNTIFS($J27:Y27,"&gt;0")/2,VLOOKUP(LEFT($F26,LEN($F26)-2),tSalaryMax,2,FALSE)))),
IF($D26="Casual",
$F26,))
),tSalaryRate,5,FALSE)*VLOOKUP($G26,tSalaryRateMultiplier,2,FALSE)*'PART B Staff Costs'!Z$10),0)*new_xrate</f>
        <v>0</v>
      </c>
      <c r="AA26" s="441"/>
      <c r="AB26" s="334">
        <f>_xlfn.IFNA(IF(pStartYear+9&gt;pEndYear,0,VLOOKUP(CONCATENATE(
IF(OR($D26="Continuing",$D26="Fixed-Term"),"Fortnight",IF($D26="Casual","Casual",)),
$E26,
IF(OR($D26="Continuing",$D26="Fixed-Term"),
IF(LEFT($F26,6)="UOM 10","UOM 10",(LEFT($F26,LEN($F26)-1)&amp;MIN(RIGHT($F26,1)++COUNTIFS($J27:AA27,"&gt;0")/2,VLOOKUP(LEFT($F26,LEN($F26)-2),tSalaryMax,2,FALSE)))),
IF($D26="Casual",
$F26,))
),tSalaryRate,5,FALSE)*VLOOKUP($G26,tSalaryRateMultiplier,2,FALSE)*'PART B Staff Costs'!AB$10),0)*new_xrate</f>
        <v>0</v>
      </c>
      <c r="AC26" s="449"/>
      <c r="AD26" s="335"/>
      <c r="AE26" s="1152"/>
      <c r="AF26" s="1152"/>
      <c r="AG26" s="1152"/>
      <c r="AH26" s="1152"/>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row>
    <row r="27" spans="1:56" x14ac:dyDescent="0.3">
      <c r="A27" s="1182"/>
      <c r="B27" s="1377"/>
      <c r="C27" s="1377"/>
      <c r="D27" s="1377"/>
      <c r="E27" s="1377"/>
      <c r="F27" s="1377"/>
      <c r="G27" s="1377"/>
      <c r="H27" s="1378"/>
      <c r="I27" s="336" t="str">
        <f>IF('PART B Staff Costs'!G22&lt;&gt;"",CONCATENATE("Time/Requested salary"," (",'PART B Staff Costs'!G22,")"),"Time/Requested salary")</f>
        <v>Time/Requested salary</v>
      </c>
      <c r="J27" s="337">
        <f>_xlfn.IFNA('PART B Staff Costs'!I22,0)</f>
        <v>0</v>
      </c>
      <c r="K27" s="442">
        <f>IF('PART B Staff Costs'!$G$22="FTE",J27*J26*(First_year_fraction/12),J27*J26)</f>
        <v>0</v>
      </c>
      <c r="L27" s="338">
        <f>_xlfn.IFNA('PART B Staff Costs'!K22,0)</f>
        <v>0</v>
      </c>
      <c r="M27" s="450">
        <f>IF(pStartYear+1=pEndYear,IF('PART B Staff Costs'!$G$22="FTE",(L27*L26)*Last_Year_Fraction/12,L27*L26),L27*L26)</f>
        <v>0</v>
      </c>
      <c r="N27" s="337">
        <f>_xlfn.IFNA('PART B Staff Costs'!M22,0)</f>
        <v>0</v>
      </c>
      <c r="O27" s="442">
        <f>IF(pStartYear+2=pEndYear,IF('PART B Staff Costs'!$G$22="FTE",(N27*N26)*Last_Year_Fraction/12,N27*N26),N27*N26)</f>
        <v>0</v>
      </c>
      <c r="P27" s="338">
        <f>_xlfn.IFNA('PART B Staff Costs'!O22,0)</f>
        <v>0</v>
      </c>
      <c r="Q27" s="450">
        <f>IF(pStartYear+3=pEndYear,IF('PART B Staff Costs'!$G$22="FTE",(P27*P26)*Last_Year_Fraction/12,P27*P26),P27*P26)</f>
        <v>0</v>
      </c>
      <c r="R27" s="337">
        <f>_xlfn.IFNA('PART B Staff Costs'!Q22,0)</f>
        <v>0</v>
      </c>
      <c r="S27" s="442">
        <f>IF(pStartYear+4=pEndYear,IF('PART B Staff Costs'!$G$22="FTE",(R27*R26)*Last_Year_Fraction/12,R27*R26),R27*R26)</f>
        <v>0</v>
      </c>
      <c r="T27" s="338">
        <f>_xlfn.IFNA('PART B Staff Costs'!S22,0)</f>
        <v>0</v>
      </c>
      <c r="U27" s="450">
        <f>IF(pStartYear+5=pEndYear,IF('PART B Staff Costs'!$G$22="FTE",(T27*T26)*Last_Year_Fraction/12,T27*T26),T27*T26)</f>
        <v>0</v>
      </c>
      <c r="V27" s="337">
        <f>_xlfn.IFNA('PART B Staff Costs'!U22,0)</f>
        <v>0</v>
      </c>
      <c r="W27" s="442">
        <f>IF(pStartYear+6=pEndYear,IF('PART B Staff Costs'!$G$22="FTE",(V27*V26)*Last_Year_Fraction/12,V27*V26),V27*V26)</f>
        <v>0</v>
      </c>
      <c r="X27" s="338">
        <f>_xlfn.IFNA('PART B Staff Costs'!W22,0)</f>
        <v>0</v>
      </c>
      <c r="Y27" s="450">
        <f>IF(pStartYear+7=pEndYear,IF('PART B Staff Costs'!$G$22="FTE",(X27*X26)*Last_Year_Fraction/12,X27*X26),X27*X26)</f>
        <v>0</v>
      </c>
      <c r="Z27" s="337">
        <f>_xlfn.IFNA('PART B Staff Costs'!Y22,0)</f>
        <v>0</v>
      </c>
      <c r="AA27" s="442">
        <f>IF(pStartYear+8=pEndYear,IF('PART B Staff Costs'!$G$22="FTE",(Z27*Z26)*Last_Year_Fraction/12,Z27*Z26),Z27*Z26)</f>
        <v>0</v>
      </c>
      <c r="AB27" s="338">
        <f>_xlfn.IFNA('PART B Staff Costs'!AA22,0)</f>
        <v>0</v>
      </c>
      <c r="AC27" s="450">
        <f>IF(pStartYear+9=pEndYear,IF('PART B Staff Costs'!$G$22="FTE",(AB27*AB26)*Last_Year_Fraction/12,AB27*AB26),AB27*AB26)</f>
        <v>0</v>
      </c>
      <c r="AD27" s="335"/>
      <c r="AE27" s="1152"/>
      <c r="AF27" s="1152"/>
      <c r="AG27" s="1152"/>
      <c r="AH27" s="1152"/>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row>
    <row r="28" spans="1:56" x14ac:dyDescent="0.3">
      <c r="A28" s="1182"/>
      <c r="B28" s="1379"/>
      <c r="C28" s="1379"/>
      <c r="D28" s="1379"/>
      <c r="E28" s="1379"/>
      <c r="F28" s="1379"/>
      <c r="G28" s="1379"/>
      <c r="H28" s="1380"/>
      <c r="I28" s="336" t="str">
        <f>IF(tbBudgetCurrency="AUD - Australian Dollar",CONCATENATE("Leave Loading (max of AU$",vl_Max_Leave_Loading,")"),CONCATENATE("Leave Loading (max of ",ROUND(vl_Max_Leave_Loading*new_xrate,2)," ",LEFT(tbBudgetCurrency,3),")"))</f>
        <v>Leave Loading (max of AU$1611.3)</v>
      </c>
      <c r="J28" s="339">
        <f>_xlfn.IFNA(VLOOKUP($D26,tbLeaveLoading,2,FALSE),0)</f>
        <v>0</v>
      </c>
      <c r="K28" s="443">
        <f>IF(K27*J28&gt;vl_Max_Leave_Loading*new_xrate,vl_Max_Leave_Loading*new_xrate,K27*J28)</f>
        <v>0</v>
      </c>
      <c r="L28" s="340">
        <f>_xlfn.IFNA(VLOOKUP($D26,tbLeaveLoading,2,FALSE),0)</f>
        <v>0</v>
      </c>
      <c r="M28" s="451">
        <f>IF(M27*L28&gt;vl_Max_Leave_Loading*new_xrate,vl_Max_Leave_Loading*new_xrate,M27*L28)</f>
        <v>0</v>
      </c>
      <c r="N28" s="339">
        <f>_xlfn.IFNA(VLOOKUP($D26,tbLeaveLoading,2,FALSE),0)</f>
        <v>0</v>
      </c>
      <c r="O28" s="443">
        <f>IF(O27*N28&gt;vl_Max_Leave_Loading*new_xrate,vl_Max_Leave_Loading*new_xrate,O27*N28)</f>
        <v>0</v>
      </c>
      <c r="P28" s="340">
        <f>_xlfn.IFNA(VLOOKUP($D26,tbLeaveLoading,2,FALSE),0)</f>
        <v>0</v>
      </c>
      <c r="Q28" s="451">
        <f>IF(Q27*P28&gt;vl_Max_Leave_Loading*new_xrate,vl_Max_Leave_Loading*new_xrate,Q27*P28)</f>
        <v>0</v>
      </c>
      <c r="R28" s="339">
        <f>_xlfn.IFNA(VLOOKUP($D26,tbLeaveLoading,2,FALSE),0)</f>
        <v>0</v>
      </c>
      <c r="S28" s="443">
        <f>IF(S27*R28&gt;vl_Max_Leave_Loading*new_xrate,vl_Max_Leave_Loading*new_xrate,S27*R28)</f>
        <v>0</v>
      </c>
      <c r="T28" s="340">
        <f>_xlfn.IFNA(VLOOKUP($D26,tbLeaveLoading,2,FALSE),0)</f>
        <v>0</v>
      </c>
      <c r="U28" s="451">
        <f>IF(U27*T28&gt;vl_Max_Leave_Loading*new_xrate,vl_Max_Leave_Loading*new_xrate,U27*T28)</f>
        <v>0</v>
      </c>
      <c r="V28" s="339">
        <f>_xlfn.IFNA(VLOOKUP($D26,tbLeaveLoading,2,FALSE),0)</f>
        <v>0</v>
      </c>
      <c r="W28" s="443">
        <f>IF(W27*V28&gt;vl_Max_Leave_Loading*new_xrate,vl_Max_Leave_Loading*new_xrate,W27*V28)</f>
        <v>0</v>
      </c>
      <c r="X28" s="340">
        <f>_xlfn.IFNA(VLOOKUP($D26,tbLeaveLoading,2,FALSE),0)</f>
        <v>0</v>
      </c>
      <c r="Y28" s="451">
        <f>IF(Y27*X28&gt;vl_Max_Leave_Loading*new_xrate,vl_Max_Leave_Loading*new_xrate,Y27*X28)</f>
        <v>0</v>
      </c>
      <c r="Z28" s="339">
        <f>_xlfn.IFNA(VLOOKUP($D26,tbLeaveLoading,2,FALSE),0)</f>
        <v>0</v>
      </c>
      <c r="AA28" s="443">
        <f>IF(AA27*Z28&gt;vl_Max_Leave_Loading*new_xrate,vl_Max_Leave_Loading*new_xrate,AA27*Z28)</f>
        <v>0</v>
      </c>
      <c r="AB28" s="340">
        <f>_xlfn.IFNA(VLOOKUP($D26,tbLeaveLoading,2,FALSE),0)</f>
        <v>0</v>
      </c>
      <c r="AC28" s="451">
        <f>IF(AC27*AB28&gt;vl_Max_Leave_Loading*new_xrate,vl_Max_Leave_Loading*new_xrate,AC27*AB28)</f>
        <v>0</v>
      </c>
      <c r="AD28" s="335"/>
      <c r="AE28" s="1152"/>
      <c r="AF28" s="1152"/>
      <c r="AG28" s="1152"/>
      <c r="AH28" s="1152"/>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row>
    <row r="29" spans="1:56" x14ac:dyDescent="0.3">
      <c r="A29" s="1182"/>
      <c r="B29" s="1379"/>
      <c r="C29" s="1379"/>
      <c r="D29" s="1379"/>
      <c r="E29" s="1379"/>
      <c r="F29" s="1379"/>
      <c r="G29" s="1379"/>
      <c r="H29" s="1380"/>
      <c r="I29" s="336" t="s">
        <v>314</v>
      </c>
      <c r="J29" s="339">
        <f>_xlfn.IFNA(_xlfn.IFNA(VLOOKUP(CONCATENATE(pStartYear,$D26),tbSuperannuation,4,FALSE),VLOOKUP($D26,tbSuperannuation2026onwards,2,FALSE)),0)</f>
        <v>0</v>
      </c>
      <c r="K29" s="443">
        <f>K27*J29</f>
        <v>0</v>
      </c>
      <c r="L29" s="340">
        <f>_xlfn.IFNA(_xlfn.IFNA(VLOOKUP(CONCATENATE(pStartYear+1,$D26),tbSuperannuation,4,FALSE),VLOOKUP($D26,tbSuperannuation2026onwards,2,FALSE)),0)</f>
        <v>0</v>
      </c>
      <c r="M29" s="451">
        <f t="shared" ref="M29" si="67">M27*L29</f>
        <v>0</v>
      </c>
      <c r="N29" s="339">
        <f>_xlfn.IFNA(_xlfn.IFNA(VLOOKUP(CONCATENATE(pStartYear+2,$D26),tbSuperannuation,4,FALSE),VLOOKUP($D26,tbSuperannuation2026onwards,2,FALSE)),0)</f>
        <v>0</v>
      </c>
      <c r="O29" s="443">
        <f>O27*N29</f>
        <v>0</v>
      </c>
      <c r="P29" s="340">
        <f>_xlfn.IFNA(_xlfn.IFNA(VLOOKUP(CONCATENATE(pStartYear+3,$D26),tbSuperannuation,4,FALSE),VLOOKUP($D26,tbSuperannuation2026onwards,2,FALSE)),0)</f>
        <v>0</v>
      </c>
      <c r="Q29" s="451">
        <f t="shared" ref="Q29" si="68">Q27*P29</f>
        <v>0</v>
      </c>
      <c r="R29" s="339">
        <f>_xlfn.IFNA(_xlfn.IFNA(VLOOKUP(CONCATENATE(pStartYear+4,$D26),tbSuperannuation,4,FALSE),VLOOKUP($D26,tbSuperannuation2026onwards,2,FALSE)),0)</f>
        <v>0</v>
      </c>
      <c r="S29" s="443">
        <f>S27*R29</f>
        <v>0</v>
      </c>
      <c r="T29" s="340">
        <f>_xlfn.IFNA(_xlfn.IFNA(VLOOKUP(CONCATENATE(pStartYear+5,$D26),tbSuperannuation,4,FALSE),VLOOKUP($D26,tbSuperannuation2026onwards,2,FALSE)),0)</f>
        <v>0</v>
      </c>
      <c r="U29" s="451">
        <f t="shared" ref="U29" si="69">U27*T29</f>
        <v>0</v>
      </c>
      <c r="V29" s="339">
        <f>_xlfn.IFNA(_xlfn.IFNA(VLOOKUP(CONCATENATE(pStartYear+6,$D26),tbSuperannuation,4,FALSE),VLOOKUP($D26,tbSuperannuation2026onwards,2,FALSE)),0)</f>
        <v>0</v>
      </c>
      <c r="W29" s="443">
        <f>W27*V29</f>
        <v>0</v>
      </c>
      <c r="X29" s="340">
        <f>_xlfn.IFNA(_xlfn.IFNA(VLOOKUP(CONCATENATE(pStartYear+7,$D26),tbSuperannuation,4,FALSE),VLOOKUP($D26,tbSuperannuation2026onwards,2,FALSE)),0)</f>
        <v>0</v>
      </c>
      <c r="Y29" s="451">
        <f t="shared" ref="Y29" si="70">Y27*X29</f>
        <v>0</v>
      </c>
      <c r="Z29" s="339">
        <f>_xlfn.IFNA(_xlfn.IFNA(VLOOKUP(CONCATENATE(pStartYear+8,$D26),tbSuperannuation,4,FALSE),VLOOKUP($D26,tbSuperannuation2026onwards,2,FALSE)),0)</f>
        <v>0</v>
      </c>
      <c r="AA29" s="443">
        <f>AA27*Z29</f>
        <v>0</v>
      </c>
      <c r="AB29" s="340">
        <f>_xlfn.IFNA(_xlfn.IFNA(VLOOKUP(CONCATENATE(pStartYear+9,$D26),tbSuperannuation,4,FALSE),VLOOKUP($D26,tbSuperannuation2026onwards,2,FALSE)),0)</f>
        <v>0</v>
      </c>
      <c r="AC29" s="451">
        <f t="shared" ref="AC29" si="71">AC27*AB29</f>
        <v>0</v>
      </c>
      <c r="AD29" s="335"/>
      <c r="AE29" s="1152"/>
      <c r="AF29" s="1152"/>
      <c r="AG29" s="1152"/>
      <c r="AH29" s="1152"/>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row>
    <row r="30" spans="1:56" x14ac:dyDescent="0.3">
      <c r="A30" s="1182"/>
      <c r="B30" s="1379"/>
      <c r="C30" s="1379"/>
      <c r="D30" s="1379"/>
      <c r="E30" s="1379"/>
      <c r="F30" s="1379"/>
      <c r="G30" s="1379"/>
      <c r="H30" s="1380"/>
      <c r="I30" s="341" t="s">
        <v>315</v>
      </c>
      <c r="J30" s="342"/>
      <c r="K30" s="444">
        <f>K28+K29+K27</f>
        <v>0</v>
      </c>
      <c r="L30" s="342"/>
      <c r="M30" s="444">
        <f t="shared" ref="M30" si="72">M28+M29+M27</f>
        <v>0</v>
      </c>
      <c r="N30" s="342"/>
      <c r="O30" s="444">
        <f>O28+O29+O27</f>
        <v>0</v>
      </c>
      <c r="P30" s="342"/>
      <c r="Q30" s="444">
        <f t="shared" ref="Q30" si="73">Q28+Q29+Q27</f>
        <v>0</v>
      </c>
      <c r="R30" s="342"/>
      <c r="S30" s="444">
        <f>S28+S29+S27</f>
        <v>0</v>
      </c>
      <c r="T30" s="342"/>
      <c r="U30" s="444">
        <f t="shared" ref="U30" si="74">U28+U29+U27</f>
        <v>0</v>
      </c>
      <c r="V30" s="342"/>
      <c r="W30" s="444">
        <f>W28+W29+W27</f>
        <v>0</v>
      </c>
      <c r="X30" s="342"/>
      <c r="Y30" s="444">
        <f t="shared" ref="Y30" si="75">Y28+Y29+Y27</f>
        <v>0</v>
      </c>
      <c r="Z30" s="342"/>
      <c r="AA30" s="444">
        <f>AA28+AA29+AA27</f>
        <v>0</v>
      </c>
      <c r="AB30" s="342"/>
      <c r="AC30" s="444">
        <f t="shared" ref="AC30" si="76">AC28+AC29+AC27</f>
        <v>0</v>
      </c>
      <c r="AD30" s="335">
        <f t="shared" ref="AD30:AD100" si="77">IFERROR($K30+$M30+$O30+$Q30+$S30+$U30+$W30+$Y30+$AA30+$AC30,0)</f>
        <v>0</v>
      </c>
      <c r="AE30" s="1152"/>
      <c r="AF30" s="1152"/>
      <c r="AG30" s="1152"/>
      <c r="AH30" s="1152"/>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row>
    <row r="31" spans="1:56" x14ac:dyDescent="0.3">
      <c r="A31" s="1182"/>
      <c r="B31" s="1379"/>
      <c r="C31" s="1379"/>
      <c r="D31" s="1379"/>
      <c r="E31" s="1379"/>
      <c r="F31" s="1379"/>
      <c r="G31" s="1379"/>
      <c r="H31" s="1380"/>
      <c r="I31" s="336" t="s">
        <v>316</v>
      </c>
      <c r="J31" s="339">
        <f>_xlfn.IFNA(_xlfn.IFNA(VLOOKUP(pStartYear,tbPayrollTax,2,FALSE),vl_MaxPayrollTax),0)</f>
        <v>5.8500000000000003E-2</v>
      </c>
      <c r="K31" s="443">
        <f>J31*K30</f>
        <v>0</v>
      </c>
      <c r="L31" s="340">
        <f>_xlfn.IFNA(_xlfn.IFNA(VLOOKUP(pStartYear+1,tbPayrollTax,2,FALSE),vl_MaxPayrollTax),0)</f>
        <v>5.8500000000000003E-2</v>
      </c>
      <c r="M31" s="451">
        <f t="shared" ref="M31" si="78">L31*M30</f>
        <v>0</v>
      </c>
      <c r="N31" s="339">
        <f>_xlfn.IFNA(_xlfn.IFNA(VLOOKUP(pStartYear+2,tbPayrollTax,2,FALSE),vl_MaxPayrollTax),0)</f>
        <v>5.8500000000000003E-2</v>
      </c>
      <c r="O31" s="443">
        <f>N31*O30</f>
        <v>0</v>
      </c>
      <c r="P31" s="340">
        <f>_xlfn.IFNA(_xlfn.IFNA(VLOOKUP(pStartYear+3,tbPayrollTax,2,FALSE),vl_MaxPayrollTax),0)</f>
        <v>5.8500000000000003E-2</v>
      </c>
      <c r="Q31" s="451">
        <f t="shared" ref="Q31" si="79">P31*Q30</f>
        <v>0</v>
      </c>
      <c r="R31" s="339">
        <f>_xlfn.IFNA(_xlfn.IFNA(VLOOKUP(pStartYear+4,tbPayrollTax,2,FALSE),vl_MaxPayrollTax),0)</f>
        <v>5.8500000000000003E-2</v>
      </c>
      <c r="S31" s="443">
        <f>R31*S30</f>
        <v>0</v>
      </c>
      <c r="T31" s="340">
        <f>_xlfn.IFNA(_xlfn.IFNA(VLOOKUP(pStartYear+5,tbPayrollTax,2,FALSE),vl_MaxPayrollTax),0)</f>
        <v>5.8500000000000003E-2</v>
      </c>
      <c r="U31" s="451">
        <f t="shared" ref="U31" si="80">T31*U30</f>
        <v>0</v>
      </c>
      <c r="V31" s="339">
        <f>_xlfn.IFNA(_xlfn.IFNA(VLOOKUP(pStartYear+6,tbPayrollTax,2,FALSE),vl_MaxPayrollTax),0)</f>
        <v>5.8500000000000003E-2</v>
      </c>
      <c r="W31" s="443">
        <f>V31*W30</f>
        <v>0</v>
      </c>
      <c r="X31" s="340">
        <f>_xlfn.IFNA(_xlfn.IFNA(VLOOKUP(pStartYear+7,tbPayrollTax,2,FALSE),vl_MaxPayrollTax),0)</f>
        <v>5.8500000000000003E-2</v>
      </c>
      <c r="Y31" s="451">
        <f t="shared" ref="Y31" si="81">X31*Y30</f>
        <v>0</v>
      </c>
      <c r="Z31" s="339">
        <f>_xlfn.IFNA(_xlfn.IFNA(VLOOKUP(pStartYear+8,tbPayrollTax,2,FALSE),vl_MaxPayrollTax),0)</f>
        <v>5.8500000000000003E-2</v>
      </c>
      <c r="AA31" s="443">
        <f>Z31*AA30</f>
        <v>0</v>
      </c>
      <c r="AB31" s="340">
        <f>_xlfn.IFNA(_xlfn.IFNA(VLOOKUP(pStartYear+9,tbPayrollTax,2,FALSE),vl_MaxPayrollTax),0)</f>
        <v>5.8500000000000003E-2</v>
      </c>
      <c r="AC31" s="451">
        <f t="shared" ref="AC31" si="82">AB31*AC30</f>
        <v>0</v>
      </c>
      <c r="AD31" s="335"/>
      <c r="AE31" s="1152"/>
      <c r="AF31" s="1152"/>
      <c r="AG31" s="1152"/>
      <c r="AH31" s="1152"/>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row>
    <row r="32" spans="1:56" x14ac:dyDescent="0.3">
      <c r="A32" s="1182"/>
      <c r="B32" s="1379"/>
      <c r="C32" s="1379"/>
      <c r="D32" s="1379"/>
      <c r="E32" s="1379"/>
      <c r="F32" s="1379"/>
      <c r="G32" s="1379"/>
      <c r="H32" s="1380"/>
      <c r="I32" s="336" t="s">
        <v>317</v>
      </c>
      <c r="J32" s="339">
        <f>_xlfn.IFNA(VLOOKUP($D26,tbWorkCover,2,FALSE),0)</f>
        <v>0</v>
      </c>
      <c r="K32" s="443">
        <f>J32*K30</f>
        <v>0</v>
      </c>
      <c r="L32" s="340">
        <f>_xlfn.IFNA(VLOOKUP($D26,tbWorkCover,2,FALSE),0)</f>
        <v>0</v>
      </c>
      <c r="M32" s="451">
        <f t="shared" ref="M32" si="83">L32*M30</f>
        <v>0</v>
      </c>
      <c r="N32" s="339">
        <f>_xlfn.IFNA(VLOOKUP($D26,tbWorkCover,2,FALSE),0)</f>
        <v>0</v>
      </c>
      <c r="O32" s="443">
        <f>N32*O30</f>
        <v>0</v>
      </c>
      <c r="P32" s="340">
        <f>_xlfn.IFNA(VLOOKUP($D26,tbWorkCover,2,FALSE),0)</f>
        <v>0</v>
      </c>
      <c r="Q32" s="451">
        <f t="shared" ref="Q32" si="84">P32*Q30</f>
        <v>0</v>
      </c>
      <c r="R32" s="339">
        <f>_xlfn.IFNA(VLOOKUP($D26,tbWorkCover,2,FALSE),0)</f>
        <v>0</v>
      </c>
      <c r="S32" s="443">
        <f>R32*S30</f>
        <v>0</v>
      </c>
      <c r="T32" s="340">
        <f>_xlfn.IFNA(VLOOKUP($D26,tbWorkCover,2,FALSE),0)</f>
        <v>0</v>
      </c>
      <c r="U32" s="451">
        <f t="shared" ref="U32" si="85">T32*U30</f>
        <v>0</v>
      </c>
      <c r="V32" s="339">
        <f>_xlfn.IFNA(VLOOKUP($D26,tbWorkCover,2,FALSE),0)</f>
        <v>0</v>
      </c>
      <c r="W32" s="443">
        <f>V32*W30</f>
        <v>0</v>
      </c>
      <c r="X32" s="340">
        <f>_xlfn.IFNA(VLOOKUP($D26,tbWorkCover,2,FALSE),0)</f>
        <v>0</v>
      </c>
      <c r="Y32" s="451">
        <f t="shared" ref="Y32" si="86">X32*Y30</f>
        <v>0</v>
      </c>
      <c r="Z32" s="339">
        <f>_xlfn.IFNA(VLOOKUP($D26,tbWorkCover,2,FALSE),0)</f>
        <v>0</v>
      </c>
      <c r="AA32" s="443">
        <f>Z32*AA30</f>
        <v>0</v>
      </c>
      <c r="AB32" s="340">
        <f>_xlfn.IFNA(VLOOKUP($D26,tbWorkCover,2,FALSE),0)</f>
        <v>0</v>
      </c>
      <c r="AC32" s="451">
        <f t="shared" ref="AC32" si="87">AB32*AC30</f>
        <v>0</v>
      </c>
      <c r="AD32" s="335"/>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row>
    <row r="33" spans="1:56" x14ac:dyDescent="0.3">
      <c r="A33" s="1182"/>
      <c r="B33" s="1379"/>
      <c r="C33" s="1379"/>
      <c r="D33" s="1379"/>
      <c r="E33" s="1379"/>
      <c r="F33" s="1379"/>
      <c r="G33" s="1379"/>
      <c r="H33" s="1380"/>
      <c r="I33" s="336" t="s">
        <v>318</v>
      </c>
      <c r="J33" s="339">
        <f>_xlfn.IFNA(VLOOKUP($D26,tbLongServiceLeave,2,FALSE),0)</f>
        <v>0</v>
      </c>
      <c r="K33" s="443">
        <f>J33*K27</f>
        <v>0</v>
      </c>
      <c r="L33" s="340">
        <f>_xlfn.IFNA(VLOOKUP($D26,tbLongServiceLeave,2,FALSE),0)</f>
        <v>0</v>
      </c>
      <c r="M33" s="451">
        <f t="shared" ref="M33" si="88">L33*M27</f>
        <v>0</v>
      </c>
      <c r="N33" s="339">
        <f>_xlfn.IFNA(VLOOKUP($D26,tbLongServiceLeave,2,FALSE),0)</f>
        <v>0</v>
      </c>
      <c r="O33" s="443">
        <f>N33*O27</f>
        <v>0</v>
      </c>
      <c r="P33" s="340">
        <f>_xlfn.IFNA(VLOOKUP($D26,tbLongServiceLeave,2,FALSE),0)</f>
        <v>0</v>
      </c>
      <c r="Q33" s="451">
        <f t="shared" ref="Q33" si="89">P33*Q27</f>
        <v>0</v>
      </c>
      <c r="R33" s="339">
        <f>_xlfn.IFNA(VLOOKUP($D26,tbLongServiceLeave,2,FALSE),0)</f>
        <v>0</v>
      </c>
      <c r="S33" s="443">
        <f>R33*S27</f>
        <v>0</v>
      </c>
      <c r="T33" s="340">
        <f>_xlfn.IFNA(VLOOKUP($D26,tbLongServiceLeave,2,FALSE),0)</f>
        <v>0</v>
      </c>
      <c r="U33" s="451">
        <f t="shared" ref="U33" si="90">T33*U27</f>
        <v>0</v>
      </c>
      <c r="V33" s="339">
        <f>_xlfn.IFNA(VLOOKUP($D26,tbLongServiceLeave,2,FALSE),0)</f>
        <v>0</v>
      </c>
      <c r="W33" s="443">
        <f>V33*W27</f>
        <v>0</v>
      </c>
      <c r="X33" s="340">
        <f>_xlfn.IFNA(VLOOKUP($D26,tbLongServiceLeave,2,FALSE),0)</f>
        <v>0</v>
      </c>
      <c r="Y33" s="451">
        <f t="shared" ref="Y33" si="91">X33*Y27</f>
        <v>0</v>
      </c>
      <c r="Z33" s="339">
        <f>_xlfn.IFNA(VLOOKUP($D26,tbLongServiceLeave,2,FALSE),0)</f>
        <v>0</v>
      </c>
      <c r="AA33" s="443">
        <f>Z33*AA27</f>
        <v>0</v>
      </c>
      <c r="AB33" s="340">
        <f>_xlfn.IFNA(VLOOKUP($D26,tbLongServiceLeave,2,FALSE),0)</f>
        <v>0</v>
      </c>
      <c r="AC33" s="451">
        <f t="shared" ref="AC33" si="92">AB33*AC27</f>
        <v>0</v>
      </c>
      <c r="AD33" s="335"/>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row>
    <row r="34" spans="1:56" x14ac:dyDescent="0.3">
      <c r="A34" s="1182"/>
      <c r="B34" s="1379"/>
      <c r="C34" s="1379"/>
      <c r="D34" s="1379"/>
      <c r="E34" s="1379"/>
      <c r="F34" s="1379"/>
      <c r="G34" s="1379"/>
      <c r="H34" s="1380"/>
      <c r="I34" s="336" t="s">
        <v>319</v>
      </c>
      <c r="J34" s="339">
        <f>_xlfn.IFNA(VLOOKUP($D26,tbParentalLeave,2,FALSE),0)</f>
        <v>0</v>
      </c>
      <c r="K34" s="443">
        <f>J34*K27</f>
        <v>0</v>
      </c>
      <c r="L34" s="340">
        <f>_xlfn.IFNA(VLOOKUP($D26,tbParentalLeave,2,FALSE),0)</f>
        <v>0</v>
      </c>
      <c r="M34" s="451">
        <f t="shared" ref="M34" si="93">L34*M27</f>
        <v>0</v>
      </c>
      <c r="N34" s="339">
        <f>_xlfn.IFNA(VLOOKUP($D26,tbParentalLeave,2,FALSE),0)</f>
        <v>0</v>
      </c>
      <c r="O34" s="443">
        <f>N34*O27</f>
        <v>0</v>
      </c>
      <c r="P34" s="340">
        <f>_xlfn.IFNA(VLOOKUP($D26,tbParentalLeave,2,FALSE),0)</f>
        <v>0</v>
      </c>
      <c r="Q34" s="451">
        <f t="shared" ref="Q34" si="94">P34*Q27</f>
        <v>0</v>
      </c>
      <c r="R34" s="339">
        <f>_xlfn.IFNA(VLOOKUP($D26,tbParentalLeave,2,FALSE),0)</f>
        <v>0</v>
      </c>
      <c r="S34" s="443">
        <f>R34*S27</f>
        <v>0</v>
      </c>
      <c r="T34" s="340">
        <f>_xlfn.IFNA(VLOOKUP($D26,tbParentalLeave,2,FALSE),0)</f>
        <v>0</v>
      </c>
      <c r="U34" s="451">
        <f t="shared" ref="U34" si="95">T34*U27</f>
        <v>0</v>
      </c>
      <c r="V34" s="339">
        <f>_xlfn.IFNA(VLOOKUP($D26,tbParentalLeave,2,FALSE),0)</f>
        <v>0</v>
      </c>
      <c r="W34" s="443">
        <f>V34*W27</f>
        <v>0</v>
      </c>
      <c r="X34" s="340">
        <f>_xlfn.IFNA(VLOOKUP($D26,tbParentalLeave,2,FALSE),0)</f>
        <v>0</v>
      </c>
      <c r="Y34" s="451">
        <f t="shared" ref="Y34" si="96">X34*Y27</f>
        <v>0</v>
      </c>
      <c r="Z34" s="339">
        <f>_xlfn.IFNA(VLOOKUP($D26,tbParentalLeave,2,FALSE),0)</f>
        <v>0</v>
      </c>
      <c r="AA34" s="443">
        <f>Z34*AA27</f>
        <v>0</v>
      </c>
      <c r="AB34" s="340">
        <f>_xlfn.IFNA(VLOOKUP($D26,tbParentalLeave,2,FALSE),0)</f>
        <v>0</v>
      </c>
      <c r="AC34" s="451">
        <f t="shared" ref="AC34" si="97">AB34*AC27</f>
        <v>0</v>
      </c>
      <c r="AD34" s="335"/>
      <c r="AE34" s="1152"/>
      <c r="AF34" s="1152"/>
      <c r="AG34" s="1152"/>
      <c r="AH34" s="1152"/>
      <c r="AI34" s="1152"/>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row>
    <row r="35" spans="1:56" x14ac:dyDescent="0.3">
      <c r="A35" s="1182"/>
      <c r="B35" s="1379"/>
      <c r="C35" s="1379"/>
      <c r="D35" s="1379"/>
      <c r="E35" s="1379"/>
      <c r="F35" s="1379"/>
      <c r="G35" s="1379"/>
      <c r="H35" s="1380"/>
      <c r="I35" s="437" t="s">
        <v>320</v>
      </c>
      <c r="J35" s="438">
        <f>vl_overridden_uom_oncosts_per</f>
        <v>0</v>
      </c>
      <c r="K35" s="445">
        <f>J35*K27</f>
        <v>0</v>
      </c>
      <c r="L35" s="438">
        <f>vl_overridden_uom_oncosts_per</f>
        <v>0</v>
      </c>
      <c r="M35" s="445">
        <f>L35*M27</f>
        <v>0</v>
      </c>
      <c r="N35" s="438">
        <f>vl_overridden_uom_oncosts_per</f>
        <v>0</v>
      </c>
      <c r="O35" s="445">
        <f t="shared" ref="O35" si="98">N35*O27</f>
        <v>0</v>
      </c>
      <c r="P35" s="438">
        <f>vl_overridden_uom_oncosts_per</f>
        <v>0</v>
      </c>
      <c r="Q35" s="445">
        <f t="shared" ref="Q35" si="99">P35*Q27</f>
        <v>0</v>
      </c>
      <c r="R35" s="438">
        <f>vl_overridden_uom_oncosts_per</f>
        <v>0</v>
      </c>
      <c r="S35" s="445">
        <f t="shared" ref="S35" si="100">R35*S27</f>
        <v>0</v>
      </c>
      <c r="T35" s="438">
        <f>vl_overridden_uom_oncosts_per</f>
        <v>0</v>
      </c>
      <c r="U35" s="445">
        <f t="shared" ref="U35" si="101">T35*U27</f>
        <v>0</v>
      </c>
      <c r="V35" s="438">
        <f>vl_overridden_uom_oncosts_per</f>
        <v>0</v>
      </c>
      <c r="W35" s="445">
        <f t="shared" ref="W35" si="102">V35*W27</f>
        <v>0</v>
      </c>
      <c r="X35" s="438">
        <f>vl_overridden_uom_oncosts_per</f>
        <v>0</v>
      </c>
      <c r="Y35" s="445">
        <f t="shared" ref="Y35" si="103">X35*Y27</f>
        <v>0</v>
      </c>
      <c r="Z35" s="438">
        <f>vl_overridden_uom_oncosts_per</f>
        <v>0</v>
      </c>
      <c r="AA35" s="445">
        <f t="shared" ref="AA35" si="104">Z35*AA27</f>
        <v>0</v>
      </c>
      <c r="AB35" s="438">
        <f>vl_overridden_uom_oncosts_per</f>
        <v>0</v>
      </c>
      <c r="AC35" s="445">
        <f t="shared" ref="AC35" si="105">AB35*AC27</f>
        <v>0</v>
      </c>
      <c r="AD35" s="335"/>
      <c r="AE35" s="1152"/>
      <c r="AF35" s="1152"/>
      <c r="AG35" s="1152"/>
      <c r="AH35" s="1152"/>
      <c r="AI35" s="1152"/>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row>
    <row r="36" spans="1:56" x14ac:dyDescent="0.3">
      <c r="A36" s="1182"/>
      <c r="B36" s="1379"/>
      <c r="C36" s="1379"/>
      <c r="D36" s="1379"/>
      <c r="E36" s="1379"/>
      <c r="F36" s="1379"/>
      <c r="G36" s="1379"/>
      <c r="H36" s="1380"/>
      <c r="I36" s="341" t="s">
        <v>321</v>
      </c>
      <c r="J36" s="342"/>
      <c r="K36" s="444">
        <f>SUM(K30:K35)</f>
        <v>0</v>
      </c>
      <c r="L36" s="342"/>
      <c r="M36" s="444">
        <f t="shared" ref="M36" si="106">SUM(M30:M35)</f>
        <v>0</v>
      </c>
      <c r="N36" s="342"/>
      <c r="O36" s="444">
        <f t="shared" ref="O36" si="107">SUM(O30:O35)</f>
        <v>0</v>
      </c>
      <c r="P36" s="342"/>
      <c r="Q36" s="444">
        <f t="shared" ref="Q36" si="108">SUM(Q30:Q35)</f>
        <v>0</v>
      </c>
      <c r="R36" s="342"/>
      <c r="S36" s="444">
        <f t="shared" ref="S36" si="109">SUM(S30:S35)</f>
        <v>0</v>
      </c>
      <c r="T36" s="342"/>
      <c r="U36" s="444">
        <f t="shared" ref="U36" si="110">SUM(U30:U35)</f>
        <v>0</v>
      </c>
      <c r="V36" s="342"/>
      <c r="W36" s="444">
        <f t="shared" ref="W36" si="111">SUM(W30:W35)</f>
        <v>0</v>
      </c>
      <c r="X36" s="342"/>
      <c r="Y36" s="444">
        <f t="shared" ref="Y36" si="112">SUM(Y30:Y35)</f>
        <v>0</v>
      </c>
      <c r="Z36" s="342"/>
      <c r="AA36" s="444">
        <f t="shared" ref="AA36" si="113">SUM(AA30:AA35)</f>
        <v>0</v>
      </c>
      <c r="AB36" s="342"/>
      <c r="AC36" s="444">
        <f t="shared" ref="AC36" si="114">SUM(AC30:AC35)</f>
        <v>0</v>
      </c>
      <c r="AD36" s="335">
        <f t="shared" si="77"/>
        <v>0</v>
      </c>
      <c r="AE36" s="1152"/>
      <c r="AF36" s="1152"/>
      <c r="AG36" s="1152"/>
      <c r="AH36" s="1152"/>
      <c r="AI36" s="1152"/>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row>
    <row r="37" spans="1:56" x14ac:dyDescent="0.3">
      <c r="A37" s="1182"/>
      <c r="B37" s="1379"/>
      <c r="C37" s="1379"/>
      <c r="D37" s="1379"/>
      <c r="E37" s="1379"/>
      <c r="F37" s="1379"/>
      <c r="G37" s="1379"/>
      <c r="H37" s="1380"/>
      <c r="I37" s="336" t="s">
        <v>322</v>
      </c>
      <c r="J37" s="339">
        <f>_xlfn.IFNA(VLOOKUP($D26,tbAnnualLeaveProvision,2,FALSE),0)</f>
        <v>0</v>
      </c>
      <c r="K37" s="443">
        <f>J37*K27</f>
        <v>0</v>
      </c>
      <c r="L37" s="340">
        <f>_xlfn.IFNA(VLOOKUP($D26,tbAnnualLeaveProvision,2,FALSE),0)</f>
        <v>0</v>
      </c>
      <c r="M37" s="451">
        <f t="shared" ref="M37" si="115">L37*M27</f>
        <v>0</v>
      </c>
      <c r="N37" s="339">
        <f>_xlfn.IFNA(VLOOKUP($D26,tbAnnualLeaveProvision,2,FALSE),0)</f>
        <v>0</v>
      </c>
      <c r="O37" s="443">
        <f>N37*O27</f>
        <v>0</v>
      </c>
      <c r="P37" s="340">
        <f>_xlfn.IFNA(VLOOKUP($D26,tbAnnualLeaveProvision,2,FALSE),0)</f>
        <v>0</v>
      </c>
      <c r="Q37" s="451">
        <f t="shared" ref="Q37" si="116">P37*Q27</f>
        <v>0</v>
      </c>
      <c r="R37" s="339">
        <f>_xlfn.IFNA(VLOOKUP($D26,tbAnnualLeaveProvision,2,FALSE),0)</f>
        <v>0</v>
      </c>
      <c r="S37" s="443">
        <f>R37*S27</f>
        <v>0</v>
      </c>
      <c r="T37" s="340">
        <f>_xlfn.IFNA(VLOOKUP($D26,tbAnnualLeaveProvision,2,FALSE),0)</f>
        <v>0</v>
      </c>
      <c r="U37" s="451">
        <f t="shared" ref="U37" si="117">T37*U27</f>
        <v>0</v>
      </c>
      <c r="V37" s="339">
        <f>_xlfn.IFNA(VLOOKUP($D26,tbAnnualLeaveProvision,2,FALSE),0)</f>
        <v>0</v>
      </c>
      <c r="W37" s="443">
        <f>V37*W27</f>
        <v>0</v>
      </c>
      <c r="X37" s="340">
        <f>_xlfn.IFNA(VLOOKUP($D26,tbAnnualLeaveProvision,2,FALSE),0)</f>
        <v>0</v>
      </c>
      <c r="Y37" s="451">
        <f t="shared" ref="Y37" si="118">X37*Y27</f>
        <v>0</v>
      </c>
      <c r="Z37" s="339">
        <f>_xlfn.IFNA(VLOOKUP($D26,tbAnnualLeaveProvision,2,FALSE),0)</f>
        <v>0</v>
      </c>
      <c r="AA37" s="443">
        <f>Z37*AA27</f>
        <v>0</v>
      </c>
      <c r="AB37" s="340">
        <f>_xlfn.IFNA(VLOOKUP($D26,tbAnnualLeaveProvision,2,FALSE),0)</f>
        <v>0</v>
      </c>
      <c r="AC37" s="451">
        <f t="shared" ref="AC37" si="119">AB37*AC27</f>
        <v>0</v>
      </c>
      <c r="AD37" s="335"/>
      <c r="AE37" s="1152"/>
      <c r="AF37" s="1152"/>
      <c r="AG37" s="1152"/>
      <c r="AH37" s="1152"/>
      <c r="AI37" s="1152"/>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row>
    <row r="38" spans="1:56" x14ac:dyDescent="0.3">
      <c r="A38" s="1182"/>
      <c r="B38" s="1379"/>
      <c r="C38" s="1379"/>
      <c r="D38" s="1379"/>
      <c r="E38" s="1379"/>
      <c r="F38" s="1379"/>
      <c r="G38" s="1379"/>
      <c r="H38" s="1380"/>
      <c r="I38" s="336" t="s">
        <v>330</v>
      </c>
      <c r="J38" s="339"/>
      <c r="K38" s="446">
        <f>K36+K37</f>
        <v>0</v>
      </c>
      <c r="L38" s="340"/>
      <c r="M38" s="452">
        <f t="shared" ref="M38" si="120">M36+M37</f>
        <v>0</v>
      </c>
      <c r="N38" s="339"/>
      <c r="O38" s="446">
        <f>O36+O37</f>
        <v>0</v>
      </c>
      <c r="P38" s="340"/>
      <c r="Q38" s="452">
        <f t="shared" ref="Q38" si="121">Q36+Q37</f>
        <v>0</v>
      </c>
      <c r="R38" s="339"/>
      <c r="S38" s="446">
        <f>S36+S37</f>
        <v>0</v>
      </c>
      <c r="T38" s="340"/>
      <c r="U38" s="452">
        <f t="shared" ref="U38" si="122">U36+U37</f>
        <v>0</v>
      </c>
      <c r="V38" s="339"/>
      <c r="W38" s="446">
        <f>W36+W37</f>
        <v>0</v>
      </c>
      <c r="X38" s="340"/>
      <c r="Y38" s="452">
        <f t="shared" ref="Y38" si="123">Y36+Y37</f>
        <v>0</v>
      </c>
      <c r="Z38" s="339"/>
      <c r="AA38" s="446">
        <f>AA36+AA37</f>
        <v>0</v>
      </c>
      <c r="AB38" s="340"/>
      <c r="AC38" s="452">
        <f t="shared" ref="AC38" si="124">AC36+AC37</f>
        <v>0</v>
      </c>
      <c r="AD38" s="335"/>
      <c r="AE38" s="1152"/>
      <c r="AF38" s="1152"/>
      <c r="AG38" s="1152"/>
      <c r="AH38" s="1152"/>
      <c r="AI38" s="115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row>
    <row r="39" spans="1:56" x14ac:dyDescent="0.3">
      <c r="A39" s="1182"/>
      <c r="B39" s="1379"/>
      <c r="C39" s="1379"/>
      <c r="D39" s="1379"/>
      <c r="E39" s="1379"/>
      <c r="F39" s="1379"/>
      <c r="G39" s="1379"/>
      <c r="H39" s="1380"/>
      <c r="I39" s="343" t="s">
        <v>324</v>
      </c>
      <c r="J39" s="344"/>
      <c r="K39" s="443">
        <f>IFERROR(-(K36/vl_working_days_per_year)*J39,0)</f>
        <v>0</v>
      </c>
      <c r="L39" s="345"/>
      <c r="M39" s="451">
        <f>IFERROR(-(M36/vl_working_days_per_year)*L39,0)</f>
        <v>0</v>
      </c>
      <c r="N39" s="344"/>
      <c r="O39" s="443">
        <f>-(O36/vl_working_days_per_year)*N39</f>
        <v>0</v>
      </c>
      <c r="P39" s="345"/>
      <c r="Q39" s="451">
        <f>-(Q36/vl_working_days_per_year)*P39</f>
        <v>0</v>
      </c>
      <c r="R39" s="344"/>
      <c r="S39" s="443">
        <f>-(S36/vl_working_days_per_year)*R39</f>
        <v>0</v>
      </c>
      <c r="T39" s="345"/>
      <c r="U39" s="451">
        <f>-(U36/vl_working_days_per_year)*T39</f>
        <v>0</v>
      </c>
      <c r="V39" s="344"/>
      <c r="W39" s="443">
        <f>-(W36/vl_working_days_per_year)*V39</f>
        <v>0</v>
      </c>
      <c r="X39" s="345"/>
      <c r="Y39" s="451">
        <f>-(Y36/vl_working_days_per_year)*X39</f>
        <v>0</v>
      </c>
      <c r="Z39" s="344"/>
      <c r="AA39" s="443">
        <f>-(AA36/vl_working_days_per_year)*Z39</f>
        <v>0</v>
      </c>
      <c r="AB39" s="345"/>
      <c r="AC39" s="451">
        <f>-(AC36/vl_working_days_per_year)*AB39</f>
        <v>0</v>
      </c>
      <c r="AD39" s="335">
        <f t="shared" si="77"/>
        <v>0</v>
      </c>
      <c r="AE39" s="1152"/>
      <c r="AF39" s="1152"/>
      <c r="AG39" s="1152"/>
      <c r="AH39" s="1152"/>
      <c r="AI39" s="115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row>
    <row r="40" spans="1:56" x14ac:dyDescent="0.3">
      <c r="A40" s="1182"/>
      <c r="B40" s="1379"/>
      <c r="C40" s="1379"/>
      <c r="D40" s="1379"/>
      <c r="E40" s="1379"/>
      <c r="F40" s="1379"/>
      <c r="G40" s="1379"/>
      <c r="H40" s="1380"/>
      <c r="I40" s="341" t="s">
        <v>325</v>
      </c>
      <c r="J40" s="346"/>
      <c r="K40" s="444">
        <f>K38+K39</f>
        <v>0</v>
      </c>
      <c r="L40" s="346"/>
      <c r="M40" s="444">
        <f t="shared" ref="M40" si="125">M38+M39</f>
        <v>0</v>
      </c>
      <c r="N40" s="346"/>
      <c r="O40" s="444">
        <f>O38+O39</f>
        <v>0</v>
      </c>
      <c r="P40" s="346"/>
      <c r="Q40" s="444">
        <f t="shared" ref="Q40" si="126">Q38+Q39</f>
        <v>0</v>
      </c>
      <c r="R40" s="346"/>
      <c r="S40" s="444">
        <f>S38+S39</f>
        <v>0</v>
      </c>
      <c r="T40" s="346"/>
      <c r="U40" s="444">
        <f t="shared" ref="U40" si="127">U38+U39</f>
        <v>0</v>
      </c>
      <c r="V40" s="346"/>
      <c r="W40" s="444">
        <f>W38+W39</f>
        <v>0</v>
      </c>
      <c r="X40" s="346"/>
      <c r="Y40" s="444">
        <f t="shared" ref="Y40" si="128">Y38+Y39</f>
        <v>0</v>
      </c>
      <c r="Z40" s="346"/>
      <c r="AA40" s="444">
        <f>AA38+AA39</f>
        <v>0</v>
      </c>
      <c r="AB40" s="346"/>
      <c r="AC40" s="444">
        <f t="shared" ref="AC40" si="129">AC38+AC39</f>
        <v>0</v>
      </c>
      <c r="AD40" s="335">
        <f t="shared" si="77"/>
        <v>0</v>
      </c>
      <c r="AE40" s="1152"/>
      <c r="AF40" s="1152"/>
      <c r="AG40" s="1152"/>
      <c r="AH40" s="1152"/>
      <c r="AI40" s="115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row>
    <row r="41" spans="1:56" s="1" customFormat="1" ht="15" customHeight="1" x14ac:dyDescent="0.3">
      <c r="A41" s="727"/>
      <c r="B41" s="1379"/>
      <c r="C41" s="1379"/>
      <c r="D41" s="1379"/>
      <c r="E41" s="1379"/>
      <c r="F41" s="1379"/>
      <c r="G41" s="1379"/>
      <c r="H41" s="1380"/>
      <c r="I41" s="382" t="s">
        <v>326</v>
      </c>
      <c r="J41" s="383">
        <f>IFERROR(K41/K27,0)</f>
        <v>0</v>
      </c>
      <c r="K41" s="447">
        <f>SUM(K28:K29,K31:K34,K37)</f>
        <v>0</v>
      </c>
      <c r="L41" s="434">
        <f>IFERROR(M41/M27,0)</f>
        <v>0</v>
      </c>
      <c r="M41" s="453">
        <f t="shared" ref="M41" si="130">SUM(M28:M29,M31:M34,M37)</f>
        <v>0</v>
      </c>
      <c r="N41" s="383">
        <f t="shared" ref="N41" si="131">IFERROR(O41/O27,0)</f>
        <v>0</v>
      </c>
      <c r="O41" s="447">
        <f t="shared" ref="O41" si="132">SUM(O28:O29,O31:O34,O37)</f>
        <v>0</v>
      </c>
      <c r="P41" s="434">
        <f t="shared" ref="P41" si="133">IFERROR(Q41/Q27,0)</f>
        <v>0</v>
      </c>
      <c r="Q41" s="453">
        <f t="shared" ref="Q41" si="134">SUM(Q28:Q29,Q31:Q34,Q37)</f>
        <v>0</v>
      </c>
      <c r="R41" s="383">
        <f t="shared" ref="R41" si="135">IFERROR(S41/S27,0)</f>
        <v>0</v>
      </c>
      <c r="S41" s="447">
        <f t="shared" ref="S41" si="136">SUM(S28:S29,S31:S34,S37)</f>
        <v>0</v>
      </c>
      <c r="T41" s="434">
        <f t="shared" ref="T41" si="137">IFERROR(U41/U27,0)</f>
        <v>0</v>
      </c>
      <c r="U41" s="453">
        <f t="shared" ref="U41" si="138">SUM(U28:U29,U31:U34,U37)</f>
        <v>0</v>
      </c>
      <c r="V41" s="383">
        <f t="shared" ref="V41" si="139">IFERROR(W41/W27,0)</f>
        <v>0</v>
      </c>
      <c r="W41" s="447">
        <f t="shared" ref="W41" si="140">SUM(W28:W29,W31:W34,W37)</f>
        <v>0</v>
      </c>
      <c r="X41" s="434">
        <f t="shared" ref="X41" si="141">IFERROR(Y41/Y27,0)</f>
        <v>0</v>
      </c>
      <c r="Y41" s="453">
        <f t="shared" ref="Y41" si="142">SUM(Y28:Y29,Y31:Y34,Y37)</f>
        <v>0</v>
      </c>
      <c r="Z41" s="383">
        <f t="shared" ref="Z41" si="143">IFERROR(AA41/AA27,0)</f>
        <v>0</v>
      </c>
      <c r="AA41" s="447">
        <f t="shared" ref="AA41" si="144">SUM(AA28:AA29,AA31:AA34,AA37)</f>
        <v>0</v>
      </c>
      <c r="AB41" s="434">
        <f t="shared" ref="AB41" si="145">IFERROR(AC41/AC27,0)</f>
        <v>0</v>
      </c>
      <c r="AC41" s="453">
        <f t="shared" ref="AC41" si="146">SUM(AC28:AC29,AC31:AC34,AC37)</f>
        <v>0</v>
      </c>
      <c r="AD41" s="377">
        <f t="shared" si="77"/>
        <v>0</v>
      </c>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row>
    <row r="42" spans="1:56" x14ac:dyDescent="0.3">
      <c r="A42" s="1182"/>
      <c r="B42" s="1379"/>
      <c r="C42" s="1379"/>
      <c r="D42" s="1379"/>
      <c r="E42" s="1379"/>
      <c r="F42" s="1379"/>
      <c r="G42" s="1379"/>
      <c r="H42" s="1380"/>
      <c r="I42" s="382" t="s">
        <v>327</v>
      </c>
      <c r="J42" s="384">
        <f>pCRSalaries</f>
        <v>2.5</v>
      </c>
      <c r="K42" s="447"/>
      <c r="L42" s="435">
        <f>pCRSalaries</f>
        <v>2.5</v>
      </c>
      <c r="M42" s="453"/>
      <c r="N42" s="384">
        <f>pCRSalaries</f>
        <v>2.5</v>
      </c>
      <c r="O42" s="447"/>
      <c r="P42" s="435">
        <f>pCRSalaries</f>
        <v>2.5</v>
      </c>
      <c r="Q42" s="453"/>
      <c r="R42" s="384">
        <f>pCRSalaries</f>
        <v>2.5</v>
      </c>
      <c r="S42" s="447"/>
      <c r="T42" s="435">
        <f>pCRSalaries</f>
        <v>2.5</v>
      </c>
      <c r="U42" s="453"/>
      <c r="V42" s="384">
        <f>pCRSalaries</f>
        <v>2.5</v>
      </c>
      <c r="W42" s="447"/>
      <c r="X42" s="435">
        <f>pCRSalaries</f>
        <v>2.5</v>
      </c>
      <c r="Y42" s="453"/>
      <c r="Z42" s="384">
        <f>pCRSalaries</f>
        <v>2.5</v>
      </c>
      <c r="AA42" s="447"/>
      <c r="AB42" s="435">
        <f>pCRSalaries</f>
        <v>2.5</v>
      </c>
      <c r="AC42" s="453"/>
      <c r="AD42" s="335"/>
      <c r="AE42" s="1152"/>
      <c r="AF42" s="1152"/>
      <c r="AG42" s="1152"/>
      <c r="AH42" s="1152"/>
      <c r="AI42" s="1152"/>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row>
    <row r="43" spans="1:56" ht="16.2" thickBot="1" x14ac:dyDescent="0.35">
      <c r="A43" s="1182"/>
      <c r="B43" s="710"/>
      <c r="C43" s="347"/>
      <c r="D43" s="347"/>
      <c r="E43" s="347"/>
      <c r="F43" s="347"/>
      <c r="G43" s="347"/>
      <c r="H43" s="347"/>
      <c r="I43" s="436" t="s">
        <v>329</v>
      </c>
      <c r="J43" s="348"/>
      <c r="K43" s="448">
        <f>J42*K38</f>
        <v>0</v>
      </c>
      <c r="L43" s="348"/>
      <c r="M43" s="448">
        <f>L42*M38</f>
        <v>0</v>
      </c>
      <c r="N43" s="348"/>
      <c r="O43" s="448">
        <f>N42*O38</f>
        <v>0</v>
      </c>
      <c r="P43" s="348"/>
      <c r="Q43" s="448">
        <f>P42*Q38</f>
        <v>0</v>
      </c>
      <c r="R43" s="348"/>
      <c r="S43" s="448">
        <f>R42*S38</f>
        <v>0</v>
      </c>
      <c r="T43" s="348"/>
      <c r="U43" s="448">
        <f>T42*U38</f>
        <v>0</v>
      </c>
      <c r="V43" s="348"/>
      <c r="W43" s="448">
        <f>V42*W38</f>
        <v>0</v>
      </c>
      <c r="X43" s="348"/>
      <c r="Y43" s="448">
        <f>X42*Y38</f>
        <v>0</v>
      </c>
      <c r="Z43" s="348"/>
      <c r="AA43" s="448">
        <f>Z42*AA38</f>
        <v>0</v>
      </c>
      <c r="AB43" s="348"/>
      <c r="AC43" s="448">
        <f>AB42*AC38</f>
        <v>0</v>
      </c>
      <c r="AD43" s="335">
        <f t="shared" si="77"/>
        <v>0</v>
      </c>
      <c r="AE43" s="1152"/>
      <c r="AF43" s="1152"/>
      <c r="AG43" s="1152"/>
      <c r="AH43" s="1152"/>
      <c r="AI43" s="1152"/>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row>
    <row r="44" spans="1:56" ht="15" thickBot="1" x14ac:dyDescent="0.35">
      <c r="A44" s="1182"/>
      <c r="B44" s="1181"/>
      <c r="C44" s="1181"/>
      <c r="D44" s="1181"/>
      <c r="E44" s="1181"/>
      <c r="F44" s="1181"/>
      <c r="G44" s="1181"/>
      <c r="H44" s="1181"/>
      <c r="I44" s="350"/>
      <c r="J44" s="351"/>
      <c r="K44" s="351"/>
      <c r="L44" s="351"/>
      <c r="M44" s="352"/>
      <c r="N44" s="351"/>
      <c r="O44" s="352"/>
      <c r="P44" s="351"/>
      <c r="Q44" s="352"/>
      <c r="R44" s="351"/>
      <c r="S44" s="352"/>
      <c r="T44" s="351"/>
      <c r="U44" s="352"/>
      <c r="V44" s="351"/>
      <c r="W44" s="352"/>
      <c r="X44" s="351"/>
      <c r="Y44" s="352"/>
      <c r="Z44" s="351"/>
      <c r="AA44" s="352"/>
      <c r="AB44" s="351"/>
      <c r="AC44" s="352"/>
      <c r="AD44" s="353"/>
      <c r="AE44" s="1152"/>
      <c r="AF44" s="1152"/>
      <c r="AG44" s="1152"/>
      <c r="AH44" s="1152"/>
      <c r="AI44" s="1152"/>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row>
    <row r="45" spans="1:56" x14ac:dyDescent="0.3">
      <c r="A45" s="1182"/>
      <c r="B45" s="356" t="str">
        <f>IF('PART B Staff Costs'!B23="","",'PART B Staff Costs'!B23)</f>
        <v/>
      </c>
      <c r="C45" s="356" t="str">
        <f>IF('PART B Staff Costs'!C23="","",'PART B Staff Costs'!C23)</f>
        <v xml:space="preserve"> </v>
      </c>
      <c r="D45" s="332" t="str">
        <f>IF('PART B Staff Costs'!D23="","",'PART B Staff Costs'!D23)</f>
        <v/>
      </c>
      <c r="E45" s="332" t="str">
        <f>IF('PART B Staff Costs'!E23="","",'PART B Staff Costs'!E23)</f>
        <v/>
      </c>
      <c r="F45" s="332" t="str">
        <f>IF('PART B Staff Costs'!F23="","",'PART B Staff Costs'!F23)</f>
        <v/>
      </c>
      <c r="G45" s="332" t="str">
        <f>IF('PART B Staff Costs'!G23="","",'PART B Staff Costs'!G23)</f>
        <v/>
      </c>
      <c r="H45" s="332" t="str">
        <f t="shared" ref="H45" si="147">CONCATENATE(IF(D45=0,"",D45)," ",IF(E45=0,"",E45)," ",IF(F45=0,"",F45),,IF(OR(G45=0,G45=""),"",CONCATENATE(" (",G45,")")))</f>
        <v xml:space="preserve">  </v>
      </c>
      <c r="I45" s="332" t="s">
        <v>313</v>
      </c>
      <c r="J45" s="333">
        <f>_xlfn.IFNA('PART B Staff Costs'!H23*'PART B Staff Costs'!J$10,0)*new_xrate</f>
        <v>0</v>
      </c>
      <c r="K45" s="441"/>
      <c r="L45" s="334">
        <f>_xlfn.IFNA(IF(pStartYear+1&gt;pEndYear,0,VLOOKUP(CONCATENATE(
IF(OR($D45="Continuing",$D45="Fixed-Term"),"Fortnight",IF($D45="Casual","Casual",)),
$E45,
IF(OR($D45="Continuing",$D45="Fixed-Term"),
IF(LEFT($F45,6)="UOM 10","UOM 10",(LEFT($F45,LEN($F45)-1)&amp;MIN(RIGHT($F45,1)+COUNTIFS($J46:K46,"&gt;0")/2,VLOOKUP(LEFT($F45,LEN($F45)-2),tSalaryMax,2,FALSE)))),
IF($D45="Casual",
$F45,))
),tSalaryRate,5,FALSE)*VLOOKUP($G45,tSalaryRateMultiplier,2,FALSE)*'PART B Staff Costs'!L$10),0)*new_xrate</f>
        <v>0</v>
      </c>
      <c r="M45" s="449"/>
      <c r="N45" s="333">
        <f>_xlfn.IFNA(IF(pStartYear+2&gt;pEndYear,0,VLOOKUP(CONCATENATE(
IF(OR($D45="Continuing",$D45="Fixed-Term"),"Fortnight",IF($D45="Casual","Casual",)),
$E45,
IF(OR($D45="Continuing",$D45="Fixed-Term"),
IF(LEFT($F45,6)="UOM 10","UOM 10",(LEFT($F45,LEN($F45)-1)&amp;MIN(RIGHT($F45,1)+COUNTIFS($J46:M46,"&gt;0")/2,VLOOKUP(LEFT($F45,LEN($F45)-2),tSalaryMax,2,FALSE)))),
IF($D45="Casual",
$F45,))
),tSalaryRate,5,FALSE)*VLOOKUP($G45,tSalaryRateMultiplier,2,FALSE)*'PART B Staff Costs'!N$10),0)*new_xrate</f>
        <v>0</v>
      </c>
      <c r="O45" s="441"/>
      <c r="P45" s="334">
        <f>_xlfn.IFNA(IF(pStartYear+3&gt;pEndYear,0,VLOOKUP(CONCATENATE(
IF(OR($D45="Continuing",$D45="Fixed-Term"),"Fortnight",IF($D45="Casual","Casual",)),
$E45,
IF(OR($D45="Continuing",$D45="Fixed-Term"),
IF(LEFT($F45,6)="UOM 10","UOM 10",(LEFT($F45,LEN($F45)-1)&amp;MIN(RIGHT($F45,1)+COUNTIFS($J46:O46,"&gt;0")/2,VLOOKUP(LEFT($F45,LEN($F45)-2),tSalaryMax,2,FALSE)))),
IF($D45="Casual",
$F45,))
),tSalaryRate,5,FALSE)*VLOOKUP($G45,tSalaryRateMultiplier,2,FALSE)*'PART B Staff Costs'!P$10),0)*new_xrate</f>
        <v>0</v>
      </c>
      <c r="Q45" s="449"/>
      <c r="R45" s="333">
        <f>_xlfn.IFNA(IF(pStartYear+4&gt;pEndYear,0,VLOOKUP(CONCATENATE(
IF(OR($D45="Continuing",$D45="Fixed-Term"),"Fortnight",IF($D45="Casual","Casual",)),
$E45,
IF(OR($D45="Continuing",$D45="Fixed-Term"),
IF(LEFT($F45,6)="UOM 10","UOM 10",(LEFT($F45,LEN($F45)-1)&amp;MIN(RIGHT($F45,1)+COUNTIFS($J46:Q46,"&gt;0")/2,VLOOKUP(LEFT($F45,LEN($F45)-2),tSalaryMax,2,FALSE)))),
IF($D45="Casual",
$F45,))
),tSalaryRate,5,FALSE)*VLOOKUP($G45,tSalaryRateMultiplier,2,FALSE)*'PART B Staff Costs'!R$10),0)*new_xrate</f>
        <v>0</v>
      </c>
      <c r="S45" s="441"/>
      <c r="T45" s="334">
        <f>_xlfn.IFNA(IF(pStartYear+5&gt;pEndYear,0,VLOOKUP(CONCATENATE(
IF(OR($D45="Continuing",$D45="Fixed-Term"),"Fortnight",IF($D45="Casual","Casual",)),
$E45,
IF(OR($D45="Continuing",$D45="Fixed-Term"),
IF(LEFT($F45,6)="UOM 10","UOM 10",(LEFT($F45,LEN($F45)-1)&amp;MIN(RIGHT($F45,1)+COUNTIFS($J46:S46,"&gt;0")/2,VLOOKUP(LEFT($F45,LEN($F45)-2),tSalaryMax,2,FALSE)))),
IF($D45="Casual",
$F45,))
),tSalaryRate,5,FALSE)*VLOOKUP($G45,tSalaryRateMultiplier,2,FALSE)*'PART B Staff Costs'!T$10),0)*new_xrate</f>
        <v>0</v>
      </c>
      <c r="U45" s="449"/>
      <c r="V45" s="333">
        <f>_xlfn.IFNA(IF(pStartYear+6&gt;pEndYear,0,VLOOKUP(CONCATENATE(
IF(OR($D45="Continuing",$D45="Fixed-Term"),"Fortnight",IF($D45="Casual","Casual",)),
$E45,
IF(OR($D45="Continuing",$D45="Fixed-Term"),
IF(LEFT($F45,6)="UOM 10","UOM 10",(LEFT($F45,LEN($F45)-1)&amp;MIN(RIGHT($F45,1)+COUNTIFS($J46:U46,"&gt;0")/2,VLOOKUP(LEFT($F45,LEN($F45)-2),tSalaryMax,2,FALSE)))),
IF($D45="Casual",
$F45,))
),tSalaryRate,5,FALSE)*VLOOKUP($G45,tSalaryRateMultiplier,2,FALSE)*'PART B Staff Costs'!V$10),0)*new_xrate</f>
        <v>0</v>
      </c>
      <c r="W45" s="441"/>
      <c r="X45" s="334">
        <f>_xlfn.IFNA(IF(pStartYear+7&gt;pEndYear,0,VLOOKUP(CONCATENATE(
IF(OR($D45="Continuing",$D45="Fixed-Term"),"Fortnight",IF($D45="Casual","Casual",)),
$E45,
IF(OR($D45="Continuing",$D45="Fixed-Term"),
IF(LEFT($F45,6)="UOM 10","UOM 10",(LEFT($F45,LEN($F45)-1)&amp;MIN(RIGHT($F45,1)+COUNTIFS($J46:W46,"&gt;0")/2,VLOOKUP(LEFT($F45,LEN($F45)-2),tSalaryMax,2,FALSE)))),
IF($D45="Casual",
$F45,))
),tSalaryRate,5,FALSE)*VLOOKUP($G45,tSalaryRateMultiplier,2,FALSE)*'PART B Staff Costs'!X$10),0)*new_xrate</f>
        <v>0</v>
      </c>
      <c r="Y45" s="449"/>
      <c r="Z45" s="333">
        <f>_xlfn.IFNA(IF(pStartYear+8&gt;pEndYear,0,VLOOKUP(CONCATENATE(
IF(OR($D45="Continuing",$D45="Fixed-Term"),"Fortnight",IF($D45="Casual","Casual",)),
$E45,
IF(OR($D45="Continuing",$D45="Fixed-Term"),
IF(LEFT($F45,6)="UOM 10","UOM 10",(LEFT($F45,LEN($F45)-1)&amp;MIN(RIGHT($F45,1)+COUNTIFS($J46:Y46,"&gt;0")/2,VLOOKUP(LEFT($F45,LEN($F45)-2),tSalaryMax,2,FALSE)))),
IF($D45="Casual",
$F45,))
),tSalaryRate,5,FALSE)*VLOOKUP($G45,tSalaryRateMultiplier,2,FALSE)*'PART B Staff Costs'!Z$10),0)*new_xrate</f>
        <v>0</v>
      </c>
      <c r="AA45" s="441"/>
      <c r="AB45" s="334">
        <f>_xlfn.IFNA(IF(pStartYear+9&gt;pEndYear,0,VLOOKUP(CONCATENATE(
IF(OR($D45="Continuing",$D45="Fixed-Term"),"Fortnight",IF($D45="Casual","Casual",)),
$E45,
IF(OR($D45="Continuing",$D45="Fixed-Term"),
IF(LEFT($F45,6)="UOM 10","UOM 10",(LEFT($F45,LEN($F45)-1)&amp;MIN(RIGHT($F45,1)+COUNTIFS($J46:AA46,"&gt;0")/2,VLOOKUP(LEFT($F45,LEN($F45)-2),tSalaryMax,2,FALSE)))),
IF($D45="Casual",
$F45,))
),tSalaryRate,5,FALSE)*VLOOKUP($G45,tSalaryRateMultiplier,2,FALSE)*'PART B Staff Costs'!AB$10),0)*new_xrate</f>
        <v>0</v>
      </c>
      <c r="AC45" s="449"/>
      <c r="AD45" s="335"/>
      <c r="AE45" s="1152"/>
      <c r="AF45" s="1152"/>
      <c r="AG45" s="1152"/>
      <c r="AH45" s="1152"/>
      <c r="AI45" s="1152"/>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row>
    <row r="46" spans="1:56" x14ac:dyDescent="0.3">
      <c r="A46" s="1182"/>
      <c r="B46" s="1377"/>
      <c r="C46" s="1377"/>
      <c r="D46" s="1377"/>
      <c r="E46" s="1377"/>
      <c r="F46" s="1377"/>
      <c r="G46" s="1377"/>
      <c r="H46" s="1378"/>
      <c r="I46" s="336" t="str">
        <f>IF('PART B Staff Costs'!G41&lt;&gt;"",CONCATENATE("Time/Requested salary"," (",'PART B Staff Costs'!G41,")"),"Time/Requested salary")</f>
        <v>Time/Requested salary</v>
      </c>
      <c r="J46" s="337">
        <f>_xlfn.IFNA('PART B Staff Costs'!I23,0)</f>
        <v>0</v>
      </c>
      <c r="K46" s="442">
        <f>IF('PART B Staff Costs'!$G$23="FTE",J46*J45*(First_year_fraction/12),J46*J45)</f>
        <v>0</v>
      </c>
      <c r="L46" s="338">
        <f>_xlfn.IFNA('PART B Staff Costs'!K23,0)</f>
        <v>0</v>
      </c>
      <c r="M46" s="450">
        <f>IF(pStartYear+1=pEndYear,IF('PART B Staff Costs'!$G$23="FTE",(L46*L45)*Last_Year_Fraction/12,L46*L45),L46*L45)</f>
        <v>0</v>
      </c>
      <c r="N46" s="337">
        <f>_xlfn.IFNA('PART B Staff Costs'!M23,0)</f>
        <v>0</v>
      </c>
      <c r="O46" s="442">
        <f>IF(pStartYear+2=pEndYear,IF('PART B Staff Costs'!$G$23="FTE",(N46*N45)*Last_Year_Fraction/12,N46*N45),N46*N45)</f>
        <v>0</v>
      </c>
      <c r="P46" s="338">
        <f>_xlfn.IFNA('PART B Staff Costs'!O23,0)</f>
        <v>0</v>
      </c>
      <c r="Q46" s="450">
        <f>IF(pStartYear+3=pEndYear,IF('PART B Staff Costs'!$G$23="FTE",(P46*P45)*Last_Year_Fraction/12,P46*P45),P46*P45)</f>
        <v>0</v>
      </c>
      <c r="R46" s="337">
        <f>_xlfn.IFNA('PART B Staff Costs'!Q23,0)</f>
        <v>0</v>
      </c>
      <c r="S46" s="442">
        <f>IF(pStartYear+4=pEndYear,IF('PART B Staff Costs'!$G$23="FTE",(R46*R45)*Last_Year_Fraction/12,R46*R45),R46*R45)</f>
        <v>0</v>
      </c>
      <c r="T46" s="338">
        <f>_xlfn.IFNA('PART B Staff Costs'!S23,0)</f>
        <v>0</v>
      </c>
      <c r="U46" s="450">
        <f>IF(pStartYear+5=pEndYear,IF('PART B Staff Costs'!$G$23="FTE",(T46*T45)*Last_Year_Fraction/12,T46*T45),T46*T45)</f>
        <v>0</v>
      </c>
      <c r="V46" s="337">
        <f>_xlfn.IFNA('PART B Staff Costs'!U23,0)</f>
        <v>0</v>
      </c>
      <c r="W46" s="442">
        <f>IF(pStartYear+6=pEndYear,IF('PART B Staff Costs'!$G$23="FTE",(V46*V45)*Last_Year_Fraction/12,V46*V45),V46*V45)</f>
        <v>0</v>
      </c>
      <c r="X46" s="338">
        <f>_xlfn.IFNA('PART B Staff Costs'!W23,0)</f>
        <v>0</v>
      </c>
      <c r="Y46" s="450">
        <f>IF(pStartYear+7=pEndYear,IF('PART B Staff Costs'!$G$23="FTE",(X46*X45)*Last_Year_Fraction/12,X46*X45),X46*X45)</f>
        <v>0</v>
      </c>
      <c r="Z46" s="337">
        <f>_xlfn.IFNA('PART B Staff Costs'!Y23,0)</f>
        <v>0</v>
      </c>
      <c r="AA46" s="442">
        <f>IF(pStartYear+8=pEndYear,IF('PART B Staff Costs'!$G$23="FTE",(Z46*Z45)*Last_Year_Fraction/12,Z46*Z45),Z46*Z45)</f>
        <v>0</v>
      </c>
      <c r="AB46" s="338">
        <f>_xlfn.IFNA('PART B Staff Costs'!AA23,0)</f>
        <v>0</v>
      </c>
      <c r="AC46" s="450">
        <f>IF(pStartYear+9=pEndYear,IF('PART B Staff Costs'!$G$23="FTE",(AB46*AB45)*Last_Year_Fraction/12,AB46*AB45),AB46*AB45)</f>
        <v>0</v>
      </c>
      <c r="AD46" s="335"/>
      <c r="AE46" s="1152"/>
      <c r="AF46" s="1152"/>
      <c r="AG46" s="1152"/>
      <c r="AH46" s="1152"/>
      <c r="AI46" s="1152"/>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row>
    <row r="47" spans="1:56" x14ac:dyDescent="0.3">
      <c r="A47" s="1182"/>
      <c r="B47" s="1379"/>
      <c r="C47" s="1379"/>
      <c r="D47" s="1379"/>
      <c r="E47" s="1379"/>
      <c r="F47" s="1379"/>
      <c r="G47" s="1379"/>
      <c r="H47" s="1380"/>
      <c r="I47" s="336" t="str">
        <f>IF(tbBudgetCurrency="AUD - Australian Dollar",CONCATENATE("Leave Loading (max of AU$",vl_Max_Leave_Loading,")"),CONCATENATE("Leave Loading (max of ",ROUND(vl_Max_Leave_Loading*new_xrate,2)," ",LEFT(tbBudgetCurrency,3),")"))</f>
        <v>Leave Loading (max of AU$1611.3)</v>
      </c>
      <c r="J47" s="339">
        <f>_xlfn.IFNA(VLOOKUP($D45,tbLeaveLoading,2,FALSE),0)</f>
        <v>0</v>
      </c>
      <c r="K47" s="443">
        <f>IF(K46*J47&gt;vl_Max_Leave_Loading*new_xrate,vl_Max_Leave_Loading*new_xrate,K46*J47)</f>
        <v>0</v>
      </c>
      <c r="L47" s="340">
        <f>_xlfn.IFNA(VLOOKUP($D45,tbLeaveLoading,2,FALSE),0)</f>
        <v>0</v>
      </c>
      <c r="M47" s="451">
        <f>IF(M46*L47&gt;vl_Max_Leave_Loading*new_xrate,vl_Max_Leave_Loading*new_xrate,M46*L47)</f>
        <v>0</v>
      </c>
      <c r="N47" s="339">
        <f>_xlfn.IFNA(VLOOKUP($D45,tbLeaveLoading,2,FALSE),0)</f>
        <v>0</v>
      </c>
      <c r="O47" s="443">
        <f>IF(O46*N47&gt;vl_Max_Leave_Loading*new_xrate,vl_Max_Leave_Loading*new_xrate,O46*N47)</f>
        <v>0</v>
      </c>
      <c r="P47" s="340">
        <f>_xlfn.IFNA(VLOOKUP($D45,tbLeaveLoading,2,FALSE),0)</f>
        <v>0</v>
      </c>
      <c r="Q47" s="451">
        <f>IF(Q46*P47&gt;vl_Max_Leave_Loading*new_xrate,vl_Max_Leave_Loading*new_xrate,Q46*P47)</f>
        <v>0</v>
      </c>
      <c r="R47" s="339">
        <f>_xlfn.IFNA(VLOOKUP($D45,tbLeaveLoading,2,FALSE),0)</f>
        <v>0</v>
      </c>
      <c r="S47" s="443">
        <f>IF(S46*R47&gt;vl_Max_Leave_Loading*new_xrate,vl_Max_Leave_Loading*new_xrate,S46*R47)</f>
        <v>0</v>
      </c>
      <c r="T47" s="340">
        <f>_xlfn.IFNA(VLOOKUP($D45,tbLeaveLoading,2,FALSE),0)</f>
        <v>0</v>
      </c>
      <c r="U47" s="451">
        <f>IF(U46*T47&gt;vl_Max_Leave_Loading*new_xrate,vl_Max_Leave_Loading*new_xrate,U46*T47)</f>
        <v>0</v>
      </c>
      <c r="V47" s="339">
        <f>_xlfn.IFNA(VLOOKUP($D45,tbLeaveLoading,2,FALSE),0)</f>
        <v>0</v>
      </c>
      <c r="W47" s="443">
        <f>IF(W46*V47&gt;vl_Max_Leave_Loading*new_xrate,vl_Max_Leave_Loading*new_xrate,W46*V47)</f>
        <v>0</v>
      </c>
      <c r="X47" s="340">
        <f>_xlfn.IFNA(VLOOKUP($D45,tbLeaveLoading,2,FALSE),0)</f>
        <v>0</v>
      </c>
      <c r="Y47" s="451">
        <f>IF(Y46*X47&gt;vl_Max_Leave_Loading*new_xrate,vl_Max_Leave_Loading*new_xrate,Y46*X47)</f>
        <v>0</v>
      </c>
      <c r="Z47" s="339">
        <f>_xlfn.IFNA(VLOOKUP($D45,tbLeaveLoading,2,FALSE),0)</f>
        <v>0</v>
      </c>
      <c r="AA47" s="443">
        <f>IF(AA46*Z47&gt;vl_Max_Leave_Loading*new_xrate,vl_Max_Leave_Loading*new_xrate,AA46*Z47)</f>
        <v>0</v>
      </c>
      <c r="AB47" s="340">
        <f>_xlfn.IFNA(VLOOKUP($D45,tbLeaveLoading,2,FALSE),0)</f>
        <v>0</v>
      </c>
      <c r="AC47" s="451">
        <f>IF(AC46*AB47&gt;vl_Max_Leave_Loading*new_xrate,vl_Max_Leave_Loading*new_xrate,AC46*AB47)</f>
        <v>0</v>
      </c>
      <c r="AD47" s="335"/>
      <c r="AE47" s="1152"/>
      <c r="AF47" s="1152"/>
      <c r="AG47" s="1152"/>
      <c r="AH47" s="1152"/>
      <c r="AI47" s="1152"/>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row>
    <row r="48" spans="1:56" x14ac:dyDescent="0.3">
      <c r="A48" s="1182"/>
      <c r="B48" s="1379"/>
      <c r="C48" s="1379"/>
      <c r="D48" s="1379"/>
      <c r="E48" s="1379"/>
      <c r="F48" s="1379"/>
      <c r="G48" s="1379"/>
      <c r="H48" s="1380"/>
      <c r="I48" s="336" t="s">
        <v>314</v>
      </c>
      <c r="J48" s="339">
        <f>_xlfn.IFNA(_xlfn.IFNA(VLOOKUP(CONCATENATE(pStartYear,$D45),tbSuperannuation,4,FALSE),VLOOKUP($D45,tbSuperannuation2026onwards,2,FALSE)),0)</f>
        <v>0</v>
      </c>
      <c r="K48" s="443">
        <f>K46*J48</f>
        <v>0</v>
      </c>
      <c r="L48" s="340">
        <f>_xlfn.IFNA(_xlfn.IFNA(VLOOKUP(CONCATENATE(pStartYear+1,$D45),tbSuperannuation,4,FALSE),VLOOKUP($D45,tbSuperannuation2026onwards,2,FALSE)),0)</f>
        <v>0</v>
      </c>
      <c r="M48" s="451">
        <f t="shared" ref="M48" si="148">M46*L48</f>
        <v>0</v>
      </c>
      <c r="N48" s="339">
        <f>_xlfn.IFNA(_xlfn.IFNA(VLOOKUP(CONCATENATE(pStartYear+2,$D45),tbSuperannuation,4,FALSE),VLOOKUP($D45,tbSuperannuation2026onwards,2,FALSE)),0)</f>
        <v>0</v>
      </c>
      <c r="O48" s="443">
        <f>O46*N48</f>
        <v>0</v>
      </c>
      <c r="P48" s="340">
        <f>_xlfn.IFNA(_xlfn.IFNA(VLOOKUP(CONCATENATE(pStartYear+3,$D45),tbSuperannuation,4,FALSE),VLOOKUP($D45,tbSuperannuation2026onwards,2,FALSE)),0)</f>
        <v>0</v>
      </c>
      <c r="Q48" s="451">
        <f t="shared" ref="Q48" si="149">Q46*P48</f>
        <v>0</v>
      </c>
      <c r="R48" s="339">
        <f>_xlfn.IFNA(_xlfn.IFNA(VLOOKUP(CONCATENATE(pStartYear+4,$D45),tbSuperannuation,4,FALSE),VLOOKUP($D45,tbSuperannuation2026onwards,2,FALSE)),0)</f>
        <v>0</v>
      </c>
      <c r="S48" s="443">
        <f>S46*R48</f>
        <v>0</v>
      </c>
      <c r="T48" s="340">
        <f>_xlfn.IFNA(_xlfn.IFNA(VLOOKUP(CONCATENATE(pStartYear+5,$D45),tbSuperannuation,4,FALSE),VLOOKUP($D45,tbSuperannuation2026onwards,2,FALSE)),0)</f>
        <v>0</v>
      </c>
      <c r="U48" s="451">
        <f t="shared" ref="U48" si="150">U46*T48</f>
        <v>0</v>
      </c>
      <c r="V48" s="339">
        <f>_xlfn.IFNA(_xlfn.IFNA(VLOOKUP(CONCATENATE(pStartYear+6,$D45),tbSuperannuation,4,FALSE),VLOOKUP($D45,tbSuperannuation2026onwards,2,FALSE)),0)</f>
        <v>0</v>
      </c>
      <c r="W48" s="443">
        <f>W46*V48</f>
        <v>0</v>
      </c>
      <c r="X48" s="340">
        <f>_xlfn.IFNA(_xlfn.IFNA(VLOOKUP(CONCATENATE(pStartYear+7,$D45),tbSuperannuation,4,FALSE),VLOOKUP($D45,tbSuperannuation2026onwards,2,FALSE)),0)</f>
        <v>0</v>
      </c>
      <c r="Y48" s="451">
        <f t="shared" ref="Y48" si="151">Y46*X48</f>
        <v>0</v>
      </c>
      <c r="Z48" s="339">
        <f>_xlfn.IFNA(_xlfn.IFNA(VLOOKUP(CONCATENATE(pStartYear+8,$D45),tbSuperannuation,4,FALSE),VLOOKUP($D45,tbSuperannuation2026onwards,2,FALSE)),0)</f>
        <v>0</v>
      </c>
      <c r="AA48" s="443">
        <f>AA46*Z48</f>
        <v>0</v>
      </c>
      <c r="AB48" s="340">
        <f>_xlfn.IFNA(_xlfn.IFNA(VLOOKUP(CONCATENATE(pStartYear+9,$D45),tbSuperannuation,4,FALSE),VLOOKUP($D45,tbSuperannuation2026onwards,2,FALSE)),0)</f>
        <v>0</v>
      </c>
      <c r="AC48" s="451">
        <f t="shared" ref="AC48" si="152">AC46*AB48</f>
        <v>0</v>
      </c>
      <c r="AD48" s="335"/>
      <c r="AE48" s="1152"/>
      <c r="AF48" s="1152"/>
      <c r="AG48" s="1152"/>
      <c r="AH48" s="1152"/>
      <c r="AI48" s="1152"/>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row>
    <row r="49" spans="1:56" x14ac:dyDescent="0.3">
      <c r="A49" s="1182"/>
      <c r="B49" s="1379"/>
      <c r="C49" s="1379"/>
      <c r="D49" s="1379"/>
      <c r="E49" s="1379"/>
      <c r="F49" s="1379"/>
      <c r="G49" s="1379"/>
      <c r="H49" s="1380"/>
      <c r="I49" s="341" t="s">
        <v>315</v>
      </c>
      <c r="J49" s="342"/>
      <c r="K49" s="444">
        <f>K47+K48+K46</f>
        <v>0</v>
      </c>
      <c r="L49" s="342"/>
      <c r="M49" s="444">
        <f t="shared" ref="M49" si="153">M47+M48+M46</f>
        <v>0</v>
      </c>
      <c r="N49" s="342"/>
      <c r="O49" s="444">
        <f>O47+O48+O46</f>
        <v>0</v>
      </c>
      <c r="P49" s="342"/>
      <c r="Q49" s="444">
        <f t="shared" ref="Q49" si="154">Q47+Q48+Q46</f>
        <v>0</v>
      </c>
      <c r="R49" s="342"/>
      <c r="S49" s="444">
        <f>S47+S48+S46</f>
        <v>0</v>
      </c>
      <c r="T49" s="342"/>
      <c r="U49" s="444">
        <f t="shared" ref="U49" si="155">U47+U48+U46</f>
        <v>0</v>
      </c>
      <c r="V49" s="342"/>
      <c r="W49" s="444">
        <f>W47+W48+W46</f>
        <v>0</v>
      </c>
      <c r="X49" s="342"/>
      <c r="Y49" s="444">
        <f t="shared" ref="Y49" si="156">Y47+Y48+Y46</f>
        <v>0</v>
      </c>
      <c r="Z49" s="342"/>
      <c r="AA49" s="444">
        <f>AA47+AA48+AA46</f>
        <v>0</v>
      </c>
      <c r="AB49" s="342"/>
      <c r="AC49" s="444">
        <f t="shared" ref="AC49" si="157">AC47+AC48+AC46</f>
        <v>0</v>
      </c>
      <c r="AD49" s="335">
        <f t="shared" si="77"/>
        <v>0</v>
      </c>
      <c r="AE49" s="1152"/>
      <c r="AF49" s="1152"/>
      <c r="AG49" s="1152"/>
      <c r="AH49" s="1152"/>
      <c r="AI49" s="1152"/>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row>
    <row r="50" spans="1:56" x14ac:dyDescent="0.3">
      <c r="A50" s="1182"/>
      <c r="B50" s="1379"/>
      <c r="C50" s="1379"/>
      <c r="D50" s="1379"/>
      <c r="E50" s="1379"/>
      <c r="F50" s="1379"/>
      <c r="G50" s="1379"/>
      <c r="H50" s="1380"/>
      <c r="I50" s="336" t="s">
        <v>316</v>
      </c>
      <c r="J50" s="339">
        <f>_xlfn.IFNA(_xlfn.IFNA(VLOOKUP(pStartYear,tbPayrollTax,2,FALSE),vl_MaxPayrollTax),0)</f>
        <v>5.8500000000000003E-2</v>
      </c>
      <c r="K50" s="443">
        <f>J50*K49</f>
        <v>0</v>
      </c>
      <c r="L50" s="340">
        <f>_xlfn.IFNA(_xlfn.IFNA(VLOOKUP(pStartYear+1,tbPayrollTax,2,FALSE),vl_MaxPayrollTax),0)</f>
        <v>5.8500000000000003E-2</v>
      </c>
      <c r="M50" s="451">
        <f t="shared" ref="M50" si="158">L50*M49</f>
        <v>0</v>
      </c>
      <c r="N50" s="339">
        <f>_xlfn.IFNA(_xlfn.IFNA(VLOOKUP(pStartYear+2,tbPayrollTax,2,FALSE),vl_MaxPayrollTax),0)</f>
        <v>5.8500000000000003E-2</v>
      </c>
      <c r="O50" s="443">
        <f>N50*O49</f>
        <v>0</v>
      </c>
      <c r="P50" s="340">
        <f>_xlfn.IFNA(_xlfn.IFNA(VLOOKUP(pStartYear+3,tbPayrollTax,2,FALSE),vl_MaxPayrollTax),0)</f>
        <v>5.8500000000000003E-2</v>
      </c>
      <c r="Q50" s="451">
        <f t="shared" ref="Q50" si="159">P50*Q49</f>
        <v>0</v>
      </c>
      <c r="R50" s="339">
        <f>_xlfn.IFNA(_xlfn.IFNA(VLOOKUP(pStartYear+4,tbPayrollTax,2,FALSE),vl_MaxPayrollTax),0)</f>
        <v>5.8500000000000003E-2</v>
      </c>
      <c r="S50" s="443">
        <f>R50*S49</f>
        <v>0</v>
      </c>
      <c r="T50" s="340">
        <f>_xlfn.IFNA(_xlfn.IFNA(VLOOKUP(pStartYear+5,tbPayrollTax,2,FALSE),vl_MaxPayrollTax),0)</f>
        <v>5.8500000000000003E-2</v>
      </c>
      <c r="U50" s="451">
        <f t="shared" ref="U50" si="160">T50*U49</f>
        <v>0</v>
      </c>
      <c r="V50" s="339">
        <f>_xlfn.IFNA(_xlfn.IFNA(VLOOKUP(pStartYear+6,tbPayrollTax,2,FALSE),vl_MaxPayrollTax),0)</f>
        <v>5.8500000000000003E-2</v>
      </c>
      <c r="W50" s="443">
        <f>V50*W49</f>
        <v>0</v>
      </c>
      <c r="X50" s="340">
        <f>_xlfn.IFNA(_xlfn.IFNA(VLOOKUP(pStartYear+7,tbPayrollTax,2,FALSE),vl_MaxPayrollTax),0)</f>
        <v>5.8500000000000003E-2</v>
      </c>
      <c r="Y50" s="451">
        <f t="shared" ref="Y50" si="161">X50*Y49</f>
        <v>0</v>
      </c>
      <c r="Z50" s="339">
        <f>_xlfn.IFNA(_xlfn.IFNA(VLOOKUP(pStartYear+8,tbPayrollTax,2,FALSE),vl_MaxPayrollTax),0)</f>
        <v>5.8500000000000003E-2</v>
      </c>
      <c r="AA50" s="443">
        <f>Z50*AA49</f>
        <v>0</v>
      </c>
      <c r="AB50" s="340">
        <f>_xlfn.IFNA(_xlfn.IFNA(VLOOKUP(pStartYear+9,tbPayrollTax,2,FALSE),vl_MaxPayrollTax),0)</f>
        <v>5.8500000000000003E-2</v>
      </c>
      <c r="AC50" s="451">
        <f t="shared" ref="AC50" si="162">AB50*AC49</f>
        <v>0</v>
      </c>
      <c r="AD50" s="335"/>
      <c r="AE50" s="1152"/>
      <c r="AF50" s="1152"/>
      <c r="AG50" s="1152"/>
      <c r="AH50" s="1152"/>
      <c r="AI50" s="1152"/>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row>
    <row r="51" spans="1:56" x14ac:dyDescent="0.3">
      <c r="A51" s="1182"/>
      <c r="B51" s="1379"/>
      <c r="C51" s="1379"/>
      <c r="D51" s="1379"/>
      <c r="E51" s="1379"/>
      <c r="F51" s="1379"/>
      <c r="G51" s="1379"/>
      <c r="H51" s="1380"/>
      <c r="I51" s="336" t="s">
        <v>317</v>
      </c>
      <c r="J51" s="339">
        <f>_xlfn.IFNA(VLOOKUP($D45,tbWorkCover,2,FALSE),0)</f>
        <v>0</v>
      </c>
      <c r="K51" s="443">
        <f>J51*K49</f>
        <v>0</v>
      </c>
      <c r="L51" s="340">
        <f>_xlfn.IFNA(VLOOKUP($D45,tbWorkCover,2,FALSE),0)</f>
        <v>0</v>
      </c>
      <c r="M51" s="451">
        <f t="shared" ref="M51" si="163">L51*M49</f>
        <v>0</v>
      </c>
      <c r="N51" s="339">
        <f>_xlfn.IFNA(VLOOKUP($D45,tbWorkCover,2,FALSE),0)</f>
        <v>0</v>
      </c>
      <c r="O51" s="443">
        <f>N51*O49</f>
        <v>0</v>
      </c>
      <c r="P51" s="340">
        <f>_xlfn.IFNA(VLOOKUP($D45,tbWorkCover,2,FALSE),0)</f>
        <v>0</v>
      </c>
      <c r="Q51" s="451">
        <f t="shared" ref="Q51" si="164">P51*Q49</f>
        <v>0</v>
      </c>
      <c r="R51" s="339">
        <f>_xlfn.IFNA(VLOOKUP($D45,tbWorkCover,2,FALSE),0)</f>
        <v>0</v>
      </c>
      <c r="S51" s="443">
        <f>R51*S49</f>
        <v>0</v>
      </c>
      <c r="T51" s="340">
        <f>_xlfn.IFNA(VLOOKUP($D45,tbWorkCover,2,FALSE),0)</f>
        <v>0</v>
      </c>
      <c r="U51" s="451">
        <f t="shared" ref="U51" si="165">T51*U49</f>
        <v>0</v>
      </c>
      <c r="V51" s="339">
        <f>_xlfn.IFNA(VLOOKUP($D45,tbWorkCover,2,FALSE),0)</f>
        <v>0</v>
      </c>
      <c r="W51" s="443">
        <f>V51*W49</f>
        <v>0</v>
      </c>
      <c r="X51" s="340">
        <f>_xlfn.IFNA(VLOOKUP($D45,tbWorkCover,2,FALSE),0)</f>
        <v>0</v>
      </c>
      <c r="Y51" s="451">
        <f t="shared" ref="Y51" si="166">X51*Y49</f>
        <v>0</v>
      </c>
      <c r="Z51" s="339">
        <f>_xlfn.IFNA(VLOOKUP($D45,tbWorkCover,2,FALSE),0)</f>
        <v>0</v>
      </c>
      <c r="AA51" s="443">
        <f>Z51*AA49</f>
        <v>0</v>
      </c>
      <c r="AB51" s="340">
        <f>_xlfn.IFNA(VLOOKUP($D45,tbWorkCover,2,FALSE),0)</f>
        <v>0</v>
      </c>
      <c r="AC51" s="451">
        <f t="shared" ref="AC51" si="167">AB51*AC49</f>
        <v>0</v>
      </c>
      <c r="AD51" s="335"/>
      <c r="AE51" s="1152"/>
      <c r="AF51" s="1152"/>
      <c r="AG51" s="1152"/>
      <c r="AH51" s="1152"/>
      <c r="AI51" s="1152"/>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row>
    <row r="52" spans="1:56" x14ac:dyDescent="0.3">
      <c r="A52" s="1182"/>
      <c r="B52" s="1379"/>
      <c r="C52" s="1379"/>
      <c r="D52" s="1379"/>
      <c r="E52" s="1379"/>
      <c r="F52" s="1379"/>
      <c r="G52" s="1379"/>
      <c r="H52" s="1380"/>
      <c r="I52" s="336" t="s">
        <v>318</v>
      </c>
      <c r="J52" s="339">
        <f>_xlfn.IFNA(VLOOKUP($D45,tbLongServiceLeave,2,FALSE),0)</f>
        <v>0</v>
      </c>
      <c r="K52" s="443">
        <f>J52*K46</f>
        <v>0</v>
      </c>
      <c r="L52" s="340">
        <f>_xlfn.IFNA(VLOOKUP($D45,tbLongServiceLeave,2,FALSE),0)</f>
        <v>0</v>
      </c>
      <c r="M52" s="451">
        <f t="shared" ref="M52" si="168">L52*M46</f>
        <v>0</v>
      </c>
      <c r="N52" s="339">
        <f>_xlfn.IFNA(VLOOKUP($D45,tbLongServiceLeave,2,FALSE),0)</f>
        <v>0</v>
      </c>
      <c r="O52" s="443">
        <f>N52*O46</f>
        <v>0</v>
      </c>
      <c r="P52" s="340">
        <f>_xlfn.IFNA(VLOOKUP($D45,tbLongServiceLeave,2,FALSE),0)</f>
        <v>0</v>
      </c>
      <c r="Q52" s="451">
        <f t="shared" ref="Q52" si="169">P52*Q46</f>
        <v>0</v>
      </c>
      <c r="R52" s="339">
        <f>_xlfn.IFNA(VLOOKUP($D45,tbLongServiceLeave,2,FALSE),0)</f>
        <v>0</v>
      </c>
      <c r="S52" s="443">
        <f>R52*S46</f>
        <v>0</v>
      </c>
      <c r="T52" s="340">
        <f>_xlfn.IFNA(VLOOKUP($D45,tbLongServiceLeave,2,FALSE),0)</f>
        <v>0</v>
      </c>
      <c r="U52" s="451">
        <f t="shared" ref="U52" si="170">T52*U46</f>
        <v>0</v>
      </c>
      <c r="V52" s="339">
        <f>_xlfn.IFNA(VLOOKUP($D45,tbLongServiceLeave,2,FALSE),0)</f>
        <v>0</v>
      </c>
      <c r="W52" s="443">
        <f>V52*W46</f>
        <v>0</v>
      </c>
      <c r="X52" s="340">
        <f>_xlfn.IFNA(VLOOKUP($D45,tbLongServiceLeave,2,FALSE),0)</f>
        <v>0</v>
      </c>
      <c r="Y52" s="451">
        <f t="shared" ref="Y52" si="171">X52*Y46</f>
        <v>0</v>
      </c>
      <c r="Z52" s="339">
        <f>_xlfn.IFNA(VLOOKUP($D45,tbLongServiceLeave,2,FALSE),0)</f>
        <v>0</v>
      </c>
      <c r="AA52" s="443">
        <f>Z52*AA46</f>
        <v>0</v>
      </c>
      <c r="AB52" s="340">
        <f>_xlfn.IFNA(VLOOKUP($D45,tbLongServiceLeave,2,FALSE),0)</f>
        <v>0</v>
      </c>
      <c r="AC52" s="451">
        <f t="shared" ref="AC52" si="172">AB52*AC46</f>
        <v>0</v>
      </c>
      <c r="AD52" s="335"/>
      <c r="AE52" s="1152"/>
      <c r="AF52" s="1152"/>
      <c r="AG52" s="1152"/>
      <c r="AH52" s="1152"/>
      <c r="AI52" s="1152"/>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row>
    <row r="53" spans="1:56" x14ac:dyDescent="0.3">
      <c r="A53" s="1182"/>
      <c r="B53" s="1379"/>
      <c r="C53" s="1379"/>
      <c r="D53" s="1379"/>
      <c r="E53" s="1379"/>
      <c r="F53" s="1379"/>
      <c r="G53" s="1379"/>
      <c r="H53" s="1380"/>
      <c r="I53" s="336" t="s">
        <v>319</v>
      </c>
      <c r="J53" s="339">
        <f>_xlfn.IFNA(VLOOKUP($D45,tbParentalLeave,2,FALSE),0)</f>
        <v>0</v>
      </c>
      <c r="K53" s="443">
        <f>J53*K46</f>
        <v>0</v>
      </c>
      <c r="L53" s="340">
        <f>_xlfn.IFNA(VLOOKUP($D45,tbParentalLeave,2,FALSE),0)</f>
        <v>0</v>
      </c>
      <c r="M53" s="451">
        <f t="shared" ref="M53" si="173">L53*M46</f>
        <v>0</v>
      </c>
      <c r="N53" s="339">
        <f>_xlfn.IFNA(VLOOKUP($D45,tbParentalLeave,2,FALSE),0)</f>
        <v>0</v>
      </c>
      <c r="O53" s="443">
        <f>N53*O46</f>
        <v>0</v>
      </c>
      <c r="P53" s="340">
        <f>_xlfn.IFNA(VLOOKUP($D45,tbParentalLeave,2,FALSE),0)</f>
        <v>0</v>
      </c>
      <c r="Q53" s="451">
        <f t="shared" ref="Q53" si="174">P53*Q46</f>
        <v>0</v>
      </c>
      <c r="R53" s="339">
        <f>_xlfn.IFNA(VLOOKUP($D45,tbParentalLeave,2,FALSE),0)</f>
        <v>0</v>
      </c>
      <c r="S53" s="443">
        <f>R53*S46</f>
        <v>0</v>
      </c>
      <c r="T53" s="340">
        <f>_xlfn.IFNA(VLOOKUP($D45,tbParentalLeave,2,FALSE),0)</f>
        <v>0</v>
      </c>
      <c r="U53" s="451">
        <f t="shared" ref="U53" si="175">T53*U46</f>
        <v>0</v>
      </c>
      <c r="V53" s="339">
        <f>_xlfn.IFNA(VLOOKUP($D45,tbParentalLeave,2,FALSE),0)</f>
        <v>0</v>
      </c>
      <c r="W53" s="443">
        <f>V53*W46</f>
        <v>0</v>
      </c>
      <c r="X53" s="340">
        <f>_xlfn.IFNA(VLOOKUP($D45,tbParentalLeave,2,FALSE),0)</f>
        <v>0</v>
      </c>
      <c r="Y53" s="451">
        <f t="shared" ref="Y53" si="176">X53*Y46</f>
        <v>0</v>
      </c>
      <c r="Z53" s="339">
        <f>_xlfn.IFNA(VLOOKUP($D45,tbParentalLeave,2,FALSE),0)</f>
        <v>0</v>
      </c>
      <c r="AA53" s="443">
        <f>Z53*AA46</f>
        <v>0</v>
      </c>
      <c r="AB53" s="340">
        <f>_xlfn.IFNA(VLOOKUP($D45,tbParentalLeave,2,FALSE),0)</f>
        <v>0</v>
      </c>
      <c r="AC53" s="451">
        <f t="shared" ref="AC53" si="177">AB53*AC46</f>
        <v>0</v>
      </c>
      <c r="AD53" s="335"/>
      <c r="AE53" s="1152"/>
      <c r="AF53" s="1152"/>
      <c r="AG53" s="1152"/>
      <c r="AH53" s="1152"/>
      <c r="AI53" s="1152"/>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row>
    <row r="54" spans="1:56" x14ac:dyDescent="0.3">
      <c r="A54" s="1182"/>
      <c r="B54" s="1379"/>
      <c r="C54" s="1379"/>
      <c r="D54" s="1379"/>
      <c r="E54" s="1379"/>
      <c r="F54" s="1379"/>
      <c r="G54" s="1379"/>
      <c r="H54" s="1380"/>
      <c r="I54" s="437" t="s">
        <v>320</v>
      </c>
      <c r="J54" s="438">
        <f>vl_overridden_uom_oncosts_per</f>
        <v>0</v>
      </c>
      <c r="K54" s="445">
        <f>J54*K46</f>
        <v>0</v>
      </c>
      <c r="L54" s="438">
        <f>vl_overridden_uom_oncosts_per</f>
        <v>0</v>
      </c>
      <c r="M54" s="445">
        <f>L54*M46</f>
        <v>0</v>
      </c>
      <c r="N54" s="438">
        <f>vl_overridden_uom_oncosts_per</f>
        <v>0</v>
      </c>
      <c r="O54" s="445">
        <f t="shared" ref="O54" si="178">N54*O46</f>
        <v>0</v>
      </c>
      <c r="P54" s="438">
        <f>vl_overridden_uom_oncosts_per</f>
        <v>0</v>
      </c>
      <c r="Q54" s="445">
        <f t="shared" ref="Q54" si="179">P54*Q46</f>
        <v>0</v>
      </c>
      <c r="R54" s="438">
        <f>vl_overridden_uom_oncosts_per</f>
        <v>0</v>
      </c>
      <c r="S54" s="445">
        <f t="shared" ref="S54" si="180">R54*S46</f>
        <v>0</v>
      </c>
      <c r="T54" s="438">
        <f>vl_overridden_uom_oncosts_per</f>
        <v>0</v>
      </c>
      <c r="U54" s="445">
        <f t="shared" ref="U54" si="181">T54*U46</f>
        <v>0</v>
      </c>
      <c r="V54" s="438">
        <f>vl_overridden_uom_oncosts_per</f>
        <v>0</v>
      </c>
      <c r="W54" s="445">
        <f t="shared" ref="W54" si="182">V54*W46</f>
        <v>0</v>
      </c>
      <c r="X54" s="438">
        <f>vl_overridden_uom_oncosts_per</f>
        <v>0</v>
      </c>
      <c r="Y54" s="445">
        <f t="shared" ref="Y54" si="183">X54*Y46</f>
        <v>0</v>
      </c>
      <c r="Z54" s="438">
        <f>vl_overridden_uom_oncosts_per</f>
        <v>0</v>
      </c>
      <c r="AA54" s="445">
        <f t="shared" ref="AA54" si="184">Z54*AA46</f>
        <v>0</v>
      </c>
      <c r="AB54" s="438">
        <f>vl_overridden_uom_oncosts_per</f>
        <v>0</v>
      </c>
      <c r="AC54" s="445">
        <f t="shared" ref="AC54" si="185">AB54*AC46</f>
        <v>0</v>
      </c>
      <c r="AD54" s="335"/>
      <c r="AE54" s="1152"/>
      <c r="AF54" s="1152"/>
      <c r="AG54" s="1152"/>
      <c r="AH54" s="1152"/>
      <c r="AI54" s="1152"/>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row>
    <row r="55" spans="1:56" x14ac:dyDescent="0.3">
      <c r="A55" s="1182"/>
      <c r="B55" s="1379"/>
      <c r="C55" s="1379"/>
      <c r="D55" s="1379"/>
      <c r="E55" s="1379"/>
      <c r="F55" s="1379"/>
      <c r="G55" s="1379"/>
      <c r="H55" s="1380"/>
      <c r="I55" s="341" t="s">
        <v>321</v>
      </c>
      <c r="J55" s="342"/>
      <c r="K55" s="444">
        <f>SUM(K49:K54)</f>
        <v>0</v>
      </c>
      <c r="L55" s="342"/>
      <c r="M55" s="444">
        <f t="shared" ref="M55" si="186">SUM(M49:M54)</f>
        <v>0</v>
      </c>
      <c r="N55" s="342"/>
      <c r="O55" s="444">
        <f t="shared" ref="O55" si="187">SUM(O49:O54)</f>
        <v>0</v>
      </c>
      <c r="P55" s="342"/>
      <c r="Q55" s="444">
        <f t="shared" ref="Q55" si="188">SUM(Q49:Q54)</f>
        <v>0</v>
      </c>
      <c r="R55" s="342"/>
      <c r="S55" s="444">
        <f t="shared" ref="S55" si="189">SUM(S49:S54)</f>
        <v>0</v>
      </c>
      <c r="T55" s="342"/>
      <c r="U55" s="444">
        <f t="shared" ref="U55" si="190">SUM(U49:U54)</f>
        <v>0</v>
      </c>
      <c r="V55" s="342"/>
      <c r="W55" s="444">
        <f t="shared" ref="W55" si="191">SUM(W49:W54)</f>
        <v>0</v>
      </c>
      <c r="X55" s="342"/>
      <c r="Y55" s="444">
        <f t="shared" ref="Y55" si="192">SUM(Y49:Y54)</f>
        <v>0</v>
      </c>
      <c r="Z55" s="342"/>
      <c r="AA55" s="444">
        <f t="shared" ref="AA55" si="193">SUM(AA49:AA54)</f>
        <v>0</v>
      </c>
      <c r="AB55" s="342"/>
      <c r="AC55" s="444">
        <f t="shared" ref="AC55" si="194">SUM(AC49:AC54)</f>
        <v>0</v>
      </c>
      <c r="AD55" s="335">
        <f t="shared" si="77"/>
        <v>0</v>
      </c>
      <c r="AE55" s="1152"/>
      <c r="AF55" s="1152"/>
      <c r="AG55" s="1152"/>
      <c r="AH55" s="1152"/>
      <c r="AI55" s="1152"/>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row>
    <row r="56" spans="1:56" x14ac:dyDescent="0.3">
      <c r="A56" s="1182"/>
      <c r="B56" s="1379"/>
      <c r="C56" s="1379"/>
      <c r="D56" s="1379"/>
      <c r="E56" s="1379"/>
      <c r="F56" s="1379"/>
      <c r="G56" s="1379"/>
      <c r="H56" s="1380"/>
      <c r="I56" s="336" t="s">
        <v>322</v>
      </c>
      <c r="J56" s="339">
        <f>_xlfn.IFNA(VLOOKUP($D45,tbAnnualLeaveProvision,2,FALSE),0)</f>
        <v>0</v>
      </c>
      <c r="K56" s="443">
        <f>J56*K46</f>
        <v>0</v>
      </c>
      <c r="L56" s="340">
        <f>_xlfn.IFNA(VLOOKUP($D45,tbAnnualLeaveProvision,2,FALSE),0)</f>
        <v>0</v>
      </c>
      <c r="M56" s="451">
        <f t="shared" ref="M56" si="195">L56*M46</f>
        <v>0</v>
      </c>
      <c r="N56" s="339">
        <f>_xlfn.IFNA(VLOOKUP($D45,tbAnnualLeaveProvision,2,FALSE),0)</f>
        <v>0</v>
      </c>
      <c r="O56" s="443">
        <f>N56*O46</f>
        <v>0</v>
      </c>
      <c r="P56" s="340">
        <f>_xlfn.IFNA(VLOOKUP($D45,tbAnnualLeaveProvision,2,FALSE),0)</f>
        <v>0</v>
      </c>
      <c r="Q56" s="451">
        <f t="shared" ref="Q56" si="196">P56*Q46</f>
        <v>0</v>
      </c>
      <c r="R56" s="339">
        <f>_xlfn.IFNA(VLOOKUP($D45,tbAnnualLeaveProvision,2,FALSE),0)</f>
        <v>0</v>
      </c>
      <c r="S56" s="443">
        <f>R56*S46</f>
        <v>0</v>
      </c>
      <c r="T56" s="340">
        <f>_xlfn.IFNA(VLOOKUP($D45,tbAnnualLeaveProvision,2,FALSE),0)</f>
        <v>0</v>
      </c>
      <c r="U56" s="451">
        <f t="shared" ref="U56" si="197">T56*U46</f>
        <v>0</v>
      </c>
      <c r="V56" s="339">
        <f>_xlfn.IFNA(VLOOKUP($D45,tbAnnualLeaveProvision,2,FALSE),0)</f>
        <v>0</v>
      </c>
      <c r="W56" s="443">
        <f>V56*W46</f>
        <v>0</v>
      </c>
      <c r="X56" s="340">
        <f>_xlfn.IFNA(VLOOKUP($D45,tbAnnualLeaveProvision,2,FALSE),0)</f>
        <v>0</v>
      </c>
      <c r="Y56" s="451">
        <f t="shared" ref="Y56" si="198">X56*Y46</f>
        <v>0</v>
      </c>
      <c r="Z56" s="339">
        <f>_xlfn.IFNA(VLOOKUP($D45,tbAnnualLeaveProvision,2,FALSE),0)</f>
        <v>0</v>
      </c>
      <c r="AA56" s="443">
        <f>Z56*AA46</f>
        <v>0</v>
      </c>
      <c r="AB56" s="340">
        <f>_xlfn.IFNA(VLOOKUP($D45,tbAnnualLeaveProvision,2,FALSE),0)</f>
        <v>0</v>
      </c>
      <c r="AC56" s="451">
        <f t="shared" ref="AC56" si="199">AB56*AC46</f>
        <v>0</v>
      </c>
      <c r="AD56" s="335"/>
      <c r="AE56" s="1152"/>
      <c r="AF56" s="1152"/>
      <c r="AG56" s="1152"/>
      <c r="AH56" s="1152"/>
      <c r="AI56" s="1152"/>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row>
    <row r="57" spans="1:56" x14ac:dyDescent="0.3">
      <c r="A57" s="1182"/>
      <c r="B57" s="1379"/>
      <c r="C57" s="1379"/>
      <c r="D57" s="1379"/>
      <c r="E57" s="1379"/>
      <c r="F57" s="1379"/>
      <c r="G57" s="1379"/>
      <c r="H57" s="1380"/>
      <c r="I57" s="336" t="s">
        <v>330</v>
      </c>
      <c r="J57" s="339"/>
      <c r="K57" s="446">
        <f>K55+K56</f>
        <v>0</v>
      </c>
      <c r="L57" s="340"/>
      <c r="M57" s="452">
        <f t="shared" ref="M57" si="200">M55+M56</f>
        <v>0</v>
      </c>
      <c r="N57" s="339"/>
      <c r="O57" s="446">
        <f>O55+O56</f>
        <v>0</v>
      </c>
      <c r="P57" s="340"/>
      <c r="Q57" s="452">
        <f t="shared" ref="Q57" si="201">Q55+Q56</f>
        <v>0</v>
      </c>
      <c r="R57" s="339"/>
      <c r="S57" s="446">
        <f>S55+S56</f>
        <v>0</v>
      </c>
      <c r="T57" s="340"/>
      <c r="U57" s="452">
        <f t="shared" ref="U57" si="202">U55+U56</f>
        <v>0</v>
      </c>
      <c r="V57" s="339"/>
      <c r="W57" s="446">
        <f>W55+W56</f>
        <v>0</v>
      </c>
      <c r="X57" s="340"/>
      <c r="Y57" s="452">
        <f t="shared" ref="Y57" si="203">Y55+Y56</f>
        <v>0</v>
      </c>
      <c r="Z57" s="339"/>
      <c r="AA57" s="446">
        <f>AA55+AA56</f>
        <v>0</v>
      </c>
      <c r="AB57" s="340"/>
      <c r="AC57" s="452">
        <f t="shared" ref="AC57" si="204">AC55+AC56</f>
        <v>0</v>
      </c>
      <c r="AD57" s="335"/>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row>
    <row r="58" spans="1:56" x14ac:dyDescent="0.3">
      <c r="A58" s="1182"/>
      <c r="B58" s="1379"/>
      <c r="C58" s="1379"/>
      <c r="D58" s="1379"/>
      <c r="E58" s="1379"/>
      <c r="F58" s="1379"/>
      <c r="G58" s="1379"/>
      <c r="H58" s="1380"/>
      <c r="I58" s="343" t="s">
        <v>324</v>
      </c>
      <c r="J58" s="344"/>
      <c r="K58" s="443">
        <f>IFERROR(-(K55/vl_working_days_per_year)*J58,0)</f>
        <v>0</v>
      </c>
      <c r="L58" s="345"/>
      <c r="M58" s="451">
        <f>IFERROR(-(M55/vl_working_days_per_year)*L58,0)</f>
        <v>0</v>
      </c>
      <c r="N58" s="344"/>
      <c r="O58" s="443">
        <f>-(O55/vl_working_days_per_year)*N58</f>
        <v>0</v>
      </c>
      <c r="P58" s="345"/>
      <c r="Q58" s="451">
        <f>-(Q55/vl_working_days_per_year)*P58</f>
        <v>0</v>
      </c>
      <c r="R58" s="344"/>
      <c r="S58" s="443">
        <f>-(S55/vl_working_days_per_year)*R58</f>
        <v>0</v>
      </c>
      <c r="T58" s="345"/>
      <c r="U58" s="451">
        <f>-(U55/vl_working_days_per_year)*T58</f>
        <v>0</v>
      </c>
      <c r="V58" s="344"/>
      <c r="W58" s="443">
        <f>-(W55/vl_working_days_per_year)*V58</f>
        <v>0</v>
      </c>
      <c r="X58" s="345"/>
      <c r="Y58" s="451">
        <f>-(Y55/vl_working_days_per_year)*X58</f>
        <v>0</v>
      </c>
      <c r="Z58" s="344"/>
      <c r="AA58" s="443">
        <f>-(AA55/vl_working_days_per_year)*Z58</f>
        <v>0</v>
      </c>
      <c r="AB58" s="345"/>
      <c r="AC58" s="451">
        <f>-(AC55/vl_working_days_per_year)*AB58</f>
        <v>0</v>
      </c>
      <c r="AD58" s="335">
        <f t="shared" si="77"/>
        <v>0</v>
      </c>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row>
    <row r="59" spans="1:56" x14ac:dyDescent="0.3">
      <c r="A59" s="1182"/>
      <c r="B59" s="1379"/>
      <c r="C59" s="1379"/>
      <c r="D59" s="1379"/>
      <c r="E59" s="1379"/>
      <c r="F59" s="1379"/>
      <c r="G59" s="1379"/>
      <c r="H59" s="1380"/>
      <c r="I59" s="341" t="s">
        <v>325</v>
      </c>
      <c r="J59" s="346"/>
      <c r="K59" s="444">
        <f>K57+K58</f>
        <v>0</v>
      </c>
      <c r="L59" s="346"/>
      <c r="M59" s="444">
        <f t="shared" ref="M59" si="205">M57+M58</f>
        <v>0</v>
      </c>
      <c r="N59" s="346"/>
      <c r="O59" s="444">
        <f>O57+O58</f>
        <v>0</v>
      </c>
      <c r="P59" s="346"/>
      <c r="Q59" s="444">
        <f t="shared" ref="Q59" si="206">Q57+Q58</f>
        <v>0</v>
      </c>
      <c r="R59" s="346"/>
      <c r="S59" s="444">
        <f>S57+S58</f>
        <v>0</v>
      </c>
      <c r="T59" s="346"/>
      <c r="U59" s="444">
        <f t="shared" ref="U59" si="207">U57+U58</f>
        <v>0</v>
      </c>
      <c r="V59" s="346"/>
      <c r="W59" s="444">
        <f>W57+W58</f>
        <v>0</v>
      </c>
      <c r="X59" s="346"/>
      <c r="Y59" s="444">
        <f t="shared" ref="Y59" si="208">Y57+Y58</f>
        <v>0</v>
      </c>
      <c r="Z59" s="346"/>
      <c r="AA59" s="444">
        <f>AA57+AA58</f>
        <v>0</v>
      </c>
      <c r="AB59" s="346"/>
      <c r="AC59" s="444">
        <f t="shared" ref="AC59" si="209">AC57+AC58</f>
        <v>0</v>
      </c>
      <c r="AD59" s="335">
        <f t="shared" si="77"/>
        <v>0</v>
      </c>
      <c r="AE59" s="1152"/>
      <c r="AF59" s="1152"/>
      <c r="AG59" s="1152"/>
      <c r="AH59" s="1152"/>
      <c r="AI59" s="1152"/>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row>
    <row r="60" spans="1:56" s="1" customFormat="1" ht="15" customHeight="1" x14ac:dyDescent="0.3">
      <c r="A60" s="727"/>
      <c r="B60" s="1379"/>
      <c r="C60" s="1379"/>
      <c r="D60" s="1379"/>
      <c r="E60" s="1379"/>
      <c r="F60" s="1379"/>
      <c r="G60" s="1379"/>
      <c r="H60" s="1380"/>
      <c r="I60" s="382" t="s">
        <v>326</v>
      </c>
      <c r="J60" s="383">
        <f>IFERROR(K60/K46,0)</f>
        <v>0</v>
      </c>
      <c r="K60" s="447">
        <f>SUM(K47:K48,K50:K53,K56)</f>
        <v>0</v>
      </c>
      <c r="L60" s="434">
        <f>IFERROR(M60/M46,0)</f>
        <v>0</v>
      </c>
      <c r="M60" s="453">
        <f t="shared" ref="M60" si="210">SUM(M47:M48,M50:M53,M56)</f>
        <v>0</v>
      </c>
      <c r="N60" s="383">
        <f t="shared" ref="N60" si="211">IFERROR(O60/O46,0)</f>
        <v>0</v>
      </c>
      <c r="O60" s="447">
        <f t="shared" ref="O60" si="212">SUM(O47:O48,O50:O53,O56)</f>
        <v>0</v>
      </c>
      <c r="P60" s="434">
        <f t="shared" ref="P60" si="213">IFERROR(Q60/Q46,0)</f>
        <v>0</v>
      </c>
      <c r="Q60" s="453">
        <f t="shared" ref="Q60" si="214">SUM(Q47:Q48,Q50:Q53,Q56)</f>
        <v>0</v>
      </c>
      <c r="R60" s="383">
        <f t="shared" ref="R60" si="215">IFERROR(S60/S46,0)</f>
        <v>0</v>
      </c>
      <c r="S60" s="447">
        <f t="shared" ref="S60" si="216">SUM(S47:S48,S50:S53,S56)</f>
        <v>0</v>
      </c>
      <c r="T60" s="434">
        <f t="shared" ref="T60" si="217">IFERROR(U60/U46,0)</f>
        <v>0</v>
      </c>
      <c r="U60" s="453">
        <f t="shared" ref="U60" si="218">SUM(U47:U48,U50:U53,U56)</f>
        <v>0</v>
      </c>
      <c r="V60" s="383">
        <f t="shared" ref="V60" si="219">IFERROR(W60/W46,0)</f>
        <v>0</v>
      </c>
      <c r="W60" s="447">
        <f t="shared" ref="W60" si="220">SUM(W47:W48,W50:W53,W56)</f>
        <v>0</v>
      </c>
      <c r="X60" s="434">
        <f t="shared" ref="X60" si="221">IFERROR(Y60/Y46,0)</f>
        <v>0</v>
      </c>
      <c r="Y60" s="453">
        <f t="shared" ref="Y60" si="222">SUM(Y47:Y48,Y50:Y53,Y56)</f>
        <v>0</v>
      </c>
      <c r="Z60" s="383">
        <f t="shared" ref="Z60" si="223">IFERROR(AA60/AA46,0)</f>
        <v>0</v>
      </c>
      <c r="AA60" s="447">
        <f t="shared" ref="AA60" si="224">SUM(AA47:AA48,AA50:AA53,AA56)</f>
        <v>0</v>
      </c>
      <c r="AB60" s="434">
        <f t="shared" ref="AB60" si="225">IFERROR(AC60/AC46,0)</f>
        <v>0</v>
      </c>
      <c r="AC60" s="453">
        <f t="shared" ref="AC60" si="226">SUM(AC47:AC48,AC50:AC53,AC56)</f>
        <v>0</v>
      </c>
      <c r="AD60" s="377">
        <f t="shared" si="77"/>
        <v>0</v>
      </c>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row>
    <row r="61" spans="1:56" x14ac:dyDescent="0.3">
      <c r="A61" s="1182"/>
      <c r="B61" s="1379"/>
      <c r="C61" s="1379"/>
      <c r="D61" s="1379"/>
      <c r="E61" s="1379"/>
      <c r="F61" s="1379"/>
      <c r="G61" s="1379"/>
      <c r="H61" s="1380"/>
      <c r="I61" s="382" t="s">
        <v>327</v>
      </c>
      <c r="J61" s="384">
        <f>pCRSalaries</f>
        <v>2.5</v>
      </c>
      <c r="K61" s="447"/>
      <c r="L61" s="435">
        <f>pCRSalaries</f>
        <v>2.5</v>
      </c>
      <c r="M61" s="453"/>
      <c r="N61" s="384">
        <f>pCRSalaries</f>
        <v>2.5</v>
      </c>
      <c r="O61" s="447"/>
      <c r="P61" s="435">
        <f>pCRSalaries</f>
        <v>2.5</v>
      </c>
      <c r="Q61" s="453"/>
      <c r="R61" s="384">
        <f>pCRSalaries</f>
        <v>2.5</v>
      </c>
      <c r="S61" s="447"/>
      <c r="T61" s="435">
        <f>pCRSalaries</f>
        <v>2.5</v>
      </c>
      <c r="U61" s="453"/>
      <c r="V61" s="384">
        <f>pCRSalaries</f>
        <v>2.5</v>
      </c>
      <c r="W61" s="447"/>
      <c r="X61" s="435">
        <f>pCRSalaries</f>
        <v>2.5</v>
      </c>
      <c r="Y61" s="453"/>
      <c r="Z61" s="384">
        <f>pCRSalaries</f>
        <v>2.5</v>
      </c>
      <c r="AA61" s="447"/>
      <c r="AB61" s="435">
        <f>pCRSalaries</f>
        <v>2.5</v>
      </c>
      <c r="AC61" s="453"/>
      <c r="AD61" s="335"/>
      <c r="AE61" s="1152"/>
      <c r="AF61" s="1152"/>
      <c r="AG61" s="1152"/>
      <c r="AH61" s="1152"/>
      <c r="AI61" s="1152"/>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row>
    <row r="62" spans="1:56" ht="16.2" thickBot="1" x14ac:dyDescent="0.35">
      <c r="A62" s="1182"/>
      <c r="B62" s="710"/>
      <c r="C62" s="347"/>
      <c r="D62" s="347"/>
      <c r="E62" s="347"/>
      <c r="F62" s="347"/>
      <c r="G62" s="347"/>
      <c r="H62" s="347"/>
      <c r="I62" s="436" t="s">
        <v>329</v>
      </c>
      <c r="J62" s="348"/>
      <c r="K62" s="448">
        <f>J61*K57</f>
        <v>0</v>
      </c>
      <c r="L62" s="348"/>
      <c r="M62" s="448">
        <f t="shared" ref="M62" si="227">L61*M57</f>
        <v>0</v>
      </c>
      <c r="N62" s="348"/>
      <c r="O62" s="448">
        <f>N61*O57</f>
        <v>0</v>
      </c>
      <c r="P62" s="348"/>
      <c r="Q62" s="448">
        <f t="shared" ref="Q62" si="228">P61*Q57</f>
        <v>0</v>
      </c>
      <c r="R62" s="348"/>
      <c r="S62" s="448">
        <f>R61*S57</f>
        <v>0</v>
      </c>
      <c r="T62" s="348"/>
      <c r="U62" s="448">
        <f t="shared" ref="U62" si="229">T61*U57</f>
        <v>0</v>
      </c>
      <c r="V62" s="348"/>
      <c r="W62" s="448">
        <f>V61*W57</f>
        <v>0</v>
      </c>
      <c r="X62" s="348"/>
      <c r="Y62" s="448">
        <f t="shared" ref="Y62" si="230">X61*Y57</f>
        <v>0</v>
      </c>
      <c r="Z62" s="348"/>
      <c r="AA62" s="448">
        <f>Z61*AA57</f>
        <v>0</v>
      </c>
      <c r="AB62" s="348"/>
      <c r="AC62" s="448">
        <f t="shared" ref="AC62" si="231">AB61*AC57</f>
        <v>0</v>
      </c>
      <c r="AD62" s="335">
        <f t="shared" si="77"/>
        <v>0</v>
      </c>
      <c r="AE62" s="1152"/>
      <c r="AF62" s="1152"/>
      <c r="AG62" s="1152"/>
      <c r="AH62" s="1152"/>
      <c r="AI62" s="1152"/>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row>
    <row r="63" spans="1:56" ht="15" thickBot="1" x14ac:dyDescent="0.35">
      <c r="A63" s="1182"/>
      <c r="B63" s="1181"/>
      <c r="C63" s="1181"/>
      <c r="D63" s="1181"/>
      <c r="E63" s="1181"/>
      <c r="F63" s="1181"/>
      <c r="G63" s="1181"/>
      <c r="H63" s="1181"/>
      <c r="I63" s="350"/>
      <c r="J63" s="351"/>
      <c r="K63" s="351"/>
      <c r="L63" s="351"/>
      <c r="M63" s="352"/>
      <c r="N63" s="351"/>
      <c r="O63" s="352"/>
      <c r="P63" s="351"/>
      <c r="Q63" s="352"/>
      <c r="R63" s="351"/>
      <c r="S63" s="352"/>
      <c r="T63" s="351"/>
      <c r="U63" s="352"/>
      <c r="V63" s="351"/>
      <c r="W63" s="352"/>
      <c r="X63" s="351"/>
      <c r="Y63" s="352"/>
      <c r="Z63" s="351"/>
      <c r="AA63" s="352"/>
      <c r="AB63" s="351"/>
      <c r="AC63" s="352"/>
      <c r="AD63" s="353"/>
      <c r="AE63" s="1152"/>
      <c r="AF63" s="1152"/>
      <c r="AG63" s="1152"/>
      <c r="AH63" s="1152"/>
      <c r="AI63" s="115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row>
    <row r="64" spans="1:56" x14ac:dyDescent="0.3">
      <c r="A64" s="1182"/>
      <c r="B64" s="356" t="str">
        <f>IF('PART B Staff Costs'!B24="","",'PART B Staff Costs'!B24)</f>
        <v/>
      </c>
      <c r="C64" s="356" t="str">
        <f>IF('PART B Staff Costs'!C24="","",'PART B Staff Costs'!C24)</f>
        <v xml:space="preserve"> </v>
      </c>
      <c r="D64" s="332" t="str">
        <f>IF('PART B Staff Costs'!D24="","",'PART B Staff Costs'!D24)</f>
        <v/>
      </c>
      <c r="E64" s="332" t="str">
        <f>IF('PART B Staff Costs'!E24="","",'PART B Staff Costs'!E24)</f>
        <v/>
      </c>
      <c r="F64" s="332" t="str">
        <f>IF('PART B Staff Costs'!F24="","",'PART B Staff Costs'!F24)</f>
        <v/>
      </c>
      <c r="G64" s="332" t="str">
        <f>IF('PART B Staff Costs'!G24="","",'PART B Staff Costs'!G24)</f>
        <v/>
      </c>
      <c r="H64" s="332" t="str">
        <f t="shared" ref="H64" si="232">CONCATENATE(IF(D64=0,"",D64)," ",IF(E64=0,"",E64)," ",IF(F64=0,"",F64),,IF(OR(G64=0,G64=""),"",CONCATENATE(" (",G64,")")))</f>
        <v xml:space="preserve">  </v>
      </c>
      <c r="I64" s="332" t="s">
        <v>313</v>
      </c>
      <c r="J64" s="333">
        <f>_xlfn.IFNA('PART B Staff Costs'!H24*'PART B Staff Costs'!J$10,0)*new_xrate</f>
        <v>0</v>
      </c>
      <c r="K64" s="441"/>
      <c r="L64" s="334">
        <f>_xlfn.IFNA(IF(pStartYear+1&gt;pEndYear,0,VLOOKUP(CONCATENATE(
IF(OR($D64="Continuing",$D64="Fixed-Term"),"Fortnight",IF($D64="Casual","Casual",)),
$E64,
IF(OR($D64="Continuing",$D64="Fixed-Term"),
IF(LEFT($F64,6)="UOM 10","UOM 10",(LEFT($F64,LEN($F64)-1)&amp;MIN(RIGHT($F64,1)+COUNTIFS($J65:K65,"&gt;0")/2,VLOOKUP(LEFT($F64,LEN($F64)-2),tSalaryMax,2,FALSE)))),
IF($D64="Casual",
$F64,))
),tSalaryRate,5,FALSE)*VLOOKUP($G64,tSalaryRateMultiplier,2,FALSE)*'PART B Staff Costs'!L$10),0)*new_xrate</f>
        <v>0</v>
      </c>
      <c r="M64" s="449"/>
      <c r="N64" s="333">
        <f>_xlfn.IFNA(IF(pStartYear+2&gt;pEndYear,0,VLOOKUP(CONCATENATE(
IF(OR($D64="Continuing",$D64="Fixed-Term"),"Fortnight",IF($D64="Casual","Casual",)),
$E64,
IF(OR($D64="Continuing",$D64="Fixed-Term"),
IF(LEFT($F64,6)="UOM 10","UOM 10",(LEFT($F64,LEN($F64)-1)&amp;MIN(RIGHT($F64,1)+COUNTIFS($J65:M65,"&gt;0")/2,VLOOKUP(LEFT($F64,LEN($F64)-2),tSalaryMax,2,FALSE)))),
IF($D64="Casual",
$F64,))
),tSalaryRate,5,FALSE)*VLOOKUP($G64,tSalaryRateMultiplier,2,FALSE)*'PART B Staff Costs'!N$10),0)*new_xrate</f>
        <v>0</v>
      </c>
      <c r="O64" s="441"/>
      <c r="P64" s="334">
        <f>_xlfn.IFNA(IF(pStartYear+3&gt;pEndYear,0,VLOOKUP(CONCATENATE(
IF(OR($D64="Continuing",$D64="Fixed-Term"),"Fortnight",IF($D64="Casual","Casual",)),
$E64,
IF(OR($D64="Continuing",$D64="Fixed-Term"),
IF(LEFT($F64,6)="UOM 10","UOM 10",(LEFT($F64,LEN($F64)-1)&amp;MIN(RIGHT($F64,1)+COUNTIFS($J65:O65,"&gt;0")/2,VLOOKUP(LEFT($F64,LEN($F64)-2),tSalaryMax,2,FALSE)))),
IF($D64="Casual",
$F64,))
),tSalaryRate,5,FALSE)*VLOOKUP($G64,tSalaryRateMultiplier,2,FALSE)*'PART B Staff Costs'!P$10),0)*new_xrate</f>
        <v>0</v>
      </c>
      <c r="Q64" s="449"/>
      <c r="R64" s="333">
        <f>_xlfn.IFNA(IF(pStartYear+4&gt;pEndYear,0,VLOOKUP(CONCATENATE(
IF(OR($D64="Continuing",$D64="Fixed-Term"),"Fortnight",IF($D64="Casual","Casual",)),
$E64,
IF(OR($D64="Continuing",$D64="Fixed-Term"),
IF(LEFT($F64,6)="UOM 10","UOM 10",(LEFT($F64,LEN($F64)-1)&amp;MIN(RIGHT($F64,1)+COUNTIFS($J65:Q65,"&gt;0")/2,VLOOKUP(LEFT($F64,LEN($F64)-2),tSalaryMax,2,FALSE)))),
IF($D64="Casual",
$F64,))
),tSalaryRate,5,FALSE)*VLOOKUP($G64,tSalaryRateMultiplier,2,FALSE)*'PART B Staff Costs'!R$10),0)*new_xrate</f>
        <v>0</v>
      </c>
      <c r="S64" s="441"/>
      <c r="T64" s="334">
        <f>_xlfn.IFNA(IF(pStartYear+5&gt;pEndYear,0,VLOOKUP(CONCATENATE(
IF(OR($D64="Continuing",$D64="Fixed-Term"),"Fortnight",IF($D64="Casual","Casual",)),
$E64,
IF(OR($D64="Continuing",$D64="Fixed-Term"),
IF(LEFT($F64,6)="UOM 10","UOM 10",(LEFT($F64,LEN($F64)-1)&amp;MIN(RIGHT($F64,1)+COUNTIFS($J65:S65,"&gt;0")/2,VLOOKUP(LEFT($F64,LEN($F64)-2),tSalaryMax,2,FALSE)))),
IF($D64="Casual",
$F64,))
),tSalaryRate,5,FALSE)*VLOOKUP($G64,tSalaryRateMultiplier,2,FALSE)*'PART B Staff Costs'!T$10),0)*new_xrate</f>
        <v>0</v>
      </c>
      <c r="U64" s="449"/>
      <c r="V64" s="333">
        <f>_xlfn.IFNA(IF(pStartYear+6&gt;pEndYear,0,VLOOKUP(CONCATENATE(
IF(OR($D64="Continuing",$D64="Fixed-Term"),"Fortnight",IF($D64="Casual","Casual",)),
$E64,
IF(OR($D64="Continuing",$D64="Fixed-Term"),
IF(LEFT($F64,6)="UOM 10","UOM 10",(LEFT($F64,LEN($F64)-1)&amp;MIN(RIGHT($F64,1)+COUNTIFS($J65:U65,"&gt;0")/2,VLOOKUP(LEFT($F64,LEN($F64)-2),tSalaryMax,2,FALSE)))),
IF($D64="Casual",
$F64,))
),tSalaryRate,5,FALSE)*VLOOKUP($G64,tSalaryRateMultiplier,2,FALSE)*'PART B Staff Costs'!V$10),0)*new_xrate</f>
        <v>0</v>
      </c>
      <c r="W64" s="441"/>
      <c r="X64" s="334">
        <f>_xlfn.IFNA(IF(pStartYear+7&gt;pEndYear,0,VLOOKUP(CONCATENATE(
IF(OR($D64="Continuing",$D64="Fixed-Term"),"Fortnight",IF($D64="Casual","Casual",)),
$E64,
IF(OR($D64="Continuing",$D64="Fixed-Term"),
IF(LEFT($F64,6)="UOM 10","UOM 10",(LEFT($F64,LEN($F64)-1)&amp;MIN(RIGHT($F64,1)+COUNTIFS($J65:W65,"&gt;0")/2,VLOOKUP(LEFT($F64,LEN($F64)-2),tSalaryMax,2,FALSE)))),
IF($D64="Casual",
$F64,))
),tSalaryRate,5,FALSE)*VLOOKUP($G64,tSalaryRateMultiplier,2,FALSE)*'PART B Staff Costs'!X$10),0)*new_xrate</f>
        <v>0</v>
      </c>
      <c r="Y64" s="449"/>
      <c r="Z64" s="333">
        <f>_xlfn.IFNA(IF(pStartYear+8&gt;pEndYear,0,VLOOKUP(CONCATENATE(
IF(OR($D64="Continuing",$D64="Fixed-Term"),"Fortnight",IF($D64="Casual","Casual",)),
$E64,
IF(OR($D64="Continuing",$D64="Fixed-Term"),
IF(LEFT($F64,6)="UOM 10","UOM 10",(LEFT($F64,LEN($F64)-1)&amp;MIN(RIGHT($F64,1)+COUNTIFS($J65:Y65,"&gt;0")/2,VLOOKUP(LEFT($F64,LEN($F64)-2),tSalaryMax,2,FALSE)))),
IF($D64="Casual",
$F64,))
),tSalaryRate,5,FALSE)*VLOOKUP($G64,tSalaryRateMultiplier,2,FALSE)*'PART B Staff Costs'!Z$10),0)*new_xrate</f>
        <v>0</v>
      </c>
      <c r="AA64" s="441"/>
      <c r="AB64" s="334">
        <f>_xlfn.IFNA(IF(pStartYear+9&gt;pEndYear,0,VLOOKUP(CONCATENATE(
IF(OR($D64="Continuing",$D64="Fixed-Term"),"Fortnight",IF($D64="Casual","Casual",)),
$E64,
IF(OR($D64="Continuing",$D64="Fixed-Term"),
IF(LEFT($F64,6)="UOM 10","UOM 10",(LEFT($F64,LEN($F64)-1)&amp;MIN(RIGHT($F64,1)+COUNTIFS($J65:AA65,"&gt;0")/2,VLOOKUP(LEFT($F64,LEN($F64)-2),tSalaryMax,2,FALSE)))),
IF($D64="Casual",
$F64,))
),tSalaryRate,5,FALSE)*VLOOKUP($G64,tSalaryRateMultiplier,2,FALSE)*'PART B Staff Costs'!AB$10),0)*new_xrate</f>
        <v>0</v>
      </c>
      <c r="AC64" s="449"/>
      <c r="AD64" s="335"/>
      <c r="AE64" s="1152"/>
      <c r="AF64" s="1152"/>
      <c r="AG64" s="1152"/>
      <c r="AH64" s="1152"/>
      <c r="AI64" s="115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row>
    <row r="65" spans="1:56" x14ac:dyDescent="0.3">
      <c r="A65" s="1182"/>
      <c r="B65" s="1377"/>
      <c r="C65" s="1377"/>
      <c r="D65" s="1377"/>
      <c r="E65" s="1377"/>
      <c r="F65" s="1377"/>
      <c r="G65" s="1377"/>
      <c r="H65" s="1378"/>
      <c r="I65" s="336" t="str">
        <f>IF('PART B Staff Costs'!G60&lt;&gt;"",CONCATENATE("Time/Requested salary"," (",'PART B Staff Costs'!G60,")"),"Time/Requested salary")</f>
        <v>Time/Requested salary</v>
      </c>
      <c r="J65" s="337">
        <f>_xlfn.IFNA('PART B Staff Costs'!I24,0)</f>
        <v>0</v>
      </c>
      <c r="K65" s="442">
        <f>IF('PART B Staff Costs'!$G$24="FTE",J65*J64*(First_year_fraction/12),J65*J64)</f>
        <v>0</v>
      </c>
      <c r="L65" s="338">
        <f>_xlfn.IFNA('PART B Staff Costs'!K24,0)</f>
        <v>0</v>
      </c>
      <c r="M65" s="450">
        <f>IF(pStartYear+1=pEndYear,IF('PART B Staff Costs'!$G$24="FTE",(L65*L64)*Last_Year_Fraction/12,L65*L64),L65*L64)</f>
        <v>0</v>
      </c>
      <c r="N65" s="337">
        <f>_xlfn.IFNA('PART B Staff Costs'!M24,0)</f>
        <v>0</v>
      </c>
      <c r="O65" s="442">
        <f>IF(pStartYear+2=pEndYear,IF('PART B Staff Costs'!$G$24="FTE",(N65*N64)*Last_Year_Fraction/12,N65*N64),N65*N64)</f>
        <v>0</v>
      </c>
      <c r="P65" s="338">
        <f>_xlfn.IFNA('PART B Staff Costs'!O24,0)</f>
        <v>0</v>
      </c>
      <c r="Q65" s="450">
        <f>IF(pStartYear+3=pEndYear,IF('PART B Staff Costs'!$G$24="FTE",(P65*P64)*Last_Year_Fraction/12,P65*P64),P65*P64)</f>
        <v>0</v>
      </c>
      <c r="R65" s="337">
        <f>_xlfn.IFNA('PART B Staff Costs'!Q24,0)</f>
        <v>0</v>
      </c>
      <c r="S65" s="442">
        <f>IF(pStartYear+4=pEndYear,IF('PART B Staff Costs'!$G$24="FTE",(R65*R64)*Last_Year_Fraction/12,R65*R64),R65*R64)</f>
        <v>0</v>
      </c>
      <c r="T65" s="338">
        <f>_xlfn.IFNA('PART B Staff Costs'!S24,0)</f>
        <v>0</v>
      </c>
      <c r="U65" s="450">
        <f>IF(pStartYear+5=pEndYear,IF('PART B Staff Costs'!$G$24="FTE",(T65*T64)*Last_Year_Fraction/12,T65*T64),T65*T64)</f>
        <v>0</v>
      </c>
      <c r="V65" s="337">
        <f>_xlfn.IFNA('PART B Staff Costs'!U24,0)</f>
        <v>0</v>
      </c>
      <c r="W65" s="442">
        <f>IF(pStartYear+6=pEndYear,IF('PART B Staff Costs'!$G$24="FTE",(V65*V64)*Last_Year_Fraction/12,V65*V64),V65*V64)</f>
        <v>0</v>
      </c>
      <c r="X65" s="338">
        <f>_xlfn.IFNA('PART B Staff Costs'!W24,0)</f>
        <v>0</v>
      </c>
      <c r="Y65" s="450">
        <f>IF(pStartYear+7=pEndYear,IF('PART B Staff Costs'!$G$24="FTE",(X65*X64)*Last_Year_Fraction/12,X65*X64),X65*X64)</f>
        <v>0</v>
      </c>
      <c r="Z65" s="337">
        <f>_xlfn.IFNA('PART B Staff Costs'!Y24,0)</f>
        <v>0</v>
      </c>
      <c r="AA65" s="442">
        <f>IF(pStartYear+8=pEndYear,IF('PART B Staff Costs'!$G$24="FTE",(Z65*Z64)*Last_Year_Fraction/12,Z65*Z64),Z65*Z64)</f>
        <v>0</v>
      </c>
      <c r="AB65" s="338">
        <f>_xlfn.IFNA('PART B Staff Costs'!AA24,0)</f>
        <v>0</v>
      </c>
      <c r="AC65" s="450">
        <f>IF(pStartYear+9=pEndYear,IF('PART B Staff Costs'!$G$24="FTE",(AB65*AB64)*Last_Year_Fraction/12,AB65*AB64),AB65*AB64)</f>
        <v>0</v>
      </c>
      <c r="AD65" s="335"/>
      <c r="AE65" s="1152"/>
      <c r="AF65" s="1152"/>
      <c r="AG65" s="1152"/>
      <c r="AH65" s="1152"/>
      <c r="AI65" s="115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row>
    <row r="66" spans="1:56" x14ac:dyDescent="0.3">
      <c r="A66" s="1182"/>
      <c r="B66" s="1379"/>
      <c r="C66" s="1379"/>
      <c r="D66" s="1379"/>
      <c r="E66" s="1379"/>
      <c r="F66" s="1379"/>
      <c r="G66" s="1379"/>
      <c r="H66" s="1380"/>
      <c r="I66" s="336" t="str">
        <f>IF(tbBudgetCurrency="AUD - Australian Dollar",CONCATENATE("Leave Loading (max of AU$",vl_Max_Leave_Loading,")"),CONCATENATE("Leave Loading (max of ",ROUND(vl_Max_Leave_Loading*new_xrate,2)," ",LEFT(tbBudgetCurrency,3),")"))</f>
        <v>Leave Loading (max of AU$1611.3)</v>
      </c>
      <c r="J66" s="339">
        <f>_xlfn.IFNA(VLOOKUP($D64,tbLeaveLoading,2,FALSE),0)</f>
        <v>0</v>
      </c>
      <c r="K66" s="443">
        <f>IF(K65*J66&gt;vl_Max_Leave_Loading*new_xrate,vl_Max_Leave_Loading*new_xrate,K65*J66)</f>
        <v>0</v>
      </c>
      <c r="L66" s="340">
        <f>_xlfn.IFNA(VLOOKUP($D64,tbLeaveLoading,2,FALSE),0)</f>
        <v>0</v>
      </c>
      <c r="M66" s="451">
        <f>IF(M65*L66&gt;vl_Max_Leave_Loading*new_xrate,vl_Max_Leave_Loading*new_xrate,M65*L66)</f>
        <v>0</v>
      </c>
      <c r="N66" s="339">
        <f>_xlfn.IFNA(VLOOKUP($D64,tbLeaveLoading,2,FALSE),0)</f>
        <v>0</v>
      </c>
      <c r="O66" s="443">
        <f>IF(O65*N66&gt;vl_Max_Leave_Loading*new_xrate,vl_Max_Leave_Loading*new_xrate,O65*N66)</f>
        <v>0</v>
      </c>
      <c r="P66" s="340">
        <f>_xlfn.IFNA(VLOOKUP($D64,tbLeaveLoading,2,FALSE),0)</f>
        <v>0</v>
      </c>
      <c r="Q66" s="451">
        <f>IF(Q65*P66&gt;vl_Max_Leave_Loading*new_xrate,vl_Max_Leave_Loading*new_xrate,Q65*P66)</f>
        <v>0</v>
      </c>
      <c r="R66" s="339">
        <f>_xlfn.IFNA(VLOOKUP($D64,tbLeaveLoading,2,FALSE),0)</f>
        <v>0</v>
      </c>
      <c r="S66" s="443">
        <f>IF(S65*R66&gt;vl_Max_Leave_Loading*new_xrate,vl_Max_Leave_Loading*new_xrate,S65*R66)</f>
        <v>0</v>
      </c>
      <c r="T66" s="340">
        <f>_xlfn.IFNA(VLOOKUP($D64,tbLeaveLoading,2,FALSE),0)</f>
        <v>0</v>
      </c>
      <c r="U66" s="451">
        <f>IF(U65*T66&gt;vl_Max_Leave_Loading*new_xrate,vl_Max_Leave_Loading*new_xrate,U65*T66)</f>
        <v>0</v>
      </c>
      <c r="V66" s="339">
        <f>_xlfn.IFNA(VLOOKUP($D64,tbLeaveLoading,2,FALSE),0)</f>
        <v>0</v>
      </c>
      <c r="W66" s="443">
        <f>IF(W65*V66&gt;vl_Max_Leave_Loading*new_xrate,vl_Max_Leave_Loading*new_xrate,W65*V66)</f>
        <v>0</v>
      </c>
      <c r="X66" s="340">
        <f>_xlfn.IFNA(VLOOKUP($D64,tbLeaveLoading,2,FALSE),0)</f>
        <v>0</v>
      </c>
      <c r="Y66" s="451">
        <f>IF(Y65*X66&gt;vl_Max_Leave_Loading*new_xrate,vl_Max_Leave_Loading*new_xrate,Y65*X66)</f>
        <v>0</v>
      </c>
      <c r="Z66" s="339">
        <f>_xlfn.IFNA(VLOOKUP($D64,tbLeaveLoading,2,FALSE),0)</f>
        <v>0</v>
      </c>
      <c r="AA66" s="443">
        <f>IF(AA65*Z66&gt;vl_Max_Leave_Loading*new_xrate,vl_Max_Leave_Loading*new_xrate,AA65*Z66)</f>
        <v>0</v>
      </c>
      <c r="AB66" s="340">
        <f>_xlfn.IFNA(VLOOKUP($D64,tbLeaveLoading,2,FALSE),0)</f>
        <v>0</v>
      </c>
      <c r="AC66" s="451">
        <f>IF(AC65*AB66&gt;vl_Max_Leave_Loading*new_xrate,vl_Max_Leave_Loading*new_xrate,AC65*AB66)</f>
        <v>0</v>
      </c>
      <c r="AD66" s="335"/>
      <c r="AE66" s="1152"/>
      <c r="AF66" s="1152"/>
      <c r="AG66" s="1152"/>
      <c r="AH66" s="1152"/>
      <c r="AI66" s="115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row>
    <row r="67" spans="1:56" x14ac:dyDescent="0.3">
      <c r="A67" s="1182"/>
      <c r="B67" s="1379"/>
      <c r="C67" s="1379"/>
      <c r="D67" s="1379"/>
      <c r="E67" s="1379"/>
      <c r="F67" s="1379"/>
      <c r="G67" s="1379"/>
      <c r="H67" s="1380"/>
      <c r="I67" s="336" t="s">
        <v>314</v>
      </c>
      <c r="J67" s="339">
        <f>_xlfn.IFNA(_xlfn.IFNA(VLOOKUP(CONCATENATE(pStartYear,$D64),tbSuperannuation,4,FALSE),VLOOKUP($D64,tbSuperannuation2026onwards,2,FALSE)),0)</f>
        <v>0</v>
      </c>
      <c r="K67" s="443">
        <f>K65*J67</f>
        <v>0</v>
      </c>
      <c r="L67" s="340">
        <f>_xlfn.IFNA(_xlfn.IFNA(VLOOKUP(CONCATENATE(pStartYear+1,$D64),tbSuperannuation,4,FALSE),VLOOKUP($D64,tbSuperannuation2026onwards,2,FALSE)),0)</f>
        <v>0</v>
      </c>
      <c r="M67" s="451">
        <f t="shared" ref="M67" si="233">M65*L67</f>
        <v>0</v>
      </c>
      <c r="N67" s="339">
        <f>_xlfn.IFNA(_xlfn.IFNA(VLOOKUP(CONCATENATE(pStartYear+2,$D64),tbSuperannuation,4,FALSE),VLOOKUP($D64,tbSuperannuation2026onwards,2,FALSE)),0)</f>
        <v>0</v>
      </c>
      <c r="O67" s="443">
        <f>O65*N67</f>
        <v>0</v>
      </c>
      <c r="P67" s="340">
        <f>_xlfn.IFNA(_xlfn.IFNA(VLOOKUP(CONCATENATE(pStartYear+3,$D64),tbSuperannuation,4,FALSE),VLOOKUP($D64,tbSuperannuation2026onwards,2,FALSE)),0)</f>
        <v>0</v>
      </c>
      <c r="Q67" s="451">
        <f t="shared" ref="Q67" si="234">Q65*P67</f>
        <v>0</v>
      </c>
      <c r="R67" s="339">
        <f>_xlfn.IFNA(_xlfn.IFNA(VLOOKUP(CONCATENATE(pStartYear+4,$D64),tbSuperannuation,4,FALSE),VLOOKUP($D64,tbSuperannuation2026onwards,2,FALSE)),0)</f>
        <v>0</v>
      </c>
      <c r="S67" s="443">
        <f>S65*R67</f>
        <v>0</v>
      </c>
      <c r="T67" s="340">
        <f>_xlfn.IFNA(_xlfn.IFNA(VLOOKUP(CONCATENATE(pStartYear+5,$D64),tbSuperannuation,4,FALSE),VLOOKUP($D64,tbSuperannuation2026onwards,2,FALSE)),0)</f>
        <v>0</v>
      </c>
      <c r="U67" s="451">
        <f t="shared" ref="U67" si="235">U65*T67</f>
        <v>0</v>
      </c>
      <c r="V67" s="339">
        <f>_xlfn.IFNA(_xlfn.IFNA(VLOOKUP(CONCATENATE(pStartYear+6,$D64),tbSuperannuation,4,FALSE),VLOOKUP($D64,tbSuperannuation2026onwards,2,FALSE)),0)</f>
        <v>0</v>
      </c>
      <c r="W67" s="443">
        <f>W65*V67</f>
        <v>0</v>
      </c>
      <c r="X67" s="340">
        <f>_xlfn.IFNA(_xlfn.IFNA(VLOOKUP(CONCATENATE(pStartYear+7,$D64),tbSuperannuation,4,FALSE),VLOOKUP($D64,tbSuperannuation2026onwards,2,FALSE)),0)</f>
        <v>0</v>
      </c>
      <c r="Y67" s="451">
        <f t="shared" ref="Y67" si="236">Y65*X67</f>
        <v>0</v>
      </c>
      <c r="Z67" s="339">
        <f>_xlfn.IFNA(_xlfn.IFNA(VLOOKUP(CONCATENATE(pStartYear+8,$D64),tbSuperannuation,4,FALSE),VLOOKUP($D64,tbSuperannuation2026onwards,2,FALSE)),0)</f>
        <v>0</v>
      </c>
      <c r="AA67" s="443">
        <f>AA65*Z67</f>
        <v>0</v>
      </c>
      <c r="AB67" s="340">
        <f>_xlfn.IFNA(_xlfn.IFNA(VLOOKUP(CONCATENATE(pStartYear+9,$D64),tbSuperannuation,4,FALSE),VLOOKUP($D64,tbSuperannuation2026onwards,2,FALSE)),0)</f>
        <v>0</v>
      </c>
      <c r="AC67" s="451">
        <f t="shared" ref="AC67" si="237">AC65*AB67</f>
        <v>0</v>
      </c>
      <c r="AD67" s="335"/>
      <c r="AE67" s="1152"/>
      <c r="AF67" s="1152"/>
      <c r="AG67" s="1152"/>
      <c r="AH67" s="1152"/>
      <c r="AI67" s="115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row>
    <row r="68" spans="1:56" x14ac:dyDescent="0.3">
      <c r="A68" s="1182"/>
      <c r="B68" s="1379"/>
      <c r="C68" s="1379"/>
      <c r="D68" s="1379"/>
      <c r="E68" s="1379"/>
      <c r="F68" s="1379"/>
      <c r="G68" s="1379"/>
      <c r="H68" s="1380"/>
      <c r="I68" s="341" t="s">
        <v>315</v>
      </c>
      <c r="J68" s="342"/>
      <c r="K68" s="444">
        <f>K66+K67+K65</f>
        <v>0</v>
      </c>
      <c r="L68" s="342"/>
      <c r="M68" s="444">
        <f t="shared" ref="M68" si="238">M66+M67+M65</f>
        <v>0</v>
      </c>
      <c r="N68" s="342"/>
      <c r="O68" s="444">
        <f>O66+O67+O65</f>
        <v>0</v>
      </c>
      <c r="P68" s="342"/>
      <c r="Q68" s="444">
        <f t="shared" ref="Q68" si="239">Q66+Q67+Q65</f>
        <v>0</v>
      </c>
      <c r="R68" s="342"/>
      <c r="S68" s="444">
        <f>S66+S67+S65</f>
        <v>0</v>
      </c>
      <c r="T68" s="342"/>
      <c r="U68" s="444">
        <f t="shared" ref="U68" si="240">U66+U67+U65</f>
        <v>0</v>
      </c>
      <c r="V68" s="342"/>
      <c r="W68" s="444">
        <f>W66+W67+W65</f>
        <v>0</v>
      </c>
      <c r="X68" s="342"/>
      <c r="Y68" s="444">
        <f t="shared" ref="Y68" si="241">Y66+Y67+Y65</f>
        <v>0</v>
      </c>
      <c r="Z68" s="342"/>
      <c r="AA68" s="444">
        <f>AA66+AA67+AA65</f>
        <v>0</v>
      </c>
      <c r="AB68" s="342"/>
      <c r="AC68" s="444">
        <f t="shared" ref="AC68" si="242">AC66+AC67+AC65</f>
        <v>0</v>
      </c>
      <c r="AD68" s="335">
        <f t="shared" si="77"/>
        <v>0</v>
      </c>
      <c r="AE68" s="1152"/>
      <c r="AF68" s="1152"/>
      <c r="AG68" s="1152"/>
      <c r="AH68" s="1152"/>
      <c r="AI68" s="115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row>
    <row r="69" spans="1:56" x14ac:dyDescent="0.3">
      <c r="A69" s="1182"/>
      <c r="B69" s="1379"/>
      <c r="C69" s="1379"/>
      <c r="D69" s="1379"/>
      <c r="E69" s="1379"/>
      <c r="F69" s="1379"/>
      <c r="G69" s="1379"/>
      <c r="H69" s="1380"/>
      <c r="I69" s="336" t="s">
        <v>316</v>
      </c>
      <c r="J69" s="339">
        <f>_xlfn.IFNA(_xlfn.IFNA(VLOOKUP(pStartYear,tbPayrollTax,2,FALSE),vl_MaxPayrollTax),0)</f>
        <v>5.8500000000000003E-2</v>
      </c>
      <c r="K69" s="443">
        <f>J69*K68</f>
        <v>0</v>
      </c>
      <c r="L69" s="340">
        <f>_xlfn.IFNA(_xlfn.IFNA(VLOOKUP(pStartYear+1,tbPayrollTax,2,FALSE),vl_MaxPayrollTax),0)</f>
        <v>5.8500000000000003E-2</v>
      </c>
      <c r="M69" s="451">
        <f t="shared" ref="M69" si="243">L69*M68</f>
        <v>0</v>
      </c>
      <c r="N69" s="339">
        <f>_xlfn.IFNA(_xlfn.IFNA(VLOOKUP(pStartYear+2,tbPayrollTax,2,FALSE),vl_MaxPayrollTax),0)</f>
        <v>5.8500000000000003E-2</v>
      </c>
      <c r="O69" s="443">
        <f>N69*O68</f>
        <v>0</v>
      </c>
      <c r="P69" s="340">
        <f>_xlfn.IFNA(_xlfn.IFNA(VLOOKUP(pStartYear+3,tbPayrollTax,2,FALSE),vl_MaxPayrollTax),0)</f>
        <v>5.8500000000000003E-2</v>
      </c>
      <c r="Q69" s="451">
        <f t="shared" ref="Q69" si="244">P69*Q68</f>
        <v>0</v>
      </c>
      <c r="R69" s="339">
        <f>_xlfn.IFNA(_xlfn.IFNA(VLOOKUP(pStartYear+4,tbPayrollTax,2,FALSE),vl_MaxPayrollTax),0)</f>
        <v>5.8500000000000003E-2</v>
      </c>
      <c r="S69" s="443">
        <f>R69*S68</f>
        <v>0</v>
      </c>
      <c r="T69" s="340">
        <f>_xlfn.IFNA(_xlfn.IFNA(VLOOKUP(pStartYear+5,tbPayrollTax,2,FALSE),vl_MaxPayrollTax),0)</f>
        <v>5.8500000000000003E-2</v>
      </c>
      <c r="U69" s="451">
        <f t="shared" ref="U69" si="245">T69*U68</f>
        <v>0</v>
      </c>
      <c r="V69" s="339">
        <f>_xlfn.IFNA(_xlfn.IFNA(VLOOKUP(pStartYear+6,tbPayrollTax,2,FALSE),vl_MaxPayrollTax),0)</f>
        <v>5.8500000000000003E-2</v>
      </c>
      <c r="W69" s="443">
        <f>V69*W68</f>
        <v>0</v>
      </c>
      <c r="X69" s="340">
        <f>_xlfn.IFNA(_xlfn.IFNA(VLOOKUP(pStartYear+7,tbPayrollTax,2,FALSE),vl_MaxPayrollTax),0)</f>
        <v>5.8500000000000003E-2</v>
      </c>
      <c r="Y69" s="451">
        <f t="shared" ref="Y69" si="246">X69*Y68</f>
        <v>0</v>
      </c>
      <c r="Z69" s="339">
        <f>_xlfn.IFNA(_xlfn.IFNA(VLOOKUP(pStartYear+8,tbPayrollTax,2,FALSE),vl_MaxPayrollTax),0)</f>
        <v>5.8500000000000003E-2</v>
      </c>
      <c r="AA69" s="443">
        <f>Z69*AA68</f>
        <v>0</v>
      </c>
      <c r="AB69" s="340">
        <f>_xlfn.IFNA(_xlfn.IFNA(VLOOKUP(pStartYear+9,tbPayrollTax,2,FALSE),vl_MaxPayrollTax),0)</f>
        <v>5.8500000000000003E-2</v>
      </c>
      <c r="AC69" s="451">
        <f t="shared" ref="AC69" si="247">AB69*AC68</f>
        <v>0</v>
      </c>
      <c r="AD69" s="335"/>
      <c r="AE69" s="1152"/>
      <c r="AF69" s="1152"/>
      <c r="AG69" s="1152"/>
      <c r="AH69" s="1152"/>
      <c r="AI69" s="115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row>
    <row r="70" spans="1:56" x14ac:dyDescent="0.3">
      <c r="A70" s="1182"/>
      <c r="B70" s="1379"/>
      <c r="C70" s="1379"/>
      <c r="D70" s="1379"/>
      <c r="E70" s="1379"/>
      <c r="F70" s="1379"/>
      <c r="G70" s="1379"/>
      <c r="H70" s="1380"/>
      <c r="I70" s="336" t="s">
        <v>317</v>
      </c>
      <c r="J70" s="339">
        <f>_xlfn.IFNA(VLOOKUP($D64,tbWorkCover,2,FALSE),0)</f>
        <v>0</v>
      </c>
      <c r="K70" s="443">
        <f>J70*K68</f>
        <v>0</v>
      </c>
      <c r="L70" s="340">
        <f>_xlfn.IFNA(VLOOKUP($D64,tbWorkCover,2,FALSE),0)</f>
        <v>0</v>
      </c>
      <c r="M70" s="451">
        <f t="shared" ref="M70" si="248">L70*M68</f>
        <v>0</v>
      </c>
      <c r="N70" s="339">
        <f>_xlfn.IFNA(VLOOKUP($D64,tbWorkCover,2,FALSE),0)</f>
        <v>0</v>
      </c>
      <c r="O70" s="443">
        <f>N70*O68</f>
        <v>0</v>
      </c>
      <c r="P70" s="340">
        <f>_xlfn.IFNA(VLOOKUP($D64,tbWorkCover,2,FALSE),0)</f>
        <v>0</v>
      </c>
      <c r="Q70" s="451">
        <f t="shared" ref="Q70" si="249">P70*Q68</f>
        <v>0</v>
      </c>
      <c r="R70" s="339">
        <f>_xlfn.IFNA(VLOOKUP($D64,tbWorkCover,2,FALSE),0)</f>
        <v>0</v>
      </c>
      <c r="S70" s="443">
        <f>R70*S68</f>
        <v>0</v>
      </c>
      <c r="T70" s="340">
        <f>_xlfn.IFNA(VLOOKUP($D64,tbWorkCover,2,FALSE),0)</f>
        <v>0</v>
      </c>
      <c r="U70" s="451">
        <f t="shared" ref="U70" si="250">T70*U68</f>
        <v>0</v>
      </c>
      <c r="V70" s="339">
        <f>_xlfn.IFNA(VLOOKUP($D64,tbWorkCover,2,FALSE),0)</f>
        <v>0</v>
      </c>
      <c r="W70" s="443">
        <f>V70*W68</f>
        <v>0</v>
      </c>
      <c r="X70" s="340">
        <f>_xlfn.IFNA(VLOOKUP($D64,tbWorkCover,2,FALSE),0)</f>
        <v>0</v>
      </c>
      <c r="Y70" s="451">
        <f t="shared" ref="Y70" si="251">X70*Y68</f>
        <v>0</v>
      </c>
      <c r="Z70" s="339">
        <f>_xlfn.IFNA(VLOOKUP($D64,tbWorkCover,2,FALSE),0)</f>
        <v>0</v>
      </c>
      <c r="AA70" s="443">
        <f>Z70*AA68</f>
        <v>0</v>
      </c>
      <c r="AB70" s="340">
        <f>_xlfn.IFNA(VLOOKUP($D64,tbWorkCover,2,FALSE),0)</f>
        <v>0</v>
      </c>
      <c r="AC70" s="451">
        <f t="shared" ref="AC70" si="252">AB70*AC68</f>
        <v>0</v>
      </c>
      <c r="AD70" s="335"/>
      <c r="AE70" s="1152"/>
      <c r="AF70" s="1152"/>
      <c r="AG70" s="1152"/>
      <c r="AH70" s="1152"/>
      <c r="AI70" s="1152"/>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row>
    <row r="71" spans="1:56" x14ac:dyDescent="0.3">
      <c r="A71" s="1182"/>
      <c r="B71" s="1379"/>
      <c r="C71" s="1379"/>
      <c r="D71" s="1379"/>
      <c r="E71" s="1379"/>
      <c r="F71" s="1379"/>
      <c r="G71" s="1379"/>
      <c r="H71" s="1380"/>
      <c r="I71" s="336" t="s">
        <v>318</v>
      </c>
      <c r="J71" s="339">
        <f>_xlfn.IFNA(VLOOKUP($D64,tbLongServiceLeave,2,FALSE),0)</f>
        <v>0</v>
      </c>
      <c r="K71" s="443">
        <f>J71*K65</f>
        <v>0</v>
      </c>
      <c r="L71" s="340">
        <f>_xlfn.IFNA(VLOOKUP($D64,tbLongServiceLeave,2,FALSE),0)</f>
        <v>0</v>
      </c>
      <c r="M71" s="451">
        <f t="shared" ref="M71" si="253">L71*M65</f>
        <v>0</v>
      </c>
      <c r="N71" s="339">
        <f>_xlfn.IFNA(VLOOKUP($D64,tbLongServiceLeave,2,FALSE),0)</f>
        <v>0</v>
      </c>
      <c r="O71" s="443">
        <f>N71*O65</f>
        <v>0</v>
      </c>
      <c r="P71" s="340">
        <f>_xlfn.IFNA(VLOOKUP($D64,tbLongServiceLeave,2,FALSE),0)</f>
        <v>0</v>
      </c>
      <c r="Q71" s="451">
        <f t="shared" ref="Q71" si="254">P71*Q65</f>
        <v>0</v>
      </c>
      <c r="R71" s="339">
        <f>_xlfn.IFNA(VLOOKUP($D64,tbLongServiceLeave,2,FALSE),0)</f>
        <v>0</v>
      </c>
      <c r="S71" s="443">
        <f>R71*S65</f>
        <v>0</v>
      </c>
      <c r="T71" s="340">
        <f>_xlfn.IFNA(VLOOKUP($D64,tbLongServiceLeave,2,FALSE),0)</f>
        <v>0</v>
      </c>
      <c r="U71" s="451">
        <f t="shared" ref="U71" si="255">T71*U65</f>
        <v>0</v>
      </c>
      <c r="V71" s="339">
        <f>_xlfn.IFNA(VLOOKUP($D64,tbLongServiceLeave,2,FALSE),0)</f>
        <v>0</v>
      </c>
      <c r="W71" s="443">
        <f>V71*W65</f>
        <v>0</v>
      </c>
      <c r="X71" s="340">
        <f>_xlfn.IFNA(VLOOKUP($D64,tbLongServiceLeave,2,FALSE),0)</f>
        <v>0</v>
      </c>
      <c r="Y71" s="451">
        <f t="shared" ref="Y71" si="256">X71*Y65</f>
        <v>0</v>
      </c>
      <c r="Z71" s="339">
        <f>_xlfn.IFNA(VLOOKUP($D64,tbLongServiceLeave,2,FALSE),0)</f>
        <v>0</v>
      </c>
      <c r="AA71" s="443">
        <f>Z71*AA65</f>
        <v>0</v>
      </c>
      <c r="AB71" s="340">
        <f>_xlfn.IFNA(VLOOKUP($D64,tbLongServiceLeave,2,FALSE),0)</f>
        <v>0</v>
      </c>
      <c r="AC71" s="451">
        <f t="shared" ref="AC71" si="257">AB71*AC65</f>
        <v>0</v>
      </c>
      <c r="AD71" s="335"/>
      <c r="AE71" s="1152"/>
      <c r="AF71" s="1152"/>
      <c r="AG71" s="1152"/>
      <c r="AH71" s="1152"/>
      <c r="AI71" s="1152"/>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row>
    <row r="72" spans="1:56" x14ac:dyDescent="0.3">
      <c r="A72" s="1182"/>
      <c r="B72" s="1379"/>
      <c r="C72" s="1379"/>
      <c r="D72" s="1379"/>
      <c r="E72" s="1379"/>
      <c r="F72" s="1379"/>
      <c r="G72" s="1379"/>
      <c r="H72" s="1380"/>
      <c r="I72" s="336" t="s">
        <v>319</v>
      </c>
      <c r="J72" s="339">
        <f>_xlfn.IFNA(VLOOKUP($D64,tbParentalLeave,2,FALSE),0)</f>
        <v>0</v>
      </c>
      <c r="K72" s="443">
        <f>J72*K65</f>
        <v>0</v>
      </c>
      <c r="L72" s="340">
        <f>_xlfn.IFNA(VLOOKUP($D64,tbParentalLeave,2,FALSE),0)</f>
        <v>0</v>
      </c>
      <c r="M72" s="451">
        <f t="shared" ref="M72" si="258">L72*M65</f>
        <v>0</v>
      </c>
      <c r="N72" s="339">
        <f>_xlfn.IFNA(VLOOKUP($D64,tbParentalLeave,2,FALSE),0)</f>
        <v>0</v>
      </c>
      <c r="O72" s="443">
        <f>N72*O65</f>
        <v>0</v>
      </c>
      <c r="P72" s="340">
        <f>_xlfn.IFNA(VLOOKUP($D64,tbParentalLeave,2,FALSE),0)</f>
        <v>0</v>
      </c>
      <c r="Q72" s="451">
        <f t="shared" ref="Q72" si="259">P72*Q65</f>
        <v>0</v>
      </c>
      <c r="R72" s="339">
        <f>_xlfn.IFNA(VLOOKUP($D64,tbParentalLeave,2,FALSE),0)</f>
        <v>0</v>
      </c>
      <c r="S72" s="443">
        <f>R72*S65</f>
        <v>0</v>
      </c>
      <c r="T72" s="340">
        <f>_xlfn.IFNA(VLOOKUP($D64,tbParentalLeave,2,FALSE),0)</f>
        <v>0</v>
      </c>
      <c r="U72" s="451">
        <f t="shared" ref="U72" si="260">T72*U65</f>
        <v>0</v>
      </c>
      <c r="V72" s="339">
        <f>_xlfn.IFNA(VLOOKUP($D64,tbParentalLeave,2,FALSE),0)</f>
        <v>0</v>
      </c>
      <c r="W72" s="443">
        <f>V72*W65</f>
        <v>0</v>
      </c>
      <c r="X72" s="340">
        <f>_xlfn.IFNA(VLOOKUP($D64,tbParentalLeave,2,FALSE),0)</f>
        <v>0</v>
      </c>
      <c r="Y72" s="451">
        <f t="shared" ref="Y72" si="261">X72*Y65</f>
        <v>0</v>
      </c>
      <c r="Z72" s="339">
        <f>_xlfn.IFNA(VLOOKUP($D64,tbParentalLeave,2,FALSE),0)</f>
        <v>0</v>
      </c>
      <c r="AA72" s="443">
        <f>Z72*AA65</f>
        <v>0</v>
      </c>
      <c r="AB72" s="340">
        <f>_xlfn.IFNA(VLOOKUP($D64,tbParentalLeave,2,FALSE),0)</f>
        <v>0</v>
      </c>
      <c r="AC72" s="451">
        <f t="shared" ref="AC72" si="262">AB72*AC65</f>
        <v>0</v>
      </c>
      <c r="AD72" s="335"/>
      <c r="AE72" s="1152"/>
      <c r="AF72" s="1152"/>
      <c r="AG72" s="1152"/>
      <c r="AH72" s="1152"/>
      <c r="AI72" s="1152"/>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row>
    <row r="73" spans="1:56" x14ac:dyDescent="0.3">
      <c r="A73" s="1182"/>
      <c r="B73" s="1379"/>
      <c r="C73" s="1379"/>
      <c r="D73" s="1379"/>
      <c r="E73" s="1379"/>
      <c r="F73" s="1379"/>
      <c r="G73" s="1379"/>
      <c r="H73" s="1380"/>
      <c r="I73" s="437" t="s">
        <v>320</v>
      </c>
      <c r="J73" s="438">
        <f>vl_overridden_uom_oncosts_per</f>
        <v>0</v>
      </c>
      <c r="K73" s="445">
        <f>J73*K65</f>
        <v>0</v>
      </c>
      <c r="L73" s="438">
        <f>vl_overridden_uom_oncosts_per</f>
        <v>0</v>
      </c>
      <c r="M73" s="445">
        <f>L73*M65</f>
        <v>0</v>
      </c>
      <c r="N73" s="438">
        <f>vl_overridden_uom_oncosts_per</f>
        <v>0</v>
      </c>
      <c r="O73" s="445">
        <f t="shared" ref="O73" si="263">N73*O65</f>
        <v>0</v>
      </c>
      <c r="P73" s="438">
        <f>vl_overridden_uom_oncosts_per</f>
        <v>0</v>
      </c>
      <c r="Q73" s="445">
        <f t="shared" ref="Q73" si="264">P73*Q65</f>
        <v>0</v>
      </c>
      <c r="R73" s="438">
        <f>vl_overridden_uom_oncosts_per</f>
        <v>0</v>
      </c>
      <c r="S73" s="445">
        <f t="shared" ref="S73" si="265">R73*S65</f>
        <v>0</v>
      </c>
      <c r="T73" s="438">
        <f>vl_overridden_uom_oncosts_per</f>
        <v>0</v>
      </c>
      <c r="U73" s="445">
        <f t="shared" ref="U73" si="266">T73*U65</f>
        <v>0</v>
      </c>
      <c r="V73" s="438">
        <f>vl_overridden_uom_oncosts_per</f>
        <v>0</v>
      </c>
      <c r="W73" s="445">
        <f t="shared" ref="W73" si="267">V73*W65</f>
        <v>0</v>
      </c>
      <c r="X73" s="438">
        <f>vl_overridden_uom_oncosts_per</f>
        <v>0</v>
      </c>
      <c r="Y73" s="445">
        <f t="shared" ref="Y73" si="268">X73*Y65</f>
        <v>0</v>
      </c>
      <c r="Z73" s="438">
        <f>vl_overridden_uom_oncosts_per</f>
        <v>0</v>
      </c>
      <c r="AA73" s="445">
        <f t="shared" ref="AA73" si="269">Z73*AA65</f>
        <v>0</v>
      </c>
      <c r="AB73" s="438">
        <f>vl_overridden_uom_oncosts_per</f>
        <v>0</v>
      </c>
      <c r="AC73" s="445">
        <f t="shared" ref="AC73" si="270">AB73*AC65</f>
        <v>0</v>
      </c>
      <c r="AD73" s="335"/>
      <c r="AE73" s="1152"/>
      <c r="AF73" s="1152"/>
      <c r="AG73" s="1152"/>
      <c r="AH73" s="1152"/>
      <c r="AI73" s="1152"/>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row>
    <row r="74" spans="1:56" x14ac:dyDescent="0.3">
      <c r="A74" s="1182"/>
      <c r="B74" s="1379"/>
      <c r="C74" s="1379"/>
      <c r="D74" s="1379"/>
      <c r="E74" s="1379"/>
      <c r="F74" s="1379"/>
      <c r="G74" s="1379"/>
      <c r="H74" s="1380"/>
      <c r="I74" s="341" t="s">
        <v>321</v>
      </c>
      <c r="J74" s="342"/>
      <c r="K74" s="444">
        <f>SUM(K68:K73)</f>
        <v>0</v>
      </c>
      <c r="L74" s="342"/>
      <c r="M74" s="444">
        <f t="shared" ref="M74" si="271">SUM(M68:M73)</f>
        <v>0</v>
      </c>
      <c r="N74" s="342"/>
      <c r="O74" s="444">
        <f t="shared" ref="O74" si="272">SUM(O68:O73)</f>
        <v>0</v>
      </c>
      <c r="P74" s="342"/>
      <c r="Q74" s="444">
        <f t="shared" ref="Q74" si="273">SUM(Q68:Q73)</f>
        <v>0</v>
      </c>
      <c r="R74" s="342"/>
      <c r="S74" s="444">
        <f t="shared" ref="S74" si="274">SUM(S68:S73)</f>
        <v>0</v>
      </c>
      <c r="T74" s="342"/>
      <c r="U74" s="444">
        <f t="shared" ref="U74" si="275">SUM(U68:U73)</f>
        <v>0</v>
      </c>
      <c r="V74" s="342"/>
      <c r="W74" s="444">
        <f t="shared" ref="W74" si="276">SUM(W68:W73)</f>
        <v>0</v>
      </c>
      <c r="X74" s="342"/>
      <c r="Y74" s="444">
        <f t="shared" ref="Y74" si="277">SUM(Y68:Y73)</f>
        <v>0</v>
      </c>
      <c r="Z74" s="342"/>
      <c r="AA74" s="444">
        <f t="shared" ref="AA74" si="278">SUM(AA68:AA73)</f>
        <v>0</v>
      </c>
      <c r="AB74" s="342"/>
      <c r="AC74" s="444">
        <f t="shared" ref="AC74" si="279">SUM(AC68:AC73)</f>
        <v>0</v>
      </c>
      <c r="AD74" s="335">
        <f t="shared" si="77"/>
        <v>0</v>
      </c>
      <c r="AE74" s="1152"/>
      <c r="AF74" s="1152"/>
      <c r="AG74" s="1152"/>
      <c r="AH74" s="1152"/>
      <c r="AI74" s="1152"/>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row>
    <row r="75" spans="1:56" x14ac:dyDescent="0.3">
      <c r="A75" s="1182"/>
      <c r="B75" s="1379"/>
      <c r="C75" s="1379"/>
      <c r="D75" s="1379"/>
      <c r="E75" s="1379"/>
      <c r="F75" s="1379"/>
      <c r="G75" s="1379"/>
      <c r="H75" s="1380"/>
      <c r="I75" s="336" t="s">
        <v>322</v>
      </c>
      <c r="J75" s="339">
        <f>_xlfn.IFNA(VLOOKUP($D64,tbAnnualLeaveProvision,2,FALSE),0)</f>
        <v>0</v>
      </c>
      <c r="K75" s="443">
        <f>J75*K65</f>
        <v>0</v>
      </c>
      <c r="L75" s="340">
        <f>_xlfn.IFNA(VLOOKUP($D64,tbAnnualLeaveProvision,2,FALSE),0)</f>
        <v>0</v>
      </c>
      <c r="M75" s="451">
        <f t="shared" ref="M75" si="280">L75*M65</f>
        <v>0</v>
      </c>
      <c r="N75" s="339">
        <f>_xlfn.IFNA(VLOOKUP($D64,tbAnnualLeaveProvision,2,FALSE),0)</f>
        <v>0</v>
      </c>
      <c r="O75" s="443">
        <f>N75*O65</f>
        <v>0</v>
      </c>
      <c r="P75" s="340">
        <f>_xlfn.IFNA(VLOOKUP($D64,tbAnnualLeaveProvision,2,FALSE),0)</f>
        <v>0</v>
      </c>
      <c r="Q75" s="451">
        <f t="shared" ref="Q75" si="281">P75*Q65</f>
        <v>0</v>
      </c>
      <c r="R75" s="339">
        <f>_xlfn.IFNA(VLOOKUP($D64,tbAnnualLeaveProvision,2,FALSE),0)</f>
        <v>0</v>
      </c>
      <c r="S75" s="443">
        <f>R75*S65</f>
        <v>0</v>
      </c>
      <c r="T75" s="340">
        <f>_xlfn.IFNA(VLOOKUP($D64,tbAnnualLeaveProvision,2,FALSE),0)</f>
        <v>0</v>
      </c>
      <c r="U75" s="451">
        <f t="shared" ref="U75" si="282">T75*U65</f>
        <v>0</v>
      </c>
      <c r="V75" s="339">
        <f>_xlfn.IFNA(VLOOKUP($D64,tbAnnualLeaveProvision,2,FALSE),0)</f>
        <v>0</v>
      </c>
      <c r="W75" s="443">
        <f>V75*W65</f>
        <v>0</v>
      </c>
      <c r="X75" s="340">
        <f>_xlfn.IFNA(VLOOKUP($D64,tbAnnualLeaveProvision,2,FALSE),0)</f>
        <v>0</v>
      </c>
      <c r="Y75" s="451">
        <f t="shared" ref="Y75" si="283">X75*Y65</f>
        <v>0</v>
      </c>
      <c r="Z75" s="339">
        <f>_xlfn.IFNA(VLOOKUP($D64,tbAnnualLeaveProvision,2,FALSE),0)</f>
        <v>0</v>
      </c>
      <c r="AA75" s="443">
        <f>Z75*AA65</f>
        <v>0</v>
      </c>
      <c r="AB75" s="340">
        <f>_xlfn.IFNA(VLOOKUP($D64,tbAnnualLeaveProvision,2,FALSE),0)</f>
        <v>0</v>
      </c>
      <c r="AC75" s="451">
        <f t="shared" ref="AC75" si="284">AB75*AC65</f>
        <v>0</v>
      </c>
      <c r="AD75" s="335"/>
      <c r="AE75" s="1152"/>
      <c r="AF75" s="1152"/>
      <c r="AG75" s="1152"/>
      <c r="AH75" s="1152"/>
      <c r="AI75" s="1152"/>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row>
    <row r="76" spans="1:56" x14ac:dyDescent="0.3">
      <c r="A76" s="1182"/>
      <c r="B76" s="1379"/>
      <c r="C76" s="1379"/>
      <c r="D76" s="1379"/>
      <c r="E76" s="1379"/>
      <c r="F76" s="1379"/>
      <c r="G76" s="1379"/>
      <c r="H76" s="1380"/>
      <c r="I76" s="336" t="s">
        <v>330</v>
      </c>
      <c r="J76" s="339"/>
      <c r="K76" s="446">
        <f>K74+K75</f>
        <v>0</v>
      </c>
      <c r="L76" s="340"/>
      <c r="M76" s="452">
        <f t="shared" ref="M76" si="285">M74+M75</f>
        <v>0</v>
      </c>
      <c r="N76" s="339"/>
      <c r="O76" s="446">
        <f>O74+O75</f>
        <v>0</v>
      </c>
      <c r="P76" s="340"/>
      <c r="Q76" s="452">
        <f t="shared" ref="Q76" si="286">Q74+Q75</f>
        <v>0</v>
      </c>
      <c r="R76" s="339"/>
      <c r="S76" s="446">
        <f>S74+S75</f>
        <v>0</v>
      </c>
      <c r="T76" s="340"/>
      <c r="U76" s="452">
        <f t="shared" ref="U76" si="287">U74+U75</f>
        <v>0</v>
      </c>
      <c r="V76" s="339"/>
      <c r="W76" s="446">
        <f>W74+W75</f>
        <v>0</v>
      </c>
      <c r="X76" s="340"/>
      <c r="Y76" s="452">
        <f t="shared" ref="Y76" si="288">Y74+Y75</f>
        <v>0</v>
      </c>
      <c r="Z76" s="339"/>
      <c r="AA76" s="446">
        <f>AA74+AA75</f>
        <v>0</v>
      </c>
      <c r="AB76" s="340"/>
      <c r="AC76" s="452">
        <f t="shared" ref="AC76" si="289">AC74+AC75</f>
        <v>0</v>
      </c>
      <c r="AD76" s="335"/>
      <c r="AE76" s="1152"/>
      <c r="AF76" s="1152"/>
      <c r="AG76" s="1152"/>
      <c r="AH76" s="1152"/>
      <c r="AI76" s="1152"/>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row>
    <row r="77" spans="1:56" x14ac:dyDescent="0.3">
      <c r="A77" s="1182"/>
      <c r="B77" s="1379"/>
      <c r="C77" s="1379"/>
      <c r="D77" s="1379"/>
      <c r="E77" s="1379"/>
      <c r="F77" s="1379"/>
      <c r="G77" s="1379"/>
      <c r="H77" s="1380"/>
      <c r="I77" s="343" t="s">
        <v>324</v>
      </c>
      <c r="J77" s="344"/>
      <c r="K77" s="443">
        <f>IFERROR(-(K74/vl_working_days_per_year)*J77,0)</f>
        <v>0</v>
      </c>
      <c r="L77" s="345"/>
      <c r="M77" s="451">
        <f>IFERROR(-(M74/vl_working_days_per_year)*L77,0)</f>
        <v>0</v>
      </c>
      <c r="N77" s="344"/>
      <c r="O77" s="443">
        <f>-(O74/vl_working_days_per_year)*N77</f>
        <v>0</v>
      </c>
      <c r="P77" s="345"/>
      <c r="Q77" s="451">
        <f>-(Q74/vl_working_days_per_year)*P77</f>
        <v>0</v>
      </c>
      <c r="R77" s="344"/>
      <c r="S77" s="443">
        <f>-(S74/vl_working_days_per_year)*R77</f>
        <v>0</v>
      </c>
      <c r="T77" s="345"/>
      <c r="U77" s="451">
        <f>-(U74/vl_working_days_per_year)*T77</f>
        <v>0</v>
      </c>
      <c r="V77" s="344"/>
      <c r="W77" s="443">
        <f>-(W74/vl_working_days_per_year)*V77</f>
        <v>0</v>
      </c>
      <c r="X77" s="345"/>
      <c r="Y77" s="451">
        <f>-(Y74/vl_working_days_per_year)*X77</f>
        <v>0</v>
      </c>
      <c r="Z77" s="344"/>
      <c r="AA77" s="443">
        <f>-(AA74/vl_working_days_per_year)*Z77</f>
        <v>0</v>
      </c>
      <c r="AB77" s="345"/>
      <c r="AC77" s="451">
        <f>-(AC74/vl_working_days_per_year)*AB77</f>
        <v>0</v>
      </c>
      <c r="AD77" s="335">
        <f t="shared" si="77"/>
        <v>0</v>
      </c>
      <c r="AE77" s="1152"/>
      <c r="AF77" s="1152"/>
      <c r="AG77" s="1152"/>
      <c r="AH77" s="1152"/>
      <c r="AI77" s="1152"/>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row>
    <row r="78" spans="1:56" x14ac:dyDescent="0.3">
      <c r="A78" s="1182"/>
      <c r="B78" s="1379"/>
      <c r="C78" s="1379"/>
      <c r="D78" s="1379"/>
      <c r="E78" s="1379"/>
      <c r="F78" s="1379"/>
      <c r="G78" s="1379"/>
      <c r="H78" s="1380"/>
      <c r="I78" s="341" t="s">
        <v>325</v>
      </c>
      <c r="J78" s="346"/>
      <c r="K78" s="444">
        <f>K76+K77</f>
        <v>0</v>
      </c>
      <c r="L78" s="346"/>
      <c r="M78" s="444">
        <f t="shared" ref="M78" si="290">M76+M77</f>
        <v>0</v>
      </c>
      <c r="N78" s="346"/>
      <c r="O78" s="444">
        <f>O76+O77</f>
        <v>0</v>
      </c>
      <c r="P78" s="346"/>
      <c r="Q78" s="444">
        <f t="shared" ref="Q78" si="291">Q76+Q77</f>
        <v>0</v>
      </c>
      <c r="R78" s="346"/>
      <c r="S78" s="444">
        <f>S76+S77</f>
        <v>0</v>
      </c>
      <c r="T78" s="346"/>
      <c r="U78" s="444">
        <f t="shared" ref="U78" si="292">U76+U77</f>
        <v>0</v>
      </c>
      <c r="V78" s="346"/>
      <c r="W78" s="444">
        <f>W76+W77</f>
        <v>0</v>
      </c>
      <c r="X78" s="346"/>
      <c r="Y78" s="444">
        <f t="shared" ref="Y78" si="293">Y76+Y77</f>
        <v>0</v>
      </c>
      <c r="Z78" s="346"/>
      <c r="AA78" s="444">
        <f>AA76+AA77</f>
        <v>0</v>
      </c>
      <c r="AB78" s="346"/>
      <c r="AC78" s="444">
        <f t="shared" ref="AC78" si="294">AC76+AC77</f>
        <v>0</v>
      </c>
      <c r="AD78" s="335">
        <f t="shared" si="77"/>
        <v>0</v>
      </c>
      <c r="AE78" s="1152"/>
      <c r="AF78" s="1152"/>
      <c r="AG78" s="1152"/>
      <c r="AH78" s="1152"/>
      <c r="AI78" s="1152"/>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row>
    <row r="79" spans="1:56" s="1" customFormat="1" ht="15" customHeight="1" x14ac:dyDescent="0.3">
      <c r="A79" s="727"/>
      <c r="B79" s="1379"/>
      <c r="C79" s="1379"/>
      <c r="D79" s="1379"/>
      <c r="E79" s="1379"/>
      <c r="F79" s="1379"/>
      <c r="G79" s="1379"/>
      <c r="H79" s="1380"/>
      <c r="I79" s="382" t="s">
        <v>326</v>
      </c>
      <c r="J79" s="383">
        <f>IFERROR(K79/K65,0)</f>
        <v>0</v>
      </c>
      <c r="K79" s="447">
        <f>SUM(K66:K67,K69:K72,K75)</f>
        <v>0</v>
      </c>
      <c r="L79" s="434">
        <f>IFERROR(M79/M65,0)</f>
        <v>0</v>
      </c>
      <c r="M79" s="453">
        <f t="shared" ref="M79" si="295">SUM(M66:M67,M69:M72,M75)</f>
        <v>0</v>
      </c>
      <c r="N79" s="383">
        <f t="shared" ref="N79" si="296">IFERROR(O79/O65,0)</f>
        <v>0</v>
      </c>
      <c r="O79" s="447">
        <f t="shared" ref="O79" si="297">SUM(O66:O67,O69:O72,O75)</f>
        <v>0</v>
      </c>
      <c r="P79" s="434">
        <f t="shared" ref="P79" si="298">IFERROR(Q79/Q65,0)</f>
        <v>0</v>
      </c>
      <c r="Q79" s="453">
        <f t="shared" ref="Q79" si="299">SUM(Q66:Q67,Q69:Q72,Q75)</f>
        <v>0</v>
      </c>
      <c r="R79" s="383">
        <f t="shared" ref="R79" si="300">IFERROR(S79/S65,0)</f>
        <v>0</v>
      </c>
      <c r="S79" s="447">
        <f t="shared" ref="S79" si="301">SUM(S66:S67,S69:S72,S75)</f>
        <v>0</v>
      </c>
      <c r="T79" s="434">
        <f t="shared" ref="T79" si="302">IFERROR(U79/U65,0)</f>
        <v>0</v>
      </c>
      <c r="U79" s="453">
        <f t="shared" ref="U79" si="303">SUM(U66:U67,U69:U72,U75)</f>
        <v>0</v>
      </c>
      <c r="V79" s="383">
        <f t="shared" ref="V79" si="304">IFERROR(W79/W65,0)</f>
        <v>0</v>
      </c>
      <c r="W79" s="447">
        <f t="shared" ref="W79" si="305">SUM(W66:W67,W69:W72,W75)</f>
        <v>0</v>
      </c>
      <c r="X79" s="434">
        <f t="shared" ref="X79" si="306">IFERROR(Y79/Y65,0)</f>
        <v>0</v>
      </c>
      <c r="Y79" s="453">
        <f t="shared" ref="Y79" si="307">SUM(Y66:Y67,Y69:Y72,Y75)</f>
        <v>0</v>
      </c>
      <c r="Z79" s="383">
        <f t="shared" ref="Z79" si="308">IFERROR(AA79/AA65,0)</f>
        <v>0</v>
      </c>
      <c r="AA79" s="447">
        <f t="shared" ref="AA79" si="309">SUM(AA66:AA67,AA69:AA72,AA75)</f>
        <v>0</v>
      </c>
      <c r="AB79" s="434">
        <f t="shared" ref="AB79" si="310">IFERROR(AC79/AC65,0)</f>
        <v>0</v>
      </c>
      <c r="AC79" s="453">
        <f t="shared" ref="AC79" si="311">SUM(AC66:AC67,AC69:AC72,AC75)</f>
        <v>0</v>
      </c>
      <c r="AD79" s="377">
        <f t="shared" si="77"/>
        <v>0</v>
      </c>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row>
    <row r="80" spans="1:56" x14ac:dyDescent="0.3">
      <c r="A80" s="1182"/>
      <c r="B80" s="1379"/>
      <c r="C80" s="1379"/>
      <c r="D80" s="1379"/>
      <c r="E80" s="1379"/>
      <c r="F80" s="1379"/>
      <c r="G80" s="1379"/>
      <c r="H80" s="1380"/>
      <c r="I80" s="382" t="s">
        <v>327</v>
      </c>
      <c r="J80" s="384">
        <f>pCRSalaries</f>
        <v>2.5</v>
      </c>
      <c r="K80" s="447"/>
      <c r="L80" s="435">
        <f>pCRSalaries</f>
        <v>2.5</v>
      </c>
      <c r="M80" s="453"/>
      <c r="N80" s="384">
        <f>pCRSalaries</f>
        <v>2.5</v>
      </c>
      <c r="O80" s="447"/>
      <c r="P80" s="435">
        <f>pCRSalaries</f>
        <v>2.5</v>
      </c>
      <c r="Q80" s="453"/>
      <c r="R80" s="384">
        <f>pCRSalaries</f>
        <v>2.5</v>
      </c>
      <c r="S80" s="447"/>
      <c r="T80" s="435">
        <f>pCRSalaries</f>
        <v>2.5</v>
      </c>
      <c r="U80" s="453"/>
      <c r="V80" s="384">
        <f>pCRSalaries</f>
        <v>2.5</v>
      </c>
      <c r="W80" s="447"/>
      <c r="X80" s="435">
        <f>pCRSalaries</f>
        <v>2.5</v>
      </c>
      <c r="Y80" s="453"/>
      <c r="Z80" s="384">
        <f>pCRSalaries</f>
        <v>2.5</v>
      </c>
      <c r="AA80" s="447"/>
      <c r="AB80" s="435">
        <f>pCRSalaries</f>
        <v>2.5</v>
      </c>
      <c r="AC80" s="453"/>
      <c r="AD80" s="335"/>
      <c r="AE80" s="1152"/>
      <c r="AF80" s="1152"/>
      <c r="AG80" s="1152"/>
      <c r="AH80" s="1152"/>
      <c r="AI80" s="1152"/>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row>
    <row r="81" spans="1:30" ht="16.2" thickBot="1" x14ac:dyDescent="0.35">
      <c r="A81" s="1182"/>
      <c r="B81" s="710"/>
      <c r="C81" s="347"/>
      <c r="D81" s="347"/>
      <c r="E81" s="347"/>
      <c r="F81" s="347"/>
      <c r="G81" s="347"/>
      <c r="H81" s="347"/>
      <c r="I81" s="436" t="s">
        <v>329</v>
      </c>
      <c r="J81" s="348"/>
      <c r="K81" s="448">
        <f>J80*K76</f>
        <v>0</v>
      </c>
      <c r="L81" s="348"/>
      <c r="M81" s="448">
        <f t="shared" ref="M81" si="312">L80*M76</f>
        <v>0</v>
      </c>
      <c r="N81" s="348"/>
      <c r="O81" s="448">
        <f>N80*O76</f>
        <v>0</v>
      </c>
      <c r="P81" s="348"/>
      <c r="Q81" s="448">
        <f t="shared" ref="Q81" si="313">P80*Q76</f>
        <v>0</v>
      </c>
      <c r="R81" s="348"/>
      <c r="S81" s="448">
        <f>R80*S76</f>
        <v>0</v>
      </c>
      <c r="T81" s="348"/>
      <c r="U81" s="448">
        <f t="shared" ref="U81" si="314">T80*U76</f>
        <v>0</v>
      </c>
      <c r="V81" s="348"/>
      <c r="W81" s="448">
        <f>V80*W76</f>
        <v>0</v>
      </c>
      <c r="X81" s="348"/>
      <c r="Y81" s="448">
        <f t="shared" ref="Y81" si="315">X80*Y76</f>
        <v>0</v>
      </c>
      <c r="Z81" s="348"/>
      <c r="AA81" s="448">
        <f>Z80*AA76</f>
        <v>0</v>
      </c>
      <c r="AB81" s="348"/>
      <c r="AC81" s="448">
        <f t="shared" ref="AC81" si="316">AB80*AC76</f>
        <v>0</v>
      </c>
      <c r="AD81" s="335">
        <f t="shared" si="77"/>
        <v>0</v>
      </c>
    </row>
    <row r="82" spans="1:30" ht="15" thickBot="1" x14ac:dyDescent="0.35">
      <c r="A82" s="1182"/>
      <c r="B82" s="1181"/>
      <c r="C82" s="1181"/>
      <c r="D82" s="1181"/>
      <c r="E82" s="1181"/>
      <c r="F82" s="1181"/>
      <c r="G82" s="1181"/>
      <c r="H82" s="1181"/>
      <c r="I82" s="350"/>
      <c r="J82" s="351"/>
      <c r="K82" s="351"/>
      <c r="L82" s="351"/>
      <c r="M82" s="352"/>
      <c r="N82" s="351"/>
      <c r="O82" s="352"/>
      <c r="P82" s="351"/>
      <c r="Q82" s="352"/>
      <c r="R82" s="351"/>
      <c r="S82" s="352"/>
      <c r="T82" s="351"/>
      <c r="U82" s="352"/>
      <c r="V82" s="351"/>
      <c r="W82" s="352"/>
      <c r="X82" s="351"/>
      <c r="Y82" s="352"/>
      <c r="Z82" s="351"/>
      <c r="AA82" s="352"/>
      <c r="AB82" s="351"/>
      <c r="AC82" s="352"/>
      <c r="AD82" s="353" t="str">
        <f>IF(tbBudgetCurrency="AUD - Australian Dollar","",IFERROR(K82+M82+O82+Q82+S82+U82+W82+Y82+AA82+AC82,0))</f>
        <v/>
      </c>
    </row>
    <row r="83" spans="1:30" x14ac:dyDescent="0.3">
      <c r="A83" s="1182"/>
      <c r="B83" s="356" t="str">
        <f>IF('PART B Staff Costs'!B25="","",'PART B Staff Costs'!B25)</f>
        <v/>
      </c>
      <c r="C83" s="355" t="str">
        <f>IF('PART B Staff Costs'!C25="","",'PART B Staff Costs'!C25)</f>
        <v xml:space="preserve"> </v>
      </c>
      <c r="D83" s="355" t="str">
        <f>IF('PART B Staff Costs'!D25="","",'PART B Staff Costs'!D25)</f>
        <v/>
      </c>
      <c r="E83" s="355" t="str">
        <f>IF('PART B Staff Costs'!E25="","",'PART B Staff Costs'!E25)</f>
        <v/>
      </c>
      <c r="F83" s="355" t="str">
        <f>IF('PART B Staff Costs'!F25="","",'PART B Staff Costs'!F25)</f>
        <v/>
      </c>
      <c r="G83" s="355" t="str">
        <f>IF('PART B Staff Costs'!G25="","",'PART B Staff Costs'!G25)</f>
        <v/>
      </c>
      <c r="H83" s="332" t="str">
        <f t="shared" ref="H83" si="317">CONCATENATE(IF(D83=0,"",D83)," ",IF(E83=0,"",E83)," ",IF(F83=0,"",F83),,IF(OR(G83=0,G83=""),"",CONCATENATE(" (",G83,")")))</f>
        <v xml:space="preserve">  </v>
      </c>
      <c r="I83" s="332" t="s">
        <v>313</v>
      </c>
      <c r="J83" s="333">
        <f>_xlfn.IFNA('PART B Staff Costs'!H25*'PART B Staff Costs'!J$10,0)*new_xrate</f>
        <v>0</v>
      </c>
      <c r="K83" s="441"/>
      <c r="L83" s="334">
        <f>_xlfn.IFNA(IF(pStartYear+1&gt;pEndYear,0,VLOOKUP(CONCATENATE(
IF(OR($D83="Continuing",$D83="Fixed-Term"),"Fortnight",IF($D83="Casual","Casual",)),
$E83,
IF(OR($D83="Continuing",$D83="Fixed-Term"),
IF(LEFT($F83,6)="UOM 10","UOM 10",(LEFT($F83,LEN($F83)-1)&amp;MIN(RIGHT($F83,1)+COUNTIFS($J84:K84,"&gt;0")/2,VLOOKUP(LEFT($F83,LEN($F83)-2),tSalaryMax,2,FALSE)))),
IF($D83="Casual",
$F83,))
),tSalaryRate,5,FALSE)*VLOOKUP($G83,tSalaryRateMultiplier,2,FALSE)*'PART B Staff Costs'!L$10),0)*new_xrate</f>
        <v>0</v>
      </c>
      <c r="M83" s="449"/>
      <c r="N83" s="333">
        <f>_xlfn.IFNA(IF(pStartYear+2&gt;pEndYear,0,VLOOKUP(CONCATENATE(
IF(OR($D83="Continuing",$D83="Fixed-Term"),"Fortnight",IF($D83="Casual","Casual",)),
$E83,
IF(OR($D83="Continuing",$D83="Fixed-Term"),
IF(LEFT($F83,6)="UOM 10","UOM 10",(LEFT($F83,LEN($F83)-1)&amp;MIN(RIGHT($F83,1)+COUNTIFS($J84:M84,"&gt;0")/2,VLOOKUP(LEFT($F83,LEN($F83)-2),tSalaryMax,2,FALSE)))),
IF($D83="Casual",
$F83,))
),tSalaryRate,5,FALSE)*VLOOKUP($G83,tSalaryRateMultiplier,2,FALSE)*'PART B Staff Costs'!N$10),0)*new_xrate</f>
        <v>0</v>
      </c>
      <c r="O83" s="441"/>
      <c r="P83" s="334">
        <f>_xlfn.IFNA(IF(pStartYear+3&gt;pEndYear,0,VLOOKUP(CONCATENATE(
IF(OR($D83="Continuing",$D83="Fixed-Term"),"Fortnight",IF($D83="Casual","Casual",)),
$E83,
IF(OR($D83="Continuing",$D83="Fixed-Term"),
IF(LEFT($F83,6)="UOM 10","UOM 10",(LEFT($F83,LEN($F83)-1)&amp;MIN(RIGHT($F83,1)+COUNTIFS($J84:O84,"&gt;0")/2,VLOOKUP(LEFT($F83,LEN($F83)-2),tSalaryMax,2,FALSE)))),
IF($D83="Casual",
$F83,))
),tSalaryRate,5,FALSE)*VLOOKUP($G83,tSalaryRateMultiplier,2,FALSE)*'PART B Staff Costs'!P$10),0)*new_xrate</f>
        <v>0</v>
      </c>
      <c r="Q83" s="449"/>
      <c r="R83" s="333">
        <f>_xlfn.IFNA(IF(pStartYear+4&gt;pEndYear,0,VLOOKUP(CONCATENATE(
IF(OR($D83="Continuing",$D83="Fixed-Term"),"Fortnight",IF($D83="Casual","Casual",)),
$E83,
IF(OR($D83="Continuing",$D83="Fixed-Term"),
IF(LEFT($F83,6)="UOM 10","UOM 10",(LEFT($F83,LEN($F83)-1)&amp;MIN(RIGHT($F83,1)+COUNTIFS($J84:Q84,"&gt;0")/2,VLOOKUP(LEFT($F83,LEN($F83)-2),tSalaryMax,2,FALSE)))),
IF($D83="Casual",
$F83,))
),tSalaryRate,5,FALSE)*VLOOKUP($G83,tSalaryRateMultiplier,2,FALSE)*'PART B Staff Costs'!R$10),0)*new_xrate</f>
        <v>0</v>
      </c>
      <c r="S83" s="441"/>
      <c r="T83" s="334">
        <f>_xlfn.IFNA(IF(pStartYear+5&gt;pEndYear,0,VLOOKUP(CONCATENATE(
IF(OR($D83="Continuing",$D83="Fixed-Term"),"Fortnight",IF($D83="Casual","Casual",)),
$E83,
IF(OR($D83="Continuing",$D83="Fixed-Term"),
IF(LEFT($F83,6)="UOM 10","UOM 10",(LEFT($F83,LEN($F83)-1)&amp;MIN(RIGHT($F83,1)+COUNTIFS($J84:S84,"&gt;0")/2,VLOOKUP(LEFT($F83,LEN($F83)-2),tSalaryMax,2,FALSE)))),
IF($D83="Casual",
$F83,))
),tSalaryRate,5,FALSE)*VLOOKUP($G83,tSalaryRateMultiplier,2,FALSE)*'PART B Staff Costs'!T$10),0)*new_xrate</f>
        <v>0</v>
      </c>
      <c r="U83" s="449"/>
      <c r="V83" s="333">
        <f>_xlfn.IFNA(IF(pStartYear+6&gt;pEndYear,0,VLOOKUP(CONCATENATE(
IF(OR($D83="Continuing",$D83="Fixed-Term"),"Fortnight",IF($D83="Casual","Casual",)),
$E83,
IF(OR($D83="Continuing",$D83="Fixed-Term"),
IF(LEFT($F83,6)="UOM 10","UOM 10",(LEFT($F83,LEN($F83)-1)&amp;MIN(RIGHT($F83,1)+COUNTIFS($J84:U84,"&gt;0")/2,VLOOKUP(LEFT($F83,LEN($F83)-2),tSalaryMax,2,FALSE)))),
IF($D83="Casual",
$F83,))
),tSalaryRate,5,FALSE)*VLOOKUP($G83,tSalaryRateMultiplier,2,FALSE)*'PART B Staff Costs'!V$10),0)*new_xrate</f>
        <v>0</v>
      </c>
      <c r="W83" s="441"/>
      <c r="X83" s="334">
        <f>_xlfn.IFNA(IF(pStartYear+7&gt;pEndYear,0,VLOOKUP(CONCATENATE(
IF(OR($D83="Continuing",$D83="Fixed-Term"),"Fortnight",IF($D83="Casual","Casual",)),
$E83,
IF(OR($D83="Continuing",$D83="Fixed-Term"),
IF(LEFT($F83,6)="UOM 10","UOM 10",(LEFT($F83,LEN($F83)-1)&amp;MIN(RIGHT($F83,1)+COUNTIFS($J84:W84,"&gt;0")/2,VLOOKUP(LEFT($F83,LEN($F83)-2),tSalaryMax,2,FALSE)))),
IF($D83="Casual",
$F83,))
),tSalaryRate,5,FALSE)*VLOOKUP($G83,tSalaryRateMultiplier,2,FALSE)*'PART B Staff Costs'!X$10),0)*new_xrate</f>
        <v>0</v>
      </c>
      <c r="Y83" s="449"/>
      <c r="Z83" s="333">
        <f>_xlfn.IFNA(IF(pStartYear+8&gt;pEndYear,0,VLOOKUP(CONCATENATE(
IF(OR($D83="Continuing",$D83="Fixed-Term"),"Fortnight",IF($D83="Casual","Casual",)),
$E83,
IF(OR($D83="Continuing",$D83="Fixed-Term"),
IF(LEFT($F83,6)="UOM 10","UOM 10",(LEFT($F83,LEN($F83)-1)&amp;MIN(RIGHT($F83,1)+COUNTIFS($J84:Y84,"&gt;0")/2,VLOOKUP(LEFT($F83,LEN($F83)-2),tSalaryMax,2,FALSE)))),
IF($D83="Casual",
$F83,))
),tSalaryRate,5,FALSE)*VLOOKUP($G83,tSalaryRateMultiplier,2,FALSE)*'PART B Staff Costs'!Z$10),0)*new_xrate</f>
        <v>0</v>
      </c>
      <c r="AA83" s="441"/>
      <c r="AB83" s="334">
        <f>_xlfn.IFNA(IF(pStartYear+9&gt;pEndYear,0,VLOOKUP(CONCATENATE(
IF(OR($D83="Continuing",$D83="Fixed-Term"),"Fortnight",IF($D83="Casual","Casual",)),
$E83,
IF(OR($D83="Continuing",$D83="Fixed-Term"),
IF(LEFT($F83,6)="UOM 10","UOM 10",(LEFT($F83,LEN($F83)-1)&amp;MIN(RIGHT($F83,1)+COUNTIFS($J84:AA84,"&gt;0")/2,VLOOKUP(LEFT($F83,LEN($F83)-2),tSalaryMax,2,FALSE)))),
IF($D83="Casual",
$F83,))
),tSalaryRate,5,FALSE)*VLOOKUP($G83,tSalaryRateMultiplier,2,FALSE)*'PART B Staff Costs'!AB$10),0)*new_xrate</f>
        <v>0</v>
      </c>
      <c r="AC83" s="449"/>
      <c r="AD83" s="335"/>
    </row>
    <row r="84" spans="1:30" x14ac:dyDescent="0.3">
      <c r="A84" s="1182"/>
      <c r="B84" s="1377"/>
      <c r="C84" s="1377"/>
      <c r="D84" s="1377"/>
      <c r="E84" s="1377"/>
      <c r="F84" s="1377"/>
      <c r="G84" s="1377"/>
      <c r="H84" s="1378"/>
      <c r="I84" s="336" t="str">
        <f>IF('PART B Staff Costs'!G79&lt;&gt;"",CONCATENATE("Time/Requested salary"," (",'PART B Staff Costs'!G79,")"),"Time/Requested salary")</f>
        <v>Time/Requested salary</v>
      </c>
      <c r="J84" s="337">
        <f>_xlfn.IFNA('PART B Staff Costs'!I25,0)</f>
        <v>0</v>
      </c>
      <c r="K84" s="442">
        <f>IF('PART B Staff Costs'!$G$25="FTE",J84*J83*(First_year_fraction/12),J84*J83)</f>
        <v>0</v>
      </c>
      <c r="L84" s="338">
        <f>_xlfn.IFNA('PART B Staff Costs'!K25,0)</f>
        <v>0</v>
      </c>
      <c r="M84" s="450">
        <f>IF(pStartYear+1=pEndYear,IF('PART B Staff Costs'!$G$25="FTE",(L84*L83)*Last_Year_Fraction/12,L84*L83),L84*L83)</f>
        <v>0</v>
      </c>
      <c r="N84" s="337">
        <f>_xlfn.IFNA('PART B Staff Costs'!M25,0)</f>
        <v>0</v>
      </c>
      <c r="O84" s="442">
        <f>IF(pStartYear+2=pEndYear,IF('PART B Staff Costs'!$G$25="FTE",(N84*N83)*Last_Year_Fraction/12,N84*N83),N84*N83)</f>
        <v>0</v>
      </c>
      <c r="P84" s="338">
        <f>_xlfn.IFNA('PART B Staff Costs'!O25,0)</f>
        <v>0</v>
      </c>
      <c r="Q84" s="450">
        <f>IF(pStartYear+3=pEndYear,IF('PART B Staff Costs'!$G$25="FTE",(P84*P83)*Last_Year_Fraction/12,P84*P83),P84*P83)</f>
        <v>0</v>
      </c>
      <c r="R84" s="337">
        <f>_xlfn.IFNA('PART B Staff Costs'!Q25,0)</f>
        <v>0</v>
      </c>
      <c r="S84" s="442">
        <f>IF(pStartYear+4=pEndYear,IF('PART B Staff Costs'!$G$25="FTE",(R84*R83)*Last_Year_Fraction/12,R84*R83),R84*R83)</f>
        <v>0</v>
      </c>
      <c r="T84" s="338">
        <f>_xlfn.IFNA('PART B Staff Costs'!S25,0)</f>
        <v>0</v>
      </c>
      <c r="U84" s="450">
        <f>IF(pStartYear+5=pEndYear,IF('PART B Staff Costs'!$G$25="FTE",(T84*T83)*Last_Year_Fraction/12,T84*T83),T84*T83)</f>
        <v>0</v>
      </c>
      <c r="V84" s="337">
        <f>_xlfn.IFNA('PART B Staff Costs'!U25,0)</f>
        <v>0</v>
      </c>
      <c r="W84" s="442">
        <f>IF(pStartYear+6=pEndYear,IF('PART B Staff Costs'!$G$25="FTE",(V84*V83)*Last_Year_Fraction/12,V84*V83),V84*V83)</f>
        <v>0</v>
      </c>
      <c r="X84" s="338">
        <f>_xlfn.IFNA('PART B Staff Costs'!W25,0)</f>
        <v>0</v>
      </c>
      <c r="Y84" s="450">
        <f>IF(pStartYear+7=pEndYear,IF('PART B Staff Costs'!$G$25="FTE",(X84*X83)*Last_Year_Fraction/12,X84*X83),X84*X83)</f>
        <v>0</v>
      </c>
      <c r="Z84" s="337">
        <f>_xlfn.IFNA('PART B Staff Costs'!Y25,0)</f>
        <v>0</v>
      </c>
      <c r="AA84" s="442">
        <f>IF(pStartYear+8=pEndYear,IF('PART B Staff Costs'!$G$25="FTE",(Z84*Z83)*Last_Year_Fraction/12,Z84*Z83),Z84*Z83)</f>
        <v>0</v>
      </c>
      <c r="AB84" s="338">
        <f>_xlfn.IFNA('PART B Staff Costs'!AA25,0)</f>
        <v>0</v>
      </c>
      <c r="AC84" s="450">
        <f>IF(pStartYear+9=pEndYear,IF('PART B Staff Costs'!$G$25="FTE",(AB84*AB83)*Last_Year_Fraction/12,AB84*AB83),AB84*AB83)</f>
        <v>0</v>
      </c>
      <c r="AD84" s="335"/>
    </row>
    <row r="85" spans="1:30" x14ac:dyDescent="0.3">
      <c r="A85" s="1182"/>
      <c r="B85" s="1379"/>
      <c r="C85" s="1379"/>
      <c r="D85" s="1379"/>
      <c r="E85" s="1379"/>
      <c r="F85" s="1379"/>
      <c r="G85" s="1379"/>
      <c r="H85" s="1380"/>
      <c r="I85" s="336" t="str">
        <f>IF(tbBudgetCurrency="AUD - Australian Dollar",CONCATENATE("Leave Loading (max of AU$",vl_Max_Leave_Loading,")"),CONCATENATE("Leave Loading (max of ",ROUND(vl_Max_Leave_Loading*new_xrate,2)," ",LEFT(tbBudgetCurrency,3),")"))</f>
        <v>Leave Loading (max of AU$1611.3)</v>
      </c>
      <c r="J85" s="339">
        <f>_xlfn.IFNA(VLOOKUP($D83,tbLeaveLoading,2,FALSE),0)</f>
        <v>0</v>
      </c>
      <c r="K85" s="443">
        <f>IF(K84*J85&gt;vl_Max_Leave_Loading*new_xrate,vl_Max_Leave_Loading*new_xrate,K84*J85)</f>
        <v>0</v>
      </c>
      <c r="L85" s="340">
        <f>_xlfn.IFNA(VLOOKUP($D83,tbLeaveLoading,2,FALSE),0)</f>
        <v>0</v>
      </c>
      <c r="M85" s="451">
        <f>IF(M84*L85&gt;vl_Max_Leave_Loading*new_xrate,vl_Max_Leave_Loading*new_xrate,M84*L85)</f>
        <v>0</v>
      </c>
      <c r="N85" s="339">
        <f>_xlfn.IFNA(VLOOKUP($D83,tbLeaveLoading,2,FALSE),0)</f>
        <v>0</v>
      </c>
      <c r="O85" s="443">
        <f>IF(O84*N85&gt;vl_Max_Leave_Loading*new_xrate,vl_Max_Leave_Loading*new_xrate,O84*N85)</f>
        <v>0</v>
      </c>
      <c r="P85" s="340">
        <f>_xlfn.IFNA(VLOOKUP($D83,tbLeaveLoading,2,FALSE),0)</f>
        <v>0</v>
      </c>
      <c r="Q85" s="451">
        <f>IF(Q84*P85&gt;vl_Max_Leave_Loading*new_xrate,vl_Max_Leave_Loading*new_xrate,Q84*P85)</f>
        <v>0</v>
      </c>
      <c r="R85" s="339">
        <f>_xlfn.IFNA(VLOOKUP($D83,tbLeaveLoading,2,FALSE),0)</f>
        <v>0</v>
      </c>
      <c r="S85" s="443">
        <f>IF(S84*R85&gt;vl_Max_Leave_Loading*new_xrate,vl_Max_Leave_Loading*new_xrate,S84*R85)</f>
        <v>0</v>
      </c>
      <c r="T85" s="340">
        <f>_xlfn.IFNA(VLOOKUP($D83,tbLeaveLoading,2,FALSE),0)</f>
        <v>0</v>
      </c>
      <c r="U85" s="451">
        <f>IF(U84*T85&gt;vl_Max_Leave_Loading*new_xrate,vl_Max_Leave_Loading*new_xrate,U84*T85)</f>
        <v>0</v>
      </c>
      <c r="V85" s="339">
        <f>_xlfn.IFNA(VLOOKUP($D83,tbLeaveLoading,2,FALSE),0)</f>
        <v>0</v>
      </c>
      <c r="W85" s="443">
        <f>IF(W84*V85&gt;vl_Max_Leave_Loading*new_xrate,vl_Max_Leave_Loading*new_xrate,W84*V85)</f>
        <v>0</v>
      </c>
      <c r="X85" s="340">
        <f>_xlfn.IFNA(VLOOKUP($D83,tbLeaveLoading,2,FALSE),0)</f>
        <v>0</v>
      </c>
      <c r="Y85" s="451">
        <f>IF(Y84*X85&gt;vl_Max_Leave_Loading*new_xrate,vl_Max_Leave_Loading*new_xrate,Y84*X85)</f>
        <v>0</v>
      </c>
      <c r="Z85" s="339">
        <f>_xlfn.IFNA(VLOOKUP($D83,tbLeaveLoading,2,FALSE),0)</f>
        <v>0</v>
      </c>
      <c r="AA85" s="443">
        <f>IF(AA84*Z85&gt;vl_Max_Leave_Loading*new_xrate,vl_Max_Leave_Loading*new_xrate,AA84*Z85)</f>
        <v>0</v>
      </c>
      <c r="AB85" s="340">
        <f>_xlfn.IFNA(VLOOKUP($D83,tbLeaveLoading,2,FALSE),0)</f>
        <v>0</v>
      </c>
      <c r="AC85" s="451">
        <f>IF(AC84*AB85&gt;vl_Max_Leave_Loading*new_xrate,vl_Max_Leave_Loading*new_xrate,AC84*AB85)</f>
        <v>0</v>
      </c>
      <c r="AD85" s="335"/>
    </row>
    <row r="86" spans="1:30" x14ac:dyDescent="0.3">
      <c r="A86" s="1182"/>
      <c r="B86" s="1379"/>
      <c r="C86" s="1379"/>
      <c r="D86" s="1379"/>
      <c r="E86" s="1379"/>
      <c r="F86" s="1379"/>
      <c r="G86" s="1379"/>
      <c r="H86" s="1380"/>
      <c r="I86" s="336" t="s">
        <v>314</v>
      </c>
      <c r="J86" s="339">
        <f>_xlfn.IFNA(_xlfn.IFNA(VLOOKUP(CONCATENATE(pStartYear,$D83),tbSuperannuation,4,FALSE),VLOOKUP($D83,tbSuperannuation2026onwards,2,FALSE)),0)</f>
        <v>0</v>
      </c>
      <c r="K86" s="443">
        <f>K84*J86</f>
        <v>0</v>
      </c>
      <c r="L86" s="340">
        <f>_xlfn.IFNA(_xlfn.IFNA(VLOOKUP(CONCATENATE(pStartYear+1,$D83),tbSuperannuation,4,FALSE),VLOOKUP($D83,tbSuperannuation2026onwards,2,FALSE)),0)</f>
        <v>0</v>
      </c>
      <c r="M86" s="451">
        <f t="shared" ref="M86" si="318">M84*L86</f>
        <v>0</v>
      </c>
      <c r="N86" s="339">
        <f>_xlfn.IFNA(_xlfn.IFNA(VLOOKUP(CONCATENATE(pStartYear+2,$D83),tbSuperannuation,4,FALSE),VLOOKUP($D83,tbSuperannuation2026onwards,2,FALSE)),0)</f>
        <v>0</v>
      </c>
      <c r="O86" s="443">
        <f>O84*N86</f>
        <v>0</v>
      </c>
      <c r="P86" s="340">
        <f>_xlfn.IFNA(_xlfn.IFNA(VLOOKUP(CONCATENATE(pStartYear+3,$D83),tbSuperannuation,4,FALSE),VLOOKUP($D83,tbSuperannuation2026onwards,2,FALSE)),0)</f>
        <v>0</v>
      </c>
      <c r="Q86" s="451">
        <f t="shared" ref="Q86" si="319">Q84*P86</f>
        <v>0</v>
      </c>
      <c r="R86" s="339">
        <f>_xlfn.IFNA(_xlfn.IFNA(VLOOKUP(CONCATENATE(pStartYear+4,$D83),tbSuperannuation,4,FALSE),VLOOKUP($D83,tbSuperannuation2026onwards,2,FALSE)),0)</f>
        <v>0</v>
      </c>
      <c r="S86" s="443">
        <f>S84*R86</f>
        <v>0</v>
      </c>
      <c r="T86" s="340">
        <f>_xlfn.IFNA(_xlfn.IFNA(VLOOKUP(CONCATENATE(pStartYear+5,$D83),tbSuperannuation,4,FALSE),VLOOKUP($D83,tbSuperannuation2026onwards,2,FALSE)),0)</f>
        <v>0</v>
      </c>
      <c r="U86" s="451">
        <f t="shared" ref="U86" si="320">U84*T86</f>
        <v>0</v>
      </c>
      <c r="V86" s="339">
        <f>_xlfn.IFNA(_xlfn.IFNA(VLOOKUP(CONCATENATE(pStartYear+6,$D83),tbSuperannuation,4,FALSE),VLOOKUP($D83,tbSuperannuation2026onwards,2,FALSE)),0)</f>
        <v>0</v>
      </c>
      <c r="W86" s="443">
        <f>W84*V86</f>
        <v>0</v>
      </c>
      <c r="X86" s="340">
        <f>_xlfn.IFNA(_xlfn.IFNA(VLOOKUP(CONCATENATE(pStartYear+7,$D83),tbSuperannuation,4,FALSE),VLOOKUP($D83,tbSuperannuation2026onwards,2,FALSE)),0)</f>
        <v>0</v>
      </c>
      <c r="Y86" s="451">
        <f t="shared" ref="Y86" si="321">Y84*X86</f>
        <v>0</v>
      </c>
      <c r="Z86" s="339">
        <f>_xlfn.IFNA(_xlfn.IFNA(VLOOKUP(CONCATENATE(pStartYear+8,$D83),tbSuperannuation,4,FALSE),VLOOKUP($D83,tbSuperannuation2026onwards,2,FALSE)),0)</f>
        <v>0</v>
      </c>
      <c r="AA86" s="443">
        <f>AA84*Z86</f>
        <v>0</v>
      </c>
      <c r="AB86" s="340">
        <f>_xlfn.IFNA(_xlfn.IFNA(VLOOKUP(CONCATENATE(pStartYear+9,$D83),tbSuperannuation,4,FALSE),VLOOKUP($D83,tbSuperannuation2026onwards,2,FALSE)),0)</f>
        <v>0</v>
      </c>
      <c r="AC86" s="451">
        <f t="shared" ref="AC86" si="322">AC84*AB86</f>
        <v>0</v>
      </c>
      <c r="AD86" s="335"/>
    </row>
    <row r="87" spans="1:30" x14ac:dyDescent="0.3">
      <c r="A87" s="1182"/>
      <c r="B87" s="1379"/>
      <c r="C87" s="1379"/>
      <c r="D87" s="1379"/>
      <c r="E87" s="1379"/>
      <c r="F87" s="1379"/>
      <c r="G87" s="1379"/>
      <c r="H87" s="1380"/>
      <c r="I87" s="341" t="s">
        <v>315</v>
      </c>
      <c r="J87" s="342"/>
      <c r="K87" s="444">
        <f>K85+K86+K84</f>
        <v>0</v>
      </c>
      <c r="L87" s="342"/>
      <c r="M87" s="444">
        <f t="shared" ref="M87" si="323">M85+M86+M84</f>
        <v>0</v>
      </c>
      <c r="N87" s="342"/>
      <c r="O87" s="444">
        <f>O85+O86+O84</f>
        <v>0</v>
      </c>
      <c r="P87" s="342"/>
      <c r="Q87" s="444">
        <f t="shared" ref="Q87" si="324">Q85+Q86+Q84</f>
        <v>0</v>
      </c>
      <c r="R87" s="342"/>
      <c r="S87" s="444">
        <f>S85+S86+S84</f>
        <v>0</v>
      </c>
      <c r="T87" s="342"/>
      <c r="U87" s="444">
        <f t="shared" ref="U87" si="325">U85+U86+U84</f>
        <v>0</v>
      </c>
      <c r="V87" s="342"/>
      <c r="W87" s="444">
        <f>W85+W86+W84</f>
        <v>0</v>
      </c>
      <c r="X87" s="342"/>
      <c r="Y87" s="444">
        <f t="shared" ref="Y87" si="326">Y85+Y86+Y84</f>
        <v>0</v>
      </c>
      <c r="Z87" s="342"/>
      <c r="AA87" s="444">
        <f>AA85+AA86+AA84</f>
        <v>0</v>
      </c>
      <c r="AB87" s="342"/>
      <c r="AC87" s="444">
        <f t="shared" ref="AC87" si="327">AC85+AC86+AC84</f>
        <v>0</v>
      </c>
      <c r="AD87" s="335">
        <f t="shared" si="77"/>
        <v>0</v>
      </c>
    </row>
    <row r="88" spans="1:30" x14ac:dyDescent="0.3">
      <c r="A88" s="1182"/>
      <c r="B88" s="1379"/>
      <c r="C88" s="1379"/>
      <c r="D88" s="1379"/>
      <c r="E88" s="1379"/>
      <c r="F88" s="1379"/>
      <c r="G88" s="1379"/>
      <c r="H88" s="1380"/>
      <c r="I88" s="336" t="s">
        <v>316</v>
      </c>
      <c r="J88" s="339">
        <f>_xlfn.IFNA(_xlfn.IFNA(VLOOKUP(pStartYear,tbPayrollTax,2,FALSE),vl_MaxPayrollTax),0)</f>
        <v>5.8500000000000003E-2</v>
      </c>
      <c r="K88" s="443">
        <f>J88*K87</f>
        <v>0</v>
      </c>
      <c r="L88" s="340">
        <f>_xlfn.IFNA(_xlfn.IFNA(VLOOKUP(pStartYear+1,tbPayrollTax,2,FALSE),vl_MaxPayrollTax),0)</f>
        <v>5.8500000000000003E-2</v>
      </c>
      <c r="M88" s="451">
        <f t="shared" ref="M88" si="328">L88*M87</f>
        <v>0</v>
      </c>
      <c r="N88" s="339">
        <f>_xlfn.IFNA(_xlfn.IFNA(VLOOKUP(pStartYear+2,tbPayrollTax,2,FALSE),vl_MaxPayrollTax),0)</f>
        <v>5.8500000000000003E-2</v>
      </c>
      <c r="O88" s="443">
        <f>N88*O87</f>
        <v>0</v>
      </c>
      <c r="P88" s="340">
        <f>_xlfn.IFNA(_xlfn.IFNA(VLOOKUP(pStartYear+3,tbPayrollTax,2,FALSE),vl_MaxPayrollTax),0)</f>
        <v>5.8500000000000003E-2</v>
      </c>
      <c r="Q88" s="451">
        <f t="shared" ref="Q88" si="329">P88*Q87</f>
        <v>0</v>
      </c>
      <c r="R88" s="339">
        <f>_xlfn.IFNA(_xlfn.IFNA(VLOOKUP(pStartYear+4,tbPayrollTax,2,FALSE),vl_MaxPayrollTax),0)</f>
        <v>5.8500000000000003E-2</v>
      </c>
      <c r="S88" s="443">
        <f>R88*S87</f>
        <v>0</v>
      </c>
      <c r="T88" s="340">
        <f>_xlfn.IFNA(_xlfn.IFNA(VLOOKUP(pStartYear+5,tbPayrollTax,2,FALSE),vl_MaxPayrollTax),0)</f>
        <v>5.8500000000000003E-2</v>
      </c>
      <c r="U88" s="451">
        <f t="shared" ref="U88" si="330">T88*U87</f>
        <v>0</v>
      </c>
      <c r="V88" s="339">
        <f>_xlfn.IFNA(_xlfn.IFNA(VLOOKUP(pStartYear+6,tbPayrollTax,2,FALSE),vl_MaxPayrollTax),0)</f>
        <v>5.8500000000000003E-2</v>
      </c>
      <c r="W88" s="443">
        <f>V88*W87</f>
        <v>0</v>
      </c>
      <c r="X88" s="340">
        <f>_xlfn.IFNA(_xlfn.IFNA(VLOOKUP(pStartYear+7,tbPayrollTax,2,FALSE),vl_MaxPayrollTax),0)</f>
        <v>5.8500000000000003E-2</v>
      </c>
      <c r="Y88" s="451">
        <f t="shared" ref="Y88" si="331">X88*Y87</f>
        <v>0</v>
      </c>
      <c r="Z88" s="339">
        <f>_xlfn.IFNA(_xlfn.IFNA(VLOOKUP(pStartYear+8,tbPayrollTax,2,FALSE),vl_MaxPayrollTax),0)</f>
        <v>5.8500000000000003E-2</v>
      </c>
      <c r="AA88" s="443">
        <f>Z88*AA87</f>
        <v>0</v>
      </c>
      <c r="AB88" s="340">
        <f>_xlfn.IFNA(_xlfn.IFNA(VLOOKUP(pStartYear+9,tbPayrollTax,2,FALSE),vl_MaxPayrollTax),0)</f>
        <v>5.8500000000000003E-2</v>
      </c>
      <c r="AC88" s="451">
        <f t="shared" ref="AC88" si="332">AB88*AC87</f>
        <v>0</v>
      </c>
      <c r="AD88" s="335"/>
    </row>
    <row r="89" spans="1:30" x14ac:dyDescent="0.3">
      <c r="A89" s="1182"/>
      <c r="B89" s="1379"/>
      <c r="C89" s="1379"/>
      <c r="D89" s="1379"/>
      <c r="E89" s="1379"/>
      <c r="F89" s="1379"/>
      <c r="G89" s="1379"/>
      <c r="H89" s="1380"/>
      <c r="I89" s="336" t="s">
        <v>317</v>
      </c>
      <c r="J89" s="339">
        <f>_xlfn.IFNA(VLOOKUP($D83,tbWorkCover,2,FALSE),0)</f>
        <v>0</v>
      </c>
      <c r="K89" s="443">
        <f>J89*K87</f>
        <v>0</v>
      </c>
      <c r="L89" s="340">
        <f>_xlfn.IFNA(VLOOKUP($D83,tbWorkCover,2,FALSE),0)</f>
        <v>0</v>
      </c>
      <c r="M89" s="451">
        <f t="shared" ref="M89" si="333">L89*M87</f>
        <v>0</v>
      </c>
      <c r="N89" s="339">
        <f>_xlfn.IFNA(VLOOKUP($D83,tbWorkCover,2,FALSE),0)</f>
        <v>0</v>
      </c>
      <c r="O89" s="443">
        <f>N89*O87</f>
        <v>0</v>
      </c>
      <c r="P89" s="340">
        <f>_xlfn.IFNA(VLOOKUP($D83,tbWorkCover,2,FALSE),0)</f>
        <v>0</v>
      </c>
      <c r="Q89" s="451">
        <f t="shared" ref="Q89" si="334">P89*Q87</f>
        <v>0</v>
      </c>
      <c r="R89" s="339">
        <f>_xlfn.IFNA(VLOOKUP($D83,tbWorkCover,2,FALSE),0)</f>
        <v>0</v>
      </c>
      <c r="S89" s="443">
        <f>R89*S87</f>
        <v>0</v>
      </c>
      <c r="T89" s="340">
        <f>_xlfn.IFNA(VLOOKUP($D83,tbWorkCover,2,FALSE),0)</f>
        <v>0</v>
      </c>
      <c r="U89" s="451">
        <f t="shared" ref="U89" si="335">T89*U87</f>
        <v>0</v>
      </c>
      <c r="V89" s="339">
        <f>_xlfn.IFNA(VLOOKUP($D83,tbWorkCover,2,FALSE),0)</f>
        <v>0</v>
      </c>
      <c r="W89" s="443">
        <f>V89*W87</f>
        <v>0</v>
      </c>
      <c r="X89" s="340">
        <f>_xlfn.IFNA(VLOOKUP($D83,tbWorkCover,2,FALSE),0)</f>
        <v>0</v>
      </c>
      <c r="Y89" s="451">
        <f t="shared" ref="Y89" si="336">X89*Y87</f>
        <v>0</v>
      </c>
      <c r="Z89" s="339">
        <f>_xlfn.IFNA(VLOOKUP($D83,tbWorkCover,2,FALSE),0)</f>
        <v>0</v>
      </c>
      <c r="AA89" s="443">
        <f>Z89*AA87</f>
        <v>0</v>
      </c>
      <c r="AB89" s="340">
        <f>_xlfn.IFNA(VLOOKUP($D83,tbWorkCover,2,FALSE),0)</f>
        <v>0</v>
      </c>
      <c r="AC89" s="451">
        <f t="shared" ref="AC89" si="337">AB89*AC87</f>
        <v>0</v>
      </c>
      <c r="AD89" s="335"/>
    </row>
    <row r="90" spans="1:30" x14ac:dyDescent="0.3">
      <c r="A90" s="1182"/>
      <c r="B90" s="1379"/>
      <c r="C90" s="1379"/>
      <c r="D90" s="1379"/>
      <c r="E90" s="1379"/>
      <c r="F90" s="1379"/>
      <c r="G90" s="1379"/>
      <c r="H90" s="1380"/>
      <c r="I90" s="336" t="s">
        <v>318</v>
      </c>
      <c r="J90" s="339">
        <f>_xlfn.IFNA(VLOOKUP($D83,tbLongServiceLeave,2,FALSE),0)</f>
        <v>0</v>
      </c>
      <c r="K90" s="443">
        <f>J90*K84</f>
        <v>0</v>
      </c>
      <c r="L90" s="340">
        <f>_xlfn.IFNA(VLOOKUP($D83,tbLongServiceLeave,2,FALSE),0)</f>
        <v>0</v>
      </c>
      <c r="M90" s="451">
        <f t="shared" ref="M90" si="338">L90*M84</f>
        <v>0</v>
      </c>
      <c r="N90" s="339">
        <f>_xlfn.IFNA(VLOOKUP($D83,tbLongServiceLeave,2,FALSE),0)</f>
        <v>0</v>
      </c>
      <c r="O90" s="443">
        <f>N90*O84</f>
        <v>0</v>
      </c>
      <c r="P90" s="340">
        <f>_xlfn.IFNA(VLOOKUP($D83,tbLongServiceLeave,2,FALSE),0)</f>
        <v>0</v>
      </c>
      <c r="Q90" s="451">
        <f t="shared" ref="Q90" si="339">P90*Q84</f>
        <v>0</v>
      </c>
      <c r="R90" s="339">
        <f>_xlfn.IFNA(VLOOKUP($D83,tbLongServiceLeave,2,FALSE),0)</f>
        <v>0</v>
      </c>
      <c r="S90" s="443">
        <f>R90*S84</f>
        <v>0</v>
      </c>
      <c r="T90" s="340">
        <f>_xlfn.IFNA(VLOOKUP($D83,tbLongServiceLeave,2,FALSE),0)</f>
        <v>0</v>
      </c>
      <c r="U90" s="451">
        <f t="shared" ref="U90" si="340">T90*U84</f>
        <v>0</v>
      </c>
      <c r="V90" s="339">
        <f>_xlfn.IFNA(VLOOKUP($D83,tbLongServiceLeave,2,FALSE),0)</f>
        <v>0</v>
      </c>
      <c r="W90" s="443">
        <f>V90*W84</f>
        <v>0</v>
      </c>
      <c r="X90" s="340">
        <f>_xlfn.IFNA(VLOOKUP($D83,tbLongServiceLeave,2,FALSE),0)</f>
        <v>0</v>
      </c>
      <c r="Y90" s="451">
        <f t="shared" ref="Y90" si="341">X90*Y84</f>
        <v>0</v>
      </c>
      <c r="Z90" s="339">
        <f>_xlfn.IFNA(VLOOKUP($D83,tbLongServiceLeave,2,FALSE),0)</f>
        <v>0</v>
      </c>
      <c r="AA90" s="443">
        <f>Z90*AA84</f>
        <v>0</v>
      </c>
      <c r="AB90" s="340">
        <f>_xlfn.IFNA(VLOOKUP($D83,tbLongServiceLeave,2,FALSE),0)</f>
        <v>0</v>
      </c>
      <c r="AC90" s="451">
        <f t="shared" ref="AC90" si="342">AB90*AC84</f>
        <v>0</v>
      </c>
      <c r="AD90" s="335"/>
    </row>
    <row r="91" spans="1:30" x14ac:dyDescent="0.3">
      <c r="A91" s="1182"/>
      <c r="B91" s="1379"/>
      <c r="C91" s="1379"/>
      <c r="D91" s="1379"/>
      <c r="E91" s="1379"/>
      <c r="F91" s="1379"/>
      <c r="G91" s="1379"/>
      <c r="H91" s="1380"/>
      <c r="I91" s="336" t="s">
        <v>319</v>
      </c>
      <c r="J91" s="339">
        <f>_xlfn.IFNA(VLOOKUP($D83,tbParentalLeave,2,FALSE),0)</f>
        <v>0</v>
      </c>
      <c r="K91" s="443">
        <f>J91*K84</f>
        <v>0</v>
      </c>
      <c r="L91" s="340">
        <f>_xlfn.IFNA(VLOOKUP($D83,tbParentalLeave,2,FALSE),0)</f>
        <v>0</v>
      </c>
      <c r="M91" s="451">
        <f t="shared" ref="M91" si="343">L91*M84</f>
        <v>0</v>
      </c>
      <c r="N91" s="339">
        <f>_xlfn.IFNA(VLOOKUP($D83,tbParentalLeave,2,FALSE),0)</f>
        <v>0</v>
      </c>
      <c r="O91" s="443">
        <f>N91*O84</f>
        <v>0</v>
      </c>
      <c r="P91" s="340">
        <f>_xlfn.IFNA(VLOOKUP($D83,tbParentalLeave,2,FALSE),0)</f>
        <v>0</v>
      </c>
      <c r="Q91" s="451">
        <f t="shared" ref="Q91" si="344">P91*Q84</f>
        <v>0</v>
      </c>
      <c r="R91" s="339">
        <f>_xlfn.IFNA(VLOOKUP($D83,tbParentalLeave,2,FALSE),0)</f>
        <v>0</v>
      </c>
      <c r="S91" s="443">
        <f>R91*S84</f>
        <v>0</v>
      </c>
      <c r="T91" s="340">
        <f>_xlfn.IFNA(VLOOKUP($D83,tbParentalLeave,2,FALSE),0)</f>
        <v>0</v>
      </c>
      <c r="U91" s="451">
        <f t="shared" ref="U91" si="345">T91*U84</f>
        <v>0</v>
      </c>
      <c r="V91" s="339">
        <f>_xlfn.IFNA(VLOOKUP($D83,tbParentalLeave,2,FALSE),0)</f>
        <v>0</v>
      </c>
      <c r="W91" s="443">
        <f>V91*W84</f>
        <v>0</v>
      </c>
      <c r="X91" s="340">
        <f>_xlfn.IFNA(VLOOKUP($D83,tbParentalLeave,2,FALSE),0)</f>
        <v>0</v>
      </c>
      <c r="Y91" s="451">
        <f t="shared" ref="Y91" si="346">X91*Y84</f>
        <v>0</v>
      </c>
      <c r="Z91" s="339">
        <f>_xlfn.IFNA(VLOOKUP($D83,tbParentalLeave,2,FALSE),0)</f>
        <v>0</v>
      </c>
      <c r="AA91" s="443">
        <f>Z91*AA84</f>
        <v>0</v>
      </c>
      <c r="AB91" s="340">
        <f>_xlfn.IFNA(VLOOKUP($D83,tbParentalLeave,2,FALSE),0)</f>
        <v>0</v>
      </c>
      <c r="AC91" s="451">
        <f t="shared" ref="AC91" si="347">AB91*AC84</f>
        <v>0</v>
      </c>
      <c r="AD91" s="335"/>
    </row>
    <row r="92" spans="1:30" x14ac:dyDescent="0.3">
      <c r="A92" s="1182"/>
      <c r="B92" s="1379"/>
      <c r="C92" s="1379"/>
      <c r="D92" s="1379"/>
      <c r="E92" s="1379"/>
      <c r="F92" s="1379"/>
      <c r="G92" s="1379"/>
      <c r="H92" s="1380"/>
      <c r="I92" s="437" t="s">
        <v>320</v>
      </c>
      <c r="J92" s="438">
        <f>vl_overridden_uom_oncosts_per</f>
        <v>0</v>
      </c>
      <c r="K92" s="445">
        <f>J92*K84</f>
        <v>0</v>
      </c>
      <c r="L92" s="438">
        <f>vl_overridden_uom_oncosts_per</f>
        <v>0</v>
      </c>
      <c r="M92" s="445">
        <f>L92*M84</f>
        <v>0</v>
      </c>
      <c r="N92" s="438">
        <f>vl_overridden_uom_oncosts_per</f>
        <v>0</v>
      </c>
      <c r="O92" s="445">
        <f t="shared" ref="O92" si="348">N92*O84</f>
        <v>0</v>
      </c>
      <c r="P92" s="438">
        <f>vl_overridden_uom_oncosts_per</f>
        <v>0</v>
      </c>
      <c r="Q92" s="445">
        <f t="shared" ref="Q92" si="349">P92*Q84</f>
        <v>0</v>
      </c>
      <c r="R92" s="438">
        <f>vl_overridden_uom_oncosts_per</f>
        <v>0</v>
      </c>
      <c r="S92" s="445">
        <f t="shared" ref="S92" si="350">R92*S84</f>
        <v>0</v>
      </c>
      <c r="T92" s="438">
        <f>vl_overridden_uom_oncosts_per</f>
        <v>0</v>
      </c>
      <c r="U92" s="445">
        <f t="shared" ref="U92" si="351">T92*U84</f>
        <v>0</v>
      </c>
      <c r="V92" s="438">
        <f>vl_overridden_uom_oncosts_per</f>
        <v>0</v>
      </c>
      <c r="W92" s="445">
        <f t="shared" ref="W92" si="352">V92*W84</f>
        <v>0</v>
      </c>
      <c r="X92" s="438">
        <f>vl_overridden_uom_oncosts_per</f>
        <v>0</v>
      </c>
      <c r="Y92" s="445">
        <f t="shared" ref="Y92" si="353">X92*Y84</f>
        <v>0</v>
      </c>
      <c r="Z92" s="438">
        <f>vl_overridden_uom_oncosts_per</f>
        <v>0</v>
      </c>
      <c r="AA92" s="445">
        <f t="shared" ref="AA92" si="354">Z92*AA84</f>
        <v>0</v>
      </c>
      <c r="AB92" s="438">
        <f>vl_overridden_uom_oncosts_per</f>
        <v>0</v>
      </c>
      <c r="AC92" s="445">
        <f t="shared" ref="AC92" si="355">AB92*AC84</f>
        <v>0</v>
      </c>
      <c r="AD92" s="335"/>
    </row>
    <row r="93" spans="1:30" x14ac:dyDescent="0.3">
      <c r="A93" s="1182"/>
      <c r="B93" s="1379"/>
      <c r="C93" s="1379"/>
      <c r="D93" s="1379"/>
      <c r="E93" s="1379"/>
      <c r="F93" s="1379"/>
      <c r="G93" s="1379"/>
      <c r="H93" s="1380"/>
      <c r="I93" s="341" t="s">
        <v>321</v>
      </c>
      <c r="J93" s="342"/>
      <c r="K93" s="444">
        <f>SUM(K87:K92)</f>
        <v>0</v>
      </c>
      <c r="L93" s="342"/>
      <c r="M93" s="444">
        <f t="shared" ref="M93" si="356">SUM(M87:M92)</f>
        <v>0</v>
      </c>
      <c r="N93" s="342"/>
      <c r="O93" s="444">
        <f t="shared" ref="O93" si="357">SUM(O87:O92)</f>
        <v>0</v>
      </c>
      <c r="P93" s="342"/>
      <c r="Q93" s="444">
        <f t="shared" ref="Q93" si="358">SUM(Q87:Q92)</f>
        <v>0</v>
      </c>
      <c r="R93" s="342"/>
      <c r="S93" s="444">
        <f t="shared" ref="S93" si="359">SUM(S87:S92)</f>
        <v>0</v>
      </c>
      <c r="T93" s="342"/>
      <c r="U93" s="444">
        <f t="shared" ref="U93" si="360">SUM(U87:U92)</f>
        <v>0</v>
      </c>
      <c r="V93" s="342"/>
      <c r="W93" s="444">
        <f t="shared" ref="W93" si="361">SUM(W87:W92)</f>
        <v>0</v>
      </c>
      <c r="X93" s="342"/>
      <c r="Y93" s="444">
        <f t="shared" ref="Y93" si="362">SUM(Y87:Y92)</f>
        <v>0</v>
      </c>
      <c r="Z93" s="342"/>
      <c r="AA93" s="444">
        <f t="shared" ref="AA93" si="363">SUM(AA87:AA92)</f>
        <v>0</v>
      </c>
      <c r="AB93" s="342"/>
      <c r="AC93" s="444">
        <f t="shared" ref="AC93" si="364">SUM(AC87:AC92)</f>
        <v>0</v>
      </c>
      <c r="AD93" s="335">
        <f t="shared" si="77"/>
        <v>0</v>
      </c>
    </row>
    <row r="94" spans="1:30" x14ac:dyDescent="0.3">
      <c r="A94" s="1182"/>
      <c r="B94" s="1379"/>
      <c r="C94" s="1379"/>
      <c r="D94" s="1379"/>
      <c r="E94" s="1379"/>
      <c r="F94" s="1379"/>
      <c r="G94" s="1379"/>
      <c r="H94" s="1380"/>
      <c r="I94" s="336" t="s">
        <v>322</v>
      </c>
      <c r="J94" s="339">
        <f>_xlfn.IFNA(VLOOKUP($D83,tbAnnualLeaveProvision,2,FALSE),0)</f>
        <v>0</v>
      </c>
      <c r="K94" s="443">
        <f>J94*K84</f>
        <v>0</v>
      </c>
      <c r="L94" s="340">
        <f>_xlfn.IFNA(VLOOKUP($D83,tbAnnualLeaveProvision,2,FALSE),0)</f>
        <v>0</v>
      </c>
      <c r="M94" s="451">
        <f t="shared" ref="M94" si="365">L94*M84</f>
        <v>0</v>
      </c>
      <c r="N94" s="339">
        <f>_xlfn.IFNA(VLOOKUP($D83,tbAnnualLeaveProvision,2,FALSE),0)</f>
        <v>0</v>
      </c>
      <c r="O94" s="443">
        <f>N94*O84</f>
        <v>0</v>
      </c>
      <c r="P94" s="340">
        <f>_xlfn.IFNA(VLOOKUP($D83,tbAnnualLeaveProvision,2,FALSE),0)</f>
        <v>0</v>
      </c>
      <c r="Q94" s="451">
        <f t="shared" ref="Q94" si="366">P94*Q84</f>
        <v>0</v>
      </c>
      <c r="R94" s="339">
        <f>_xlfn.IFNA(VLOOKUP($D83,tbAnnualLeaveProvision,2,FALSE),0)</f>
        <v>0</v>
      </c>
      <c r="S94" s="443">
        <f>R94*S84</f>
        <v>0</v>
      </c>
      <c r="T94" s="340">
        <f>_xlfn.IFNA(VLOOKUP($D83,tbAnnualLeaveProvision,2,FALSE),0)</f>
        <v>0</v>
      </c>
      <c r="U94" s="451">
        <f t="shared" ref="U94" si="367">T94*U84</f>
        <v>0</v>
      </c>
      <c r="V94" s="339">
        <f>_xlfn.IFNA(VLOOKUP($D83,tbAnnualLeaveProvision,2,FALSE),0)</f>
        <v>0</v>
      </c>
      <c r="W94" s="443">
        <f>V94*W84</f>
        <v>0</v>
      </c>
      <c r="X94" s="340">
        <f>_xlfn.IFNA(VLOOKUP($D83,tbAnnualLeaveProvision,2,FALSE),0)</f>
        <v>0</v>
      </c>
      <c r="Y94" s="451">
        <f t="shared" ref="Y94" si="368">X94*Y84</f>
        <v>0</v>
      </c>
      <c r="Z94" s="339">
        <f>_xlfn.IFNA(VLOOKUP($D83,tbAnnualLeaveProvision,2,FALSE),0)</f>
        <v>0</v>
      </c>
      <c r="AA94" s="443">
        <f>Z94*AA84</f>
        <v>0</v>
      </c>
      <c r="AB94" s="340">
        <f>_xlfn.IFNA(VLOOKUP($D83,tbAnnualLeaveProvision,2,FALSE),0)</f>
        <v>0</v>
      </c>
      <c r="AC94" s="451">
        <f t="shared" ref="AC94" si="369">AB94*AC84</f>
        <v>0</v>
      </c>
      <c r="AD94" s="335"/>
    </row>
    <row r="95" spans="1:30" x14ac:dyDescent="0.3">
      <c r="A95" s="1182"/>
      <c r="B95" s="1379"/>
      <c r="C95" s="1379"/>
      <c r="D95" s="1379"/>
      <c r="E95" s="1379"/>
      <c r="F95" s="1379"/>
      <c r="G95" s="1379"/>
      <c r="H95" s="1380"/>
      <c r="I95" s="336" t="s">
        <v>330</v>
      </c>
      <c r="J95" s="339"/>
      <c r="K95" s="446">
        <f>K93+K94</f>
        <v>0</v>
      </c>
      <c r="L95" s="340"/>
      <c r="M95" s="452">
        <f t="shared" ref="M95" si="370">M93+M94</f>
        <v>0</v>
      </c>
      <c r="N95" s="339"/>
      <c r="O95" s="446">
        <f>O93+O94</f>
        <v>0</v>
      </c>
      <c r="P95" s="340"/>
      <c r="Q95" s="452">
        <f t="shared" ref="Q95" si="371">Q93+Q94</f>
        <v>0</v>
      </c>
      <c r="R95" s="339"/>
      <c r="S95" s="446">
        <f>S93+S94</f>
        <v>0</v>
      </c>
      <c r="T95" s="340"/>
      <c r="U95" s="452">
        <f t="shared" ref="U95" si="372">U93+U94</f>
        <v>0</v>
      </c>
      <c r="V95" s="339"/>
      <c r="W95" s="446">
        <f>W93+W94</f>
        <v>0</v>
      </c>
      <c r="X95" s="340"/>
      <c r="Y95" s="452">
        <f t="shared" ref="Y95" si="373">Y93+Y94</f>
        <v>0</v>
      </c>
      <c r="Z95" s="339"/>
      <c r="AA95" s="446">
        <f>AA93+AA94</f>
        <v>0</v>
      </c>
      <c r="AB95" s="340"/>
      <c r="AC95" s="452">
        <f t="shared" ref="AC95" si="374">AC93+AC94</f>
        <v>0</v>
      </c>
      <c r="AD95" s="335"/>
    </row>
    <row r="96" spans="1:30" x14ac:dyDescent="0.3">
      <c r="A96" s="1182"/>
      <c r="B96" s="1379"/>
      <c r="C96" s="1379"/>
      <c r="D96" s="1379"/>
      <c r="E96" s="1379"/>
      <c r="F96" s="1379"/>
      <c r="G96" s="1379"/>
      <c r="H96" s="1380"/>
      <c r="I96" s="343" t="s">
        <v>324</v>
      </c>
      <c r="J96" s="344"/>
      <c r="K96" s="443">
        <f>IFERROR(-(K93/vl_working_days_per_year)*J96,0)</f>
        <v>0</v>
      </c>
      <c r="L96" s="345"/>
      <c r="M96" s="451">
        <f>IFERROR(-(M93/vl_working_days_per_year)*L96,0)</f>
        <v>0</v>
      </c>
      <c r="N96" s="344"/>
      <c r="O96" s="443">
        <f>-(O93/vl_working_days_per_year)*N96</f>
        <v>0</v>
      </c>
      <c r="P96" s="345"/>
      <c r="Q96" s="451">
        <f>-(Q93/vl_working_days_per_year)*P96</f>
        <v>0</v>
      </c>
      <c r="R96" s="344"/>
      <c r="S96" s="443">
        <f>-(S93/vl_working_days_per_year)*R96</f>
        <v>0</v>
      </c>
      <c r="T96" s="345"/>
      <c r="U96" s="451">
        <f>-(U93/vl_working_days_per_year)*T96</f>
        <v>0</v>
      </c>
      <c r="V96" s="344"/>
      <c r="W96" s="443">
        <f>-(W93/vl_working_days_per_year)*V96</f>
        <v>0</v>
      </c>
      <c r="X96" s="345"/>
      <c r="Y96" s="451">
        <f>-(Y93/vl_working_days_per_year)*X96</f>
        <v>0</v>
      </c>
      <c r="Z96" s="344"/>
      <c r="AA96" s="443">
        <f>-(AA93/vl_working_days_per_year)*Z96</f>
        <v>0</v>
      </c>
      <c r="AB96" s="345"/>
      <c r="AC96" s="451">
        <f>-(AC93/vl_working_days_per_year)*AB96</f>
        <v>0</v>
      </c>
      <c r="AD96" s="335">
        <f t="shared" si="77"/>
        <v>0</v>
      </c>
    </row>
    <row r="97" spans="1:56" x14ac:dyDescent="0.3">
      <c r="A97" s="1182"/>
      <c r="B97" s="1379"/>
      <c r="C97" s="1379"/>
      <c r="D97" s="1379"/>
      <c r="E97" s="1379"/>
      <c r="F97" s="1379"/>
      <c r="G97" s="1379"/>
      <c r="H97" s="1380"/>
      <c r="I97" s="341" t="s">
        <v>325</v>
      </c>
      <c r="J97" s="346"/>
      <c r="K97" s="444">
        <f>K95+K96</f>
        <v>0</v>
      </c>
      <c r="L97" s="346"/>
      <c r="M97" s="444">
        <f t="shared" ref="M97" si="375">M95+M96</f>
        <v>0</v>
      </c>
      <c r="N97" s="346"/>
      <c r="O97" s="444">
        <f>O95+O96</f>
        <v>0</v>
      </c>
      <c r="P97" s="346"/>
      <c r="Q97" s="444">
        <f t="shared" ref="Q97" si="376">Q95+Q96</f>
        <v>0</v>
      </c>
      <c r="R97" s="346"/>
      <c r="S97" s="444">
        <f>S95+S96</f>
        <v>0</v>
      </c>
      <c r="T97" s="346"/>
      <c r="U97" s="444">
        <f t="shared" ref="U97" si="377">U95+U96</f>
        <v>0</v>
      </c>
      <c r="V97" s="346"/>
      <c r="W97" s="444">
        <f>W95+W96</f>
        <v>0</v>
      </c>
      <c r="X97" s="346"/>
      <c r="Y97" s="444">
        <f t="shared" ref="Y97" si="378">Y95+Y96</f>
        <v>0</v>
      </c>
      <c r="Z97" s="346"/>
      <c r="AA97" s="444">
        <f>AA95+AA96</f>
        <v>0</v>
      </c>
      <c r="AB97" s="346"/>
      <c r="AC97" s="444">
        <f t="shared" ref="AC97" si="379">AC95+AC96</f>
        <v>0</v>
      </c>
      <c r="AD97" s="335">
        <f t="shared" si="77"/>
        <v>0</v>
      </c>
      <c r="AE97" s="1152"/>
      <c r="AF97" s="1152"/>
      <c r="AG97" s="1152"/>
      <c r="AH97" s="1152"/>
      <c r="AI97" s="1152"/>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row>
    <row r="98" spans="1:56" s="1" customFormat="1" ht="15" customHeight="1" x14ac:dyDescent="0.3">
      <c r="A98" s="727"/>
      <c r="B98" s="1379"/>
      <c r="C98" s="1379"/>
      <c r="D98" s="1379"/>
      <c r="E98" s="1379"/>
      <c r="F98" s="1379"/>
      <c r="G98" s="1379"/>
      <c r="H98" s="1380"/>
      <c r="I98" s="382" t="s">
        <v>326</v>
      </c>
      <c r="J98" s="383">
        <f>IFERROR(K98/K84,0)</f>
        <v>0</v>
      </c>
      <c r="K98" s="447">
        <f>SUM(K85:K86,K88:K91,K94)</f>
        <v>0</v>
      </c>
      <c r="L98" s="434">
        <f>IFERROR(M98/M84,0)</f>
        <v>0</v>
      </c>
      <c r="M98" s="453">
        <f t="shared" ref="M98" si="380">SUM(M85:M86,M88:M91,M94)</f>
        <v>0</v>
      </c>
      <c r="N98" s="383">
        <f t="shared" ref="N98" si="381">IFERROR(O98/O84,0)</f>
        <v>0</v>
      </c>
      <c r="O98" s="447">
        <f t="shared" ref="O98" si="382">SUM(O85:O86,O88:O91,O94)</f>
        <v>0</v>
      </c>
      <c r="P98" s="434">
        <f t="shared" ref="P98" si="383">IFERROR(Q98/Q84,0)</f>
        <v>0</v>
      </c>
      <c r="Q98" s="453">
        <f t="shared" ref="Q98" si="384">SUM(Q85:Q86,Q88:Q91,Q94)</f>
        <v>0</v>
      </c>
      <c r="R98" s="383">
        <f t="shared" ref="R98" si="385">IFERROR(S98/S84,0)</f>
        <v>0</v>
      </c>
      <c r="S98" s="447">
        <f t="shared" ref="S98" si="386">SUM(S85:S86,S88:S91,S94)</f>
        <v>0</v>
      </c>
      <c r="T98" s="434">
        <f t="shared" ref="T98" si="387">IFERROR(U98/U84,0)</f>
        <v>0</v>
      </c>
      <c r="U98" s="453">
        <f t="shared" ref="U98" si="388">SUM(U85:U86,U88:U91,U94)</f>
        <v>0</v>
      </c>
      <c r="V98" s="383">
        <f t="shared" ref="V98" si="389">IFERROR(W98/W84,0)</f>
        <v>0</v>
      </c>
      <c r="W98" s="447">
        <f t="shared" ref="W98" si="390">SUM(W85:W86,W88:W91,W94)</f>
        <v>0</v>
      </c>
      <c r="X98" s="434">
        <f t="shared" ref="X98" si="391">IFERROR(Y98/Y84,0)</f>
        <v>0</v>
      </c>
      <c r="Y98" s="453">
        <f t="shared" ref="Y98" si="392">SUM(Y85:Y86,Y88:Y91,Y94)</f>
        <v>0</v>
      </c>
      <c r="Z98" s="383">
        <f t="shared" ref="Z98" si="393">IFERROR(AA98/AA84,0)</f>
        <v>0</v>
      </c>
      <c r="AA98" s="447">
        <f t="shared" ref="AA98" si="394">SUM(AA85:AA86,AA88:AA91,AA94)</f>
        <v>0</v>
      </c>
      <c r="AB98" s="434">
        <f t="shared" ref="AB98" si="395">IFERROR(AC98/AC84,0)</f>
        <v>0</v>
      </c>
      <c r="AC98" s="453">
        <f t="shared" ref="AC98" si="396">SUM(AC85:AC86,AC88:AC91,AC94)</f>
        <v>0</v>
      </c>
      <c r="AD98" s="377">
        <f t="shared" si="77"/>
        <v>0</v>
      </c>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row>
    <row r="99" spans="1:56" x14ac:dyDescent="0.3">
      <c r="A99" s="1182"/>
      <c r="B99" s="1379"/>
      <c r="C99" s="1379"/>
      <c r="D99" s="1379"/>
      <c r="E99" s="1379"/>
      <c r="F99" s="1379"/>
      <c r="G99" s="1379"/>
      <c r="H99" s="1380"/>
      <c r="I99" s="382" t="s">
        <v>327</v>
      </c>
      <c r="J99" s="384">
        <f>pCRSalaries</f>
        <v>2.5</v>
      </c>
      <c r="K99" s="447"/>
      <c r="L99" s="435">
        <f>pCRSalaries</f>
        <v>2.5</v>
      </c>
      <c r="M99" s="453"/>
      <c r="N99" s="384">
        <f>pCRSalaries</f>
        <v>2.5</v>
      </c>
      <c r="O99" s="447"/>
      <c r="P99" s="435">
        <f>pCRSalaries</f>
        <v>2.5</v>
      </c>
      <c r="Q99" s="453"/>
      <c r="R99" s="384">
        <f>pCRSalaries</f>
        <v>2.5</v>
      </c>
      <c r="S99" s="447"/>
      <c r="T99" s="435">
        <f>pCRSalaries</f>
        <v>2.5</v>
      </c>
      <c r="U99" s="453"/>
      <c r="V99" s="384">
        <f>pCRSalaries</f>
        <v>2.5</v>
      </c>
      <c r="W99" s="447"/>
      <c r="X99" s="435">
        <f>pCRSalaries</f>
        <v>2.5</v>
      </c>
      <c r="Y99" s="453"/>
      <c r="Z99" s="384">
        <f>pCRSalaries</f>
        <v>2.5</v>
      </c>
      <c r="AA99" s="447"/>
      <c r="AB99" s="435">
        <f>pCRSalaries</f>
        <v>2.5</v>
      </c>
      <c r="AC99" s="453"/>
      <c r="AD99" s="335"/>
      <c r="AE99" s="1152"/>
      <c r="AF99" s="1152"/>
      <c r="AG99" s="1152"/>
      <c r="AH99" s="1152"/>
      <c r="AI99" s="1152"/>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row>
    <row r="100" spans="1:56" ht="16.2" thickBot="1" x14ac:dyDescent="0.35">
      <c r="A100" s="1182"/>
      <c r="B100" s="710"/>
      <c r="C100" s="347"/>
      <c r="D100" s="347"/>
      <c r="E100" s="347"/>
      <c r="F100" s="347"/>
      <c r="G100" s="347"/>
      <c r="H100" s="347"/>
      <c r="I100" s="436" t="s">
        <v>329</v>
      </c>
      <c r="J100" s="348"/>
      <c r="K100" s="448">
        <f>J99*K95</f>
        <v>0</v>
      </c>
      <c r="L100" s="348"/>
      <c r="M100" s="448">
        <f t="shared" ref="M100" si="397">L99*M95</f>
        <v>0</v>
      </c>
      <c r="N100" s="348"/>
      <c r="O100" s="448">
        <f>N99*O95</f>
        <v>0</v>
      </c>
      <c r="P100" s="348"/>
      <c r="Q100" s="448">
        <f t="shared" ref="Q100" si="398">P99*Q95</f>
        <v>0</v>
      </c>
      <c r="R100" s="348"/>
      <c r="S100" s="448">
        <f>R99*S95</f>
        <v>0</v>
      </c>
      <c r="T100" s="348"/>
      <c r="U100" s="448">
        <f t="shared" ref="U100" si="399">T99*U95</f>
        <v>0</v>
      </c>
      <c r="V100" s="348">
        <f>U99*V95</f>
        <v>0</v>
      </c>
      <c r="W100" s="448">
        <f>V99*W95</f>
        <v>0</v>
      </c>
      <c r="X100" s="348"/>
      <c r="Y100" s="448">
        <f t="shared" ref="Y100" si="400">X99*Y95</f>
        <v>0</v>
      </c>
      <c r="Z100" s="348"/>
      <c r="AA100" s="448">
        <f>Z99*AA95</f>
        <v>0</v>
      </c>
      <c r="AB100" s="348"/>
      <c r="AC100" s="448">
        <f t="shared" ref="AC100" si="401">AB99*AC95</f>
        <v>0</v>
      </c>
      <c r="AD100" s="335">
        <f t="shared" si="77"/>
        <v>0</v>
      </c>
      <c r="AE100" s="1152"/>
      <c r="AF100" s="1152"/>
      <c r="AG100" s="1152"/>
      <c r="AH100" s="1152"/>
      <c r="AI100" s="1152"/>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row>
    <row r="101" spans="1:56" ht="15" thickBot="1" x14ac:dyDescent="0.35">
      <c r="A101" s="1182"/>
      <c r="B101" s="1181"/>
      <c r="C101" s="1181"/>
      <c r="D101" s="1181"/>
      <c r="E101" s="1181"/>
      <c r="F101" s="1181"/>
      <c r="G101" s="1181"/>
      <c r="H101" s="1181"/>
      <c r="I101" s="350"/>
      <c r="J101" s="351"/>
      <c r="K101" s="351"/>
      <c r="L101" s="351"/>
      <c r="M101" s="352"/>
      <c r="N101" s="351"/>
      <c r="O101" s="351"/>
      <c r="P101" s="351"/>
      <c r="Q101" s="352"/>
      <c r="R101" s="351"/>
      <c r="S101" s="351"/>
      <c r="T101" s="351"/>
      <c r="U101" s="352"/>
      <c r="V101" s="351"/>
      <c r="W101" s="352"/>
      <c r="X101" s="351"/>
      <c r="Y101" s="352"/>
      <c r="Z101" s="351"/>
      <c r="AA101" s="351"/>
      <c r="AB101" s="351"/>
      <c r="AC101" s="352"/>
      <c r="AD101" s="353" t="str">
        <f>IF(tbBudgetCurrency="AUD - Australian Dollar","",IFERROR(K101+M101+O101+Q101+S101+U101+W101+Y101+AA101+AC101,0))</f>
        <v/>
      </c>
      <c r="AE101" s="1152"/>
      <c r="AF101" s="1152"/>
      <c r="AG101" s="1152"/>
      <c r="AH101" s="1152"/>
      <c r="AI101" s="1152"/>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row>
    <row r="102" spans="1:56" x14ac:dyDescent="0.3">
      <c r="A102" s="1182"/>
      <c r="B102" s="356" t="str">
        <f>IF('PART B Staff Costs'!B26="","",'PART B Staff Costs'!B26)</f>
        <v/>
      </c>
      <c r="C102" s="355" t="str">
        <f>IF('PART B Staff Costs'!C26="","",'PART B Staff Costs'!C26)</f>
        <v xml:space="preserve"> </v>
      </c>
      <c r="D102" s="355" t="str">
        <f>IF('PART B Staff Costs'!D26="","",'PART B Staff Costs'!D26)</f>
        <v/>
      </c>
      <c r="E102" s="355" t="str">
        <f>IF('PART B Staff Costs'!E26="","",'PART B Staff Costs'!E26)</f>
        <v/>
      </c>
      <c r="F102" s="355" t="str">
        <f>IF('PART B Staff Costs'!F26="","",'PART B Staff Costs'!F26)</f>
        <v/>
      </c>
      <c r="G102" s="355" t="str">
        <f>IF('PART B Staff Costs'!G26="","",'PART B Staff Costs'!G26)</f>
        <v/>
      </c>
      <c r="H102" s="332" t="str">
        <f t="shared" ref="H102" si="402">CONCATENATE(IF(D102=0,"",D102)," ",IF(E102=0,"",E102)," ",IF(F102=0,"",F102),,IF(OR(G102=0,G102=""),"",CONCATENATE(" (",G102,")")))</f>
        <v xml:space="preserve">  </v>
      </c>
      <c r="I102" s="332" t="s">
        <v>313</v>
      </c>
      <c r="J102" s="333">
        <f>_xlfn.IFNA('PART B Staff Costs'!H26*'PART B Staff Costs'!J$10,0)*new_xrate</f>
        <v>0</v>
      </c>
      <c r="K102" s="441"/>
      <c r="L102" s="334">
        <f>_xlfn.IFNA(IF(pStartYear+1&gt;pEndYear,0,VLOOKUP(CONCATENATE(
IF(OR($D102="Continuing",$D102="Fixed-Term"),"Fortnight",IF($D102="Casual","Casual",)),
$E102,
IF(OR($D102="Continuing",$D102="Fixed-Term"),
IF(LEFT($F102,6)="UOM 10","UOM 10",(LEFT($F102,LEN($F102)-1)&amp;MIN(RIGHT($F102,1)+COUNTIFS($J103:K103,"&gt;0")/2,VLOOKUP(LEFT($F102,LEN($F102)-2),tSalaryMax,2,FALSE)))),
IF($D102="Casual",
$F102,))
),tSalaryRate,5,FALSE)*VLOOKUP($G102,tSalaryRateMultiplier,2,FALSE)*'PART B Staff Costs'!L$10),0)*new_xrate</f>
        <v>0</v>
      </c>
      <c r="M102" s="449"/>
      <c r="N102" s="333">
        <f>_xlfn.IFNA(IF(pStartYear+2&gt;pEndYear,0,VLOOKUP(CONCATENATE(
IF(OR($D102="Continuing",$D102="Fixed-Term"),"Fortnight",IF($D102="Casual","Casual",)),
$E102,
IF(OR($D102="Continuing",$D102="Fixed-Term"),
IF(LEFT($F102,6)="UOM 10","UOM 10",(LEFT($F102,LEN($F102)-1)&amp;MIN(RIGHT($F102,1)+COUNTIFS($J103:M103,"&gt;0")/2,VLOOKUP(LEFT($F102,LEN($F102)-2),tSalaryMax,2,FALSE)))),
IF($D102="Casual",
$F102,))
),tSalaryRate,5,FALSE)*VLOOKUP($G102,tSalaryRateMultiplier,2,FALSE)*'PART B Staff Costs'!N$10),0)*new_xrate</f>
        <v>0</v>
      </c>
      <c r="O102" s="441"/>
      <c r="P102" s="334">
        <f>_xlfn.IFNA(IF(pStartYear+3&gt;pEndYear,0,VLOOKUP(CONCATENATE(
IF(OR($D102="Continuing",$D102="Fixed-Term"),"Fortnight",IF($D102="Casual","Casual",)),
$E102,
IF(OR($D102="Continuing",$D102="Fixed-Term"),
IF(LEFT($F102,6)="UOM 10","UOM 10",(LEFT($F102,LEN($F102)-1)&amp;MIN(RIGHT($F102,1)+COUNTIFS($J103:O103,"&gt;0")/2,VLOOKUP(LEFT($F102,LEN($F102)-2),tSalaryMax,2,FALSE)))),
IF($D102="Casual",
$F102,))
),tSalaryRate,5,FALSE)*VLOOKUP($G102,tSalaryRateMultiplier,2,FALSE)*'PART B Staff Costs'!P$10),0)*new_xrate</f>
        <v>0</v>
      </c>
      <c r="Q102" s="449"/>
      <c r="R102" s="333">
        <f>_xlfn.IFNA(IF(pStartYear+4&gt;pEndYear,0,VLOOKUP(CONCATENATE(
IF(OR($D102="Continuing",$D102="Fixed-Term"),"Fortnight",IF($D102="Casual","Casual",)),
$E102,
IF(OR($D102="Continuing",$D102="Fixed-Term"),
IF(LEFT($F102,6)="UOM 10","UOM 10",(LEFT($F102,LEN($F102)-1)&amp;MIN(RIGHT($F102,1)+COUNTIFS($J103:Q103,"&gt;0")/2,VLOOKUP(LEFT($F102,LEN($F102)-2),tSalaryMax,2,FALSE)))),
IF($D102="Casual",
$F102,))
),tSalaryRate,5,FALSE)*VLOOKUP($G102,tSalaryRateMultiplier,2,FALSE)*'PART B Staff Costs'!R$10),0)*new_xrate</f>
        <v>0</v>
      </c>
      <c r="S102" s="441"/>
      <c r="T102" s="334">
        <f>_xlfn.IFNA(IF(pStartYear+5&gt;pEndYear,0,VLOOKUP(CONCATENATE(
IF(OR($D102="Continuing",$D102="Fixed-Term"),"Fortnight",IF($D102="Casual","Casual",)),
$E102,
IF(OR($D102="Continuing",$D102="Fixed-Term"),
IF(LEFT($F102,6)="UOM 10","UOM 10",(LEFT($F102,LEN($F102)-1)&amp;MIN(RIGHT($F102,1)+COUNTIFS($J103:S103,"&gt;0")/2,VLOOKUP(LEFT($F102,LEN($F102)-2),tSalaryMax,2,FALSE)))),
IF($D102="Casual",
$F102,))
),tSalaryRate,5,FALSE)*VLOOKUP($G102,tSalaryRateMultiplier,2,FALSE)*'PART B Staff Costs'!T$10),0)*new_xrate</f>
        <v>0</v>
      </c>
      <c r="U102" s="449"/>
      <c r="V102" s="333">
        <f>_xlfn.IFNA(IF(pStartYear+6&gt;pEndYear,0,VLOOKUP(CONCATENATE(
IF(OR($D102="Continuing",$D102="Fixed-Term"),"Fortnight",IF($D102="Casual","Casual",)),
$E102,
IF(OR($D102="Continuing",$D102="Fixed-Term"),
IF(LEFT($F102,6)="UOM 10","UOM 10",(LEFT($F102,LEN($F102)-1)&amp;MIN(RIGHT($F102,1)+COUNTIFS($J103:U103,"&gt;0")/2,VLOOKUP(LEFT($F102,LEN($F102)-2),tSalaryMax,2,FALSE)))),
IF($D102="Casual",
$F102,))
),tSalaryRate,5,FALSE)*VLOOKUP($G102,tSalaryRateMultiplier,2,FALSE)*'PART B Staff Costs'!V$10),0)*new_xrate</f>
        <v>0</v>
      </c>
      <c r="W102" s="441"/>
      <c r="X102" s="334">
        <f>_xlfn.IFNA(IF(pStartYear+7&gt;pEndYear,0,VLOOKUP(CONCATENATE(
IF(OR($D102="Continuing",$D102="Fixed-Term"),"Fortnight",IF($D102="Casual","Casual",)),
$E102,
IF(OR($D102="Continuing",$D102="Fixed-Term"),
IF(LEFT($F102,6)="UOM 10","UOM 10",(LEFT($F102,LEN($F102)-1)&amp;MIN(RIGHT($F102,1)+COUNTIFS($J103:W103,"&gt;0")/2,VLOOKUP(LEFT($F102,LEN($F102)-2),tSalaryMax,2,FALSE)))),
IF($D102="Casual",
$F102,))
),tSalaryRate,5,FALSE)*VLOOKUP($G102,tSalaryRateMultiplier,2,FALSE)*'PART B Staff Costs'!X$10),0)*new_xrate</f>
        <v>0</v>
      </c>
      <c r="Y102" s="449"/>
      <c r="Z102" s="333">
        <f>_xlfn.IFNA(IF(pStartYear+8&gt;pEndYear,0,VLOOKUP(CONCATENATE(
IF(OR($D102="Continuing",$D102="Fixed-Term"),"Fortnight",IF($D102="Casual","Casual",)),
$E102,
IF(OR($D102="Continuing",$D102="Fixed-Term"),
IF(LEFT($F102,6)="UOM 10","UOM 10",(LEFT($F102,LEN($F102)-1)&amp;MIN(RIGHT($F102,1)+COUNTIFS($J103:Y103,"&gt;0")/2,VLOOKUP(LEFT($F102,LEN($F102)-2),tSalaryMax,2,FALSE)))),
IF($D102="Casual",
$F102,))
),tSalaryRate,5,FALSE)*VLOOKUP($G102,tSalaryRateMultiplier,2,FALSE)*'PART B Staff Costs'!Z$10),0)*new_xrate</f>
        <v>0</v>
      </c>
      <c r="AA102" s="441"/>
      <c r="AB102" s="334">
        <f>_xlfn.IFNA(IF(pStartYear+9&gt;pEndYear,0,VLOOKUP(CONCATENATE(
IF(OR($D102="Continuing",$D102="Fixed-Term"),"Fortnight",IF($D102="Casual","Casual",)),
$E102,
IF(OR($D102="Continuing",$D102="Fixed-Term"),
IF(LEFT($F102,6)="UOM 10","UOM 10",(LEFT($F102,LEN($F102)-1)&amp;MIN(RIGHT($F102,1)+COUNTIFS($J103:AA103,"&gt;0")/2,VLOOKUP(LEFT($F102,LEN($F102)-2),tSalaryMax,2,FALSE)))),
IF($D102="Casual",
$F102,))
),tSalaryRate,5,FALSE)*VLOOKUP($G102,tSalaryRateMultiplier,2,FALSE)*'PART B Staff Costs'!AB$10),0)*new_xrate</f>
        <v>0</v>
      </c>
      <c r="AC102" s="449"/>
      <c r="AD102" s="335"/>
      <c r="AE102" s="1152"/>
      <c r="AF102" s="1152"/>
      <c r="AG102" s="1152"/>
      <c r="AH102" s="1152"/>
      <c r="AI102" s="1152"/>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row>
    <row r="103" spans="1:56" x14ac:dyDescent="0.3">
      <c r="A103" s="1182"/>
      <c r="B103" s="1377"/>
      <c r="C103" s="1377"/>
      <c r="D103" s="1377"/>
      <c r="E103" s="1377"/>
      <c r="F103" s="1377"/>
      <c r="G103" s="1377"/>
      <c r="H103" s="1378"/>
      <c r="I103" s="336" t="str">
        <f>IF('PART B Staff Costs'!G98&lt;&gt;"",CONCATENATE("Time/Requested salary"," (",'PART B Staff Costs'!G98,")"),"Time/Requested salary")</f>
        <v>Time/Requested salary</v>
      </c>
      <c r="J103" s="337">
        <f>_xlfn.IFNA('PART B Staff Costs'!I26,0)</f>
        <v>0</v>
      </c>
      <c r="K103" s="442">
        <f>IF('PART B Staff Costs'!$G$26="FTE",J103*J102*(First_year_fraction/12),J103*J102)</f>
        <v>0</v>
      </c>
      <c r="L103" s="338">
        <f>_xlfn.IFNA('PART B Staff Costs'!K26,0)</f>
        <v>0</v>
      </c>
      <c r="M103" s="450">
        <f>IF(pStartYear+1=pEndYear,IF('PART B Staff Costs'!$G$26="FTE",(L103*L102)*Last_Year_Fraction/12,L103*L102),L103*L102)</f>
        <v>0</v>
      </c>
      <c r="N103" s="337">
        <f>_xlfn.IFNA('PART B Staff Costs'!M26,0)</f>
        <v>0</v>
      </c>
      <c r="O103" s="442">
        <f>IF(pStartYear+2=pEndYear,IF('PART B Staff Costs'!$G$26="FTE",(N103*N102)*Last_Year_Fraction/12,N103*N102),N103*N102)</f>
        <v>0</v>
      </c>
      <c r="P103" s="338">
        <f>_xlfn.IFNA('PART B Staff Costs'!O26,0)</f>
        <v>0</v>
      </c>
      <c r="Q103" s="450">
        <f>IF(pStartYear+3=pEndYear,IF('PART B Staff Costs'!$G$26="FTE",(P103*P102)*Last_Year_Fraction/12,P103*P102),P103*P102)</f>
        <v>0</v>
      </c>
      <c r="R103" s="337">
        <f>_xlfn.IFNA('PART B Staff Costs'!Q26,0)</f>
        <v>0</v>
      </c>
      <c r="S103" s="442">
        <f>IF(pStartYear+4=pEndYear,IF('PART B Staff Costs'!$G$26="FTE",(R103*R102)*Last_Year_Fraction/12,R103*R102),R103*R102)</f>
        <v>0</v>
      </c>
      <c r="T103" s="338">
        <f>_xlfn.IFNA('PART B Staff Costs'!S26,0)</f>
        <v>0</v>
      </c>
      <c r="U103" s="450">
        <f>IF(pStartYear+5=pEndYear,IF('PART B Staff Costs'!$G$26="FTE",(T103*T102)*Last_Year_Fraction/12,T103*T102),T103*T102)</f>
        <v>0</v>
      </c>
      <c r="V103" s="337">
        <f>_xlfn.IFNA('PART B Staff Costs'!U26,0)</f>
        <v>0</v>
      </c>
      <c r="W103" s="442">
        <f>IF(pStartYear+6=pEndYear,IF('PART B Staff Costs'!$G$26="FTE",(V103*V102)*Last_Year_Fraction/12,V103*V102),V103*V102)</f>
        <v>0</v>
      </c>
      <c r="X103" s="338">
        <f>_xlfn.IFNA('PART B Staff Costs'!W26,0)</f>
        <v>0</v>
      </c>
      <c r="Y103" s="450">
        <f>IF(pStartYear+7=pEndYear,IF('PART B Staff Costs'!$G$26="FTE",(X103*X102)*Last_Year_Fraction/12,X103*X102),X103*X102)</f>
        <v>0</v>
      </c>
      <c r="Z103" s="337">
        <f>_xlfn.IFNA('PART B Staff Costs'!Y26,0)</f>
        <v>0</v>
      </c>
      <c r="AA103" s="442">
        <f>IF(pStartYear+8=pEndYear,IF('PART B Staff Costs'!$G$26="FTE",(Z103*Z102)*Last_Year_Fraction/12,Z103*Z102),Z103*Z102)</f>
        <v>0</v>
      </c>
      <c r="AB103" s="338">
        <f>_xlfn.IFNA('PART B Staff Costs'!AA26,0)</f>
        <v>0</v>
      </c>
      <c r="AC103" s="450">
        <f>IF(pStartYear+9=pEndYear,IF('PART B Staff Costs'!$G$26="FTE",(AB103*AB102)*Last_Year_Fraction/12,AB103*AB102),AB103*AB102)</f>
        <v>0</v>
      </c>
      <c r="AD103" s="335"/>
      <c r="AE103" s="1152"/>
      <c r="AF103" s="1152"/>
      <c r="AG103" s="1152"/>
      <c r="AH103" s="1152"/>
      <c r="AI103" s="1152"/>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row>
    <row r="104" spans="1:56" x14ac:dyDescent="0.3">
      <c r="A104" s="1182"/>
      <c r="B104" s="1379"/>
      <c r="C104" s="1379"/>
      <c r="D104" s="1379"/>
      <c r="E104" s="1379"/>
      <c r="F104" s="1379"/>
      <c r="G104" s="1379"/>
      <c r="H104" s="1380"/>
      <c r="I104" s="336" t="str">
        <f>IF(tbBudgetCurrency="AUD - Australian Dollar",CONCATENATE("Leave Loading (max of AU$",vl_Max_Leave_Loading,")"),CONCATENATE("Leave Loading (max of ",ROUND(vl_Max_Leave_Loading*new_xrate,2)," ",LEFT(tbBudgetCurrency,3),")"))</f>
        <v>Leave Loading (max of AU$1611.3)</v>
      </c>
      <c r="J104" s="339">
        <f>_xlfn.IFNA(VLOOKUP($D102,tbLeaveLoading,2,FALSE),0)</f>
        <v>0</v>
      </c>
      <c r="K104" s="443">
        <f>IF(K103*J104&gt;vl_Max_Leave_Loading*new_xrate,vl_Max_Leave_Loading*new_xrate,K103*J104)</f>
        <v>0</v>
      </c>
      <c r="L104" s="340">
        <f>_xlfn.IFNA(VLOOKUP($D102,tbLeaveLoading,2,FALSE),0)</f>
        <v>0</v>
      </c>
      <c r="M104" s="451">
        <f>IF(M103*L104&gt;vl_Max_Leave_Loading*new_xrate,vl_Max_Leave_Loading*new_xrate,M103*L104)</f>
        <v>0</v>
      </c>
      <c r="N104" s="339">
        <f>_xlfn.IFNA(VLOOKUP($D102,tbLeaveLoading,2,FALSE),0)</f>
        <v>0</v>
      </c>
      <c r="O104" s="443">
        <f>IF(O103*N104&gt;vl_Max_Leave_Loading*new_xrate,vl_Max_Leave_Loading*new_xrate,O103*N104)</f>
        <v>0</v>
      </c>
      <c r="P104" s="340">
        <f>_xlfn.IFNA(VLOOKUP($D102,tbLeaveLoading,2,FALSE),0)</f>
        <v>0</v>
      </c>
      <c r="Q104" s="451">
        <f>IF(Q103*P104&gt;vl_Max_Leave_Loading*new_xrate,vl_Max_Leave_Loading*new_xrate,Q103*P104)</f>
        <v>0</v>
      </c>
      <c r="R104" s="339">
        <f>_xlfn.IFNA(VLOOKUP($D102,tbLeaveLoading,2,FALSE),0)</f>
        <v>0</v>
      </c>
      <c r="S104" s="443">
        <f>IF(S103*R104&gt;vl_Max_Leave_Loading*new_xrate,vl_Max_Leave_Loading*new_xrate,S103*R104)</f>
        <v>0</v>
      </c>
      <c r="T104" s="340">
        <f>_xlfn.IFNA(VLOOKUP($D102,tbLeaveLoading,2,FALSE),0)</f>
        <v>0</v>
      </c>
      <c r="U104" s="451">
        <f>IF(U103*T104&gt;vl_Max_Leave_Loading*new_xrate,vl_Max_Leave_Loading*new_xrate,U103*T104)</f>
        <v>0</v>
      </c>
      <c r="V104" s="339">
        <f>_xlfn.IFNA(VLOOKUP($D102,tbLeaveLoading,2,FALSE),0)</f>
        <v>0</v>
      </c>
      <c r="W104" s="443">
        <f>IF(W103*V104&gt;vl_Max_Leave_Loading*new_xrate,vl_Max_Leave_Loading*new_xrate,W103*V104)</f>
        <v>0</v>
      </c>
      <c r="X104" s="340">
        <f>_xlfn.IFNA(VLOOKUP($D102,tbLeaveLoading,2,FALSE),0)</f>
        <v>0</v>
      </c>
      <c r="Y104" s="451">
        <f>IF(Y103*X104&gt;vl_Max_Leave_Loading*new_xrate,vl_Max_Leave_Loading*new_xrate,Y103*X104)</f>
        <v>0</v>
      </c>
      <c r="Z104" s="339">
        <f>_xlfn.IFNA(VLOOKUP($D102,tbLeaveLoading,2,FALSE),0)</f>
        <v>0</v>
      </c>
      <c r="AA104" s="443">
        <f>IF(AA103*Z104&gt;vl_Max_Leave_Loading*new_xrate,vl_Max_Leave_Loading*new_xrate,AA103*Z104)</f>
        <v>0</v>
      </c>
      <c r="AB104" s="340">
        <f>_xlfn.IFNA(VLOOKUP($D102,tbLeaveLoading,2,FALSE),0)</f>
        <v>0</v>
      </c>
      <c r="AC104" s="451">
        <f>IF(AC103*AB104&gt;vl_Max_Leave_Loading*new_xrate,vl_Max_Leave_Loading*new_xrate,AC103*AB104)</f>
        <v>0</v>
      </c>
      <c r="AD104" s="335"/>
      <c r="AE104" s="1152"/>
      <c r="AF104" s="1152"/>
      <c r="AG104" s="1152"/>
      <c r="AH104" s="1152"/>
      <c r="AI104" s="1152"/>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row>
    <row r="105" spans="1:56" x14ac:dyDescent="0.3">
      <c r="A105" s="1182"/>
      <c r="B105" s="1379"/>
      <c r="C105" s="1379"/>
      <c r="D105" s="1379"/>
      <c r="E105" s="1379"/>
      <c r="F105" s="1379"/>
      <c r="G105" s="1379"/>
      <c r="H105" s="1380"/>
      <c r="I105" s="336" t="s">
        <v>314</v>
      </c>
      <c r="J105" s="339">
        <f>_xlfn.IFNA(_xlfn.IFNA(VLOOKUP(CONCATENATE(pStartYear,$D102),tbSuperannuation,4,FALSE),VLOOKUP($D102,tbSuperannuation2026onwards,2,FALSE)),0)</f>
        <v>0</v>
      </c>
      <c r="K105" s="443">
        <f>K103*J105</f>
        <v>0</v>
      </c>
      <c r="L105" s="340">
        <f>_xlfn.IFNA(_xlfn.IFNA(VLOOKUP(CONCATENATE(pStartYear+1,$D102),tbSuperannuation,4,FALSE),VLOOKUP($D102,tbSuperannuation2026onwards,2,FALSE)),0)</f>
        <v>0</v>
      </c>
      <c r="M105" s="451">
        <f t="shared" ref="M105" si="403">M103*L105</f>
        <v>0</v>
      </c>
      <c r="N105" s="339">
        <f>_xlfn.IFNA(_xlfn.IFNA(VLOOKUP(CONCATENATE(pStartYear+2,$D102),tbSuperannuation,4,FALSE),VLOOKUP($D102,tbSuperannuation2026onwards,2,FALSE)),0)</f>
        <v>0</v>
      </c>
      <c r="O105" s="443">
        <f>O103*N105</f>
        <v>0</v>
      </c>
      <c r="P105" s="340">
        <f>_xlfn.IFNA(_xlfn.IFNA(VLOOKUP(CONCATENATE(pStartYear+3,$D102),tbSuperannuation,4,FALSE),VLOOKUP($D102,tbSuperannuation2026onwards,2,FALSE)),0)</f>
        <v>0</v>
      </c>
      <c r="Q105" s="451">
        <f t="shared" ref="Q105" si="404">Q103*P105</f>
        <v>0</v>
      </c>
      <c r="R105" s="339">
        <f>_xlfn.IFNA(_xlfn.IFNA(VLOOKUP(CONCATENATE(pStartYear+4,$D102),tbSuperannuation,4,FALSE),VLOOKUP($D102,tbSuperannuation2026onwards,2,FALSE)),0)</f>
        <v>0</v>
      </c>
      <c r="S105" s="443">
        <f>S103*R105</f>
        <v>0</v>
      </c>
      <c r="T105" s="340">
        <f>_xlfn.IFNA(_xlfn.IFNA(VLOOKUP(CONCATENATE(pStartYear+5,$D102),tbSuperannuation,4,FALSE),VLOOKUP($D102,tbSuperannuation2026onwards,2,FALSE)),0)</f>
        <v>0</v>
      </c>
      <c r="U105" s="451">
        <f t="shared" ref="U105" si="405">U103*T105</f>
        <v>0</v>
      </c>
      <c r="V105" s="339">
        <f>_xlfn.IFNA(_xlfn.IFNA(VLOOKUP(CONCATENATE(pStartYear+6,$D102),tbSuperannuation,4,FALSE),VLOOKUP($D102,tbSuperannuation2026onwards,2,FALSE)),0)</f>
        <v>0</v>
      </c>
      <c r="W105" s="443">
        <f>W103*V105</f>
        <v>0</v>
      </c>
      <c r="X105" s="340">
        <f>_xlfn.IFNA(_xlfn.IFNA(VLOOKUP(CONCATENATE(pStartYear+7,$D102),tbSuperannuation,4,FALSE),VLOOKUP($D102,tbSuperannuation2026onwards,2,FALSE)),0)</f>
        <v>0</v>
      </c>
      <c r="Y105" s="451">
        <f t="shared" ref="Y105" si="406">Y103*X105</f>
        <v>0</v>
      </c>
      <c r="Z105" s="339">
        <f>_xlfn.IFNA(_xlfn.IFNA(VLOOKUP(CONCATENATE(pStartYear+8,$D102),tbSuperannuation,4,FALSE),VLOOKUP($D102,tbSuperannuation2026onwards,2,FALSE)),0)</f>
        <v>0</v>
      </c>
      <c r="AA105" s="443">
        <f>AA103*Z105</f>
        <v>0</v>
      </c>
      <c r="AB105" s="340">
        <f>_xlfn.IFNA(_xlfn.IFNA(VLOOKUP(CONCATENATE(pStartYear+9,$D102),tbSuperannuation,4,FALSE),VLOOKUP($D102,tbSuperannuation2026onwards,2,FALSE)),0)</f>
        <v>0</v>
      </c>
      <c r="AC105" s="451">
        <f t="shared" ref="AC105" si="407">AC103*AB105</f>
        <v>0</v>
      </c>
      <c r="AD105" s="335"/>
      <c r="AE105" s="1152"/>
      <c r="AF105" s="1152"/>
      <c r="AG105" s="1152"/>
      <c r="AH105" s="1152"/>
      <c r="AI105" s="1152"/>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row>
    <row r="106" spans="1:56" x14ac:dyDescent="0.3">
      <c r="A106" s="1182"/>
      <c r="B106" s="1379"/>
      <c r="C106" s="1379"/>
      <c r="D106" s="1379"/>
      <c r="E106" s="1379"/>
      <c r="F106" s="1379"/>
      <c r="G106" s="1379"/>
      <c r="H106" s="1380"/>
      <c r="I106" s="341" t="s">
        <v>315</v>
      </c>
      <c r="J106" s="342"/>
      <c r="K106" s="444">
        <f>K104+K105+K103</f>
        <v>0</v>
      </c>
      <c r="L106" s="342"/>
      <c r="M106" s="444">
        <f t="shared" ref="M106" si="408">M104+M105+M103</f>
        <v>0</v>
      </c>
      <c r="N106" s="342"/>
      <c r="O106" s="444">
        <f>O104+O105+O103</f>
        <v>0</v>
      </c>
      <c r="P106" s="342"/>
      <c r="Q106" s="444">
        <f t="shared" ref="Q106" si="409">Q104+Q105+Q103</f>
        <v>0</v>
      </c>
      <c r="R106" s="342"/>
      <c r="S106" s="444">
        <f>S104+S105+S103</f>
        <v>0</v>
      </c>
      <c r="T106" s="342"/>
      <c r="U106" s="444">
        <f t="shared" ref="U106" si="410">U104+U105+U103</f>
        <v>0</v>
      </c>
      <c r="V106" s="342"/>
      <c r="W106" s="444">
        <f>W104+W105+W103</f>
        <v>0</v>
      </c>
      <c r="X106" s="342"/>
      <c r="Y106" s="444">
        <f t="shared" ref="Y106" si="411">Y104+Y105+Y103</f>
        <v>0</v>
      </c>
      <c r="Z106" s="342"/>
      <c r="AA106" s="444">
        <f>AA104+AA105+AA103</f>
        <v>0</v>
      </c>
      <c r="AB106" s="342"/>
      <c r="AC106" s="444">
        <f t="shared" ref="AC106" si="412">AC104+AC105+AC103</f>
        <v>0</v>
      </c>
      <c r="AD106" s="335">
        <f t="shared" ref="AD106:AD176" si="413">IFERROR($K106+$M106+$O106+$Q106+$S106+$U106+$W106+$Y106+$AA106+$AC106,0)</f>
        <v>0</v>
      </c>
      <c r="AE106" s="1152"/>
      <c r="AF106" s="1152"/>
      <c r="AG106" s="1152"/>
      <c r="AH106" s="1152"/>
      <c r="AI106" s="1152"/>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row>
    <row r="107" spans="1:56" x14ac:dyDescent="0.3">
      <c r="A107" s="1182"/>
      <c r="B107" s="1379"/>
      <c r="C107" s="1379"/>
      <c r="D107" s="1379"/>
      <c r="E107" s="1379"/>
      <c r="F107" s="1379"/>
      <c r="G107" s="1379"/>
      <c r="H107" s="1380"/>
      <c r="I107" s="336" t="s">
        <v>316</v>
      </c>
      <c r="J107" s="339">
        <f>_xlfn.IFNA(_xlfn.IFNA(VLOOKUP(pStartYear,tbPayrollTax,2,FALSE),vl_MaxPayrollTax),0)</f>
        <v>5.8500000000000003E-2</v>
      </c>
      <c r="K107" s="443">
        <f>J107*K106</f>
        <v>0</v>
      </c>
      <c r="L107" s="340">
        <f>_xlfn.IFNA(_xlfn.IFNA(VLOOKUP(pStartYear+1,tbPayrollTax,2,FALSE),vl_MaxPayrollTax),0)</f>
        <v>5.8500000000000003E-2</v>
      </c>
      <c r="M107" s="451">
        <f t="shared" ref="M107" si="414">L107*M106</f>
        <v>0</v>
      </c>
      <c r="N107" s="339">
        <f>_xlfn.IFNA(_xlfn.IFNA(VLOOKUP(pStartYear+2,tbPayrollTax,2,FALSE),vl_MaxPayrollTax),0)</f>
        <v>5.8500000000000003E-2</v>
      </c>
      <c r="O107" s="443">
        <f>N107*O106</f>
        <v>0</v>
      </c>
      <c r="P107" s="340">
        <f>_xlfn.IFNA(_xlfn.IFNA(VLOOKUP(pStartYear+3,tbPayrollTax,2,FALSE),vl_MaxPayrollTax),0)</f>
        <v>5.8500000000000003E-2</v>
      </c>
      <c r="Q107" s="451">
        <f t="shared" ref="Q107" si="415">P107*Q106</f>
        <v>0</v>
      </c>
      <c r="R107" s="339">
        <f>_xlfn.IFNA(_xlfn.IFNA(VLOOKUP(pStartYear+4,tbPayrollTax,2,FALSE),vl_MaxPayrollTax),0)</f>
        <v>5.8500000000000003E-2</v>
      </c>
      <c r="S107" s="443">
        <f>R107*S106</f>
        <v>0</v>
      </c>
      <c r="T107" s="340">
        <f>_xlfn.IFNA(_xlfn.IFNA(VLOOKUP(pStartYear+5,tbPayrollTax,2,FALSE),vl_MaxPayrollTax),0)</f>
        <v>5.8500000000000003E-2</v>
      </c>
      <c r="U107" s="451">
        <f t="shared" ref="U107" si="416">T107*U106</f>
        <v>0</v>
      </c>
      <c r="V107" s="339">
        <f>_xlfn.IFNA(_xlfn.IFNA(VLOOKUP(pStartYear+6,tbPayrollTax,2,FALSE),vl_MaxPayrollTax),0)</f>
        <v>5.8500000000000003E-2</v>
      </c>
      <c r="W107" s="443">
        <f>V107*W106</f>
        <v>0</v>
      </c>
      <c r="X107" s="340">
        <f>_xlfn.IFNA(_xlfn.IFNA(VLOOKUP(pStartYear+7,tbPayrollTax,2,FALSE),vl_MaxPayrollTax),0)</f>
        <v>5.8500000000000003E-2</v>
      </c>
      <c r="Y107" s="451">
        <f t="shared" ref="Y107" si="417">X107*Y106</f>
        <v>0</v>
      </c>
      <c r="Z107" s="339">
        <f>_xlfn.IFNA(_xlfn.IFNA(VLOOKUP(pStartYear+8,tbPayrollTax,2,FALSE),vl_MaxPayrollTax),0)</f>
        <v>5.8500000000000003E-2</v>
      </c>
      <c r="AA107" s="443">
        <f>Z107*AA106</f>
        <v>0</v>
      </c>
      <c r="AB107" s="340">
        <f>_xlfn.IFNA(_xlfn.IFNA(VLOOKUP(pStartYear+9,tbPayrollTax,2,FALSE),vl_MaxPayrollTax),0)</f>
        <v>5.8500000000000003E-2</v>
      </c>
      <c r="AC107" s="451">
        <f t="shared" ref="AC107" si="418">AB107*AC106</f>
        <v>0</v>
      </c>
      <c r="AD107" s="335"/>
      <c r="AE107" s="1152"/>
      <c r="AF107" s="1152"/>
      <c r="AG107" s="1152"/>
      <c r="AH107" s="1152"/>
      <c r="AI107" s="1152"/>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row>
    <row r="108" spans="1:56" x14ac:dyDescent="0.3">
      <c r="A108" s="1182"/>
      <c r="B108" s="1379"/>
      <c r="C108" s="1379"/>
      <c r="D108" s="1379"/>
      <c r="E108" s="1379"/>
      <c r="F108" s="1379"/>
      <c r="G108" s="1379"/>
      <c r="H108" s="1380"/>
      <c r="I108" s="336" t="s">
        <v>317</v>
      </c>
      <c r="J108" s="339">
        <f>_xlfn.IFNA(VLOOKUP($D102,tbWorkCover,2,FALSE),0)</f>
        <v>0</v>
      </c>
      <c r="K108" s="443">
        <f>J108*K106</f>
        <v>0</v>
      </c>
      <c r="L108" s="340">
        <f>_xlfn.IFNA(VLOOKUP($D102,tbWorkCover,2,FALSE),0)</f>
        <v>0</v>
      </c>
      <c r="M108" s="451">
        <f t="shared" ref="M108" si="419">L108*M106</f>
        <v>0</v>
      </c>
      <c r="N108" s="339">
        <f>_xlfn.IFNA(VLOOKUP($D102,tbWorkCover,2,FALSE),0)</f>
        <v>0</v>
      </c>
      <c r="O108" s="443">
        <f>N108*O106</f>
        <v>0</v>
      </c>
      <c r="P108" s="340">
        <f>_xlfn.IFNA(VLOOKUP($D102,tbWorkCover,2,FALSE),0)</f>
        <v>0</v>
      </c>
      <c r="Q108" s="451">
        <f t="shared" ref="Q108" si="420">P108*Q106</f>
        <v>0</v>
      </c>
      <c r="R108" s="339">
        <f>_xlfn.IFNA(VLOOKUP($D102,tbWorkCover,2,FALSE),0)</f>
        <v>0</v>
      </c>
      <c r="S108" s="443">
        <f>R108*S106</f>
        <v>0</v>
      </c>
      <c r="T108" s="340">
        <f>_xlfn.IFNA(VLOOKUP($D102,tbWorkCover,2,FALSE),0)</f>
        <v>0</v>
      </c>
      <c r="U108" s="451">
        <f t="shared" ref="U108" si="421">T108*U106</f>
        <v>0</v>
      </c>
      <c r="V108" s="339">
        <f>_xlfn.IFNA(VLOOKUP($D102,tbWorkCover,2,FALSE),0)</f>
        <v>0</v>
      </c>
      <c r="W108" s="443">
        <f>V108*W106</f>
        <v>0</v>
      </c>
      <c r="X108" s="340">
        <f>_xlfn.IFNA(VLOOKUP($D102,tbWorkCover,2,FALSE),0)</f>
        <v>0</v>
      </c>
      <c r="Y108" s="451">
        <f t="shared" ref="Y108" si="422">X108*Y106</f>
        <v>0</v>
      </c>
      <c r="Z108" s="339">
        <f>_xlfn.IFNA(VLOOKUP($D102,tbWorkCover,2,FALSE),0)</f>
        <v>0</v>
      </c>
      <c r="AA108" s="443">
        <f>Z108*AA106</f>
        <v>0</v>
      </c>
      <c r="AB108" s="340">
        <f>_xlfn.IFNA(VLOOKUP($D102,tbWorkCover,2,FALSE),0)</f>
        <v>0</v>
      </c>
      <c r="AC108" s="451">
        <f t="shared" ref="AC108" si="423">AB108*AC106</f>
        <v>0</v>
      </c>
      <c r="AD108" s="335"/>
      <c r="AE108" s="1152"/>
      <c r="AF108" s="1152"/>
      <c r="AG108" s="1152"/>
      <c r="AH108" s="1152"/>
      <c r="AI108" s="1152"/>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row>
    <row r="109" spans="1:56" x14ac:dyDescent="0.3">
      <c r="A109" s="1182"/>
      <c r="B109" s="1379"/>
      <c r="C109" s="1379"/>
      <c r="D109" s="1379"/>
      <c r="E109" s="1379"/>
      <c r="F109" s="1379"/>
      <c r="G109" s="1379"/>
      <c r="H109" s="1380"/>
      <c r="I109" s="336" t="s">
        <v>318</v>
      </c>
      <c r="J109" s="339">
        <f>_xlfn.IFNA(VLOOKUP($D102,tbLongServiceLeave,2,FALSE),0)</f>
        <v>0</v>
      </c>
      <c r="K109" s="443">
        <f>J109*K103</f>
        <v>0</v>
      </c>
      <c r="L109" s="340">
        <f>_xlfn.IFNA(VLOOKUP($D102,tbLongServiceLeave,2,FALSE),0)</f>
        <v>0</v>
      </c>
      <c r="M109" s="451">
        <f t="shared" ref="M109" si="424">L109*M103</f>
        <v>0</v>
      </c>
      <c r="N109" s="339">
        <f>_xlfn.IFNA(VLOOKUP($D102,tbLongServiceLeave,2,FALSE),0)</f>
        <v>0</v>
      </c>
      <c r="O109" s="443">
        <f>N109*O103</f>
        <v>0</v>
      </c>
      <c r="P109" s="340">
        <f>_xlfn.IFNA(VLOOKUP($D102,tbLongServiceLeave,2,FALSE),0)</f>
        <v>0</v>
      </c>
      <c r="Q109" s="451">
        <f t="shared" ref="Q109" si="425">P109*Q103</f>
        <v>0</v>
      </c>
      <c r="R109" s="339">
        <f>_xlfn.IFNA(VLOOKUP($D102,tbLongServiceLeave,2,FALSE),0)</f>
        <v>0</v>
      </c>
      <c r="S109" s="443">
        <f>R109*S103</f>
        <v>0</v>
      </c>
      <c r="T109" s="340">
        <f>_xlfn.IFNA(VLOOKUP($D102,tbLongServiceLeave,2,FALSE),0)</f>
        <v>0</v>
      </c>
      <c r="U109" s="451">
        <f t="shared" ref="U109" si="426">T109*U103</f>
        <v>0</v>
      </c>
      <c r="V109" s="339">
        <f>_xlfn.IFNA(VLOOKUP($D102,tbLongServiceLeave,2,FALSE),0)</f>
        <v>0</v>
      </c>
      <c r="W109" s="443">
        <f>V109*W103</f>
        <v>0</v>
      </c>
      <c r="X109" s="340">
        <f>_xlfn.IFNA(VLOOKUP($D102,tbLongServiceLeave,2,FALSE),0)</f>
        <v>0</v>
      </c>
      <c r="Y109" s="451">
        <f t="shared" ref="Y109" si="427">X109*Y103</f>
        <v>0</v>
      </c>
      <c r="Z109" s="339">
        <f>_xlfn.IFNA(VLOOKUP($D102,tbLongServiceLeave,2,FALSE),0)</f>
        <v>0</v>
      </c>
      <c r="AA109" s="443">
        <f>Z109*AA103</f>
        <v>0</v>
      </c>
      <c r="AB109" s="340">
        <f>_xlfn.IFNA(VLOOKUP($D102,tbLongServiceLeave,2,FALSE),0)</f>
        <v>0</v>
      </c>
      <c r="AC109" s="451">
        <f t="shared" ref="AC109" si="428">AB109*AC103</f>
        <v>0</v>
      </c>
      <c r="AD109" s="335"/>
      <c r="AE109" s="1152"/>
      <c r="AF109" s="1152"/>
      <c r="AG109" s="1152"/>
      <c r="AH109" s="1152"/>
      <c r="AI109" s="1152"/>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row>
    <row r="110" spans="1:56" x14ac:dyDescent="0.3">
      <c r="A110" s="1182"/>
      <c r="B110" s="1379"/>
      <c r="C110" s="1379"/>
      <c r="D110" s="1379"/>
      <c r="E110" s="1379"/>
      <c r="F110" s="1379"/>
      <c r="G110" s="1379"/>
      <c r="H110" s="1380"/>
      <c r="I110" s="336" t="s">
        <v>319</v>
      </c>
      <c r="J110" s="339">
        <f>_xlfn.IFNA(VLOOKUP($D102,tbParentalLeave,2,FALSE),0)</f>
        <v>0</v>
      </c>
      <c r="K110" s="443">
        <f>J110*K103</f>
        <v>0</v>
      </c>
      <c r="L110" s="340">
        <f>_xlfn.IFNA(VLOOKUP($D102,tbParentalLeave,2,FALSE),0)</f>
        <v>0</v>
      </c>
      <c r="M110" s="451">
        <f t="shared" ref="M110" si="429">L110*M103</f>
        <v>0</v>
      </c>
      <c r="N110" s="339">
        <f>_xlfn.IFNA(VLOOKUP($D102,tbParentalLeave,2,FALSE),0)</f>
        <v>0</v>
      </c>
      <c r="O110" s="443">
        <f>N110*O103</f>
        <v>0</v>
      </c>
      <c r="P110" s="340">
        <f>_xlfn.IFNA(VLOOKUP($D102,tbParentalLeave,2,FALSE),0)</f>
        <v>0</v>
      </c>
      <c r="Q110" s="451">
        <f t="shared" ref="Q110" si="430">P110*Q103</f>
        <v>0</v>
      </c>
      <c r="R110" s="339">
        <f>_xlfn.IFNA(VLOOKUP($D102,tbParentalLeave,2,FALSE),0)</f>
        <v>0</v>
      </c>
      <c r="S110" s="443">
        <f>R110*S103</f>
        <v>0</v>
      </c>
      <c r="T110" s="340">
        <f>_xlfn.IFNA(VLOOKUP($D102,tbParentalLeave,2,FALSE),0)</f>
        <v>0</v>
      </c>
      <c r="U110" s="451">
        <f t="shared" ref="U110" si="431">T110*U103</f>
        <v>0</v>
      </c>
      <c r="V110" s="339">
        <f>_xlfn.IFNA(VLOOKUP($D102,tbParentalLeave,2,FALSE),0)</f>
        <v>0</v>
      </c>
      <c r="W110" s="443">
        <f>V110*W103</f>
        <v>0</v>
      </c>
      <c r="X110" s="340">
        <f>_xlfn.IFNA(VLOOKUP($D102,tbParentalLeave,2,FALSE),0)</f>
        <v>0</v>
      </c>
      <c r="Y110" s="451">
        <f t="shared" ref="Y110" si="432">X110*Y103</f>
        <v>0</v>
      </c>
      <c r="Z110" s="339">
        <f>_xlfn.IFNA(VLOOKUP($D102,tbParentalLeave,2,FALSE),0)</f>
        <v>0</v>
      </c>
      <c r="AA110" s="443">
        <f>Z110*AA103</f>
        <v>0</v>
      </c>
      <c r="AB110" s="340">
        <f>_xlfn.IFNA(VLOOKUP($D102,tbParentalLeave,2,FALSE),0)</f>
        <v>0</v>
      </c>
      <c r="AC110" s="451">
        <f t="shared" ref="AC110" si="433">AB110*AC103</f>
        <v>0</v>
      </c>
      <c r="AD110" s="335"/>
      <c r="AE110" s="1152"/>
      <c r="AF110" s="1152"/>
      <c r="AG110" s="1152"/>
      <c r="AH110" s="1152"/>
      <c r="AI110" s="1152"/>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row>
    <row r="111" spans="1:56" x14ac:dyDescent="0.3">
      <c r="A111" s="1182"/>
      <c r="B111" s="1379"/>
      <c r="C111" s="1379"/>
      <c r="D111" s="1379"/>
      <c r="E111" s="1379"/>
      <c r="F111" s="1379"/>
      <c r="G111" s="1379"/>
      <c r="H111" s="1380"/>
      <c r="I111" s="437" t="s">
        <v>320</v>
      </c>
      <c r="J111" s="438">
        <f>vl_overridden_uom_oncosts_per</f>
        <v>0</v>
      </c>
      <c r="K111" s="445">
        <f>J111*K103</f>
        <v>0</v>
      </c>
      <c r="L111" s="438">
        <f>vl_overridden_uom_oncosts_per</f>
        <v>0</v>
      </c>
      <c r="M111" s="445">
        <f>L111*M103</f>
        <v>0</v>
      </c>
      <c r="N111" s="438">
        <f>vl_overridden_uom_oncosts_per</f>
        <v>0</v>
      </c>
      <c r="O111" s="445">
        <f t="shared" ref="O111" si="434">N111*O103</f>
        <v>0</v>
      </c>
      <c r="P111" s="438">
        <f>vl_overridden_uom_oncosts_per</f>
        <v>0</v>
      </c>
      <c r="Q111" s="445">
        <f t="shared" ref="Q111" si="435">P111*Q103</f>
        <v>0</v>
      </c>
      <c r="R111" s="438">
        <f>vl_overridden_uom_oncosts_per</f>
        <v>0</v>
      </c>
      <c r="S111" s="445">
        <f t="shared" ref="S111" si="436">R111*S103</f>
        <v>0</v>
      </c>
      <c r="T111" s="438">
        <f>vl_overridden_uom_oncosts_per</f>
        <v>0</v>
      </c>
      <c r="U111" s="445">
        <f t="shared" ref="U111" si="437">T111*U103</f>
        <v>0</v>
      </c>
      <c r="V111" s="438">
        <f>vl_overridden_uom_oncosts_per</f>
        <v>0</v>
      </c>
      <c r="W111" s="445">
        <f t="shared" ref="W111" si="438">V111*W103</f>
        <v>0</v>
      </c>
      <c r="X111" s="438">
        <f>vl_overridden_uom_oncosts_per</f>
        <v>0</v>
      </c>
      <c r="Y111" s="445">
        <f t="shared" ref="Y111" si="439">X111*Y103</f>
        <v>0</v>
      </c>
      <c r="Z111" s="438">
        <f>vl_overridden_uom_oncosts_per</f>
        <v>0</v>
      </c>
      <c r="AA111" s="445">
        <f t="shared" ref="AA111" si="440">Z111*AA103</f>
        <v>0</v>
      </c>
      <c r="AB111" s="438">
        <f>vl_overridden_uom_oncosts_per</f>
        <v>0</v>
      </c>
      <c r="AC111" s="445">
        <f t="shared" ref="AC111" si="441">AB111*AC103</f>
        <v>0</v>
      </c>
      <c r="AD111" s="335"/>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row>
    <row r="112" spans="1:56" x14ac:dyDescent="0.3">
      <c r="A112" s="1182"/>
      <c r="B112" s="1379"/>
      <c r="C112" s="1379"/>
      <c r="D112" s="1379"/>
      <c r="E112" s="1379"/>
      <c r="F112" s="1379"/>
      <c r="G112" s="1379"/>
      <c r="H112" s="1380"/>
      <c r="I112" s="341" t="s">
        <v>321</v>
      </c>
      <c r="J112" s="342"/>
      <c r="K112" s="444">
        <f>SUM(K106:K111)</f>
        <v>0</v>
      </c>
      <c r="L112" s="342"/>
      <c r="M112" s="444">
        <f t="shared" ref="M112" si="442">SUM(M106:M111)</f>
        <v>0</v>
      </c>
      <c r="N112" s="342"/>
      <c r="O112" s="444">
        <f t="shared" ref="O112" si="443">SUM(O106:O111)</f>
        <v>0</v>
      </c>
      <c r="P112" s="342"/>
      <c r="Q112" s="444">
        <f t="shared" ref="Q112" si="444">SUM(Q106:Q111)</f>
        <v>0</v>
      </c>
      <c r="R112" s="342"/>
      <c r="S112" s="444">
        <f t="shared" ref="S112" si="445">SUM(S106:S111)</f>
        <v>0</v>
      </c>
      <c r="T112" s="342"/>
      <c r="U112" s="444">
        <f t="shared" ref="U112" si="446">SUM(U106:U111)</f>
        <v>0</v>
      </c>
      <c r="V112" s="342"/>
      <c r="W112" s="444">
        <f t="shared" ref="W112" si="447">SUM(W106:W111)</f>
        <v>0</v>
      </c>
      <c r="X112" s="342"/>
      <c r="Y112" s="444">
        <f t="shared" ref="Y112" si="448">SUM(Y106:Y111)</f>
        <v>0</v>
      </c>
      <c r="Z112" s="342"/>
      <c r="AA112" s="444">
        <f t="shared" ref="AA112" si="449">SUM(AA106:AA111)</f>
        <v>0</v>
      </c>
      <c r="AB112" s="342"/>
      <c r="AC112" s="444">
        <f t="shared" ref="AC112" si="450">SUM(AC106:AC111)</f>
        <v>0</v>
      </c>
      <c r="AD112" s="335">
        <f t="shared" si="413"/>
        <v>0</v>
      </c>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row>
    <row r="113" spans="1:56" x14ac:dyDescent="0.3">
      <c r="A113" s="1182"/>
      <c r="B113" s="1379"/>
      <c r="C113" s="1379"/>
      <c r="D113" s="1379"/>
      <c r="E113" s="1379"/>
      <c r="F113" s="1379"/>
      <c r="G113" s="1379"/>
      <c r="H113" s="1380"/>
      <c r="I113" s="336" t="s">
        <v>322</v>
      </c>
      <c r="J113" s="339">
        <f>_xlfn.IFNA(VLOOKUP($D102,tbAnnualLeaveProvision,2,FALSE),0)</f>
        <v>0</v>
      </c>
      <c r="K113" s="443">
        <f>J113*K103</f>
        <v>0</v>
      </c>
      <c r="L113" s="340">
        <f>_xlfn.IFNA(VLOOKUP($D102,tbAnnualLeaveProvision,2,FALSE),0)</f>
        <v>0</v>
      </c>
      <c r="M113" s="451">
        <f t="shared" ref="M113" si="451">L113*M103</f>
        <v>0</v>
      </c>
      <c r="N113" s="339">
        <f>_xlfn.IFNA(VLOOKUP($D102,tbAnnualLeaveProvision,2,FALSE),0)</f>
        <v>0</v>
      </c>
      <c r="O113" s="443">
        <f>N113*O103</f>
        <v>0</v>
      </c>
      <c r="P113" s="340">
        <f>_xlfn.IFNA(VLOOKUP($D102,tbAnnualLeaveProvision,2,FALSE),0)</f>
        <v>0</v>
      </c>
      <c r="Q113" s="451">
        <f t="shared" ref="Q113" si="452">P113*Q103</f>
        <v>0</v>
      </c>
      <c r="R113" s="339">
        <f>_xlfn.IFNA(VLOOKUP($D102,tbAnnualLeaveProvision,2,FALSE),0)</f>
        <v>0</v>
      </c>
      <c r="S113" s="443">
        <f>R113*S103</f>
        <v>0</v>
      </c>
      <c r="T113" s="340">
        <f>_xlfn.IFNA(VLOOKUP($D102,tbAnnualLeaveProvision,2,FALSE),0)</f>
        <v>0</v>
      </c>
      <c r="U113" s="451">
        <f t="shared" ref="U113" si="453">T113*U103</f>
        <v>0</v>
      </c>
      <c r="V113" s="339">
        <f>_xlfn.IFNA(VLOOKUP($D102,tbAnnualLeaveProvision,2,FALSE),0)</f>
        <v>0</v>
      </c>
      <c r="W113" s="443">
        <f>V113*W103</f>
        <v>0</v>
      </c>
      <c r="X113" s="340">
        <f>_xlfn.IFNA(VLOOKUP($D102,tbAnnualLeaveProvision,2,FALSE),0)</f>
        <v>0</v>
      </c>
      <c r="Y113" s="451">
        <f t="shared" ref="Y113" si="454">X113*Y103</f>
        <v>0</v>
      </c>
      <c r="Z113" s="339">
        <f>_xlfn.IFNA(VLOOKUP($D102,tbAnnualLeaveProvision,2,FALSE),0)</f>
        <v>0</v>
      </c>
      <c r="AA113" s="443">
        <f>Z113*AA103</f>
        <v>0</v>
      </c>
      <c r="AB113" s="340">
        <f>_xlfn.IFNA(VLOOKUP($D102,tbAnnualLeaveProvision,2,FALSE),0)</f>
        <v>0</v>
      </c>
      <c r="AC113" s="451">
        <f t="shared" ref="AC113" si="455">AB113*AC103</f>
        <v>0</v>
      </c>
      <c r="AD113" s="335"/>
      <c r="AE113" s="1152"/>
      <c r="AF113" s="1152"/>
      <c r="AG113" s="1152"/>
      <c r="AH113" s="1152"/>
      <c r="AI113" s="1152"/>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row>
    <row r="114" spans="1:56" x14ac:dyDescent="0.3">
      <c r="A114" s="1182"/>
      <c r="B114" s="1379"/>
      <c r="C114" s="1379"/>
      <c r="D114" s="1379"/>
      <c r="E114" s="1379"/>
      <c r="F114" s="1379"/>
      <c r="G114" s="1379"/>
      <c r="H114" s="1380"/>
      <c r="I114" s="336" t="s">
        <v>330</v>
      </c>
      <c r="J114" s="339"/>
      <c r="K114" s="446">
        <f>K112+K113</f>
        <v>0</v>
      </c>
      <c r="L114" s="340"/>
      <c r="M114" s="452">
        <f t="shared" ref="M114" si="456">M112+M113</f>
        <v>0</v>
      </c>
      <c r="N114" s="339"/>
      <c r="O114" s="446">
        <f>O112+O113</f>
        <v>0</v>
      </c>
      <c r="P114" s="340"/>
      <c r="Q114" s="452">
        <f t="shared" ref="Q114" si="457">Q112+Q113</f>
        <v>0</v>
      </c>
      <c r="R114" s="339"/>
      <c r="S114" s="446">
        <f>S112+S113</f>
        <v>0</v>
      </c>
      <c r="T114" s="340"/>
      <c r="U114" s="452">
        <f t="shared" ref="U114" si="458">U112+U113</f>
        <v>0</v>
      </c>
      <c r="V114" s="339"/>
      <c r="W114" s="446">
        <f>W112+W113</f>
        <v>0</v>
      </c>
      <c r="X114" s="340"/>
      <c r="Y114" s="452">
        <f t="shared" ref="Y114" si="459">Y112+Y113</f>
        <v>0</v>
      </c>
      <c r="Z114" s="339"/>
      <c r="AA114" s="446">
        <f>AA112+AA113</f>
        <v>0</v>
      </c>
      <c r="AB114" s="340"/>
      <c r="AC114" s="452">
        <f t="shared" ref="AC114" si="460">AC112+AC113</f>
        <v>0</v>
      </c>
      <c r="AD114" s="335"/>
      <c r="AE114" s="1152"/>
      <c r="AF114" s="1152"/>
      <c r="AG114" s="1152"/>
      <c r="AH114" s="1152"/>
      <c r="AI114" s="1152"/>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row>
    <row r="115" spans="1:56" x14ac:dyDescent="0.3">
      <c r="A115" s="1182"/>
      <c r="B115" s="1379"/>
      <c r="C115" s="1379"/>
      <c r="D115" s="1379"/>
      <c r="E115" s="1379"/>
      <c r="F115" s="1379"/>
      <c r="G115" s="1379"/>
      <c r="H115" s="1380"/>
      <c r="I115" s="343" t="s">
        <v>324</v>
      </c>
      <c r="J115" s="344"/>
      <c r="K115" s="443">
        <f>IFERROR(-(K112/vl_working_days_per_year)*J115,0)</f>
        <v>0</v>
      </c>
      <c r="L115" s="345"/>
      <c r="M115" s="451">
        <f>IFERROR(-(M112/vl_working_days_per_year)*L115,0)</f>
        <v>0</v>
      </c>
      <c r="N115" s="344"/>
      <c r="O115" s="443">
        <f>-(O112/vl_working_days_per_year)*N115</f>
        <v>0</v>
      </c>
      <c r="P115" s="345"/>
      <c r="Q115" s="451">
        <f>-(Q112/vl_working_days_per_year)*P115</f>
        <v>0</v>
      </c>
      <c r="R115" s="344"/>
      <c r="S115" s="443">
        <f>-(S112/vl_working_days_per_year)*R115</f>
        <v>0</v>
      </c>
      <c r="T115" s="345"/>
      <c r="U115" s="451">
        <f>-(U112/vl_working_days_per_year)*T115</f>
        <v>0</v>
      </c>
      <c r="V115" s="344"/>
      <c r="W115" s="443">
        <f>-(W112/vl_working_days_per_year)*V115</f>
        <v>0</v>
      </c>
      <c r="X115" s="345"/>
      <c r="Y115" s="451">
        <f>-(Y112/vl_working_days_per_year)*X115</f>
        <v>0</v>
      </c>
      <c r="Z115" s="344"/>
      <c r="AA115" s="443">
        <f>-(AA112/vl_working_days_per_year)*Z115</f>
        <v>0</v>
      </c>
      <c r="AB115" s="345"/>
      <c r="AC115" s="451">
        <f>-(AC112/vl_working_days_per_year)*AB115</f>
        <v>0</v>
      </c>
      <c r="AD115" s="335">
        <f t="shared" si="413"/>
        <v>0</v>
      </c>
      <c r="AE115" s="1152"/>
      <c r="AF115" s="1152"/>
      <c r="AG115" s="1152"/>
      <c r="AH115" s="1152"/>
      <c r="AI115" s="1152"/>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row>
    <row r="116" spans="1:56" x14ac:dyDescent="0.3">
      <c r="A116" s="1182"/>
      <c r="B116" s="1379"/>
      <c r="C116" s="1379"/>
      <c r="D116" s="1379"/>
      <c r="E116" s="1379"/>
      <c r="F116" s="1379"/>
      <c r="G116" s="1379"/>
      <c r="H116" s="1380"/>
      <c r="I116" s="341" t="s">
        <v>325</v>
      </c>
      <c r="J116" s="346"/>
      <c r="K116" s="444">
        <f>K114+K115</f>
        <v>0</v>
      </c>
      <c r="L116" s="346"/>
      <c r="M116" s="444">
        <f t="shared" ref="M116" si="461">M114+M115</f>
        <v>0</v>
      </c>
      <c r="N116" s="346"/>
      <c r="O116" s="444">
        <f>O114+O115</f>
        <v>0</v>
      </c>
      <c r="P116" s="346"/>
      <c r="Q116" s="444">
        <f t="shared" ref="Q116" si="462">Q114+Q115</f>
        <v>0</v>
      </c>
      <c r="R116" s="346"/>
      <c r="S116" s="444">
        <f>S114+S115</f>
        <v>0</v>
      </c>
      <c r="T116" s="346"/>
      <c r="U116" s="444">
        <f t="shared" ref="U116" si="463">U114+U115</f>
        <v>0</v>
      </c>
      <c r="V116" s="346"/>
      <c r="W116" s="444">
        <f>W114+W115</f>
        <v>0</v>
      </c>
      <c r="X116" s="346"/>
      <c r="Y116" s="444">
        <f t="shared" ref="Y116" si="464">Y114+Y115</f>
        <v>0</v>
      </c>
      <c r="Z116" s="346"/>
      <c r="AA116" s="444">
        <f>AA114+AA115</f>
        <v>0</v>
      </c>
      <c r="AB116" s="346"/>
      <c r="AC116" s="444">
        <f t="shared" ref="AC116" si="465">AC114+AC115</f>
        <v>0</v>
      </c>
      <c r="AD116" s="335">
        <f t="shared" si="413"/>
        <v>0</v>
      </c>
      <c r="AE116" s="1152"/>
      <c r="AF116" s="1152"/>
      <c r="AG116" s="1152"/>
      <c r="AH116" s="1152"/>
      <c r="AI116" s="1152"/>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row>
    <row r="117" spans="1:56" s="1" customFormat="1" ht="15" customHeight="1" x14ac:dyDescent="0.3">
      <c r="A117" s="727"/>
      <c r="B117" s="1379"/>
      <c r="C117" s="1379"/>
      <c r="D117" s="1379"/>
      <c r="E117" s="1379"/>
      <c r="F117" s="1379"/>
      <c r="G117" s="1379"/>
      <c r="H117" s="1380"/>
      <c r="I117" s="382" t="s">
        <v>326</v>
      </c>
      <c r="J117" s="383">
        <f>IFERROR(K117/K103,0)</f>
        <v>0</v>
      </c>
      <c r="K117" s="447">
        <f>SUM(K104:K105,K107:K110,K113)</f>
        <v>0</v>
      </c>
      <c r="L117" s="434">
        <f>IFERROR(M117/M103,0)</f>
        <v>0</v>
      </c>
      <c r="M117" s="453">
        <f t="shared" ref="M117" si="466">SUM(M104:M105,M107:M110,M113)</f>
        <v>0</v>
      </c>
      <c r="N117" s="383">
        <f t="shared" ref="N117" si="467">IFERROR(O117/O103,0)</f>
        <v>0</v>
      </c>
      <c r="O117" s="447">
        <f t="shared" ref="O117" si="468">SUM(O104:O105,O107:O110,O113)</f>
        <v>0</v>
      </c>
      <c r="P117" s="434">
        <f t="shared" ref="P117" si="469">IFERROR(Q117/Q103,0)</f>
        <v>0</v>
      </c>
      <c r="Q117" s="453">
        <f t="shared" ref="Q117" si="470">SUM(Q104:Q105,Q107:Q110,Q113)</f>
        <v>0</v>
      </c>
      <c r="R117" s="383">
        <f t="shared" ref="R117" si="471">IFERROR(S117/S103,0)</f>
        <v>0</v>
      </c>
      <c r="S117" s="447">
        <f t="shared" ref="S117" si="472">SUM(S104:S105,S107:S110,S113)</f>
        <v>0</v>
      </c>
      <c r="T117" s="434">
        <f t="shared" ref="T117" si="473">IFERROR(U117/U103,0)</f>
        <v>0</v>
      </c>
      <c r="U117" s="453">
        <f t="shared" ref="U117" si="474">SUM(U104:U105,U107:U110,U113)</f>
        <v>0</v>
      </c>
      <c r="V117" s="383">
        <f t="shared" ref="V117" si="475">IFERROR(W117/W103,0)</f>
        <v>0</v>
      </c>
      <c r="W117" s="447">
        <f t="shared" ref="W117" si="476">SUM(W104:W105,W107:W110,W113)</f>
        <v>0</v>
      </c>
      <c r="X117" s="434">
        <f t="shared" ref="X117" si="477">IFERROR(Y117/Y103,0)</f>
        <v>0</v>
      </c>
      <c r="Y117" s="453">
        <f t="shared" ref="Y117" si="478">SUM(Y104:Y105,Y107:Y110,Y113)</f>
        <v>0</v>
      </c>
      <c r="Z117" s="383">
        <f t="shared" ref="Z117" si="479">IFERROR(AA117/AA103,0)</f>
        <v>0</v>
      </c>
      <c r="AA117" s="447">
        <f t="shared" ref="AA117" si="480">SUM(AA104:AA105,AA107:AA110,AA113)</f>
        <v>0</v>
      </c>
      <c r="AB117" s="434">
        <f t="shared" ref="AB117" si="481">IFERROR(AC117/AC103,0)</f>
        <v>0</v>
      </c>
      <c r="AC117" s="453">
        <f t="shared" ref="AC117" si="482">SUM(AC104:AC105,AC107:AC110,AC113)</f>
        <v>0</v>
      </c>
      <c r="AD117" s="377">
        <f t="shared" si="413"/>
        <v>0</v>
      </c>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row>
    <row r="118" spans="1:56" x14ac:dyDescent="0.3">
      <c r="A118" s="1182"/>
      <c r="B118" s="1379"/>
      <c r="C118" s="1379"/>
      <c r="D118" s="1379"/>
      <c r="E118" s="1379"/>
      <c r="F118" s="1379"/>
      <c r="G118" s="1379"/>
      <c r="H118" s="1380"/>
      <c r="I118" s="382" t="s">
        <v>327</v>
      </c>
      <c r="J118" s="384">
        <f>pCRSalaries</f>
        <v>2.5</v>
      </c>
      <c r="K118" s="447"/>
      <c r="L118" s="435">
        <f>pCRSalaries</f>
        <v>2.5</v>
      </c>
      <c r="M118" s="453"/>
      <c r="N118" s="384">
        <f>pCRSalaries</f>
        <v>2.5</v>
      </c>
      <c r="O118" s="447"/>
      <c r="P118" s="435">
        <f>pCRSalaries</f>
        <v>2.5</v>
      </c>
      <c r="Q118" s="453"/>
      <c r="R118" s="384">
        <f>pCRSalaries</f>
        <v>2.5</v>
      </c>
      <c r="S118" s="447"/>
      <c r="T118" s="435">
        <f>pCRSalaries</f>
        <v>2.5</v>
      </c>
      <c r="U118" s="453"/>
      <c r="V118" s="384">
        <f>pCRSalaries</f>
        <v>2.5</v>
      </c>
      <c r="W118" s="447"/>
      <c r="X118" s="435">
        <f>pCRSalaries</f>
        <v>2.5</v>
      </c>
      <c r="Y118" s="453"/>
      <c r="Z118" s="384">
        <f>pCRSalaries</f>
        <v>2.5</v>
      </c>
      <c r="AA118" s="447"/>
      <c r="AB118" s="435">
        <f>pCRSalaries</f>
        <v>2.5</v>
      </c>
      <c r="AC118" s="453"/>
      <c r="AD118" s="335"/>
      <c r="AE118" s="1152"/>
      <c r="AF118" s="1152"/>
      <c r="AG118" s="1152"/>
      <c r="AH118" s="1152"/>
      <c r="AI118" s="115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row>
    <row r="119" spans="1:56" ht="16.2" thickBot="1" x14ac:dyDescent="0.35">
      <c r="A119" s="1182"/>
      <c r="B119" s="710"/>
      <c r="C119" s="347"/>
      <c r="D119" s="347"/>
      <c r="E119" s="347"/>
      <c r="F119" s="347"/>
      <c r="G119" s="347"/>
      <c r="H119" s="347"/>
      <c r="I119" s="436" t="s">
        <v>329</v>
      </c>
      <c r="J119" s="348"/>
      <c r="K119" s="448">
        <f>J118*K114</f>
        <v>0</v>
      </c>
      <c r="L119" s="348"/>
      <c r="M119" s="448">
        <f t="shared" ref="M119" si="483">L118*M114</f>
        <v>0</v>
      </c>
      <c r="N119" s="348"/>
      <c r="O119" s="448">
        <f>N118*O114</f>
        <v>0</v>
      </c>
      <c r="P119" s="348"/>
      <c r="Q119" s="448">
        <f t="shared" ref="Q119" si="484">P118*Q114</f>
        <v>0</v>
      </c>
      <c r="R119" s="348"/>
      <c r="S119" s="448">
        <f>R118*S114</f>
        <v>0</v>
      </c>
      <c r="T119" s="348"/>
      <c r="U119" s="448">
        <f t="shared" ref="U119" si="485">T118*U114</f>
        <v>0</v>
      </c>
      <c r="V119" s="348"/>
      <c r="W119" s="448">
        <f>V118*W114</f>
        <v>0</v>
      </c>
      <c r="X119" s="348"/>
      <c r="Y119" s="448">
        <f t="shared" ref="Y119" si="486">X118*Y114</f>
        <v>0</v>
      </c>
      <c r="Z119" s="348"/>
      <c r="AA119" s="448">
        <f>Z118*AA114</f>
        <v>0</v>
      </c>
      <c r="AB119" s="348"/>
      <c r="AC119" s="448">
        <f t="shared" ref="AC119" si="487">AB118*AC114</f>
        <v>0</v>
      </c>
      <c r="AD119" s="335">
        <f t="shared" si="413"/>
        <v>0</v>
      </c>
      <c r="AE119" s="1152"/>
      <c r="AF119" s="1152"/>
      <c r="AG119" s="1152"/>
      <c r="AH119" s="1152"/>
      <c r="AI119" s="115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row>
    <row r="120" spans="1:56" ht="15" thickBot="1" x14ac:dyDescent="0.35">
      <c r="A120" s="1182"/>
      <c r="B120" s="1181"/>
      <c r="C120" s="1181"/>
      <c r="D120" s="1181"/>
      <c r="E120" s="1181"/>
      <c r="F120" s="1181"/>
      <c r="G120" s="1181"/>
      <c r="H120" s="1181"/>
      <c r="I120" s="350"/>
      <c r="J120" s="351"/>
      <c r="K120" s="351"/>
      <c r="L120" s="351"/>
      <c r="M120" s="352"/>
      <c r="N120" s="351"/>
      <c r="O120" s="352"/>
      <c r="P120" s="351"/>
      <c r="Q120" s="352"/>
      <c r="R120" s="351"/>
      <c r="S120" s="352"/>
      <c r="T120" s="351"/>
      <c r="U120" s="352"/>
      <c r="V120" s="351"/>
      <c r="W120" s="352"/>
      <c r="X120" s="351"/>
      <c r="Y120" s="352"/>
      <c r="Z120" s="351"/>
      <c r="AA120" s="352"/>
      <c r="AB120" s="351"/>
      <c r="AC120" s="352"/>
      <c r="AD120" s="353" t="str">
        <f>IF(tbBudgetCurrency="AUD - Australian Dollar","",IFERROR(K120+M120+O120+Q120+S120+U120+W120+Y120+AA120+AC120,0))</f>
        <v/>
      </c>
      <c r="AE120" s="1152"/>
      <c r="AF120" s="1152"/>
      <c r="AG120" s="1152"/>
      <c r="AH120" s="1152"/>
      <c r="AI120" s="115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row>
    <row r="121" spans="1:56" x14ac:dyDescent="0.3">
      <c r="A121" s="1182"/>
      <c r="B121" s="356" t="str">
        <f>IF('PART B Staff Costs'!B27="","",'PART B Staff Costs'!B27)</f>
        <v/>
      </c>
      <c r="C121" s="356" t="str">
        <f>IF('PART B Staff Costs'!C27="","",'PART B Staff Costs'!C27)</f>
        <v xml:space="preserve"> </v>
      </c>
      <c r="D121" s="332" t="str">
        <f>IF('PART B Staff Costs'!D27="","",'PART B Staff Costs'!D27)</f>
        <v/>
      </c>
      <c r="E121" s="332" t="str">
        <f>IF('PART B Staff Costs'!E27="","",'PART B Staff Costs'!E27)</f>
        <v/>
      </c>
      <c r="F121" s="332" t="str">
        <f>IF('PART B Staff Costs'!F27="","",'PART B Staff Costs'!F27)</f>
        <v/>
      </c>
      <c r="G121" s="332" t="str">
        <f>IF('PART B Staff Costs'!G27="","",'PART B Staff Costs'!G27)</f>
        <v/>
      </c>
      <c r="H121" s="332" t="str">
        <f t="shared" ref="H121" si="488">CONCATENATE(IF(D121=0,"",D121)," ",IF(E121=0,"",E121)," ",IF(F121=0,"",F121),,IF(OR(G121=0,G121=""),"",CONCATENATE(" (",G121,")")))</f>
        <v xml:space="preserve">  </v>
      </c>
      <c r="I121" s="332" t="s">
        <v>313</v>
      </c>
      <c r="J121" s="333">
        <f>_xlfn.IFNA('PART B Staff Costs'!H27*'PART B Staff Costs'!J$10,0)*new_xrate</f>
        <v>0</v>
      </c>
      <c r="K121" s="441"/>
      <c r="L121" s="334">
        <f>_xlfn.IFNA(IF(pStartYear+1&gt;pEndYear,0,VLOOKUP(CONCATENATE(
IF(OR($D121="Continuing",$D121="Fixed-Term"),"Fortnight",IF($D121="Casual","Casual",)),
$E121,
IF(OR($D121="Continuing",$D121="Fixed-Term"),
IF(LEFT($F121,6)="UOM 10","UOM 10",(LEFT($F121,LEN($F121)-1)&amp;MIN(RIGHT($F121,1)+COUNTIFS($J122:K122,"&gt;0")/2,VLOOKUP(LEFT($F121,LEN($F121)-2),tSalaryMax,2,FALSE)))),
IF($D121="Casual",
$F121,))
),tSalaryRate,5,FALSE)*VLOOKUP($G121,tSalaryRateMultiplier,2,FALSE)*'PART B Staff Costs'!L$10),0)*new_xrate</f>
        <v>0</v>
      </c>
      <c r="M121" s="449"/>
      <c r="N121" s="333">
        <f>_xlfn.IFNA(IF(pStartYear+2&gt;pEndYear,0,VLOOKUP(CONCATENATE(
IF(OR($D121="Continuing",$D121="Fixed-Term"),"Fortnight",IF($D121="Casual","Casual",)),
$E121,
IF(OR($D121="Continuing",$D121="Fixed-Term"),
IF(LEFT($F121,6)="UOM 10","UOM 10",(LEFT($F121,LEN($F121)-1)&amp;MIN(RIGHT($F121,1)+COUNTIFS($J122:M122,"&gt;0")/2,VLOOKUP(LEFT($F121,LEN($F121)-2),tSalaryMax,2,FALSE)))),
IF($D121="Casual",
$F121,))
),tSalaryRate,5,FALSE)*VLOOKUP($G121,tSalaryRateMultiplier,2,FALSE)*'PART B Staff Costs'!N$10),0)*new_xrate</f>
        <v>0</v>
      </c>
      <c r="O121" s="441"/>
      <c r="P121" s="334">
        <f>_xlfn.IFNA(IF(pStartYear+3&gt;pEndYear,0,VLOOKUP(CONCATENATE(
IF(OR($D121="Continuing",$D121="Fixed-Term"),"Fortnight",IF($D121="Casual","Casual",)),
$E121,
IF(OR($D121="Continuing",$D121="Fixed-Term"),
IF(LEFT($F121,6)="UOM 10","UOM 10",(LEFT($F121,LEN($F121)-1)&amp;MIN(RIGHT($F121,1)+COUNTIFS($J122:O122,"&gt;0")/2,VLOOKUP(LEFT($F121,LEN($F121)-2),tSalaryMax,2,FALSE)))),
IF($D121="Casual",
$F121,))
),tSalaryRate,5,FALSE)*VLOOKUP($G121,tSalaryRateMultiplier,2,FALSE)*'PART B Staff Costs'!P$10),0)*new_xrate</f>
        <v>0</v>
      </c>
      <c r="Q121" s="449"/>
      <c r="R121" s="333">
        <f>_xlfn.IFNA(IF(pStartYear+4&gt;pEndYear,0,VLOOKUP(CONCATENATE(
IF(OR($D121="Continuing",$D121="Fixed-Term"),"Fortnight",IF($D121="Casual","Casual",)),
$E121,
IF(OR($D121="Continuing",$D121="Fixed-Term"),
IF(LEFT($F121,6)="UOM 10","UOM 10",(LEFT($F121,LEN($F121)-1)&amp;MIN(RIGHT($F121,1)+COUNTIFS($J122:Q122,"&gt;0")/2,VLOOKUP(LEFT($F121,LEN($F121)-2),tSalaryMax,2,FALSE)))),
IF($D121="Casual",
$F121,))
),tSalaryRate,5,FALSE)*VLOOKUP($G121,tSalaryRateMultiplier,2,FALSE)*'PART B Staff Costs'!R$10),0)*new_xrate</f>
        <v>0</v>
      </c>
      <c r="S121" s="441"/>
      <c r="T121" s="334">
        <f>_xlfn.IFNA(IF(pStartYear+5&gt;pEndYear,0,VLOOKUP(CONCATENATE(
IF(OR($D121="Continuing",$D121="Fixed-Term"),"Fortnight",IF($D121="Casual","Casual",)),
$E121,
IF(OR($D121="Continuing",$D121="Fixed-Term"),
IF(LEFT($F121,6)="UOM 10","UOM 10",(LEFT($F121,LEN($F121)-1)&amp;MIN(RIGHT($F121,1)+COUNTIFS($J122:S122,"&gt;0")/2,VLOOKUP(LEFT($F121,LEN($F121)-2),tSalaryMax,2,FALSE)))),
IF($D121="Casual",
$F121,))
),tSalaryRate,5,FALSE)*VLOOKUP($G121,tSalaryRateMultiplier,2,FALSE)*'PART B Staff Costs'!T$10),0)*new_xrate</f>
        <v>0</v>
      </c>
      <c r="U121" s="449"/>
      <c r="V121" s="333">
        <f>_xlfn.IFNA(IF(pStartYear+6&gt;pEndYear,0,VLOOKUP(CONCATENATE(
IF(OR($D121="Continuing",$D121="Fixed-Term"),"Fortnight",IF($D121="Casual","Casual",)),
$E121,
IF(OR($D121="Continuing",$D121="Fixed-Term"),
IF(LEFT($F121,6)="UOM 10","UOM 10",(LEFT($F121,LEN($F121)-1)&amp;MIN(RIGHT($F121,1)+COUNTIFS($J122:U122,"&gt;0")/2,VLOOKUP(LEFT($F121,LEN($F121)-2),tSalaryMax,2,FALSE)))),
IF($D121="Casual",
$F121,))
),tSalaryRate,5,FALSE)*VLOOKUP($G121,tSalaryRateMultiplier,2,FALSE)*'PART B Staff Costs'!V$10),0)*new_xrate</f>
        <v>0</v>
      </c>
      <c r="W121" s="441"/>
      <c r="X121" s="334">
        <f>_xlfn.IFNA(IF(pStartYear+7&gt;pEndYear,0,VLOOKUP(CONCATENATE(
IF(OR($D121="Continuing",$D121="Fixed-Term"),"Fortnight",IF($D121="Casual","Casual",)),
$E121,
IF(OR($D121="Continuing",$D121="Fixed-Term"),
IF(LEFT($F121,6)="UOM 10","UOM 10",(LEFT($F121,LEN($F121)-1)&amp;MIN(RIGHT($F121,1)+COUNTIFS($J122:W122,"&gt;0")/2,VLOOKUP(LEFT($F121,LEN($F121)-2),tSalaryMax,2,FALSE)))),
IF($D121="Casual",
$F121,))
),tSalaryRate,5,FALSE)*VLOOKUP($G121,tSalaryRateMultiplier,2,FALSE)*'PART B Staff Costs'!X$10),0)*new_xrate</f>
        <v>0</v>
      </c>
      <c r="Y121" s="449"/>
      <c r="Z121" s="333">
        <f>_xlfn.IFNA(IF(pStartYear+8&gt;pEndYear,0,VLOOKUP(CONCATENATE(
IF(OR($D121="Continuing",$D121="Fixed-Term"),"Fortnight",IF($D121="Casual","Casual",)),
$E121,
IF(OR($D121="Continuing",$D121="Fixed-Term"),
IF(LEFT($F121,6)="UOM 10","UOM 10",(LEFT($F121,LEN($F121)-1)&amp;MIN(RIGHT($F121,1)+COUNTIFS($J122:Y122,"&gt;0")/2,VLOOKUP(LEFT($F121,LEN($F121)-2),tSalaryMax,2,FALSE)))),
IF($D121="Casual",
$F121,))
),tSalaryRate,5,FALSE)*VLOOKUP($G121,tSalaryRateMultiplier,2,FALSE)*'PART B Staff Costs'!Z$10),0)*new_xrate</f>
        <v>0</v>
      </c>
      <c r="AA121" s="441"/>
      <c r="AB121" s="334">
        <f>_xlfn.IFNA(IF(pStartYear+9&gt;pEndYear,0,VLOOKUP(CONCATENATE(
IF(OR($D121="Continuing",$D121="Fixed-Term"),"Fortnight",IF($D121="Casual","Casual",)),
$E121,
IF(OR($D121="Continuing",$D121="Fixed-Term"),
IF(LEFT($F121,6)="UOM 10","UOM 10",(LEFT($F121,LEN($F121)-1)&amp;MIN(RIGHT($F121,1)+COUNTIFS($J122:AA122,"&gt;0")/2,VLOOKUP(LEFT($F121,LEN($F121)-2),tSalaryMax,2,FALSE)))),
IF($D121="Casual",
$F121,))
),tSalaryRate,5,FALSE)*VLOOKUP($G121,tSalaryRateMultiplier,2,FALSE)*'PART B Staff Costs'!AB$10),0)*new_xrate</f>
        <v>0</v>
      </c>
      <c r="AC121" s="449"/>
      <c r="AD121" s="335"/>
      <c r="AE121" s="1152"/>
      <c r="AF121" s="1152"/>
      <c r="AG121" s="1152"/>
      <c r="AH121" s="1152"/>
      <c r="AI121" s="115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row>
    <row r="122" spans="1:56" x14ac:dyDescent="0.3">
      <c r="A122" s="1182"/>
      <c r="B122" s="1377"/>
      <c r="C122" s="1377"/>
      <c r="D122" s="1377"/>
      <c r="E122" s="1377"/>
      <c r="F122" s="1377"/>
      <c r="G122" s="1377"/>
      <c r="H122" s="1378"/>
      <c r="I122" s="336" t="str">
        <f>IF('PART B Staff Costs'!G117&lt;&gt;"",CONCATENATE("Time/Requested salary"," (",'PART B Staff Costs'!G117,")"),"Time/Requested salary")</f>
        <v>Time/Requested salary</v>
      </c>
      <c r="J122" s="337">
        <f>_xlfn.IFNA('PART B Staff Costs'!I27,0)</f>
        <v>0</v>
      </c>
      <c r="K122" s="442">
        <f>IF('PART B Staff Costs'!$G$27="FTE",J122*J121*(First_year_fraction/12),J122*J121)</f>
        <v>0</v>
      </c>
      <c r="L122" s="338">
        <f>_xlfn.IFNA('PART B Staff Costs'!K27,0)</f>
        <v>0</v>
      </c>
      <c r="M122" s="450">
        <f>IF(pStartYear+1=pEndYear,IF('PART B Staff Costs'!$G$27="FTE",(L122*L121)*Last_Year_Fraction/12,L122*L121),L122*L121)</f>
        <v>0</v>
      </c>
      <c r="N122" s="337">
        <f>_xlfn.IFNA('PART B Staff Costs'!M27,0)</f>
        <v>0</v>
      </c>
      <c r="O122" s="442">
        <f>IF(pStartYear+2=pEndYear,IF('PART B Staff Costs'!$G$27="FTE",(N122*N121)*Last_Year_Fraction/12,N122*N121),N122*N121)</f>
        <v>0</v>
      </c>
      <c r="P122" s="338">
        <f>_xlfn.IFNA('PART B Staff Costs'!O27,0)</f>
        <v>0</v>
      </c>
      <c r="Q122" s="450">
        <f>IF(pStartYear+3=pEndYear,IF('PART B Staff Costs'!$G$27="FTE",(P122*P121)*Last_Year_Fraction/12,P122*P121),P122*P121)</f>
        <v>0</v>
      </c>
      <c r="R122" s="337">
        <f>_xlfn.IFNA('PART B Staff Costs'!Q27,0)</f>
        <v>0</v>
      </c>
      <c r="S122" s="442">
        <f>IF(pStartYear+4=pEndYear,IF('PART B Staff Costs'!$G$27="FTE",(R122*R121)*Last_Year_Fraction/12,R122*R121),R122*R121)</f>
        <v>0</v>
      </c>
      <c r="T122" s="338">
        <f>_xlfn.IFNA('PART B Staff Costs'!S27,0)</f>
        <v>0</v>
      </c>
      <c r="U122" s="450">
        <f>IF(pStartYear+5=pEndYear,IF('PART B Staff Costs'!$G$27="FTE",(T122*T121)*Last_Year_Fraction/12,T122*T121),T122*T121)</f>
        <v>0</v>
      </c>
      <c r="V122" s="337">
        <f>_xlfn.IFNA('PART B Staff Costs'!U27,0)</f>
        <v>0</v>
      </c>
      <c r="W122" s="442">
        <f>IF(pStartYear+6=pEndYear,IF('PART B Staff Costs'!$G$27="FTE",(V122*V121)*Last_Year_Fraction/12,V122*V121),V122*V121)</f>
        <v>0</v>
      </c>
      <c r="X122" s="338">
        <f>_xlfn.IFNA('PART B Staff Costs'!W27,0)</f>
        <v>0</v>
      </c>
      <c r="Y122" s="450">
        <f>IF(pStartYear+7=pEndYear,IF('PART B Staff Costs'!$G$27="FTE",(X122*X121)*Last_Year_Fraction/12,X122*X121),X122*X121)</f>
        <v>0</v>
      </c>
      <c r="Z122" s="337">
        <f>_xlfn.IFNA('PART B Staff Costs'!Y27,0)</f>
        <v>0</v>
      </c>
      <c r="AA122" s="442">
        <f>IF(pStartYear+8=pEndYear,IF('PART B Staff Costs'!$G$27="FTE",(Z122*Z121)*Last_Year_Fraction/12,Z122*Z121),Z122*Z121)</f>
        <v>0</v>
      </c>
      <c r="AB122" s="338">
        <f>_xlfn.IFNA('PART B Staff Costs'!AA27,0)</f>
        <v>0</v>
      </c>
      <c r="AC122" s="450">
        <f>IF(pStartYear+9=pEndYear,IF('PART B Staff Costs'!$G$27="FTE",(AB122*AB121)*Last_Year_Fraction/12,AB122*AB121),AB122*AB121)</f>
        <v>0</v>
      </c>
      <c r="AD122" s="335"/>
      <c r="AE122" s="1152"/>
      <c r="AF122" s="1152"/>
      <c r="AG122" s="1152"/>
      <c r="AH122" s="1152"/>
      <c r="AI122" s="115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row>
    <row r="123" spans="1:56" x14ac:dyDescent="0.3">
      <c r="A123" s="1182"/>
      <c r="B123" s="1379"/>
      <c r="C123" s="1379"/>
      <c r="D123" s="1379"/>
      <c r="E123" s="1379"/>
      <c r="F123" s="1379"/>
      <c r="G123" s="1379"/>
      <c r="H123" s="1380"/>
      <c r="I123" s="336" t="str">
        <f>IF(tbBudgetCurrency="AUD - Australian Dollar",CONCATENATE("Leave Loading (max of AU$",vl_Max_Leave_Loading,")"),CONCATENATE("Leave Loading (max of ",ROUND(vl_Max_Leave_Loading*new_xrate,2)," ",LEFT(tbBudgetCurrency,3),")"))</f>
        <v>Leave Loading (max of AU$1611.3)</v>
      </c>
      <c r="J123" s="339">
        <f>_xlfn.IFNA(VLOOKUP($D121,tbLeaveLoading,2,FALSE),0)</f>
        <v>0</v>
      </c>
      <c r="K123" s="443">
        <f>IF(K122*J123&gt;vl_Max_Leave_Loading*new_xrate,vl_Max_Leave_Loading*new_xrate,K122*J123)</f>
        <v>0</v>
      </c>
      <c r="L123" s="340">
        <f>_xlfn.IFNA(VLOOKUP($D121,tbLeaveLoading,2,FALSE),0)</f>
        <v>0</v>
      </c>
      <c r="M123" s="451">
        <f>IF(M122*L123&gt;vl_Max_Leave_Loading*new_xrate,vl_Max_Leave_Loading*new_xrate,M122*L123)</f>
        <v>0</v>
      </c>
      <c r="N123" s="339">
        <f>_xlfn.IFNA(VLOOKUP($D121,tbLeaveLoading,2,FALSE),0)</f>
        <v>0</v>
      </c>
      <c r="O123" s="443">
        <f>IF(O122*N123&gt;vl_Max_Leave_Loading*new_xrate,vl_Max_Leave_Loading*new_xrate,O122*N123)</f>
        <v>0</v>
      </c>
      <c r="P123" s="340">
        <f>_xlfn.IFNA(VLOOKUP($D121,tbLeaveLoading,2,FALSE),0)</f>
        <v>0</v>
      </c>
      <c r="Q123" s="451">
        <f>IF(Q122*P123&gt;vl_Max_Leave_Loading*new_xrate,vl_Max_Leave_Loading*new_xrate,Q122*P123)</f>
        <v>0</v>
      </c>
      <c r="R123" s="339">
        <f>_xlfn.IFNA(VLOOKUP($D121,tbLeaveLoading,2,FALSE),0)</f>
        <v>0</v>
      </c>
      <c r="S123" s="443">
        <f>IF(S122*R123&gt;vl_Max_Leave_Loading*new_xrate,vl_Max_Leave_Loading*new_xrate,S122*R123)</f>
        <v>0</v>
      </c>
      <c r="T123" s="340">
        <f>_xlfn.IFNA(VLOOKUP($D121,tbLeaveLoading,2,FALSE),0)</f>
        <v>0</v>
      </c>
      <c r="U123" s="451">
        <f>IF(U122*T123&gt;vl_Max_Leave_Loading*new_xrate,vl_Max_Leave_Loading*new_xrate,U122*T123)</f>
        <v>0</v>
      </c>
      <c r="V123" s="339">
        <f>_xlfn.IFNA(VLOOKUP($D121,tbLeaveLoading,2,FALSE),0)</f>
        <v>0</v>
      </c>
      <c r="W123" s="443">
        <f>IF(W122*V123&gt;vl_Max_Leave_Loading*new_xrate,vl_Max_Leave_Loading*new_xrate,W122*V123)</f>
        <v>0</v>
      </c>
      <c r="X123" s="340">
        <f>_xlfn.IFNA(VLOOKUP($D121,tbLeaveLoading,2,FALSE),0)</f>
        <v>0</v>
      </c>
      <c r="Y123" s="451">
        <f>IF(Y122*X123&gt;vl_Max_Leave_Loading*new_xrate,vl_Max_Leave_Loading*new_xrate,Y122*X123)</f>
        <v>0</v>
      </c>
      <c r="Z123" s="339">
        <f>_xlfn.IFNA(VLOOKUP($D121,tbLeaveLoading,2,FALSE),0)</f>
        <v>0</v>
      </c>
      <c r="AA123" s="443">
        <f>IF(AA122*Z123&gt;vl_Max_Leave_Loading*new_xrate,vl_Max_Leave_Loading*new_xrate,AA122*Z123)</f>
        <v>0</v>
      </c>
      <c r="AB123" s="340">
        <f>_xlfn.IFNA(VLOOKUP($D121,tbLeaveLoading,2,FALSE),0)</f>
        <v>0</v>
      </c>
      <c r="AC123" s="451">
        <f>IF(AC122*AB123&gt;vl_Max_Leave_Loading*new_xrate,vl_Max_Leave_Loading*new_xrate,AC122*AB123)</f>
        <v>0</v>
      </c>
      <c r="AD123" s="335"/>
      <c r="AE123" s="1152"/>
      <c r="AF123" s="1152"/>
      <c r="AG123" s="1152"/>
      <c r="AH123" s="1152"/>
      <c r="AI123" s="115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row>
    <row r="124" spans="1:56" x14ac:dyDescent="0.3">
      <c r="A124" s="1182"/>
      <c r="B124" s="1379"/>
      <c r="C124" s="1379"/>
      <c r="D124" s="1379"/>
      <c r="E124" s="1379"/>
      <c r="F124" s="1379"/>
      <c r="G124" s="1379"/>
      <c r="H124" s="1380"/>
      <c r="I124" s="336" t="s">
        <v>314</v>
      </c>
      <c r="J124" s="339">
        <f>_xlfn.IFNA(_xlfn.IFNA(VLOOKUP(CONCATENATE(pStartYear,$D121),tbSuperannuation,4,FALSE),VLOOKUP($D121,tbSuperannuation2026onwards,2,FALSE)),0)</f>
        <v>0</v>
      </c>
      <c r="K124" s="443">
        <f>K122*J124</f>
        <v>0</v>
      </c>
      <c r="L124" s="340">
        <f>_xlfn.IFNA(_xlfn.IFNA(VLOOKUP(CONCATENATE(pStartYear+1,$D121),tbSuperannuation,4,FALSE),VLOOKUP($D121,tbSuperannuation2026onwards,2,FALSE)),0)</f>
        <v>0</v>
      </c>
      <c r="M124" s="451">
        <f t="shared" ref="M124" si="489">M122*L124</f>
        <v>0</v>
      </c>
      <c r="N124" s="339">
        <f>_xlfn.IFNA(_xlfn.IFNA(VLOOKUP(CONCATENATE(pStartYear+2,$D121),tbSuperannuation,4,FALSE),VLOOKUP($D121,tbSuperannuation2026onwards,2,FALSE)),0)</f>
        <v>0</v>
      </c>
      <c r="O124" s="443">
        <f>O122*N124</f>
        <v>0</v>
      </c>
      <c r="P124" s="340">
        <f>_xlfn.IFNA(_xlfn.IFNA(VLOOKUP(CONCATENATE(pStartYear+3,$D121),tbSuperannuation,4,FALSE),VLOOKUP($D121,tbSuperannuation2026onwards,2,FALSE)),0)</f>
        <v>0</v>
      </c>
      <c r="Q124" s="451">
        <f t="shared" ref="Q124" si="490">Q122*P124</f>
        <v>0</v>
      </c>
      <c r="R124" s="339">
        <f>_xlfn.IFNA(_xlfn.IFNA(VLOOKUP(CONCATENATE(pStartYear+4,$D121),tbSuperannuation,4,FALSE),VLOOKUP($D121,tbSuperannuation2026onwards,2,FALSE)),0)</f>
        <v>0</v>
      </c>
      <c r="S124" s="443">
        <f>S122*R124</f>
        <v>0</v>
      </c>
      <c r="T124" s="340">
        <f>_xlfn.IFNA(_xlfn.IFNA(VLOOKUP(CONCATENATE(pStartYear+5,$D121),tbSuperannuation,4,FALSE),VLOOKUP($D121,tbSuperannuation2026onwards,2,FALSE)),0)</f>
        <v>0</v>
      </c>
      <c r="U124" s="451">
        <f t="shared" ref="U124" si="491">U122*T124</f>
        <v>0</v>
      </c>
      <c r="V124" s="339">
        <f>_xlfn.IFNA(_xlfn.IFNA(VLOOKUP(CONCATENATE(pStartYear+6,$D121),tbSuperannuation,4,FALSE),VLOOKUP($D121,tbSuperannuation2026onwards,2,FALSE)),0)</f>
        <v>0</v>
      </c>
      <c r="W124" s="443">
        <f>W122*V124</f>
        <v>0</v>
      </c>
      <c r="X124" s="340">
        <f>_xlfn.IFNA(_xlfn.IFNA(VLOOKUP(CONCATENATE(pStartYear+7,$D121),tbSuperannuation,4,FALSE),VLOOKUP($D121,tbSuperannuation2026onwards,2,FALSE)),0)</f>
        <v>0</v>
      </c>
      <c r="Y124" s="451">
        <f t="shared" ref="Y124" si="492">Y122*X124</f>
        <v>0</v>
      </c>
      <c r="Z124" s="339">
        <f>_xlfn.IFNA(_xlfn.IFNA(VLOOKUP(CONCATENATE(pStartYear+8,$D121),tbSuperannuation,4,FALSE),VLOOKUP($D121,tbSuperannuation2026onwards,2,FALSE)),0)</f>
        <v>0</v>
      </c>
      <c r="AA124" s="443">
        <f>AA122*Z124</f>
        <v>0</v>
      </c>
      <c r="AB124" s="340">
        <f>_xlfn.IFNA(_xlfn.IFNA(VLOOKUP(CONCATENATE(pStartYear+9,$D121),tbSuperannuation,4,FALSE),VLOOKUP($D121,tbSuperannuation2026onwards,2,FALSE)),0)</f>
        <v>0</v>
      </c>
      <c r="AC124" s="451">
        <f t="shared" ref="AC124" si="493">AC122*AB124</f>
        <v>0</v>
      </c>
      <c r="AD124" s="335"/>
      <c r="AE124" s="1152"/>
      <c r="AF124" s="1152"/>
      <c r="AG124" s="1152"/>
      <c r="AH124" s="1152"/>
      <c r="AI124" s="1152"/>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row>
    <row r="125" spans="1:56" x14ac:dyDescent="0.3">
      <c r="A125" s="1182"/>
      <c r="B125" s="1379"/>
      <c r="C125" s="1379"/>
      <c r="D125" s="1379"/>
      <c r="E125" s="1379"/>
      <c r="F125" s="1379"/>
      <c r="G125" s="1379"/>
      <c r="H125" s="1380"/>
      <c r="I125" s="341" t="s">
        <v>315</v>
      </c>
      <c r="J125" s="342"/>
      <c r="K125" s="444">
        <f>K123+K124+K122</f>
        <v>0</v>
      </c>
      <c r="L125" s="342"/>
      <c r="M125" s="444">
        <f t="shared" ref="M125" si="494">M123+M124+M122</f>
        <v>0</v>
      </c>
      <c r="N125" s="342"/>
      <c r="O125" s="444">
        <f>O123+O124+O122</f>
        <v>0</v>
      </c>
      <c r="P125" s="342"/>
      <c r="Q125" s="444">
        <f t="shared" ref="Q125" si="495">Q123+Q124+Q122</f>
        <v>0</v>
      </c>
      <c r="R125" s="342"/>
      <c r="S125" s="444">
        <f>S123+S124+S122</f>
        <v>0</v>
      </c>
      <c r="T125" s="342"/>
      <c r="U125" s="444">
        <f t="shared" ref="U125" si="496">U123+U124+U122</f>
        <v>0</v>
      </c>
      <c r="V125" s="342"/>
      <c r="W125" s="444">
        <f>W123+W124+W122</f>
        <v>0</v>
      </c>
      <c r="X125" s="342"/>
      <c r="Y125" s="444">
        <f t="shared" ref="Y125" si="497">Y123+Y124+Y122</f>
        <v>0</v>
      </c>
      <c r="Z125" s="342"/>
      <c r="AA125" s="444">
        <f>AA123+AA124+AA122</f>
        <v>0</v>
      </c>
      <c r="AB125" s="342"/>
      <c r="AC125" s="444">
        <f t="shared" ref="AC125" si="498">AC123+AC124+AC122</f>
        <v>0</v>
      </c>
      <c r="AD125" s="335">
        <f t="shared" si="413"/>
        <v>0</v>
      </c>
      <c r="AE125" s="1152"/>
      <c r="AF125" s="1152"/>
      <c r="AG125" s="1152"/>
      <c r="AH125" s="1152"/>
      <c r="AI125" s="1152"/>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row>
    <row r="126" spans="1:56" x14ac:dyDescent="0.3">
      <c r="A126" s="1182"/>
      <c r="B126" s="1379"/>
      <c r="C126" s="1379"/>
      <c r="D126" s="1379"/>
      <c r="E126" s="1379"/>
      <c r="F126" s="1379"/>
      <c r="G126" s="1379"/>
      <c r="H126" s="1380"/>
      <c r="I126" s="336" t="s">
        <v>316</v>
      </c>
      <c r="J126" s="339">
        <f>_xlfn.IFNA(_xlfn.IFNA(VLOOKUP(pStartYear,tbPayrollTax,2,FALSE),vl_MaxPayrollTax),0)</f>
        <v>5.8500000000000003E-2</v>
      </c>
      <c r="K126" s="443">
        <f>J126*K125</f>
        <v>0</v>
      </c>
      <c r="L126" s="340">
        <f>_xlfn.IFNA(_xlfn.IFNA(VLOOKUP(pStartYear+1,tbPayrollTax,2,FALSE),vl_MaxPayrollTax),0)</f>
        <v>5.8500000000000003E-2</v>
      </c>
      <c r="M126" s="451">
        <f t="shared" ref="M126" si="499">L126*M125</f>
        <v>0</v>
      </c>
      <c r="N126" s="339">
        <f>_xlfn.IFNA(_xlfn.IFNA(VLOOKUP(pStartYear+2,tbPayrollTax,2,FALSE),vl_MaxPayrollTax),0)</f>
        <v>5.8500000000000003E-2</v>
      </c>
      <c r="O126" s="443">
        <f>N126*O125</f>
        <v>0</v>
      </c>
      <c r="P126" s="340">
        <f>_xlfn.IFNA(_xlfn.IFNA(VLOOKUP(pStartYear+3,tbPayrollTax,2,FALSE),vl_MaxPayrollTax),0)</f>
        <v>5.8500000000000003E-2</v>
      </c>
      <c r="Q126" s="451">
        <f t="shared" ref="Q126" si="500">P126*Q125</f>
        <v>0</v>
      </c>
      <c r="R126" s="339">
        <f>_xlfn.IFNA(_xlfn.IFNA(VLOOKUP(pStartYear+4,tbPayrollTax,2,FALSE),vl_MaxPayrollTax),0)</f>
        <v>5.8500000000000003E-2</v>
      </c>
      <c r="S126" s="443">
        <f>R126*S125</f>
        <v>0</v>
      </c>
      <c r="T126" s="340">
        <f>_xlfn.IFNA(_xlfn.IFNA(VLOOKUP(pStartYear+5,tbPayrollTax,2,FALSE),vl_MaxPayrollTax),0)</f>
        <v>5.8500000000000003E-2</v>
      </c>
      <c r="U126" s="451">
        <f t="shared" ref="U126" si="501">T126*U125</f>
        <v>0</v>
      </c>
      <c r="V126" s="339">
        <f>_xlfn.IFNA(_xlfn.IFNA(VLOOKUP(pStartYear+6,tbPayrollTax,2,FALSE),vl_MaxPayrollTax),0)</f>
        <v>5.8500000000000003E-2</v>
      </c>
      <c r="W126" s="443">
        <f>V126*W125</f>
        <v>0</v>
      </c>
      <c r="X126" s="340">
        <f>_xlfn.IFNA(_xlfn.IFNA(VLOOKUP(pStartYear+7,tbPayrollTax,2,FALSE),vl_MaxPayrollTax),0)</f>
        <v>5.8500000000000003E-2</v>
      </c>
      <c r="Y126" s="451">
        <f t="shared" ref="Y126" si="502">X126*Y125</f>
        <v>0</v>
      </c>
      <c r="Z126" s="339">
        <f>_xlfn.IFNA(_xlfn.IFNA(VLOOKUP(pStartYear+8,tbPayrollTax,2,FALSE),vl_MaxPayrollTax),0)</f>
        <v>5.8500000000000003E-2</v>
      </c>
      <c r="AA126" s="443">
        <f>Z126*AA125</f>
        <v>0</v>
      </c>
      <c r="AB126" s="340">
        <f>_xlfn.IFNA(_xlfn.IFNA(VLOOKUP(pStartYear+9,tbPayrollTax,2,FALSE),vl_MaxPayrollTax),0)</f>
        <v>5.8500000000000003E-2</v>
      </c>
      <c r="AC126" s="451">
        <f t="shared" ref="AC126" si="503">AB126*AC125</f>
        <v>0</v>
      </c>
      <c r="AD126" s="335"/>
      <c r="AE126" s="1152"/>
      <c r="AF126" s="1152"/>
      <c r="AG126" s="1152"/>
      <c r="AH126" s="1152"/>
      <c r="AI126" s="1152"/>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row>
    <row r="127" spans="1:56" x14ac:dyDescent="0.3">
      <c r="A127" s="1182"/>
      <c r="B127" s="1379"/>
      <c r="C127" s="1379"/>
      <c r="D127" s="1379"/>
      <c r="E127" s="1379"/>
      <c r="F127" s="1379"/>
      <c r="G127" s="1379"/>
      <c r="H127" s="1380"/>
      <c r="I127" s="336" t="s">
        <v>317</v>
      </c>
      <c r="J127" s="339">
        <f>_xlfn.IFNA(VLOOKUP($D121,tbWorkCover,2,FALSE),0)</f>
        <v>0</v>
      </c>
      <c r="K127" s="443">
        <f>J127*K125</f>
        <v>0</v>
      </c>
      <c r="L127" s="340">
        <f>_xlfn.IFNA(VLOOKUP($D121,tbWorkCover,2,FALSE),0)</f>
        <v>0</v>
      </c>
      <c r="M127" s="451">
        <f t="shared" ref="M127" si="504">L127*M125</f>
        <v>0</v>
      </c>
      <c r="N127" s="339">
        <f>_xlfn.IFNA(VLOOKUP($D121,tbWorkCover,2,FALSE),0)</f>
        <v>0</v>
      </c>
      <c r="O127" s="443">
        <f>N127*O125</f>
        <v>0</v>
      </c>
      <c r="P127" s="340">
        <f>_xlfn.IFNA(VLOOKUP($D121,tbWorkCover,2,FALSE),0)</f>
        <v>0</v>
      </c>
      <c r="Q127" s="451">
        <f t="shared" ref="Q127" si="505">P127*Q125</f>
        <v>0</v>
      </c>
      <c r="R127" s="339">
        <f>_xlfn.IFNA(VLOOKUP($D121,tbWorkCover,2,FALSE),0)</f>
        <v>0</v>
      </c>
      <c r="S127" s="443">
        <f>R127*S125</f>
        <v>0</v>
      </c>
      <c r="T127" s="340">
        <f>_xlfn.IFNA(VLOOKUP($D121,tbWorkCover,2,FALSE),0)</f>
        <v>0</v>
      </c>
      <c r="U127" s="451">
        <f t="shared" ref="U127" si="506">T127*U125</f>
        <v>0</v>
      </c>
      <c r="V127" s="339">
        <f>_xlfn.IFNA(VLOOKUP($D121,tbWorkCover,2,FALSE),0)</f>
        <v>0</v>
      </c>
      <c r="W127" s="443">
        <f>V127*W125</f>
        <v>0</v>
      </c>
      <c r="X127" s="340">
        <f>_xlfn.IFNA(VLOOKUP($D121,tbWorkCover,2,FALSE),0)</f>
        <v>0</v>
      </c>
      <c r="Y127" s="451">
        <f t="shared" ref="Y127" si="507">X127*Y125</f>
        <v>0</v>
      </c>
      <c r="Z127" s="339">
        <f>_xlfn.IFNA(VLOOKUP($D121,tbWorkCover,2,FALSE),0)</f>
        <v>0</v>
      </c>
      <c r="AA127" s="443">
        <f>Z127*AA125</f>
        <v>0</v>
      </c>
      <c r="AB127" s="340">
        <f>_xlfn.IFNA(VLOOKUP($D121,tbWorkCover,2,FALSE),0)</f>
        <v>0</v>
      </c>
      <c r="AC127" s="451">
        <f t="shared" ref="AC127" si="508">AB127*AC125</f>
        <v>0</v>
      </c>
      <c r="AD127" s="335"/>
      <c r="AE127" s="1152"/>
      <c r="AF127" s="1152"/>
      <c r="AG127" s="1152"/>
      <c r="AH127" s="1152"/>
      <c r="AI127" s="1152"/>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row>
    <row r="128" spans="1:56" x14ac:dyDescent="0.3">
      <c r="A128" s="1182"/>
      <c r="B128" s="1379"/>
      <c r="C128" s="1379"/>
      <c r="D128" s="1379"/>
      <c r="E128" s="1379"/>
      <c r="F128" s="1379"/>
      <c r="G128" s="1379"/>
      <c r="H128" s="1380"/>
      <c r="I128" s="336" t="s">
        <v>318</v>
      </c>
      <c r="J128" s="339">
        <f>_xlfn.IFNA(VLOOKUP($D121,tbLongServiceLeave,2,FALSE),0)</f>
        <v>0</v>
      </c>
      <c r="K128" s="443">
        <f>J128*K122</f>
        <v>0</v>
      </c>
      <c r="L128" s="340">
        <f>_xlfn.IFNA(VLOOKUP($D121,tbLongServiceLeave,2,FALSE),0)</f>
        <v>0</v>
      </c>
      <c r="M128" s="451">
        <f t="shared" ref="M128" si="509">L128*M122</f>
        <v>0</v>
      </c>
      <c r="N128" s="339">
        <f>_xlfn.IFNA(VLOOKUP($D121,tbLongServiceLeave,2,FALSE),0)</f>
        <v>0</v>
      </c>
      <c r="O128" s="443">
        <f>N128*O122</f>
        <v>0</v>
      </c>
      <c r="P128" s="340">
        <f>_xlfn.IFNA(VLOOKUP($D121,tbLongServiceLeave,2,FALSE),0)</f>
        <v>0</v>
      </c>
      <c r="Q128" s="451">
        <f t="shared" ref="Q128" si="510">P128*Q122</f>
        <v>0</v>
      </c>
      <c r="R128" s="339">
        <f>_xlfn.IFNA(VLOOKUP($D121,tbLongServiceLeave,2,FALSE),0)</f>
        <v>0</v>
      </c>
      <c r="S128" s="443">
        <f>R128*S122</f>
        <v>0</v>
      </c>
      <c r="T128" s="340">
        <f>_xlfn.IFNA(VLOOKUP($D121,tbLongServiceLeave,2,FALSE),0)</f>
        <v>0</v>
      </c>
      <c r="U128" s="451">
        <f t="shared" ref="U128" si="511">T128*U122</f>
        <v>0</v>
      </c>
      <c r="V128" s="339">
        <f>_xlfn.IFNA(VLOOKUP($D121,tbLongServiceLeave,2,FALSE),0)</f>
        <v>0</v>
      </c>
      <c r="W128" s="443">
        <f>V128*W122</f>
        <v>0</v>
      </c>
      <c r="X128" s="340">
        <f>_xlfn.IFNA(VLOOKUP($D121,tbLongServiceLeave,2,FALSE),0)</f>
        <v>0</v>
      </c>
      <c r="Y128" s="451">
        <f t="shared" ref="Y128" si="512">X128*Y122</f>
        <v>0</v>
      </c>
      <c r="Z128" s="339">
        <f>_xlfn.IFNA(VLOOKUP($D121,tbLongServiceLeave,2,FALSE),0)</f>
        <v>0</v>
      </c>
      <c r="AA128" s="443">
        <f>Z128*AA122</f>
        <v>0</v>
      </c>
      <c r="AB128" s="340">
        <f>_xlfn.IFNA(VLOOKUP($D121,tbLongServiceLeave,2,FALSE),0)</f>
        <v>0</v>
      </c>
      <c r="AC128" s="451">
        <f t="shared" ref="AC128" si="513">AB128*AC122</f>
        <v>0</v>
      </c>
      <c r="AD128" s="335"/>
      <c r="AE128" s="1152"/>
      <c r="AF128" s="1152"/>
      <c r="AG128" s="1152"/>
      <c r="AH128" s="1152"/>
      <c r="AI128" s="1152"/>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row>
    <row r="129" spans="1:56" x14ac:dyDescent="0.3">
      <c r="A129" s="1182"/>
      <c r="B129" s="1379"/>
      <c r="C129" s="1379"/>
      <c r="D129" s="1379"/>
      <c r="E129" s="1379"/>
      <c r="F129" s="1379"/>
      <c r="G129" s="1379"/>
      <c r="H129" s="1380"/>
      <c r="I129" s="336" t="s">
        <v>319</v>
      </c>
      <c r="J129" s="339">
        <f>_xlfn.IFNA(VLOOKUP($D121,tbParentalLeave,2,FALSE),0)</f>
        <v>0</v>
      </c>
      <c r="K129" s="443">
        <f>J129*K122</f>
        <v>0</v>
      </c>
      <c r="L129" s="340">
        <f>_xlfn.IFNA(VLOOKUP($D121,tbParentalLeave,2,FALSE),0)</f>
        <v>0</v>
      </c>
      <c r="M129" s="451">
        <f t="shared" ref="M129" si="514">L129*M122</f>
        <v>0</v>
      </c>
      <c r="N129" s="339">
        <f>_xlfn.IFNA(VLOOKUP($D121,tbParentalLeave,2,FALSE),0)</f>
        <v>0</v>
      </c>
      <c r="O129" s="443">
        <f>N129*O122</f>
        <v>0</v>
      </c>
      <c r="P129" s="340">
        <f>_xlfn.IFNA(VLOOKUP($D121,tbParentalLeave,2,FALSE),0)</f>
        <v>0</v>
      </c>
      <c r="Q129" s="451">
        <f t="shared" ref="Q129" si="515">P129*Q122</f>
        <v>0</v>
      </c>
      <c r="R129" s="339">
        <f>_xlfn.IFNA(VLOOKUP($D121,tbParentalLeave,2,FALSE),0)</f>
        <v>0</v>
      </c>
      <c r="S129" s="443">
        <f>R129*S122</f>
        <v>0</v>
      </c>
      <c r="T129" s="340">
        <f>_xlfn.IFNA(VLOOKUP($D121,tbParentalLeave,2,FALSE),0)</f>
        <v>0</v>
      </c>
      <c r="U129" s="451">
        <f t="shared" ref="U129" si="516">T129*U122</f>
        <v>0</v>
      </c>
      <c r="V129" s="339">
        <f>_xlfn.IFNA(VLOOKUP($D121,tbParentalLeave,2,FALSE),0)</f>
        <v>0</v>
      </c>
      <c r="W129" s="443">
        <f>V129*W122</f>
        <v>0</v>
      </c>
      <c r="X129" s="340">
        <f>_xlfn.IFNA(VLOOKUP($D121,tbParentalLeave,2,FALSE),0)</f>
        <v>0</v>
      </c>
      <c r="Y129" s="451">
        <f t="shared" ref="Y129" si="517">X129*Y122</f>
        <v>0</v>
      </c>
      <c r="Z129" s="339">
        <f>_xlfn.IFNA(VLOOKUP($D121,tbParentalLeave,2,FALSE),0)</f>
        <v>0</v>
      </c>
      <c r="AA129" s="443">
        <f>Z129*AA122</f>
        <v>0</v>
      </c>
      <c r="AB129" s="340">
        <f>_xlfn.IFNA(VLOOKUP($D121,tbParentalLeave,2,FALSE),0)</f>
        <v>0</v>
      </c>
      <c r="AC129" s="451">
        <f t="shared" ref="AC129" si="518">AB129*AC122</f>
        <v>0</v>
      </c>
      <c r="AD129" s="335"/>
      <c r="AE129" s="1152"/>
      <c r="AF129" s="1152"/>
      <c r="AG129" s="1152"/>
      <c r="AH129" s="1152"/>
      <c r="AI129" s="1152"/>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row>
    <row r="130" spans="1:56" x14ac:dyDescent="0.3">
      <c r="A130" s="1182"/>
      <c r="B130" s="1379"/>
      <c r="C130" s="1379"/>
      <c r="D130" s="1379"/>
      <c r="E130" s="1379"/>
      <c r="F130" s="1379"/>
      <c r="G130" s="1379"/>
      <c r="H130" s="1380"/>
      <c r="I130" s="437" t="s">
        <v>320</v>
      </c>
      <c r="J130" s="438">
        <f>vl_overridden_uom_oncosts_per</f>
        <v>0</v>
      </c>
      <c r="K130" s="445">
        <f>J130*K122</f>
        <v>0</v>
      </c>
      <c r="L130" s="438">
        <f>vl_overridden_uom_oncosts_per</f>
        <v>0</v>
      </c>
      <c r="M130" s="445">
        <f>L130*M122</f>
        <v>0</v>
      </c>
      <c r="N130" s="438">
        <f>vl_overridden_uom_oncosts_per</f>
        <v>0</v>
      </c>
      <c r="O130" s="445">
        <f t="shared" ref="O130" si="519">N130*O122</f>
        <v>0</v>
      </c>
      <c r="P130" s="438">
        <f>vl_overridden_uom_oncosts_per</f>
        <v>0</v>
      </c>
      <c r="Q130" s="445">
        <f t="shared" ref="Q130" si="520">P130*Q122</f>
        <v>0</v>
      </c>
      <c r="R130" s="438">
        <f>vl_overridden_uom_oncosts_per</f>
        <v>0</v>
      </c>
      <c r="S130" s="445">
        <f t="shared" ref="S130" si="521">R130*S122</f>
        <v>0</v>
      </c>
      <c r="T130" s="438">
        <f>vl_overridden_uom_oncosts_per</f>
        <v>0</v>
      </c>
      <c r="U130" s="445">
        <f t="shared" ref="U130" si="522">T130*U122</f>
        <v>0</v>
      </c>
      <c r="V130" s="438">
        <f>vl_overridden_uom_oncosts_per</f>
        <v>0</v>
      </c>
      <c r="W130" s="445">
        <f t="shared" ref="W130" si="523">V130*W122</f>
        <v>0</v>
      </c>
      <c r="X130" s="438">
        <f>vl_overridden_uom_oncosts_per</f>
        <v>0</v>
      </c>
      <c r="Y130" s="445">
        <f t="shared" ref="Y130" si="524">X130*Y122</f>
        <v>0</v>
      </c>
      <c r="Z130" s="438">
        <f>vl_overridden_uom_oncosts_per</f>
        <v>0</v>
      </c>
      <c r="AA130" s="445">
        <f t="shared" ref="AA130" si="525">Z130*AA122</f>
        <v>0</v>
      </c>
      <c r="AB130" s="438">
        <f>vl_overridden_uom_oncosts_per</f>
        <v>0</v>
      </c>
      <c r="AC130" s="445">
        <f t="shared" ref="AC130" si="526">AB130*AC122</f>
        <v>0</v>
      </c>
      <c r="AD130" s="335"/>
      <c r="AE130" s="1152"/>
      <c r="AF130" s="1152"/>
      <c r="AG130" s="1152"/>
      <c r="AH130" s="1152"/>
      <c r="AI130" s="1152"/>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row>
    <row r="131" spans="1:56" x14ac:dyDescent="0.3">
      <c r="A131" s="1182"/>
      <c r="B131" s="1379"/>
      <c r="C131" s="1379"/>
      <c r="D131" s="1379"/>
      <c r="E131" s="1379"/>
      <c r="F131" s="1379"/>
      <c r="G131" s="1379"/>
      <c r="H131" s="1380"/>
      <c r="I131" s="341" t="s">
        <v>321</v>
      </c>
      <c r="J131" s="342"/>
      <c r="K131" s="444">
        <f>SUM(K125:K130)</f>
        <v>0</v>
      </c>
      <c r="L131" s="342"/>
      <c r="M131" s="444">
        <f t="shared" ref="M131" si="527">SUM(M125:M130)</f>
        <v>0</v>
      </c>
      <c r="N131" s="342"/>
      <c r="O131" s="444">
        <f t="shared" ref="O131" si="528">SUM(O125:O130)</f>
        <v>0</v>
      </c>
      <c r="P131" s="342"/>
      <c r="Q131" s="444">
        <f t="shared" ref="Q131" si="529">SUM(Q125:Q130)</f>
        <v>0</v>
      </c>
      <c r="R131" s="342"/>
      <c r="S131" s="444">
        <f t="shared" ref="S131" si="530">SUM(S125:S130)</f>
        <v>0</v>
      </c>
      <c r="T131" s="342"/>
      <c r="U131" s="444">
        <f t="shared" ref="U131" si="531">SUM(U125:U130)</f>
        <v>0</v>
      </c>
      <c r="V131" s="342"/>
      <c r="W131" s="444">
        <f t="shared" ref="W131" si="532">SUM(W125:W130)</f>
        <v>0</v>
      </c>
      <c r="X131" s="342"/>
      <c r="Y131" s="444">
        <f t="shared" ref="Y131" si="533">SUM(Y125:Y130)</f>
        <v>0</v>
      </c>
      <c r="Z131" s="342"/>
      <c r="AA131" s="444">
        <f t="shared" ref="AA131" si="534">SUM(AA125:AA130)</f>
        <v>0</v>
      </c>
      <c r="AB131" s="342"/>
      <c r="AC131" s="444">
        <f t="shared" ref="AC131" si="535">SUM(AC125:AC130)</f>
        <v>0</v>
      </c>
      <c r="AD131" s="335">
        <f t="shared" si="413"/>
        <v>0</v>
      </c>
      <c r="AE131" s="1152"/>
      <c r="AF131" s="1152"/>
      <c r="AG131" s="1152"/>
      <c r="AH131" s="1152"/>
      <c r="AI131" s="1152"/>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row>
    <row r="132" spans="1:56" x14ac:dyDescent="0.3">
      <c r="A132" s="1182"/>
      <c r="B132" s="1379"/>
      <c r="C132" s="1379"/>
      <c r="D132" s="1379"/>
      <c r="E132" s="1379"/>
      <c r="F132" s="1379"/>
      <c r="G132" s="1379"/>
      <c r="H132" s="1380"/>
      <c r="I132" s="336" t="s">
        <v>322</v>
      </c>
      <c r="J132" s="339">
        <f>_xlfn.IFNA(VLOOKUP($D121,tbAnnualLeaveProvision,2,FALSE),0)</f>
        <v>0</v>
      </c>
      <c r="K132" s="443">
        <f>J132*K122</f>
        <v>0</v>
      </c>
      <c r="L132" s="340">
        <f>_xlfn.IFNA(VLOOKUP($D121,tbAnnualLeaveProvision,2,FALSE),0)</f>
        <v>0</v>
      </c>
      <c r="M132" s="451">
        <f t="shared" ref="M132" si="536">L132*M122</f>
        <v>0</v>
      </c>
      <c r="N132" s="339">
        <f>_xlfn.IFNA(VLOOKUP($D121,tbAnnualLeaveProvision,2,FALSE),0)</f>
        <v>0</v>
      </c>
      <c r="O132" s="443">
        <f>N132*O122</f>
        <v>0</v>
      </c>
      <c r="P132" s="340">
        <f>_xlfn.IFNA(VLOOKUP($D121,tbAnnualLeaveProvision,2,FALSE),0)</f>
        <v>0</v>
      </c>
      <c r="Q132" s="451">
        <f t="shared" ref="Q132" si="537">P132*Q122</f>
        <v>0</v>
      </c>
      <c r="R132" s="339">
        <f>_xlfn.IFNA(VLOOKUP($D121,tbAnnualLeaveProvision,2,FALSE),0)</f>
        <v>0</v>
      </c>
      <c r="S132" s="443">
        <f>R132*S122</f>
        <v>0</v>
      </c>
      <c r="T132" s="340">
        <f>_xlfn.IFNA(VLOOKUP($D121,tbAnnualLeaveProvision,2,FALSE),0)</f>
        <v>0</v>
      </c>
      <c r="U132" s="451">
        <f t="shared" ref="U132" si="538">T132*U122</f>
        <v>0</v>
      </c>
      <c r="V132" s="339">
        <f>_xlfn.IFNA(VLOOKUP($D121,tbAnnualLeaveProvision,2,FALSE),0)</f>
        <v>0</v>
      </c>
      <c r="W132" s="443">
        <f>V132*W122</f>
        <v>0</v>
      </c>
      <c r="X132" s="340">
        <f>_xlfn.IFNA(VLOOKUP($D121,tbAnnualLeaveProvision,2,FALSE),0)</f>
        <v>0</v>
      </c>
      <c r="Y132" s="451">
        <f t="shared" ref="Y132" si="539">X132*Y122</f>
        <v>0</v>
      </c>
      <c r="Z132" s="339">
        <f>_xlfn.IFNA(VLOOKUP($D121,tbAnnualLeaveProvision,2,FALSE),0)</f>
        <v>0</v>
      </c>
      <c r="AA132" s="443">
        <f>Z132*AA122</f>
        <v>0</v>
      </c>
      <c r="AB132" s="340">
        <f>_xlfn.IFNA(VLOOKUP($D121,tbAnnualLeaveProvision,2,FALSE),0)</f>
        <v>0</v>
      </c>
      <c r="AC132" s="451">
        <f t="shared" ref="AC132" si="540">AB132*AC122</f>
        <v>0</v>
      </c>
      <c r="AD132" s="335"/>
      <c r="AE132" s="1152"/>
      <c r="AF132" s="1152"/>
      <c r="AG132" s="1152"/>
      <c r="AH132" s="1152"/>
      <c r="AI132" s="1152"/>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row>
    <row r="133" spans="1:56" x14ac:dyDescent="0.3">
      <c r="A133" s="1182"/>
      <c r="B133" s="1379"/>
      <c r="C133" s="1379"/>
      <c r="D133" s="1379"/>
      <c r="E133" s="1379"/>
      <c r="F133" s="1379"/>
      <c r="G133" s="1379"/>
      <c r="H133" s="1380"/>
      <c r="I133" s="336" t="s">
        <v>330</v>
      </c>
      <c r="J133" s="339"/>
      <c r="K133" s="446">
        <f>K131+K132</f>
        <v>0</v>
      </c>
      <c r="L133" s="340"/>
      <c r="M133" s="452">
        <f t="shared" ref="M133" si="541">M131+M132</f>
        <v>0</v>
      </c>
      <c r="N133" s="339"/>
      <c r="O133" s="446">
        <f>O131+O132</f>
        <v>0</v>
      </c>
      <c r="P133" s="340"/>
      <c r="Q133" s="452">
        <f t="shared" ref="Q133" si="542">Q131+Q132</f>
        <v>0</v>
      </c>
      <c r="R133" s="339"/>
      <c r="S133" s="446">
        <f>S131+S132</f>
        <v>0</v>
      </c>
      <c r="T133" s="340"/>
      <c r="U133" s="452">
        <f t="shared" ref="U133" si="543">U131+U132</f>
        <v>0</v>
      </c>
      <c r="V133" s="339"/>
      <c r="W133" s="446">
        <f>W131+W132</f>
        <v>0</v>
      </c>
      <c r="X133" s="340"/>
      <c r="Y133" s="452">
        <f t="shared" ref="Y133" si="544">Y131+Y132</f>
        <v>0</v>
      </c>
      <c r="Z133" s="339"/>
      <c r="AA133" s="446">
        <f>AA131+AA132</f>
        <v>0</v>
      </c>
      <c r="AB133" s="340"/>
      <c r="AC133" s="452">
        <f t="shared" ref="AC133" si="545">AC131+AC132</f>
        <v>0</v>
      </c>
      <c r="AD133" s="335"/>
      <c r="AE133" s="1152"/>
      <c r="AF133" s="1152"/>
      <c r="AG133" s="1152"/>
      <c r="AH133" s="1152"/>
      <c r="AI133" s="1152"/>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row>
    <row r="134" spans="1:56" x14ac:dyDescent="0.3">
      <c r="A134" s="1182"/>
      <c r="B134" s="1379"/>
      <c r="C134" s="1379"/>
      <c r="D134" s="1379"/>
      <c r="E134" s="1379"/>
      <c r="F134" s="1379"/>
      <c r="G134" s="1379"/>
      <c r="H134" s="1380"/>
      <c r="I134" s="343" t="s">
        <v>324</v>
      </c>
      <c r="J134" s="344"/>
      <c r="K134" s="443">
        <f>IFERROR(-(K131/vl_working_days_per_year)*J134,0)</f>
        <v>0</v>
      </c>
      <c r="L134" s="345"/>
      <c r="M134" s="451">
        <f>IFERROR(-(M131/vl_working_days_per_year)*L134,0)</f>
        <v>0</v>
      </c>
      <c r="N134" s="344"/>
      <c r="O134" s="443">
        <f>-(O131/vl_working_days_per_year)*N134</f>
        <v>0</v>
      </c>
      <c r="P134" s="345"/>
      <c r="Q134" s="451">
        <f>-(Q131/vl_working_days_per_year)*P134</f>
        <v>0</v>
      </c>
      <c r="R134" s="344"/>
      <c r="S134" s="443">
        <f>-(S131/vl_working_days_per_year)*R134</f>
        <v>0</v>
      </c>
      <c r="T134" s="345"/>
      <c r="U134" s="451">
        <f>-(U131/vl_working_days_per_year)*T134</f>
        <v>0</v>
      </c>
      <c r="V134" s="344"/>
      <c r="W134" s="443">
        <f>-(W131/vl_working_days_per_year)*V134</f>
        <v>0</v>
      </c>
      <c r="X134" s="345"/>
      <c r="Y134" s="451">
        <f>-(Y131/vl_working_days_per_year)*X134</f>
        <v>0</v>
      </c>
      <c r="Z134" s="344"/>
      <c r="AA134" s="443">
        <f>-(AA131/vl_working_days_per_year)*Z134</f>
        <v>0</v>
      </c>
      <c r="AB134" s="345"/>
      <c r="AC134" s="451">
        <f>-(AC131/vl_working_days_per_year)*AB134</f>
        <v>0</v>
      </c>
      <c r="AD134" s="335">
        <f t="shared" si="413"/>
        <v>0</v>
      </c>
      <c r="AE134" s="1152"/>
      <c r="AF134" s="1152"/>
      <c r="AG134" s="1152"/>
      <c r="AH134" s="1152"/>
      <c r="AI134" s="1152"/>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row>
    <row r="135" spans="1:56" x14ac:dyDescent="0.3">
      <c r="A135" s="1182"/>
      <c r="B135" s="1379"/>
      <c r="C135" s="1379"/>
      <c r="D135" s="1379"/>
      <c r="E135" s="1379"/>
      <c r="F135" s="1379"/>
      <c r="G135" s="1379"/>
      <c r="H135" s="1380"/>
      <c r="I135" s="341" t="s">
        <v>325</v>
      </c>
      <c r="J135" s="346"/>
      <c r="K135" s="444">
        <f>K133+K134</f>
        <v>0</v>
      </c>
      <c r="L135" s="346"/>
      <c r="M135" s="444">
        <f t="shared" ref="M135" si="546">M133+M134</f>
        <v>0</v>
      </c>
      <c r="N135" s="346"/>
      <c r="O135" s="444">
        <f>O133+O134</f>
        <v>0</v>
      </c>
      <c r="P135" s="346"/>
      <c r="Q135" s="444">
        <f t="shared" ref="Q135" si="547">Q133+Q134</f>
        <v>0</v>
      </c>
      <c r="R135" s="346"/>
      <c r="S135" s="444">
        <f>S133+S134</f>
        <v>0</v>
      </c>
      <c r="T135" s="346"/>
      <c r="U135" s="444">
        <f t="shared" ref="U135" si="548">U133+U134</f>
        <v>0</v>
      </c>
      <c r="V135" s="346"/>
      <c r="W135" s="444">
        <f>W133+W134</f>
        <v>0</v>
      </c>
      <c r="X135" s="346"/>
      <c r="Y135" s="444">
        <f t="shared" ref="Y135" si="549">Y133+Y134</f>
        <v>0</v>
      </c>
      <c r="Z135" s="346"/>
      <c r="AA135" s="444">
        <f>AA133+AA134</f>
        <v>0</v>
      </c>
      <c r="AB135" s="346"/>
      <c r="AC135" s="444">
        <f t="shared" ref="AC135" si="550">AC133+AC134</f>
        <v>0</v>
      </c>
      <c r="AD135" s="335">
        <f t="shared" si="413"/>
        <v>0</v>
      </c>
      <c r="AE135" s="1152"/>
      <c r="AF135" s="1152"/>
      <c r="AG135" s="1152"/>
      <c r="AH135" s="1152"/>
      <c r="AI135" s="1152"/>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row>
    <row r="136" spans="1:56" s="1" customFormat="1" ht="15" customHeight="1" x14ac:dyDescent="0.3">
      <c r="A136" s="727"/>
      <c r="B136" s="1379"/>
      <c r="C136" s="1379"/>
      <c r="D136" s="1379"/>
      <c r="E136" s="1379"/>
      <c r="F136" s="1379"/>
      <c r="G136" s="1379"/>
      <c r="H136" s="1380"/>
      <c r="I136" s="382" t="s">
        <v>326</v>
      </c>
      <c r="J136" s="383">
        <f>IFERROR(K136/K122,0)</f>
        <v>0</v>
      </c>
      <c r="K136" s="447">
        <f>SUM(K123:K124,K126:K129,K132)</f>
        <v>0</v>
      </c>
      <c r="L136" s="434">
        <f>IFERROR(M136/M122,0)</f>
        <v>0</v>
      </c>
      <c r="M136" s="453">
        <f t="shared" ref="M136" si="551">SUM(M123:M124,M126:M129,M132)</f>
        <v>0</v>
      </c>
      <c r="N136" s="383">
        <f t="shared" ref="N136" si="552">IFERROR(O136/O122,0)</f>
        <v>0</v>
      </c>
      <c r="O136" s="447">
        <f t="shared" ref="O136" si="553">SUM(O123:O124,O126:O129,O132)</f>
        <v>0</v>
      </c>
      <c r="P136" s="434">
        <f t="shared" ref="P136" si="554">IFERROR(Q136/Q122,0)</f>
        <v>0</v>
      </c>
      <c r="Q136" s="453">
        <f t="shared" ref="Q136" si="555">SUM(Q123:Q124,Q126:Q129,Q132)</f>
        <v>0</v>
      </c>
      <c r="R136" s="383">
        <f t="shared" ref="R136" si="556">IFERROR(S136/S122,0)</f>
        <v>0</v>
      </c>
      <c r="S136" s="447">
        <f t="shared" ref="S136" si="557">SUM(S123:S124,S126:S129,S132)</f>
        <v>0</v>
      </c>
      <c r="T136" s="434">
        <f t="shared" ref="T136" si="558">IFERROR(U136/U122,0)</f>
        <v>0</v>
      </c>
      <c r="U136" s="453">
        <f t="shared" ref="U136" si="559">SUM(U123:U124,U126:U129,U132)</f>
        <v>0</v>
      </c>
      <c r="V136" s="383">
        <f t="shared" ref="V136" si="560">IFERROR(W136/W122,0)</f>
        <v>0</v>
      </c>
      <c r="W136" s="447">
        <f t="shared" ref="W136" si="561">SUM(W123:W124,W126:W129,W132)</f>
        <v>0</v>
      </c>
      <c r="X136" s="434">
        <f t="shared" ref="X136" si="562">IFERROR(Y136/Y122,0)</f>
        <v>0</v>
      </c>
      <c r="Y136" s="453">
        <f t="shared" ref="Y136" si="563">SUM(Y123:Y124,Y126:Y129,Y132)</f>
        <v>0</v>
      </c>
      <c r="Z136" s="383">
        <f t="shared" ref="Z136" si="564">IFERROR(AA136/AA122,0)</f>
        <v>0</v>
      </c>
      <c r="AA136" s="447">
        <f t="shared" ref="AA136" si="565">SUM(AA123:AA124,AA126:AA129,AA132)</f>
        <v>0</v>
      </c>
      <c r="AB136" s="434">
        <f t="shared" ref="AB136" si="566">IFERROR(AC136/AC122,0)</f>
        <v>0</v>
      </c>
      <c r="AC136" s="453">
        <f t="shared" ref="AC136" si="567">SUM(AC123:AC124,AC126:AC129,AC132)</f>
        <v>0</v>
      </c>
      <c r="AD136" s="377">
        <f t="shared" si="413"/>
        <v>0</v>
      </c>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row>
    <row r="137" spans="1:56" x14ac:dyDescent="0.3">
      <c r="A137" s="1182"/>
      <c r="B137" s="1379"/>
      <c r="C137" s="1379"/>
      <c r="D137" s="1379"/>
      <c r="E137" s="1379"/>
      <c r="F137" s="1379"/>
      <c r="G137" s="1379"/>
      <c r="H137" s="1380"/>
      <c r="I137" s="382" t="s">
        <v>327</v>
      </c>
      <c r="J137" s="384">
        <f>pCRSalaries</f>
        <v>2.5</v>
      </c>
      <c r="K137" s="447"/>
      <c r="L137" s="435">
        <f>pCRSalaries</f>
        <v>2.5</v>
      </c>
      <c r="M137" s="453"/>
      <c r="N137" s="384">
        <f>pCRSalaries</f>
        <v>2.5</v>
      </c>
      <c r="O137" s="447"/>
      <c r="P137" s="435">
        <f>pCRSalaries</f>
        <v>2.5</v>
      </c>
      <c r="Q137" s="453"/>
      <c r="R137" s="384">
        <f>pCRSalaries</f>
        <v>2.5</v>
      </c>
      <c r="S137" s="447"/>
      <c r="T137" s="435">
        <f>pCRSalaries</f>
        <v>2.5</v>
      </c>
      <c r="U137" s="453"/>
      <c r="V137" s="384">
        <f>pCRSalaries</f>
        <v>2.5</v>
      </c>
      <c r="W137" s="447"/>
      <c r="X137" s="435">
        <f>pCRSalaries</f>
        <v>2.5</v>
      </c>
      <c r="Y137" s="453"/>
      <c r="Z137" s="384">
        <f>pCRSalaries</f>
        <v>2.5</v>
      </c>
      <c r="AA137" s="447"/>
      <c r="AB137" s="435">
        <f>pCRSalaries</f>
        <v>2.5</v>
      </c>
      <c r="AC137" s="453"/>
      <c r="AD137" s="335"/>
      <c r="AE137" s="1152"/>
      <c r="AF137" s="1152"/>
      <c r="AG137" s="1152"/>
      <c r="AH137" s="1152"/>
      <c r="AI137" s="1152"/>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row>
    <row r="138" spans="1:56" ht="16.2" thickBot="1" x14ac:dyDescent="0.35">
      <c r="A138" s="1182"/>
      <c r="B138" s="710"/>
      <c r="C138" s="347"/>
      <c r="D138" s="347"/>
      <c r="E138" s="347"/>
      <c r="F138" s="347"/>
      <c r="G138" s="347"/>
      <c r="H138" s="347"/>
      <c r="I138" s="436" t="s">
        <v>329</v>
      </c>
      <c r="J138" s="348"/>
      <c r="K138" s="448">
        <f>J137*K133</f>
        <v>0</v>
      </c>
      <c r="L138" s="348"/>
      <c r="M138" s="448">
        <f t="shared" ref="M138" si="568">L137*M133</f>
        <v>0</v>
      </c>
      <c r="N138" s="348"/>
      <c r="O138" s="448">
        <f>N137*O133</f>
        <v>0</v>
      </c>
      <c r="P138" s="348"/>
      <c r="Q138" s="448">
        <f t="shared" ref="Q138" si="569">P137*Q133</f>
        <v>0</v>
      </c>
      <c r="R138" s="348"/>
      <c r="S138" s="448">
        <f>R137*S133</f>
        <v>0</v>
      </c>
      <c r="T138" s="348"/>
      <c r="U138" s="448">
        <f t="shared" ref="U138" si="570">T137*U133</f>
        <v>0</v>
      </c>
      <c r="V138" s="348"/>
      <c r="W138" s="448">
        <f>V137*W133</f>
        <v>0</v>
      </c>
      <c r="X138" s="348"/>
      <c r="Y138" s="448">
        <f t="shared" ref="Y138" si="571">X137*Y133</f>
        <v>0</v>
      </c>
      <c r="Z138" s="348"/>
      <c r="AA138" s="448">
        <f>Z137*AA133</f>
        <v>0</v>
      </c>
      <c r="AB138" s="348"/>
      <c r="AC138" s="448">
        <f t="shared" ref="AC138" si="572">AB137*AC133</f>
        <v>0</v>
      </c>
      <c r="AD138" s="335">
        <f t="shared" si="413"/>
        <v>0</v>
      </c>
      <c r="AE138" s="1152"/>
      <c r="AF138" s="1152"/>
      <c r="AG138" s="1152"/>
      <c r="AH138" s="1152"/>
      <c r="AI138" s="1152"/>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row>
    <row r="139" spans="1:56" ht="15" thickBot="1" x14ac:dyDescent="0.35">
      <c r="A139" s="1182"/>
      <c r="B139" s="1181"/>
      <c r="C139" s="1181"/>
      <c r="D139" s="1181"/>
      <c r="E139" s="1181"/>
      <c r="F139" s="1181"/>
      <c r="G139" s="1181"/>
      <c r="H139" s="1181"/>
      <c r="I139" s="350"/>
      <c r="J139" s="351"/>
      <c r="K139" s="351"/>
      <c r="L139" s="351"/>
      <c r="M139" s="352"/>
      <c r="N139" s="351"/>
      <c r="O139" s="352"/>
      <c r="P139" s="351"/>
      <c r="Q139" s="352"/>
      <c r="R139" s="351"/>
      <c r="S139" s="352"/>
      <c r="T139" s="351"/>
      <c r="U139" s="352"/>
      <c r="V139" s="351"/>
      <c r="W139" s="352"/>
      <c r="X139" s="351"/>
      <c r="Y139" s="352"/>
      <c r="Z139" s="351"/>
      <c r="AA139" s="352"/>
      <c r="AB139" s="351"/>
      <c r="AC139" s="352"/>
      <c r="AD139" s="353" t="str">
        <f>IF(tbBudgetCurrency="AUD - Australian Dollar","",IFERROR(K139+M139+O139+Q139+S139+U139+W139+Y139+AA139+AC139,0))</f>
        <v/>
      </c>
      <c r="AE139" s="1152"/>
      <c r="AF139" s="1152"/>
      <c r="AG139" s="1152"/>
      <c r="AH139" s="1152"/>
      <c r="AI139" s="1152"/>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row>
    <row r="140" spans="1:56" x14ac:dyDescent="0.3">
      <c r="A140" s="1182"/>
      <c r="B140" s="356" t="str">
        <f>IF('PART B Staff Costs'!B28="","",'PART B Staff Costs'!B28)</f>
        <v/>
      </c>
      <c r="C140" s="355" t="str">
        <f>IF('PART B Staff Costs'!C28="","",'PART B Staff Costs'!C28)</f>
        <v xml:space="preserve"> </v>
      </c>
      <c r="D140" s="355" t="str">
        <f>IF('PART B Staff Costs'!D28="","",'PART B Staff Costs'!D28)</f>
        <v/>
      </c>
      <c r="E140" s="355" t="str">
        <f>IF('PART B Staff Costs'!E28="","",'PART B Staff Costs'!E28)</f>
        <v/>
      </c>
      <c r="F140" s="355" t="str">
        <f>IF('PART B Staff Costs'!F28="","",'PART B Staff Costs'!F28)</f>
        <v/>
      </c>
      <c r="G140" s="355" t="str">
        <f>IF('PART B Staff Costs'!G28="","",'PART B Staff Costs'!G28)</f>
        <v/>
      </c>
      <c r="H140" s="332" t="str">
        <f t="shared" ref="H140" si="573">CONCATENATE(IF(D140=0,"",D140)," ",IF(E140=0,"",E140)," ",IF(F140=0,"",F140),,IF(OR(G140=0,G140=""),"",CONCATENATE(" (",G140,")")))</f>
        <v xml:space="preserve">  </v>
      </c>
      <c r="I140" s="332" t="s">
        <v>313</v>
      </c>
      <c r="J140" s="333">
        <f>_xlfn.IFNA('PART B Staff Costs'!H28*'PART B Staff Costs'!J$10,0)*new_xrate</f>
        <v>0</v>
      </c>
      <c r="K140" s="441"/>
      <c r="L140" s="334">
        <f>_xlfn.IFNA(IF(pStartYear+1&gt;pEndYear,0,VLOOKUP(CONCATENATE(
IF(OR($D140="Continuing",$D140="Fixed-Term"),"Fortnight",IF($D140="Casual","Casual",)),
$E140,
IF(OR($D140="Continuing",$D140="Fixed-Term"),
IF(LEFT($F140,6)="UOM 10","UOM 10",(LEFT($F140,LEN($F140)-1)&amp;MIN(RIGHT($F140,1)+COUNTIFS($J141:K141,"&gt;0")/2,VLOOKUP(LEFT($F140,LEN($F140)-2),tSalaryMax,2,FALSE)))),
IF($D140="Casual",
$F140,))
),tSalaryRate,5,FALSE)*VLOOKUP($G140,tSalaryRateMultiplier,2,FALSE)*'PART B Staff Costs'!L$10),0)*new_xrate</f>
        <v>0</v>
      </c>
      <c r="M140" s="449"/>
      <c r="N140" s="333">
        <f>_xlfn.IFNA(IF(pStartYear+2&gt;pEndYear,0,VLOOKUP(CONCATENATE(
IF(OR($D140="Continuing",$D140="Fixed-Term"),"Fortnight",IF($D140="Casual","Casual",)),
$E140,
IF(OR($D140="Continuing",$D140="Fixed-Term"),
IF(LEFT($F140,6)="UOM 10","UOM 10",(LEFT($F140,LEN($F140)-1)&amp;MIN(RIGHT($F140,1)+COUNTIFS($J141:M141,"&gt;0")/2,VLOOKUP(LEFT($F140,LEN($F140)-2),tSalaryMax,2,FALSE)))),
IF($D140="Casual",
$F140,))
),tSalaryRate,5,FALSE)*VLOOKUP($G140,tSalaryRateMultiplier,2,FALSE)*'PART B Staff Costs'!N$10),0)*new_xrate</f>
        <v>0</v>
      </c>
      <c r="O140" s="441"/>
      <c r="P140" s="334">
        <f>_xlfn.IFNA(IF(pStartYear+3&gt;pEndYear,0,VLOOKUP(CONCATENATE(
IF(OR($D140="Continuing",$D140="Fixed-Term"),"Fortnight",IF($D140="Casual","Casual",)),
$E140,
IF(OR($D140="Continuing",$D140="Fixed-Term"),
IF(LEFT($F140,6)="UOM 10","UOM 10",(LEFT($F140,LEN($F140)-1)&amp;MIN(RIGHT($F140,1)+COUNTIFS($J141:O141,"&gt;0")/2,VLOOKUP(LEFT($F140,LEN($F140)-2),tSalaryMax,2,FALSE)))),
IF($D140="Casual",
$F140,))
),tSalaryRate,5,FALSE)*VLOOKUP($G140,tSalaryRateMultiplier,2,FALSE)*'PART B Staff Costs'!P$10),0)*new_xrate</f>
        <v>0</v>
      </c>
      <c r="Q140" s="449"/>
      <c r="R140" s="333">
        <f>_xlfn.IFNA(IF(pStartYear+4&gt;pEndYear,0,VLOOKUP(CONCATENATE(
IF(OR($D140="Continuing",$D140="Fixed-Term"),"Fortnight",IF($D140="Casual","Casual",)),
$E140,
IF(OR($D140="Continuing",$D140="Fixed-Term"),
IF(LEFT($F140,6)="UOM 10","UOM 10",(LEFT($F140,LEN($F140)-1)&amp;MIN(RIGHT($F140,1)+COUNTIFS($J141:Q141,"&gt;0")/2,VLOOKUP(LEFT($F140,LEN($F140)-2),tSalaryMax,2,FALSE)))),
IF($D140="Casual",
$F140,))
),tSalaryRate,5,FALSE)*VLOOKUP($G140,tSalaryRateMultiplier,2,FALSE)*'PART B Staff Costs'!R$10),0)*new_xrate</f>
        <v>0</v>
      </c>
      <c r="S140" s="441"/>
      <c r="T140" s="334">
        <f>_xlfn.IFNA(IF(pStartYear+5&gt;pEndYear,0,VLOOKUP(CONCATENATE(
IF(OR($D140="Continuing",$D140="Fixed-Term"),"Fortnight",IF($D140="Casual","Casual",)),
$E140,
IF(OR($D140="Continuing",$D140="Fixed-Term"),
IF(LEFT($F140,6)="UOM 10","UOM 10",(LEFT($F140,LEN($F140)-1)&amp;MIN(RIGHT($F140,1)+COUNTIFS($J141:S141,"&gt;0")/2,VLOOKUP(LEFT($F140,LEN($F140)-2),tSalaryMax,2,FALSE)))),
IF($D140="Casual",
$F140,))
),tSalaryRate,5,FALSE)*VLOOKUP($G140,tSalaryRateMultiplier,2,FALSE)*'PART B Staff Costs'!T$10),0)*new_xrate</f>
        <v>0</v>
      </c>
      <c r="U140" s="449"/>
      <c r="V140" s="333">
        <f>_xlfn.IFNA(IF(pStartYear+6&gt;pEndYear,0,VLOOKUP(CONCATENATE(
IF(OR($D140="Continuing",$D140="Fixed-Term"),"Fortnight",IF($D140="Casual","Casual",)),
$E140,
IF(OR($D140="Continuing",$D140="Fixed-Term"),
IF(LEFT($F140,6)="UOM 10","UOM 10",(LEFT($F140,LEN($F140)-1)&amp;MIN(RIGHT($F140,1)+COUNTIFS($J141:U141,"&gt;0")/2,VLOOKUP(LEFT($F140,LEN($F140)-2),tSalaryMax,2,FALSE)))),
IF($D140="Casual",
$F140,))
),tSalaryRate,5,FALSE)*VLOOKUP($G140,tSalaryRateMultiplier,2,FALSE)*'PART B Staff Costs'!V$10),0)*new_xrate</f>
        <v>0</v>
      </c>
      <c r="W140" s="441"/>
      <c r="X140" s="334">
        <f>_xlfn.IFNA(IF(pStartYear+7&gt;pEndYear,0,VLOOKUP(CONCATENATE(
IF(OR($D140="Continuing",$D140="Fixed-Term"),"Fortnight",IF($D140="Casual","Casual",)),
$E140,
IF(OR($D140="Continuing",$D140="Fixed-Term"),
IF(LEFT($F140,6)="UOM 10","UOM 10",(LEFT($F140,LEN($F140)-1)&amp;MIN(RIGHT($F140,1)+COUNTIFS($J141:W141,"&gt;0")/2,VLOOKUP(LEFT($F140,LEN($F140)-2),tSalaryMax,2,FALSE)))),
IF($D140="Casual",
$F140,))
),tSalaryRate,5,FALSE)*VLOOKUP($G140,tSalaryRateMultiplier,2,FALSE)*'PART B Staff Costs'!X$10),0)*new_xrate</f>
        <v>0</v>
      </c>
      <c r="Y140" s="449"/>
      <c r="Z140" s="333">
        <f>_xlfn.IFNA(IF(pStartYear+8&gt;pEndYear,0,VLOOKUP(CONCATENATE(
IF(OR($D140="Continuing",$D140="Fixed-Term"),"Fortnight",IF($D140="Casual","Casual",)),
$E140,
IF(OR($D140="Continuing",$D140="Fixed-Term"),
IF(LEFT($F140,6)="UOM 10","UOM 10",(LEFT($F140,LEN($F140)-1)&amp;MIN(RIGHT($F140,1)+COUNTIFS($J141:Y141,"&gt;0")/2,VLOOKUP(LEFT($F140,LEN($F140)-2),tSalaryMax,2,FALSE)))),
IF($D140="Casual",
$F140,))
),tSalaryRate,5,FALSE)*VLOOKUP($G140,tSalaryRateMultiplier,2,FALSE)*'PART B Staff Costs'!Z$10),0)*new_xrate</f>
        <v>0</v>
      </c>
      <c r="AA140" s="441"/>
      <c r="AB140" s="334">
        <f>_xlfn.IFNA(IF(pStartYear+9&gt;pEndYear,0,VLOOKUP(CONCATENATE(
IF(OR($D140="Continuing",$D140="Fixed-Term"),"Fortnight",IF($D140="Casual","Casual",)),
$E140,
IF(OR($D140="Continuing",$D140="Fixed-Term"),
IF(LEFT($F140,6)="UOM 10","UOM 10",(LEFT($F140,LEN($F140)-1)&amp;MIN(RIGHT($F140,1)+COUNTIFS($J141:AA141,"&gt;0")/2,VLOOKUP(LEFT($F140,LEN($F140)-2),tSalaryMax,2,FALSE)))),
IF($D140="Casual",
$F140,))
),tSalaryRate,5,FALSE)*VLOOKUP($G140,tSalaryRateMultiplier,2,FALSE)*'PART B Staff Costs'!AB$10),0)*new_xrate</f>
        <v>0</v>
      </c>
      <c r="AC140" s="449"/>
      <c r="AD140" s="335"/>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row>
    <row r="141" spans="1:56" x14ac:dyDescent="0.3">
      <c r="A141" s="1182"/>
      <c r="B141" s="1377"/>
      <c r="C141" s="1377"/>
      <c r="D141" s="1377"/>
      <c r="E141" s="1377"/>
      <c r="F141" s="1377"/>
      <c r="G141" s="1377"/>
      <c r="H141" s="1378"/>
      <c r="I141" s="336" t="str">
        <f>IF('PART B Staff Costs'!G136&lt;&gt;"",CONCATENATE("Time/Requested salary"," (",'PART B Staff Costs'!G136,")"),"Time/Requested salary")</f>
        <v>Time/Requested salary</v>
      </c>
      <c r="J141" s="337">
        <f>_xlfn.IFNA('PART B Staff Costs'!I28,0)</f>
        <v>0</v>
      </c>
      <c r="K141" s="442">
        <f>IF('PART B Staff Costs'!$G$28="FTE",J141*J140*(First_year_fraction/12),J141*J140)</f>
        <v>0</v>
      </c>
      <c r="L141" s="338">
        <f>_xlfn.IFNA('PART B Staff Costs'!K28,0)</f>
        <v>0</v>
      </c>
      <c r="M141" s="450">
        <f>IF(pStartYear+1=pEndYear,IF('PART B Staff Costs'!$G$28="FTE",(L141*L140)*Last_Year_Fraction/12,L141*L140),L141*L140)</f>
        <v>0</v>
      </c>
      <c r="N141" s="337">
        <f>_xlfn.IFNA('PART B Staff Costs'!M28,0)</f>
        <v>0</v>
      </c>
      <c r="O141" s="442">
        <f>IF(pStartYear+2=pEndYear,IF('PART B Staff Costs'!$G$28="FTE",(N141*N140)*Last_Year_Fraction/12,N141*N140),N141*N140)</f>
        <v>0</v>
      </c>
      <c r="P141" s="338">
        <f>_xlfn.IFNA('PART B Staff Costs'!O28,0)</f>
        <v>0</v>
      </c>
      <c r="Q141" s="450">
        <f>IF(pStartYear+3=pEndYear,IF('PART B Staff Costs'!$G$28="FTE",(P141*P140)*Last_Year_Fraction/12,P141*P140),P141*P140)</f>
        <v>0</v>
      </c>
      <c r="R141" s="337">
        <f>_xlfn.IFNA('PART B Staff Costs'!Q28,0)</f>
        <v>0</v>
      </c>
      <c r="S141" s="442">
        <f>IF(pStartYear+4=pEndYear,IF('PART B Staff Costs'!$G$28="FTE",(R141*R140)*Last_Year_Fraction/12,R141*R140),R141*R140)</f>
        <v>0</v>
      </c>
      <c r="T141" s="338">
        <f>_xlfn.IFNA('PART B Staff Costs'!S28,0)</f>
        <v>0</v>
      </c>
      <c r="U141" s="450">
        <f>IF(pStartYear+5=pEndYear,IF('PART B Staff Costs'!$G$28="FTE",(T141*T140)*Last_Year_Fraction/12,T141*T140),T141*T140)</f>
        <v>0</v>
      </c>
      <c r="V141" s="337">
        <f>_xlfn.IFNA('PART B Staff Costs'!U28,0)</f>
        <v>0</v>
      </c>
      <c r="W141" s="442">
        <f>IF(pStartYear+6=pEndYear,IF('PART B Staff Costs'!$G$28="FTE",(V141*V140)*Last_Year_Fraction/12,V141*V140),V141*V140)</f>
        <v>0</v>
      </c>
      <c r="X141" s="338">
        <f>_xlfn.IFNA('PART B Staff Costs'!W28,0)</f>
        <v>0</v>
      </c>
      <c r="Y141" s="450">
        <f>IF(pStartYear+7=pEndYear,IF('PART B Staff Costs'!$G$28="FTE",(X141*X140)*Last_Year_Fraction/12,X141*X140),X141*X140)</f>
        <v>0</v>
      </c>
      <c r="Z141" s="337">
        <f>_xlfn.IFNA('PART B Staff Costs'!Y28,0)</f>
        <v>0</v>
      </c>
      <c r="AA141" s="442">
        <f>IF(pStartYear+8=pEndYear,IF('PART B Staff Costs'!$G$28="FTE",(Z141*Z140)*Last_Year_Fraction/12,Z141*Z140),Z141*Z140)</f>
        <v>0</v>
      </c>
      <c r="AB141" s="338">
        <f>_xlfn.IFNA('PART B Staff Costs'!AA28,0)</f>
        <v>0</v>
      </c>
      <c r="AC141" s="450">
        <f>IF(pStartYear+9=pEndYear,IF('PART B Staff Costs'!$G$28="FTE",(AB141*AB140)*Last_Year_Fraction/12,AB141*AB140),AB141*AB140)</f>
        <v>0</v>
      </c>
      <c r="AD141" s="335"/>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row>
    <row r="142" spans="1:56" x14ac:dyDescent="0.3">
      <c r="A142" s="1182"/>
      <c r="B142" s="1379"/>
      <c r="C142" s="1379"/>
      <c r="D142" s="1379"/>
      <c r="E142" s="1379"/>
      <c r="F142" s="1379"/>
      <c r="G142" s="1379"/>
      <c r="H142" s="1380"/>
      <c r="I142" s="336" t="str">
        <f>IF(tbBudgetCurrency="AUD - Australian Dollar",CONCATENATE("Leave Loading (max of AU$",vl_Max_Leave_Loading,")"),CONCATENATE("Leave Loading (max of ",ROUND(vl_Max_Leave_Loading*new_xrate,2)," ",LEFT(tbBudgetCurrency,3),")"))</f>
        <v>Leave Loading (max of AU$1611.3)</v>
      </c>
      <c r="J142" s="339">
        <f>_xlfn.IFNA(VLOOKUP($D140,tbLeaveLoading,2,FALSE),0)</f>
        <v>0</v>
      </c>
      <c r="K142" s="443">
        <f>IF(K141*J142&gt;vl_Max_Leave_Loading*new_xrate,vl_Max_Leave_Loading*new_xrate,K141*J142)</f>
        <v>0</v>
      </c>
      <c r="L142" s="340">
        <f>_xlfn.IFNA(VLOOKUP($D140,tbLeaveLoading,2,FALSE),0)</f>
        <v>0</v>
      </c>
      <c r="M142" s="451">
        <f>IF(M141*L142&gt;vl_Max_Leave_Loading*new_xrate,vl_Max_Leave_Loading*new_xrate,M141*L142)</f>
        <v>0</v>
      </c>
      <c r="N142" s="339">
        <f>_xlfn.IFNA(VLOOKUP($D140,tbLeaveLoading,2,FALSE),0)</f>
        <v>0</v>
      </c>
      <c r="O142" s="443">
        <f>IF(O141*N142&gt;vl_Max_Leave_Loading*new_xrate,vl_Max_Leave_Loading*new_xrate,O141*N142)</f>
        <v>0</v>
      </c>
      <c r="P142" s="340">
        <f>_xlfn.IFNA(VLOOKUP($D140,tbLeaveLoading,2,FALSE),0)</f>
        <v>0</v>
      </c>
      <c r="Q142" s="451">
        <f>IF(Q141*P142&gt;vl_Max_Leave_Loading*new_xrate,vl_Max_Leave_Loading*new_xrate,Q141*P142)</f>
        <v>0</v>
      </c>
      <c r="R142" s="339">
        <f>_xlfn.IFNA(VLOOKUP($D140,tbLeaveLoading,2,FALSE),0)</f>
        <v>0</v>
      </c>
      <c r="S142" s="443">
        <f>IF(S141*R142&gt;vl_Max_Leave_Loading*new_xrate,vl_Max_Leave_Loading*new_xrate,S141*R142)</f>
        <v>0</v>
      </c>
      <c r="T142" s="340">
        <f>_xlfn.IFNA(VLOOKUP($D140,tbLeaveLoading,2,FALSE),0)</f>
        <v>0</v>
      </c>
      <c r="U142" s="451">
        <f>IF(U141*T142&gt;vl_Max_Leave_Loading*new_xrate,vl_Max_Leave_Loading*new_xrate,U141*T142)</f>
        <v>0</v>
      </c>
      <c r="V142" s="339">
        <f>_xlfn.IFNA(VLOOKUP($D140,tbLeaveLoading,2,FALSE),0)</f>
        <v>0</v>
      </c>
      <c r="W142" s="443">
        <f>IF(W141*V142&gt;vl_Max_Leave_Loading*new_xrate,vl_Max_Leave_Loading*new_xrate,W141*V142)</f>
        <v>0</v>
      </c>
      <c r="X142" s="340">
        <f>_xlfn.IFNA(VLOOKUP($D140,tbLeaveLoading,2,FALSE),0)</f>
        <v>0</v>
      </c>
      <c r="Y142" s="451">
        <f>IF(Y141*X142&gt;vl_Max_Leave_Loading*new_xrate,vl_Max_Leave_Loading*new_xrate,Y141*X142)</f>
        <v>0</v>
      </c>
      <c r="Z142" s="339">
        <f>_xlfn.IFNA(VLOOKUP($D140,tbLeaveLoading,2,FALSE),0)</f>
        <v>0</v>
      </c>
      <c r="AA142" s="443">
        <f>IF(AA141*Z142&gt;vl_Max_Leave_Loading*new_xrate,vl_Max_Leave_Loading*new_xrate,AA141*Z142)</f>
        <v>0</v>
      </c>
      <c r="AB142" s="340">
        <f>_xlfn.IFNA(VLOOKUP($D140,tbLeaveLoading,2,FALSE),0)</f>
        <v>0</v>
      </c>
      <c r="AC142" s="451">
        <f>IF(AC141*AB142&gt;vl_Max_Leave_Loading*new_xrate,vl_Max_Leave_Loading*new_xrate,AC141*AB142)</f>
        <v>0</v>
      </c>
      <c r="AD142" s="335"/>
      <c r="AE142" s="1152"/>
      <c r="AF142" s="1152"/>
      <c r="AG142" s="1152"/>
      <c r="AH142" s="1152"/>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row>
    <row r="143" spans="1:56" x14ac:dyDescent="0.3">
      <c r="A143" s="1182"/>
      <c r="B143" s="1379"/>
      <c r="C143" s="1379"/>
      <c r="D143" s="1379"/>
      <c r="E143" s="1379"/>
      <c r="F143" s="1379"/>
      <c r="G143" s="1379"/>
      <c r="H143" s="1380"/>
      <c r="I143" s="336" t="s">
        <v>314</v>
      </c>
      <c r="J143" s="339">
        <f>_xlfn.IFNA(_xlfn.IFNA(VLOOKUP(CONCATENATE(pStartYear,$D140),tbSuperannuation,4,FALSE),VLOOKUP($D140,tbSuperannuation2026onwards,2,FALSE)),0)</f>
        <v>0</v>
      </c>
      <c r="K143" s="443">
        <f>K141*J143</f>
        <v>0</v>
      </c>
      <c r="L143" s="340">
        <f>_xlfn.IFNA(_xlfn.IFNA(VLOOKUP(CONCATENATE(pStartYear+1,$D140),tbSuperannuation,4,FALSE),VLOOKUP($D140,tbSuperannuation2026onwards,2,FALSE)),0)</f>
        <v>0</v>
      </c>
      <c r="M143" s="451">
        <f t="shared" ref="M143" si="574">M141*L143</f>
        <v>0</v>
      </c>
      <c r="N143" s="339">
        <f>_xlfn.IFNA(_xlfn.IFNA(VLOOKUP(CONCATENATE(pStartYear+2,$D140),tbSuperannuation,4,FALSE),VLOOKUP($D140,tbSuperannuation2026onwards,2,FALSE)),0)</f>
        <v>0</v>
      </c>
      <c r="O143" s="443">
        <f>O141*N143</f>
        <v>0</v>
      </c>
      <c r="P143" s="340">
        <f>_xlfn.IFNA(_xlfn.IFNA(VLOOKUP(CONCATENATE(pStartYear+3,$D140),tbSuperannuation,4,FALSE),VLOOKUP($D140,tbSuperannuation2026onwards,2,FALSE)),0)</f>
        <v>0</v>
      </c>
      <c r="Q143" s="451">
        <f t="shared" ref="Q143" si="575">Q141*P143</f>
        <v>0</v>
      </c>
      <c r="R143" s="339">
        <f>_xlfn.IFNA(_xlfn.IFNA(VLOOKUP(CONCATENATE(pStartYear+4,$D140),tbSuperannuation,4,FALSE),VLOOKUP($D140,tbSuperannuation2026onwards,2,FALSE)),0)</f>
        <v>0</v>
      </c>
      <c r="S143" s="443">
        <f>S141*R143</f>
        <v>0</v>
      </c>
      <c r="T143" s="340">
        <f>_xlfn.IFNA(_xlfn.IFNA(VLOOKUP(CONCATENATE(pStartYear+5,$D140),tbSuperannuation,4,FALSE),VLOOKUP($D140,tbSuperannuation2026onwards,2,FALSE)),0)</f>
        <v>0</v>
      </c>
      <c r="U143" s="451">
        <f t="shared" ref="U143" si="576">U141*T143</f>
        <v>0</v>
      </c>
      <c r="V143" s="339">
        <f>_xlfn.IFNA(_xlfn.IFNA(VLOOKUP(CONCATENATE(pStartYear+6,$D140),tbSuperannuation,4,FALSE),VLOOKUP($D140,tbSuperannuation2026onwards,2,FALSE)),0)</f>
        <v>0</v>
      </c>
      <c r="W143" s="443">
        <f>W141*V143</f>
        <v>0</v>
      </c>
      <c r="X143" s="340">
        <f>_xlfn.IFNA(_xlfn.IFNA(VLOOKUP(CONCATENATE(pStartYear+7,$D140),tbSuperannuation,4,FALSE),VLOOKUP($D140,tbSuperannuation2026onwards,2,FALSE)),0)</f>
        <v>0</v>
      </c>
      <c r="Y143" s="451">
        <f t="shared" ref="Y143" si="577">Y141*X143</f>
        <v>0</v>
      </c>
      <c r="Z143" s="339">
        <f>_xlfn.IFNA(_xlfn.IFNA(VLOOKUP(CONCATENATE(pStartYear+8,$D140),tbSuperannuation,4,FALSE),VLOOKUP($D140,tbSuperannuation2026onwards,2,FALSE)),0)</f>
        <v>0</v>
      </c>
      <c r="AA143" s="443">
        <f>AA141*Z143</f>
        <v>0</v>
      </c>
      <c r="AB143" s="340">
        <f>_xlfn.IFNA(_xlfn.IFNA(VLOOKUP(CONCATENATE(pStartYear+9,$D140),tbSuperannuation,4,FALSE),VLOOKUP($D140,tbSuperannuation2026onwards,2,FALSE)),0)</f>
        <v>0</v>
      </c>
      <c r="AC143" s="451">
        <f t="shared" ref="AC143" si="578">AC141*AB143</f>
        <v>0</v>
      </c>
      <c r="AD143" s="335"/>
      <c r="AE143" s="1152"/>
      <c r="AF143" s="1152"/>
      <c r="AG143" s="1152"/>
      <c r="AH143" s="1152"/>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row>
    <row r="144" spans="1:56" x14ac:dyDescent="0.3">
      <c r="A144" s="1182"/>
      <c r="B144" s="1379"/>
      <c r="C144" s="1379"/>
      <c r="D144" s="1379"/>
      <c r="E144" s="1379"/>
      <c r="F144" s="1379"/>
      <c r="G144" s="1379"/>
      <c r="H144" s="1380"/>
      <c r="I144" s="341" t="s">
        <v>315</v>
      </c>
      <c r="J144" s="342"/>
      <c r="K144" s="444">
        <f>K142+K143+K141</f>
        <v>0</v>
      </c>
      <c r="L144" s="342"/>
      <c r="M144" s="444">
        <f t="shared" ref="M144" si="579">M142+M143+M141</f>
        <v>0</v>
      </c>
      <c r="N144" s="342"/>
      <c r="O144" s="444">
        <f>O142+O143+O141</f>
        <v>0</v>
      </c>
      <c r="P144" s="342"/>
      <c r="Q144" s="444">
        <f t="shared" ref="Q144" si="580">Q142+Q143+Q141</f>
        <v>0</v>
      </c>
      <c r="R144" s="342"/>
      <c r="S144" s="444">
        <f>S142+S143+S141</f>
        <v>0</v>
      </c>
      <c r="T144" s="342"/>
      <c r="U144" s="444">
        <f t="shared" ref="U144" si="581">U142+U143+U141</f>
        <v>0</v>
      </c>
      <c r="V144" s="342"/>
      <c r="W144" s="444">
        <f>W142+W143+W141</f>
        <v>0</v>
      </c>
      <c r="X144" s="342"/>
      <c r="Y144" s="444">
        <f t="shared" ref="Y144" si="582">Y142+Y143+Y141</f>
        <v>0</v>
      </c>
      <c r="Z144" s="342"/>
      <c r="AA144" s="444">
        <f>AA142+AA143+AA141</f>
        <v>0</v>
      </c>
      <c r="AB144" s="342"/>
      <c r="AC144" s="444">
        <f t="shared" ref="AC144" si="583">AC142+AC143+AC141</f>
        <v>0</v>
      </c>
      <c r="AD144" s="335">
        <f t="shared" si="413"/>
        <v>0</v>
      </c>
      <c r="AE144" s="1152"/>
      <c r="AF144" s="1152"/>
      <c r="AG144" s="1152"/>
      <c r="AH144" s="115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row>
    <row r="145" spans="1:56" x14ac:dyDescent="0.3">
      <c r="A145" s="1182"/>
      <c r="B145" s="1379"/>
      <c r="C145" s="1379"/>
      <c r="D145" s="1379"/>
      <c r="E145" s="1379"/>
      <c r="F145" s="1379"/>
      <c r="G145" s="1379"/>
      <c r="H145" s="1380"/>
      <c r="I145" s="336" t="s">
        <v>316</v>
      </c>
      <c r="J145" s="339">
        <f>_xlfn.IFNA(_xlfn.IFNA(VLOOKUP(pStartYear,tbPayrollTax,2,FALSE),vl_MaxPayrollTax),0)</f>
        <v>5.8500000000000003E-2</v>
      </c>
      <c r="K145" s="443">
        <f>J145*K144</f>
        <v>0</v>
      </c>
      <c r="L145" s="340">
        <f>_xlfn.IFNA(_xlfn.IFNA(VLOOKUP(pStartYear+1,tbPayrollTax,2,FALSE),vl_MaxPayrollTax),0)</f>
        <v>5.8500000000000003E-2</v>
      </c>
      <c r="M145" s="451">
        <f t="shared" ref="M145" si="584">L145*M144</f>
        <v>0</v>
      </c>
      <c r="N145" s="339">
        <f>_xlfn.IFNA(_xlfn.IFNA(VLOOKUP(pStartYear+2,tbPayrollTax,2,FALSE),vl_MaxPayrollTax),0)</f>
        <v>5.8500000000000003E-2</v>
      </c>
      <c r="O145" s="443">
        <f>N145*O144</f>
        <v>0</v>
      </c>
      <c r="P145" s="340">
        <f>_xlfn.IFNA(_xlfn.IFNA(VLOOKUP(pStartYear+3,tbPayrollTax,2,FALSE),vl_MaxPayrollTax),0)</f>
        <v>5.8500000000000003E-2</v>
      </c>
      <c r="Q145" s="451">
        <f t="shared" ref="Q145" si="585">P145*Q144</f>
        <v>0</v>
      </c>
      <c r="R145" s="339">
        <f>_xlfn.IFNA(_xlfn.IFNA(VLOOKUP(pStartYear+4,tbPayrollTax,2,FALSE),vl_MaxPayrollTax),0)</f>
        <v>5.8500000000000003E-2</v>
      </c>
      <c r="S145" s="443">
        <f>R145*S144</f>
        <v>0</v>
      </c>
      <c r="T145" s="340">
        <f>_xlfn.IFNA(_xlfn.IFNA(VLOOKUP(pStartYear+5,tbPayrollTax,2,FALSE),vl_MaxPayrollTax),0)</f>
        <v>5.8500000000000003E-2</v>
      </c>
      <c r="U145" s="451">
        <f t="shared" ref="U145" si="586">T145*U144</f>
        <v>0</v>
      </c>
      <c r="V145" s="339">
        <f>_xlfn.IFNA(_xlfn.IFNA(VLOOKUP(pStartYear+6,tbPayrollTax,2,FALSE),vl_MaxPayrollTax),0)</f>
        <v>5.8500000000000003E-2</v>
      </c>
      <c r="W145" s="443">
        <f>V145*W144</f>
        <v>0</v>
      </c>
      <c r="X145" s="340">
        <f>_xlfn.IFNA(_xlfn.IFNA(VLOOKUP(pStartYear+7,tbPayrollTax,2,FALSE),vl_MaxPayrollTax),0)</f>
        <v>5.8500000000000003E-2</v>
      </c>
      <c r="Y145" s="451">
        <f t="shared" ref="Y145" si="587">X145*Y144</f>
        <v>0</v>
      </c>
      <c r="Z145" s="339">
        <f>_xlfn.IFNA(_xlfn.IFNA(VLOOKUP(pStartYear+8,tbPayrollTax,2,FALSE),vl_MaxPayrollTax),0)</f>
        <v>5.8500000000000003E-2</v>
      </c>
      <c r="AA145" s="443">
        <f>Z145*AA144</f>
        <v>0</v>
      </c>
      <c r="AB145" s="340">
        <f>_xlfn.IFNA(_xlfn.IFNA(VLOOKUP(pStartYear+9,tbPayrollTax,2,FALSE),vl_MaxPayrollTax),0)</f>
        <v>5.8500000000000003E-2</v>
      </c>
      <c r="AC145" s="451">
        <f t="shared" ref="AC145" si="588">AB145*AC144</f>
        <v>0</v>
      </c>
      <c r="AD145" s="335"/>
      <c r="AE145" s="1152"/>
      <c r="AF145" s="1152"/>
      <c r="AG145" s="1152"/>
      <c r="AH145" s="115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row>
    <row r="146" spans="1:56" x14ac:dyDescent="0.3">
      <c r="A146" s="1182"/>
      <c r="B146" s="1379"/>
      <c r="C146" s="1379"/>
      <c r="D146" s="1379"/>
      <c r="E146" s="1379"/>
      <c r="F146" s="1379"/>
      <c r="G146" s="1379"/>
      <c r="H146" s="1380"/>
      <c r="I146" s="336" t="s">
        <v>317</v>
      </c>
      <c r="J146" s="339">
        <f>_xlfn.IFNA(VLOOKUP($D140,tbWorkCover,2,FALSE),0)</f>
        <v>0</v>
      </c>
      <c r="K146" s="443">
        <f>J146*K144</f>
        <v>0</v>
      </c>
      <c r="L146" s="340">
        <f>_xlfn.IFNA(VLOOKUP($D140,tbWorkCover,2,FALSE),0)</f>
        <v>0</v>
      </c>
      <c r="M146" s="451">
        <f t="shared" ref="M146" si="589">L146*M144</f>
        <v>0</v>
      </c>
      <c r="N146" s="339">
        <f>_xlfn.IFNA(VLOOKUP($D140,tbWorkCover,2,FALSE),0)</f>
        <v>0</v>
      </c>
      <c r="O146" s="443">
        <f>N146*O144</f>
        <v>0</v>
      </c>
      <c r="P146" s="340">
        <f>_xlfn.IFNA(VLOOKUP($D140,tbWorkCover,2,FALSE),0)</f>
        <v>0</v>
      </c>
      <c r="Q146" s="451">
        <f t="shared" ref="Q146" si="590">P146*Q144</f>
        <v>0</v>
      </c>
      <c r="R146" s="339">
        <f>_xlfn.IFNA(VLOOKUP($D140,tbWorkCover,2,FALSE),0)</f>
        <v>0</v>
      </c>
      <c r="S146" s="443">
        <f>R146*S144</f>
        <v>0</v>
      </c>
      <c r="T146" s="340">
        <f>_xlfn.IFNA(VLOOKUP($D140,tbWorkCover,2,FALSE),0)</f>
        <v>0</v>
      </c>
      <c r="U146" s="451">
        <f t="shared" ref="U146" si="591">T146*U144</f>
        <v>0</v>
      </c>
      <c r="V146" s="339">
        <f>_xlfn.IFNA(VLOOKUP($D140,tbWorkCover,2,FALSE),0)</f>
        <v>0</v>
      </c>
      <c r="W146" s="443">
        <f>V146*W144</f>
        <v>0</v>
      </c>
      <c r="X146" s="340">
        <f>_xlfn.IFNA(VLOOKUP($D140,tbWorkCover,2,FALSE),0)</f>
        <v>0</v>
      </c>
      <c r="Y146" s="451">
        <f t="shared" ref="Y146" si="592">X146*Y144</f>
        <v>0</v>
      </c>
      <c r="Z146" s="339">
        <f>_xlfn.IFNA(VLOOKUP($D140,tbWorkCover,2,FALSE),0)</f>
        <v>0</v>
      </c>
      <c r="AA146" s="443">
        <f>Z146*AA144</f>
        <v>0</v>
      </c>
      <c r="AB146" s="340">
        <f>_xlfn.IFNA(VLOOKUP($D140,tbWorkCover,2,FALSE),0)</f>
        <v>0</v>
      </c>
      <c r="AC146" s="451">
        <f t="shared" ref="AC146" si="593">AB146*AC144</f>
        <v>0</v>
      </c>
      <c r="AD146" s="335"/>
      <c r="AE146" s="1152"/>
      <c r="AF146" s="1152"/>
      <c r="AG146" s="1152"/>
      <c r="AH146" s="1152"/>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row>
    <row r="147" spans="1:56" x14ac:dyDescent="0.3">
      <c r="A147" s="1182"/>
      <c r="B147" s="1379"/>
      <c r="C147" s="1379"/>
      <c r="D147" s="1379"/>
      <c r="E147" s="1379"/>
      <c r="F147" s="1379"/>
      <c r="G147" s="1379"/>
      <c r="H147" s="1380"/>
      <c r="I147" s="336" t="s">
        <v>318</v>
      </c>
      <c r="J147" s="339">
        <f>_xlfn.IFNA(VLOOKUP($D140,tbLongServiceLeave,2,FALSE),0)</f>
        <v>0</v>
      </c>
      <c r="K147" s="443">
        <f>J147*K141</f>
        <v>0</v>
      </c>
      <c r="L147" s="340">
        <f>_xlfn.IFNA(VLOOKUP($D140,tbLongServiceLeave,2,FALSE),0)</f>
        <v>0</v>
      </c>
      <c r="M147" s="451">
        <f t="shared" ref="M147" si="594">L147*M141</f>
        <v>0</v>
      </c>
      <c r="N147" s="339">
        <f>_xlfn.IFNA(VLOOKUP($D140,tbLongServiceLeave,2,FALSE),0)</f>
        <v>0</v>
      </c>
      <c r="O147" s="443">
        <f>N147*O141</f>
        <v>0</v>
      </c>
      <c r="P147" s="340">
        <f>_xlfn.IFNA(VLOOKUP($D140,tbLongServiceLeave,2,FALSE),0)</f>
        <v>0</v>
      </c>
      <c r="Q147" s="451">
        <f t="shared" ref="Q147" si="595">P147*Q141</f>
        <v>0</v>
      </c>
      <c r="R147" s="339">
        <f>_xlfn.IFNA(VLOOKUP($D140,tbLongServiceLeave,2,FALSE),0)</f>
        <v>0</v>
      </c>
      <c r="S147" s="443">
        <f>R147*S141</f>
        <v>0</v>
      </c>
      <c r="T147" s="340">
        <f>_xlfn.IFNA(VLOOKUP($D140,tbLongServiceLeave,2,FALSE),0)</f>
        <v>0</v>
      </c>
      <c r="U147" s="451">
        <f t="shared" ref="U147" si="596">T147*U141</f>
        <v>0</v>
      </c>
      <c r="V147" s="339">
        <f>_xlfn.IFNA(VLOOKUP($D140,tbLongServiceLeave,2,FALSE),0)</f>
        <v>0</v>
      </c>
      <c r="W147" s="443">
        <f>V147*W141</f>
        <v>0</v>
      </c>
      <c r="X147" s="340">
        <f>_xlfn.IFNA(VLOOKUP($D140,tbLongServiceLeave,2,FALSE),0)</f>
        <v>0</v>
      </c>
      <c r="Y147" s="451">
        <f t="shared" ref="Y147" si="597">X147*Y141</f>
        <v>0</v>
      </c>
      <c r="Z147" s="339">
        <f>_xlfn.IFNA(VLOOKUP($D140,tbLongServiceLeave,2,FALSE),0)</f>
        <v>0</v>
      </c>
      <c r="AA147" s="443">
        <f>Z147*AA141</f>
        <v>0</v>
      </c>
      <c r="AB147" s="340">
        <f>_xlfn.IFNA(VLOOKUP($D140,tbLongServiceLeave,2,FALSE),0)</f>
        <v>0</v>
      </c>
      <c r="AC147" s="451">
        <f t="shared" ref="AC147" si="598">AB147*AC141</f>
        <v>0</v>
      </c>
      <c r="AD147" s="335"/>
      <c r="AE147" s="1152"/>
      <c r="AF147" s="1152"/>
      <c r="AG147" s="1152"/>
      <c r="AH147" s="1152"/>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row>
    <row r="148" spans="1:56" x14ac:dyDescent="0.3">
      <c r="A148" s="1182"/>
      <c r="B148" s="1379"/>
      <c r="C148" s="1379"/>
      <c r="D148" s="1379"/>
      <c r="E148" s="1379"/>
      <c r="F148" s="1379"/>
      <c r="G148" s="1379"/>
      <c r="H148" s="1380"/>
      <c r="I148" s="336" t="s">
        <v>319</v>
      </c>
      <c r="J148" s="339">
        <f>_xlfn.IFNA(VLOOKUP($D140,tbParentalLeave,2,FALSE),0)</f>
        <v>0</v>
      </c>
      <c r="K148" s="443">
        <f>J148*K141</f>
        <v>0</v>
      </c>
      <c r="L148" s="340">
        <f>_xlfn.IFNA(VLOOKUP($D140,tbParentalLeave,2,FALSE),0)</f>
        <v>0</v>
      </c>
      <c r="M148" s="451">
        <f t="shared" ref="M148" si="599">L148*M141</f>
        <v>0</v>
      </c>
      <c r="N148" s="339">
        <f>_xlfn.IFNA(VLOOKUP($D140,tbParentalLeave,2,FALSE),0)</f>
        <v>0</v>
      </c>
      <c r="O148" s="443">
        <f>N148*O141</f>
        <v>0</v>
      </c>
      <c r="P148" s="340">
        <f>_xlfn.IFNA(VLOOKUP($D140,tbParentalLeave,2,FALSE),0)</f>
        <v>0</v>
      </c>
      <c r="Q148" s="451">
        <f t="shared" ref="Q148" si="600">P148*Q141</f>
        <v>0</v>
      </c>
      <c r="R148" s="339">
        <f>_xlfn.IFNA(VLOOKUP($D140,tbParentalLeave,2,FALSE),0)</f>
        <v>0</v>
      </c>
      <c r="S148" s="443">
        <f>R148*S141</f>
        <v>0</v>
      </c>
      <c r="T148" s="340">
        <f>_xlfn.IFNA(VLOOKUP($D140,tbParentalLeave,2,FALSE),0)</f>
        <v>0</v>
      </c>
      <c r="U148" s="451">
        <f t="shared" ref="U148" si="601">T148*U141</f>
        <v>0</v>
      </c>
      <c r="V148" s="339">
        <f>_xlfn.IFNA(VLOOKUP($D140,tbParentalLeave,2,FALSE),0)</f>
        <v>0</v>
      </c>
      <c r="W148" s="443">
        <f>V148*W141</f>
        <v>0</v>
      </c>
      <c r="X148" s="340">
        <f>_xlfn.IFNA(VLOOKUP($D140,tbParentalLeave,2,FALSE),0)</f>
        <v>0</v>
      </c>
      <c r="Y148" s="451">
        <f t="shared" ref="Y148" si="602">X148*Y141</f>
        <v>0</v>
      </c>
      <c r="Z148" s="339">
        <f>_xlfn.IFNA(VLOOKUP($D140,tbParentalLeave,2,FALSE),0)</f>
        <v>0</v>
      </c>
      <c r="AA148" s="443">
        <f>Z148*AA141</f>
        <v>0</v>
      </c>
      <c r="AB148" s="340">
        <f>_xlfn.IFNA(VLOOKUP($D140,tbParentalLeave,2,FALSE),0)</f>
        <v>0</v>
      </c>
      <c r="AC148" s="451">
        <f t="shared" ref="AC148" si="603">AB148*AC141</f>
        <v>0</v>
      </c>
      <c r="AD148" s="335"/>
      <c r="AE148" s="1152"/>
      <c r="AF148" s="1152"/>
      <c r="AG148" s="1152"/>
      <c r="AH148" s="1152"/>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row>
    <row r="149" spans="1:56" x14ac:dyDescent="0.3">
      <c r="A149" s="1182"/>
      <c r="B149" s="1379"/>
      <c r="C149" s="1379"/>
      <c r="D149" s="1379"/>
      <c r="E149" s="1379"/>
      <c r="F149" s="1379"/>
      <c r="G149" s="1379"/>
      <c r="H149" s="1380"/>
      <c r="I149" s="437" t="s">
        <v>320</v>
      </c>
      <c r="J149" s="438">
        <f>vl_overridden_uom_oncosts_per</f>
        <v>0</v>
      </c>
      <c r="K149" s="445">
        <f>J149*K141</f>
        <v>0</v>
      </c>
      <c r="L149" s="438">
        <f>vl_overridden_uom_oncosts_per</f>
        <v>0</v>
      </c>
      <c r="M149" s="445">
        <f>L149*M141</f>
        <v>0</v>
      </c>
      <c r="N149" s="438">
        <f>vl_overridden_uom_oncosts_per</f>
        <v>0</v>
      </c>
      <c r="O149" s="445">
        <f t="shared" ref="O149" si="604">N149*O141</f>
        <v>0</v>
      </c>
      <c r="P149" s="438">
        <f>vl_overridden_uom_oncosts_per</f>
        <v>0</v>
      </c>
      <c r="Q149" s="445">
        <f t="shared" ref="Q149" si="605">P149*Q141</f>
        <v>0</v>
      </c>
      <c r="R149" s="438">
        <f>vl_overridden_uom_oncosts_per</f>
        <v>0</v>
      </c>
      <c r="S149" s="445">
        <f t="shared" ref="S149" si="606">R149*S141</f>
        <v>0</v>
      </c>
      <c r="T149" s="438">
        <f>vl_overridden_uom_oncosts_per</f>
        <v>0</v>
      </c>
      <c r="U149" s="445">
        <f t="shared" ref="U149" si="607">T149*U141</f>
        <v>0</v>
      </c>
      <c r="V149" s="438">
        <f>vl_overridden_uom_oncosts_per</f>
        <v>0</v>
      </c>
      <c r="W149" s="445">
        <f t="shared" ref="W149" si="608">V149*W141</f>
        <v>0</v>
      </c>
      <c r="X149" s="438">
        <f>vl_overridden_uom_oncosts_per</f>
        <v>0</v>
      </c>
      <c r="Y149" s="445">
        <f t="shared" ref="Y149" si="609">X149*Y141</f>
        <v>0</v>
      </c>
      <c r="Z149" s="438">
        <f>vl_overridden_uom_oncosts_per</f>
        <v>0</v>
      </c>
      <c r="AA149" s="445">
        <f t="shared" ref="AA149" si="610">Z149*AA141</f>
        <v>0</v>
      </c>
      <c r="AB149" s="438">
        <f>vl_overridden_uom_oncosts_per</f>
        <v>0</v>
      </c>
      <c r="AC149" s="445">
        <f t="shared" ref="AC149" si="611">AB149*AC141</f>
        <v>0</v>
      </c>
      <c r="AD149" s="335"/>
      <c r="AE149" s="1152"/>
      <c r="AF149" s="1152"/>
      <c r="AG149" s="1152"/>
      <c r="AH149" s="1152"/>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row>
    <row r="150" spans="1:56" x14ac:dyDescent="0.3">
      <c r="A150" s="1182"/>
      <c r="B150" s="1379"/>
      <c r="C150" s="1379"/>
      <c r="D150" s="1379"/>
      <c r="E150" s="1379"/>
      <c r="F150" s="1379"/>
      <c r="G150" s="1379"/>
      <c r="H150" s="1380"/>
      <c r="I150" s="341" t="s">
        <v>321</v>
      </c>
      <c r="J150" s="342"/>
      <c r="K150" s="444">
        <f>SUM(K144:K149)</f>
        <v>0</v>
      </c>
      <c r="L150" s="342"/>
      <c r="M150" s="444">
        <f t="shared" ref="M150" si="612">SUM(M144:M149)</f>
        <v>0</v>
      </c>
      <c r="N150" s="342"/>
      <c r="O150" s="444">
        <f t="shared" ref="O150" si="613">SUM(O144:O149)</f>
        <v>0</v>
      </c>
      <c r="P150" s="342"/>
      <c r="Q150" s="444">
        <f t="shared" ref="Q150" si="614">SUM(Q144:Q149)</f>
        <v>0</v>
      </c>
      <c r="R150" s="342"/>
      <c r="S150" s="444">
        <f t="shared" ref="S150" si="615">SUM(S144:S149)</f>
        <v>0</v>
      </c>
      <c r="T150" s="342"/>
      <c r="U150" s="444">
        <f t="shared" ref="U150" si="616">SUM(U144:U149)</f>
        <v>0</v>
      </c>
      <c r="V150" s="342"/>
      <c r="W150" s="444">
        <f t="shared" ref="W150" si="617">SUM(W144:W149)</f>
        <v>0</v>
      </c>
      <c r="X150" s="342"/>
      <c r="Y150" s="444">
        <f t="shared" ref="Y150" si="618">SUM(Y144:Y149)</f>
        <v>0</v>
      </c>
      <c r="Z150" s="342"/>
      <c r="AA150" s="444">
        <f t="shared" ref="AA150" si="619">SUM(AA144:AA149)</f>
        <v>0</v>
      </c>
      <c r="AB150" s="342"/>
      <c r="AC150" s="444">
        <f t="shared" ref="AC150" si="620">SUM(AC144:AC149)</f>
        <v>0</v>
      </c>
      <c r="AD150" s="335">
        <f t="shared" si="413"/>
        <v>0</v>
      </c>
      <c r="AE150" s="1152"/>
      <c r="AF150" s="1152"/>
      <c r="AG150" s="1152"/>
      <c r="AH150" s="1152"/>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row>
    <row r="151" spans="1:56" x14ac:dyDescent="0.3">
      <c r="A151" s="1182"/>
      <c r="B151" s="1379"/>
      <c r="C151" s="1379"/>
      <c r="D151" s="1379"/>
      <c r="E151" s="1379"/>
      <c r="F151" s="1379"/>
      <c r="G151" s="1379"/>
      <c r="H151" s="1380"/>
      <c r="I151" s="336" t="s">
        <v>322</v>
      </c>
      <c r="J151" s="339">
        <f>_xlfn.IFNA(VLOOKUP($D140,tbAnnualLeaveProvision,2,FALSE),0)</f>
        <v>0</v>
      </c>
      <c r="K151" s="443">
        <f>J151*K141</f>
        <v>0</v>
      </c>
      <c r="L151" s="340">
        <f>_xlfn.IFNA(VLOOKUP($D140,tbAnnualLeaveProvision,2,FALSE),0)</f>
        <v>0</v>
      </c>
      <c r="M151" s="451">
        <f t="shared" ref="M151" si="621">L151*M141</f>
        <v>0</v>
      </c>
      <c r="N151" s="339">
        <f>_xlfn.IFNA(VLOOKUP($D140,tbAnnualLeaveProvision,2,FALSE),0)</f>
        <v>0</v>
      </c>
      <c r="O151" s="443">
        <f>N151*O141</f>
        <v>0</v>
      </c>
      <c r="P151" s="340">
        <f>_xlfn.IFNA(VLOOKUP($D140,tbAnnualLeaveProvision,2,FALSE),0)</f>
        <v>0</v>
      </c>
      <c r="Q151" s="451">
        <f t="shared" ref="Q151" si="622">P151*Q141</f>
        <v>0</v>
      </c>
      <c r="R151" s="339">
        <f>_xlfn.IFNA(VLOOKUP($D140,tbAnnualLeaveProvision,2,FALSE),0)</f>
        <v>0</v>
      </c>
      <c r="S151" s="443">
        <f>R151*S141</f>
        <v>0</v>
      </c>
      <c r="T151" s="340">
        <f>_xlfn.IFNA(VLOOKUP($D140,tbAnnualLeaveProvision,2,FALSE),0)</f>
        <v>0</v>
      </c>
      <c r="U151" s="451">
        <f t="shared" ref="U151" si="623">T151*U141</f>
        <v>0</v>
      </c>
      <c r="V151" s="339">
        <f>_xlfn.IFNA(VLOOKUP($D140,tbAnnualLeaveProvision,2,FALSE),0)</f>
        <v>0</v>
      </c>
      <c r="W151" s="443">
        <f>V151*W141</f>
        <v>0</v>
      </c>
      <c r="X151" s="340">
        <f>_xlfn.IFNA(VLOOKUP($D140,tbAnnualLeaveProvision,2,FALSE),0)</f>
        <v>0</v>
      </c>
      <c r="Y151" s="451">
        <f t="shared" ref="Y151" si="624">X151*Y141</f>
        <v>0</v>
      </c>
      <c r="Z151" s="339">
        <f>_xlfn.IFNA(VLOOKUP($D140,tbAnnualLeaveProvision,2,FALSE),0)</f>
        <v>0</v>
      </c>
      <c r="AA151" s="443">
        <f>Z151*AA141</f>
        <v>0</v>
      </c>
      <c r="AB151" s="340">
        <f>_xlfn.IFNA(VLOOKUP($D140,tbAnnualLeaveProvision,2,FALSE),0)</f>
        <v>0</v>
      </c>
      <c r="AC151" s="451">
        <f t="shared" ref="AC151" si="625">AB151*AC141</f>
        <v>0</v>
      </c>
      <c r="AD151" s="335"/>
      <c r="AE151" s="1152"/>
      <c r="AF151" s="1152"/>
      <c r="AG151" s="1152"/>
      <c r="AH151" s="1152"/>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row>
    <row r="152" spans="1:56" x14ac:dyDescent="0.3">
      <c r="A152" s="1182"/>
      <c r="B152" s="1379"/>
      <c r="C152" s="1379"/>
      <c r="D152" s="1379"/>
      <c r="E152" s="1379"/>
      <c r="F152" s="1379"/>
      <c r="G152" s="1379"/>
      <c r="H152" s="1380"/>
      <c r="I152" s="336" t="s">
        <v>330</v>
      </c>
      <c r="J152" s="339"/>
      <c r="K152" s="446">
        <f>K150+K151</f>
        <v>0</v>
      </c>
      <c r="L152" s="340"/>
      <c r="M152" s="452">
        <f t="shared" ref="M152" si="626">M150+M151</f>
        <v>0</v>
      </c>
      <c r="N152" s="339"/>
      <c r="O152" s="446">
        <f>O150+O151</f>
        <v>0</v>
      </c>
      <c r="P152" s="340"/>
      <c r="Q152" s="452">
        <f t="shared" ref="Q152" si="627">Q150+Q151</f>
        <v>0</v>
      </c>
      <c r="R152" s="339"/>
      <c r="S152" s="446">
        <f>S150+S151</f>
        <v>0</v>
      </c>
      <c r="T152" s="340"/>
      <c r="U152" s="452">
        <f t="shared" ref="U152" si="628">U150+U151</f>
        <v>0</v>
      </c>
      <c r="V152" s="339"/>
      <c r="W152" s="446">
        <f>W150+W151</f>
        <v>0</v>
      </c>
      <c r="X152" s="340"/>
      <c r="Y152" s="452">
        <f t="shared" ref="Y152" si="629">Y150+Y151</f>
        <v>0</v>
      </c>
      <c r="Z152" s="339"/>
      <c r="AA152" s="446">
        <f>AA150+AA151</f>
        <v>0</v>
      </c>
      <c r="AB152" s="340"/>
      <c r="AC152" s="452">
        <f t="shared" ref="AC152" si="630">AC150+AC151</f>
        <v>0</v>
      </c>
      <c r="AD152" s="335"/>
      <c r="AE152" s="1152"/>
      <c r="AF152" s="1152"/>
      <c r="AG152" s="1152"/>
      <c r="AH152" s="1152"/>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row>
    <row r="153" spans="1:56" x14ac:dyDescent="0.3">
      <c r="A153" s="1182"/>
      <c r="B153" s="1379"/>
      <c r="C153" s="1379"/>
      <c r="D153" s="1379"/>
      <c r="E153" s="1379"/>
      <c r="F153" s="1379"/>
      <c r="G153" s="1379"/>
      <c r="H153" s="1380"/>
      <c r="I153" s="343" t="s">
        <v>324</v>
      </c>
      <c r="J153" s="344"/>
      <c r="K153" s="443">
        <f>IFERROR(-(K150/vl_working_days_per_year)*J153,0)</f>
        <v>0</v>
      </c>
      <c r="L153" s="345"/>
      <c r="M153" s="451">
        <f>IFERROR(-(M150/vl_working_days_per_year)*L153,0)</f>
        <v>0</v>
      </c>
      <c r="N153" s="344"/>
      <c r="O153" s="443">
        <f>-(O150/vl_working_days_per_year)*N153</f>
        <v>0</v>
      </c>
      <c r="P153" s="345"/>
      <c r="Q153" s="451">
        <f>-(Q150/vl_working_days_per_year)*P153</f>
        <v>0</v>
      </c>
      <c r="R153" s="344"/>
      <c r="S153" s="443">
        <f>-(S150/vl_working_days_per_year)*R153</f>
        <v>0</v>
      </c>
      <c r="T153" s="345"/>
      <c r="U153" s="451">
        <f>-(U150/vl_working_days_per_year)*T153</f>
        <v>0</v>
      </c>
      <c r="V153" s="344"/>
      <c r="W153" s="443">
        <f>-(W150/vl_working_days_per_year)*V153</f>
        <v>0</v>
      </c>
      <c r="X153" s="345"/>
      <c r="Y153" s="451">
        <f>-(Y150/vl_working_days_per_year)*X153</f>
        <v>0</v>
      </c>
      <c r="Z153" s="344"/>
      <c r="AA153" s="443">
        <f>-(AA150/vl_working_days_per_year)*Z153</f>
        <v>0</v>
      </c>
      <c r="AB153" s="345"/>
      <c r="AC153" s="451">
        <f>-(AC150/vl_working_days_per_year)*AB153</f>
        <v>0</v>
      </c>
      <c r="AD153" s="335">
        <f t="shared" si="413"/>
        <v>0</v>
      </c>
      <c r="AE153" s="1152"/>
      <c r="AF153" s="1152"/>
      <c r="AG153" s="1152"/>
      <c r="AH153" s="1152"/>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row>
    <row r="154" spans="1:56" x14ac:dyDescent="0.3">
      <c r="A154" s="1182"/>
      <c r="B154" s="1379"/>
      <c r="C154" s="1379"/>
      <c r="D154" s="1379"/>
      <c r="E154" s="1379"/>
      <c r="F154" s="1379"/>
      <c r="G154" s="1379"/>
      <c r="H154" s="1380"/>
      <c r="I154" s="341" t="s">
        <v>325</v>
      </c>
      <c r="J154" s="346"/>
      <c r="K154" s="444">
        <f>K152+K153</f>
        <v>0</v>
      </c>
      <c r="L154" s="346"/>
      <c r="M154" s="444">
        <f t="shared" ref="M154" si="631">M152+M153</f>
        <v>0</v>
      </c>
      <c r="N154" s="346"/>
      <c r="O154" s="444">
        <f>O152+O153</f>
        <v>0</v>
      </c>
      <c r="P154" s="346"/>
      <c r="Q154" s="444">
        <f t="shared" ref="Q154" si="632">Q152+Q153</f>
        <v>0</v>
      </c>
      <c r="R154" s="346"/>
      <c r="S154" s="444">
        <f>S152+S153</f>
        <v>0</v>
      </c>
      <c r="T154" s="346"/>
      <c r="U154" s="444">
        <f t="shared" ref="U154" si="633">U152+U153</f>
        <v>0</v>
      </c>
      <c r="V154" s="346"/>
      <c r="W154" s="444">
        <f>W152+W153</f>
        <v>0</v>
      </c>
      <c r="X154" s="346"/>
      <c r="Y154" s="444">
        <f t="shared" ref="Y154" si="634">Y152+Y153</f>
        <v>0</v>
      </c>
      <c r="Z154" s="346"/>
      <c r="AA154" s="444">
        <f>AA152+AA153</f>
        <v>0</v>
      </c>
      <c r="AB154" s="346"/>
      <c r="AC154" s="444">
        <f t="shared" ref="AC154" si="635">AC152+AC153</f>
        <v>0</v>
      </c>
      <c r="AD154" s="335">
        <f t="shared" si="413"/>
        <v>0</v>
      </c>
      <c r="AE154" s="1152"/>
      <c r="AF154" s="1152"/>
      <c r="AG154" s="1152"/>
      <c r="AH154" s="1152"/>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row>
    <row r="155" spans="1:56" s="1" customFormat="1" ht="15" customHeight="1" x14ac:dyDescent="0.3">
      <c r="A155" s="727"/>
      <c r="B155" s="1379"/>
      <c r="C155" s="1379"/>
      <c r="D155" s="1379"/>
      <c r="E155" s="1379"/>
      <c r="F155" s="1379"/>
      <c r="G155" s="1379"/>
      <c r="H155" s="1380"/>
      <c r="I155" s="382" t="s">
        <v>326</v>
      </c>
      <c r="J155" s="383">
        <f>IFERROR(K155/K141,0)</f>
        <v>0</v>
      </c>
      <c r="K155" s="447">
        <f>SUM(K142:K143,K145:K148,K151)</f>
        <v>0</v>
      </c>
      <c r="L155" s="434">
        <f>IFERROR(M155/M141,0)</f>
        <v>0</v>
      </c>
      <c r="M155" s="453">
        <f t="shared" ref="M155" si="636">SUM(M142:M143,M145:M148,M151)</f>
        <v>0</v>
      </c>
      <c r="N155" s="383">
        <f t="shared" ref="N155" si="637">IFERROR(O155/O141,0)</f>
        <v>0</v>
      </c>
      <c r="O155" s="447">
        <f t="shared" ref="O155" si="638">SUM(O142:O143,O145:O148,O151)</f>
        <v>0</v>
      </c>
      <c r="P155" s="434">
        <f t="shared" ref="P155" si="639">IFERROR(Q155/Q141,0)</f>
        <v>0</v>
      </c>
      <c r="Q155" s="453">
        <f t="shared" ref="Q155" si="640">SUM(Q142:Q143,Q145:Q148,Q151)</f>
        <v>0</v>
      </c>
      <c r="R155" s="383">
        <f t="shared" ref="R155" si="641">IFERROR(S155/S141,0)</f>
        <v>0</v>
      </c>
      <c r="S155" s="447">
        <f t="shared" ref="S155" si="642">SUM(S142:S143,S145:S148,S151)</f>
        <v>0</v>
      </c>
      <c r="T155" s="434">
        <f t="shared" ref="T155" si="643">IFERROR(U155/U141,0)</f>
        <v>0</v>
      </c>
      <c r="U155" s="453">
        <f t="shared" ref="U155" si="644">SUM(U142:U143,U145:U148,U151)</f>
        <v>0</v>
      </c>
      <c r="V155" s="383">
        <f t="shared" ref="V155" si="645">IFERROR(W155/W141,0)</f>
        <v>0</v>
      </c>
      <c r="W155" s="447">
        <f t="shared" ref="W155" si="646">SUM(W142:W143,W145:W148,W151)</f>
        <v>0</v>
      </c>
      <c r="X155" s="434">
        <f t="shared" ref="X155" si="647">IFERROR(Y155/Y141,0)</f>
        <v>0</v>
      </c>
      <c r="Y155" s="453">
        <f t="shared" ref="Y155" si="648">SUM(Y142:Y143,Y145:Y148,Y151)</f>
        <v>0</v>
      </c>
      <c r="Z155" s="383">
        <f t="shared" ref="Z155" si="649">IFERROR(AA155/AA141,0)</f>
        <v>0</v>
      </c>
      <c r="AA155" s="447">
        <f t="shared" ref="AA155" si="650">SUM(AA142:AA143,AA145:AA148,AA151)</f>
        <v>0</v>
      </c>
      <c r="AB155" s="434">
        <f t="shared" ref="AB155" si="651">IFERROR(AC155/AC141,0)</f>
        <v>0</v>
      </c>
      <c r="AC155" s="453">
        <f t="shared" ref="AC155" si="652">SUM(AC142:AC143,AC145:AC148,AC151)</f>
        <v>0</v>
      </c>
      <c r="AD155" s="377">
        <f t="shared" si="413"/>
        <v>0</v>
      </c>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row>
    <row r="156" spans="1:56" x14ac:dyDescent="0.3">
      <c r="A156" s="1182"/>
      <c r="B156" s="1379"/>
      <c r="C156" s="1379"/>
      <c r="D156" s="1379"/>
      <c r="E156" s="1379"/>
      <c r="F156" s="1379"/>
      <c r="G156" s="1379"/>
      <c r="H156" s="1380"/>
      <c r="I156" s="382" t="s">
        <v>327</v>
      </c>
      <c r="J156" s="384">
        <f>pCRSalaries</f>
        <v>2.5</v>
      </c>
      <c r="K156" s="447"/>
      <c r="L156" s="435">
        <f>pCRSalaries</f>
        <v>2.5</v>
      </c>
      <c r="M156" s="453"/>
      <c r="N156" s="384">
        <f>pCRSalaries</f>
        <v>2.5</v>
      </c>
      <c r="O156" s="447"/>
      <c r="P156" s="435">
        <f>pCRSalaries</f>
        <v>2.5</v>
      </c>
      <c r="Q156" s="453"/>
      <c r="R156" s="384">
        <f>pCRSalaries</f>
        <v>2.5</v>
      </c>
      <c r="S156" s="447"/>
      <c r="T156" s="435">
        <f>pCRSalaries</f>
        <v>2.5</v>
      </c>
      <c r="U156" s="453"/>
      <c r="V156" s="384">
        <f>pCRSalaries</f>
        <v>2.5</v>
      </c>
      <c r="W156" s="447"/>
      <c r="X156" s="435">
        <f>pCRSalaries</f>
        <v>2.5</v>
      </c>
      <c r="Y156" s="453"/>
      <c r="Z156" s="384">
        <f>pCRSalaries</f>
        <v>2.5</v>
      </c>
      <c r="AA156" s="447"/>
      <c r="AB156" s="435">
        <f>pCRSalaries</f>
        <v>2.5</v>
      </c>
      <c r="AC156" s="453"/>
      <c r="AD156" s="335"/>
      <c r="AE156" s="1152"/>
      <c r="AF156" s="1152"/>
      <c r="AG156" s="1152"/>
      <c r="AH156" s="1152"/>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row>
    <row r="157" spans="1:56" ht="16.2" thickBot="1" x14ac:dyDescent="0.35">
      <c r="A157" s="1182"/>
      <c r="B157" s="710"/>
      <c r="C157" s="347"/>
      <c r="D157" s="347"/>
      <c r="E157" s="347"/>
      <c r="F157" s="347"/>
      <c r="G157" s="347"/>
      <c r="H157" s="347"/>
      <c r="I157" s="436" t="s">
        <v>329</v>
      </c>
      <c r="J157" s="348"/>
      <c r="K157" s="448">
        <f>J156*K152</f>
        <v>0</v>
      </c>
      <c r="L157" s="348"/>
      <c r="M157" s="448">
        <f t="shared" ref="M157" si="653">L156*M152</f>
        <v>0</v>
      </c>
      <c r="N157" s="348"/>
      <c r="O157" s="448">
        <f>N156*O152</f>
        <v>0</v>
      </c>
      <c r="P157" s="348"/>
      <c r="Q157" s="448">
        <f t="shared" ref="Q157" si="654">P156*Q152</f>
        <v>0</v>
      </c>
      <c r="R157" s="348"/>
      <c r="S157" s="448">
        <f>R156*S152</f>
        <v>0</v>
      </c>
      <c r="T157" s="348"/>
      <c r="U157" s="448">
        <f t="shared" ref="U157" si="655">T156*U152</f>
        <v>0</v>
      </c>
      <c r="V157" s="348"/>
      <c r="W157" s="448">
        <f>V156*W152</f>
        <v>0</v>
      </c>
      <c r="X157" s="348"/>
      <c r="Y157" s="448">
        <f t="shared" ref="Y157" si="656">X156*Y152</f>
        <v>0</v>
      </c>
      <c r="Z157" s="348"/>
      <c r="AA157" s="448">
        <f>Z156*AA152</f>
        <v>0</v>
      </c>
      <c r="AB157" s="348"/>
      <c r="AC157" s="448">
        <f t="shared" ref="AC157" si="657">AB156*AC152</f>
        <v>0</v>
      </c>
      <c r="AD157" s="335">
        <f t="shared" si="413"/>
        <v>0</v>
      </c>
      <c r="AE157" s="1152"/>
      <c r="AF157" s="1152"/>
      <c r="AG157" s="1152"/>
      <c r="AH157" s="1152"/>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row>
    <row r="158" spans="1:56" ht="15" thickBot="1" x14ac:dyDescent="0.35">
      <c r="A158" s="1182"/>
      <c r="B158" s="1181"/>
      <c r="C158" s="1181"/>
      <c r="D158" s="1181"/>
      <c r="E158" s="1181"/>
      <c r="F158" s="1181"/>
      <c r="G158" s="1181"/>
      <c r="H158" s="1181"/>
      <c r="I158" s="350"/>
      <c r="J158" s="351"/>
      <c r="K158" s="351"/>
      <c r="L158" s="351"/>
      <c r="M158" s="352"/>
      <c r="N158" s="351"/>
      <c r="O158" s="352"/>
      <c r="P158" s="351"/>
      <c r="Q158" s="352"/>
      <c r="R158" s="351"/>
      <c r="S158" s="352"/>
      <c r="T158" s="351"/>
      <c r="U158" s="352"/>
      <c r="V158" s="351"/>
      <c r="W158" s="352"/>
      <c r="X158" s="351"/>
      <c r="Y158" s="352"/>
      <c r="Z158" s="351"/>
      <c r="AA158" s="352"/>
      <c r="AB158" s="351"/>
      <c r="AC158" s="352"/>
      <c r="AD158" s="353" t="str">
        <f>IF(tbBudgetCurrency="AUD - Australian Dollar","",IFERROR(K158+M158+O158+Q158+S158+U158+W158+Y158+AA158+AC158,0))</f>
        <v/>
      </c>
      <c r="AE158" s="1152"/>
      <c r="AF158" s="1152"/>
      <c r="AG158" s="1152"/>
      <c r="AH158" s="1152"/>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row>
    <row r="159" spans="1:56" x14ac:dyDescent="0.3">
      <c r="A159" s="1182"/>
      <c r="B159" s="356" t="str">
        <f>IF('PART B Staff Costs'!B29="","",'PART B Staff Costs'!B29)</f>
        <v/>
      </c>
      <c r="C159" s="355" t="str">
        <f>IF('PART B Staff Costs'!C29="","",'PART B Staff Costs'!C29)</f>
        <v xml:space="preserve"> </v>
      </c>
      <c r="D159" s="355" t="str">
        <f>IF('PART B Staff Costs'!D29="","",'PART B Staff Costs'!D29)</f>
        <v/>
      </c>
      <c r="E159" s="355" t="str">
        <f>IF('PART B Staff Costs'!E29="","",'PART B Staff Costs'!E29)</f>
        <v/>
      </c>
      <c r="F159" s="355" t="str">
        <f>IF('PART B Staff Costs'!F29="","",'PART B Staff Costs'!F29)</f>
        <v/>
      </c>
      <c r="G159" s="355" t="str">
        <f>IF('PART B Staff Costs'!G29="","",'PART B Staff Costs'!G29)</f>
        <v/>
      </c>
      <c r="H159" s="332" t="str">
        <f t="shared" ref="H159" si="658">CONCATENATE(IF(D159=0,"",D159)," ",IF(E159=0,"",E159)," ",IF(F159=0,"",F159),,IF(OR(G159=0,G159=""),"",CONCATENATE(" (",G159,")")))</f>
        <v xml:space="preserve">  </v>
      </c>
      <c r="I159" s="332" t="s">
        <v>313</v>
      </c>
      <c r="J159" s="333">
        <f>_xlfn.IFNA('PART B Staff Costs'!H29*'PART B Staff Costs'!J$10,0)*new_xrate</f>
        <v>0</v>
      </c>
      <c r="K159" s="441"/>
      <c r="L159" s="334">
        <f>_xlfn.IFNA(IF(pStartYear+1&gt;pEndYear,0,VLOOKUP(CONCATENATE(
IF(OR($D159="Continuing",$D159="Fixed-Term"),"Fortnight",IF($D159="Casual","Casual",)),
$E159,
IF(OR($D159="Continuing",$D159="Fixed-Term"),
IF(LEFT($F159,6)="UOM 10","UOM 10",(LEFT($F159,LEN($F159)-1)&amp;MIN(RIGHT($F159,1)+COUNTIFS($J160:K160,"&gt;0")/2,VLOOKUP(LEFT($F159,LEN($F159)-2),tSalaryMax,2,FALSE)))),
IF($D159="Casual",
$F159,))
),tSalaryRate,5,FALSE)*VLOOKUP($G159,tSalaryRateMultiplier,2,FALSE)*'PART B Staff Costs'!L$10),0)*new_xrate</f>
        <v>0</v>
      </c>
      <c r="M159" s="449"/>
      <c r="N159" s="333">
        <f>_xlfn.IFNA(IF(pStartYear+2&gt;pEndYear,0,VLOOKUP(CONCATENATE(
IF(OR($D159="Continuing",$D159="Fixed-Term"),"Fortnight",IF($D159="Casual","Casual",)),
$E159,
IF(OR($D159="Continuing",$D159="Fixed-Term"),
IF(LEFT($F159,6)="UOM 10","UOM 10",(LEFT($F159,LEN($F159)-1)&amp;MIN(RIGHT($F159,1)+COUNTIFS($J160:M160,"&gt;0")/2,VLOOKUP(LEFT($F159,LEN($F159)-2),tSalaryMax,2,FALSE)))),
IF($D159="Casual",
$F159,))
),tSalaryRate,5,FALSE)*VLOOKUP($G159,tSalaryRateMultiplier,2,FALSE)*'PART B Staff Costs'!N$10),0)*new_xrate</f>
        <v>0</v>
      </c>
      <c r="O159" s="441"/>
      <c r="P159" s="334">
        <f>_xlfn.IFNA(IF(pStartYear+3&gt;pEndYear,0,VLOOKUP(CONCATENATE(
IF(OR($D159="Continuing",$D159="Fixed-Term"),"Fortnight",IF($D159="Casual","Casual",)),
$E159,
IF(OR($D159="Continuing",$D159="Fixed-Term"),
IF(LEFT($F159,6)="UOM 10","UOM 10",(LEFT($F159,LEN($F159)-1)&amp;MIN(RIGHT($F159,1)+COUNTIFS($J160:O160,"&gt;0")/2,VLOOKUP(LEFT($F159,LEN($F159)-2),tSalaryMax,2,FALSE)))),
IF($D159="Casual",
$F159,))
),tSalaryRate,5,FALSE)*VLOOKUP($G159,tSalaryRateMultiplier,2,FALSE)*'PART B Staff Costs'!P$10),0)*new_xrate</f>
        <v>0</v>
      </c>
      <c r="Q159" s="449"/>
      <c r="R159" s="333">
        <f>_xlfn.IFNA(IF(pStartYear+4&gt;pEndYear,0,VLOOKUP(CONCATENATE(
IF(OR($D159="Continuing",$D159="Fixed-Term"),"Fortnight",IF($D159="Casual","Casual",)),
$E159,
IF(OR($D159="Continuing",$D159="Fixed-Term"),
IF(LEFT($F159,6)="UOM 10","UOM 10",(LEFT($F159,LEN($F159)-1)&amp;MIN(RIGHT($F159,1)+COUNTIFS($J160:Q160,"&gt;0")/2,VLOOKUP(LEFT($F159,LEN($F159)-2),tSalaryMax,2,FALSE)))),
IF($D159="Casual",
$F159,))
),tSalaryRate,5,FALSE)*VLOOKUP($G159,tSalaryRateMultiplier,2,FALSE)*'PART B Staff Costs'!R$10),0)*new_xrate</f>
        <v>0</v>
      </c>
      <c r="S159" s="441"/>
      <c r="T159" s="334">
        <f>_xlfn.IFNA(IF(pStartYear+5&gt;pEndYear,0,VLOOKUP(CONCATENATE(
IF(OR($D159="Continuing",$D159="Fixed-Term"),"Fortnight",IF($D159="Casual","Casual",)),
$E159,
IF(OR($D159="Continuing",$D159="Fixed-Term"),
IF(LEFT($F159,6)="UOM 10","UOM 10",(LEFT($F159,LEN($F159)-1)&amp;MIN(RIGHT($F159,1)+COUNTIFS($J160:S160,"&gt;0")/2,VLOOKUP(LEFT($F159,LEN($F159)-2),tSalaryMax,2,FALSE)))),
IF($D159="Casual",
$F159,))
),tSalaryRate,5,FALSE)*VLOOKUP($G159,tSalaryRateMultiplier,2,FALSE)*'PART B Staff Costs'!T$10),0)*new_xrate</f>
        <v>0</v>
      </c>
      <c r="U159" s="449"/>
      <c r="V159" s="333">
        <f>_xlfn.IFNA(IF(pStartYear+6&gt;pEndYear,0,VLOOKUP(CONCATENATE(
IF(OR($D159="Continuing",$D159="Fixed-Term"),"Fortnight",IF($D159="Casual","Casual",)),
$E159,
IF(OR($D159="Continuing",$D159="Fixed-Term"),
IF(LEFT($F159,6)="UOM 10","UOM 10",(LEFT($F159,LEN($F159)-1)&amp;MIN(RIGHT($F159,1)+COUNTIFS($J160:U160,"&gt;0")/2,VLOOKUP(LEFT($F159,LEN($F159)-2),tSalaryMax,2,FALSE)))),
IF($D159="Casual",
$F159,))
),tSalaryRate,5,FALSE)*VLOOKUP($G159,tSalaryRateMultiplier,2,FALSE)*'PART B Staff Costs'!V$10),0)*new_xrate</f>
        <v>0</v>
      </c>
      <c r="W159" s="441"/>
      <c r="X159" s="334">
        <f>_xlfn.IFNA(IF(pStartYear+7&gt;pEndYear,0,VLOOKUP(CONCATENATE(
IF(OR($D159="Continuing",$D159="Fixed-Term"),"Fortnight",IF($D159="Casual","Casual",)),
$E159,
IF(OR($D159="Continuing",$D159="Fixed-Term"),
IF(LEFT($F159,6)="UOM 10","UOM 10",(LEFT($F159,LEN($F159)-1)&amp;MIN(RIGHT($F159,1)+COUNTIFS($J160:W160,"&gt;0")/2,VLOOKUP(LEFT($F159,LEN($F159)-2),tSalaryMax,2,FALSE)))),
IF($D159="Casual",
$F159,))
),tSalaryRate,5,FALSE)*VLOOKUP($G159,tSalaryRateMultiplier,2,FALSE)*'PART B Staff Costs'!X$10),0)*new_xrate</f>
        <v>0</v>
      </c>
      <c r="Y159" s="449"/>
      <c r="Z159" s="333">
        <f>_xlfn.IFNA(IF(pStartYear+8&gt;pEndYear,0,VLOOKUP(CONCATENATE(
IF(OR($D159="Continuing",$D159="Fixed-Term"),"Fortnight",IF($D159="Casual","Casual",)),
$E159,
IF(OR($D159="Continuing",$D159="Fixed-Term"),
IF(LEFT($F159,6)="UOM 10","UOM 10",(LEFT($F159,LEN($F159)-1)&amp;MIN(RIGHT($F159,1)+COUNTIFS($J160:Y160,"&gt;0")/2,VLOOKUP(LEFT($F159,LEN($F159)-2),tSalaryMax,2,FALSE)))),
IF($D159="Casual",
$F159,))
),tSalaryRate,5,FALSE)*VLOOKUP($G159,tSalaryRateMultiplier,2,FALSE)*'PART B Staff Costs'!Z$10),0)*new_xrate</f>
        <v>0</v>
      </c>
      <c r="AA159" s="441"/>
      <c r="AB159" s="334">
        <f>_xlfn.IFNA(IF(pStartYear+9&gt;pEndYear,0,VLOOKUP(CONCATENATE(
IF(OR($D159="Continuing",$D159="Fixed-Term"),"Fortnight",IF($D159="Casual","Casual",)),
$E159,
IF(OR($D159="Continuing",$D159="Fixed-Term"),
IF(LEFT($F159,6)="UOM 10","UOM 10",(LEFT($F159,LEN($F159)-1)&amp;MIN(RIGHT($F159,1)+COUNTIFS($J160:AA160,"&gt;0")/2,VLOOKUP(LEFT($F159,LEN($F159)-2),tSalaryMax,2,FALSE)))),
IF($D159="Casual",
$F159,))
),tSalaryRate,5,FALSE)*VLOOKUP($G159,tSalaryRateMultiplier,2,FALSE)*'PART B Staff Costs'!AB$10),0)*new_xrate</f>
        <v>0</v>
      </c>
      <c r="AC159" s="449"/>
      <c r="AD159" s="335"/>
      <c r="AE159" s="1152"/>
      <c r="AF159" s="1152"/>
      <c r="AG159" s="1152"/>
      <c r="AH159" s="1152"/>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row>
    <row r="160" spans="1:56" x14ac:dyDescent="0.3">
      <c r="A160" s="1182"/>
      <c r="B160" s="1377"/>
      <c r="C160" s="1377"/>
      <c r="D160" s="1377"/>
      <c r="E160" s="1377"/>
      <c r="F160" s="1377"/>
      <c r="G160" s="1377"/>
      <c r="H160" s="1378"/>
      <c r="I160" s="336" t="str">
        <f>IF('PART B Staff Costs'!G155&lt;&gt;"",CONCATENATE("Time/Requested salary"," (",'PART B Staff Costs'!G155,")"),"Time/Requested salary")</f>
        <v>Time/Requested salary</v>
      </c>
      <c r="J160" s="337">
        <f>_xlfn.IFNA('PART B Staff Costs'!I29,0)</f>
        <v>0</v>
      </c>
      <c r="K160" s="442">
        <f>IF('PART B Staff Costs'!$G$29="FTE",J160*J159*(First_year_fraction/12),J160*J159)</f>
        <v>0</v>
      </c>
      <c r="L160" s="338">
        <f>_xlfn.IFNA('PART B Staff Costs'!K29,0)</f>
        <v>0</v>
      </c>
      <c r="M160" s="450">
        <f>IF(pStartYear+1=pEndYear,IF('PART B Staff Costs'!$G$29="FTE",(L160*L159)*Last_Year_Fraction/12,L160*L159),L160*L159)</f>
        <v>0</v>
      </c>
      <c r="N160" s="337">
        <f>_xlfn.IFNA('PART B Staff Costs'!M29,0)</f>
        <v>0</v>
      </c>
      <c r="O160" s="442">
        <f>IF(pStartYear+2=pEndYear,IF('PART B Staff Costs'!$G$29="FTE",(N160*N159)*Last_Year_Fraction/12,N160*N159),N160*N159)</f>
        <v>0</v>
      </c>
      <c r="P160" s="338">
        <f>_xlfn.IFNA('PART B Staff Costs'!O29,0)</f>
        <v>0</v>
      </c>
      <c r="Q160" s="450">
        <f>IF(pStartYear+3=pEndYear,IF('PART B Staff Costs'!$G$29="FTE",(P160*P159)*Last_Year_Fraction/12,P160*P159),P160*P159)</f>
        <v>0</v>
      </c>
      <c r="R160" s="337">
        <f>_xlfn.IFNA('PART B Staff Costs'!Q29,0)</f>
        <v>0</v>
      </c>
      <c r="S160" s="442">
        <f>IF(pStartYear+4=pEndYear,IF('PART B Staff Costs'!$G$29="FTE",(R160*R159)*Last_Year_Fraction/12,R160*R159),R160*R159)</f>
        <v>0</v>
      </c>
      <c r="T160" s="338">
        <f>_xlfn.IFNA('PART B Staff Costs'!S29,0)</f>
        <v>0</v>
      </c>
      <c r="U160" s="450">
        <f>IF(pStartYear+5=pEndYear,IF('PART B Staff Costs'!$G$29="FTE",(T160*T159)*Last_Year_Fraction/12,T160*T159),T160*T159)</f>
        <v>0</v>
      </c>
      <c r="V160" s="337">
        <f>_xlfn.IFNA('PART B Staff Costs'!U29,0)</f>
        <v>0</v>
      </c>
      <c r="W160" s="442">
        <f>IF(pStartYear+6=pEndYear,IF('PART B Staff Costs'!$G$29="FTE",(V160*V159)*Last_Year_Fraction/12,V160*V159),V160*V159)</f>
        <v>0</v>
      </c>
      <c r="X160" s="338">
        <f>_xlfn.IFNA('PART B Staff Costs'!W29,0)</f>
        <v>0</v>
      </c>
      <c r="Y160" s="450">
        <f>IF(pStartYear+7=pEndYear,IF('PART B Staff Costs'!$G$29="FTE",(X160*X159)*Last_Year_Fraction/12,X160*X159),X160*X159)</f>
        <v>0</v>
      </c>
      <c r="Z160" s="337">
        <f>_xlfn.IFNA('PART B Staff Costs'!Y29,0)</f>
        <v>0</v>
      </c>
      <c r="AA160" s="442">
        <f>IF(pStartYear+8=pEndYear,IF('PART B Staff Costs'!$G$29="FTE",(Z160*Z159)*Last_Year_Fraction/12,Z160*Z159),Z160*Z159)</f>
        <v>0</v>
      </c>
      <c r="AB160" s="338">
        <f>_xlfn.IFNA('PART B Staff Costs'!AA29,0)</f>
        <v>0</v>
      </c>
      <c r="AC160" s="450">
        <f>IF(pStartYear+9=pEndYear,IF('PART B Staff Costs'!$G$29="FTE",(AB160*AB159)*Last_Year_Fraction/12,AB160*AB159),AB160*AB159)</f>
        <v>0</v>
      </c>
      <c r="AD160" s="335"/>
      <c r="AE160" s="1152"/>
      <c r="AF160" s="1152"/>
      <c r="AG160" s="1152"/>
      <c r="AH160" s="1152"/>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row>
    <row r="161" spans="1:56" x14ac:dyDescent="0.3">
      <c r="A161" s="1182"/>
      <c r="B161" s="1379"/>
      <c r="C161" s="1379"/>
      <c r="D161" s="1379"/>
      <c r="E161" s="1379"/>
      <c r="F161" s="1379"/>
      <c r="G161" s="1379"/>
      <c r="H161" s="1380"/>
      <c r="I161" s="336" t="str">
        <f>IF(tbBudgetCurrency="AUD - Australian Dollar",CONCATENATE("Leave Loading (max of AU$",vl_Max_Leave_Loading,")"),CONCATENATE("Leave Loading (max of ",ROUND(vl_Max_Leave_Loading*new_xrate,2)," ",LEFT(tbBudgetCurrency,3),")"))</f>
        <v>Leave Loading (max of AU$1611.3)</v>
      </c>
      <c r="J161" s="339">
        <f>_xlfn.IFNA(VLOOKUP($D159,tbLeaveLoading,2,FALSE),0)</f>
        <v>0</v>
      </c>
      <c r="K161" s="443">
        <f>IF(K160*J161&gt;vl_Max_Leave_Loading*new_xrate,vl_Max_Leave_Loading*new_xrate,K160*J161)</f>
        <v>0</v>
      </c>
      <c r="L161" s="340">
        <f>_xlfn.IFNA(VLOOKUP($D159,tbLeaveLoading,2,FALSE),0)</f>
        <v>0</v>
      </c>
      <c r="M161" s="451">
        <f>IF(M160*L161&gt;vl_Max_Leave_Loading*new_xrate,vl_Max_Leave_Loading*new_xrate,M160*L161)</f>
        <v>0</v>
      </c>
      <c r="N161" s="339">
        <f>_xlfn.IFNA(VLOOKUP($D159,tbLeaveLoading,2,FALSE),0)</f>
        <v>0</v>
      </c>
      <c r="O161" s="443">
        <f>IF(O160*N161&gt;vl_Max_Leave_Loading*new_xrate,vl_Max_Leave_Loading*new_xrate,O160*N161)</f>
        <v>0</v>
      </c>
      <c r="P161" s="340">
        <f>_xlfn.IFNA(VLOOKUP($D159,tbLeaveLoading,2,FALSE),0)</f>
        <v>0</v>
      </c>
      <c r="Q161" s="451">
        <f>IF(Q160*P161&gt;vl_Max_Leave_Loading*new_xrate,vl_Max_Leave_Loading*new_xrate,Q160*P161)</f>
        <v>0</v>
      </c>
      <c r="R161" s="339">
        <f>_xlfn.IFNA(VLOOKUP($D159,tbLeaveLoading,2,FALSE),0)</f>
        <v>0</v>
      </c>
      <c r="S161" s="443">
        <f>IF(S160*R161&gt;vl_Max_Leave_Loading*new_xrate,vl_Max_Leave_Loading*new_xrate,S160*R161)</f>
        <v>0</v>
      </c>
      <c r="T161" s="340">
        <f>_xlfn.IFNA(VLOOKUP($D159,tbLeaveLoading,2,FALSE),0)</f>
        <v>0</v>
      </c>
      <c r="U161" s="451">
        <f>IF(U160*T161&gt;vl_Max_Leave_Loading*new_xrate,vl_Max_Leave_Loading*new_xrate,U160*T161)</f>
        <v>0</v>
      </c>
      <c r="V161" s="339">
        <f>_xlfn.IFNA(VLOOKUP($D159,tbLeaveLoading,2,FALSE),0)</f>
        <v>0</v>
      </c>
      <c r="W161" s="443">
        <f>IF(W160*V161&gt;vl_Max_Leave_Loading*new_xrate,vl_Max_Leave_Loading*new_xrate,W160*V161)</f>
        <v>0</v>
      </c>
      <c r="X161" s="340">
        <f>_xlfn.IFNA(VLOOKUP($D159,tbLeaveLoading,2,FALSE),0)</f>
        <v>0</v>
      </c>
      <c r="Y161" s="451">
        <f>IF(Y160*X161&gt;vl_Max_Leave_Loading*new_xrate,vl_Max_Leave_Loading*new_xrate,Y160*X161)</f>
        <v>0</v>
      </c>
      <c r="Z161" s="339">
        <f>_xlfn.IFNA(VLOOKUP($D159,tbLeaveLoading,2,FALSE),0)</f>
        <v>0</v>
      </c>
      <c r="AA161" s="443">
        <f>IF(AA160*Z161&gt;vl_Max_Leave_Loading*new_xrate,vl_Max_Leave_Loading*new_xrate,AA160*Z161)</f>
        <v>0</v>
      </c>
      <c r="AB161" s="340">
        <f>_xlfn.IFNA(VLOOKUP($D159,tbLeaveLoading,2,FALSE),0)</f>
        <v>0</v>
      </c>
      <c r="AC161" s="451">
        <f>IF(AC160*AB161&gt;vl_Max_Leave_Loading*new_xrate,vl_Max_Leave_Loading*new_xrate,AC160*AB161)</f>
        <v>0</v>
      </c>
      <c r="AD161" s="335"/>
      <c r="AE161" s="1152"/>
      <c r="AF161" s="1152"/>
      <c r="AG161" s="1152"/>
      <c r="AH161" s="1152"/>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row>
    <row r="162" spans="1:56" x14ac:dyDescent="0.3">
      <c r="A162" s="1182"/>
      <c r="B162" s="1379"/>
      <c r="C162" s="1379"/>
      <c r="D162" s="1379"/>
      <c r="E162" s="1379"/>
      <c r="F162" s="1379"/>
      <c r="G162" s="1379"/>
      <c r="H162" s="1380"/>
      <c r="I162" s="336" t="s">
        <v>314</v>
      </c>
      <c r="J162" s="339">
        <f>_xlfn.IFNA(_xlfn.IFNA(VLOOKUP(CONCATENATE(pStartYear,$D159),tbSuperannuation,4,FALSE),VLOOKUP($D159,tbSuperannuation2026onwards,2,FALSE)),0)</f>
        <v>0</v>
      </c>
      <c r="K162" s="443">
        <f>K160*J162</f>
        <v>0</v>
      </c>
      <c r="L162" s="340">
        <f>_xlfn.IFNA(_xlfn.IFNA(VLOOKUP(CONCATENATE(pStartYear+1,$D159),tbSuperannuation,4,FALSE),VLOOKUP($D159,tbSuperannuation2026onwards,2,FALSE)),0)</f>
        <v>0</v>
      </c>
      <c r="M162" s="451">
        <f t="shared" ref="M162" si="659">M160*L162</f>
        <v>0</v>
      </c>
      <c r="N162" s="339">
        <f>_xlfn.IFNA(_xlfn.IFNA(VLOOKUP(CONCATENATE(pStartYear+2,$D159),tbSuperannuation,4,FALSE),VLOOKUP($D159,tbSuperannuation2026onwards,2,FALSE)),0)</f>
        <v>0</v>
      </c>
      <c r="O162" s="443">
        <f>O160*N162</f>
        <v>0</v>
      </c>
      <c r="P162" s="340">
        <f>_xlfn.IFNA(_xlfn.IFNA(VLOOKUP(CONCATENATE(pStartYear+3,$D159),tbSuperannuation,4,FALSE),VLOOKUP($D159,tbSuperannuation2026onwards,2,FALSE)),0)</f>
        <v>0</v>
      </c>
      <c r="Q162" s="451">
        <f t="shared" ref="Q162" si="660">Q160*P162</f>
        <v>0</v>
      </c>
      <c r="R162" s="339">
        <f>_xlfn.IFNA(_xlfn.IFNA(VLOOKUP(CONCATENATE(pStartYear+4,$D159),tbSuperannuation,4,FALSE),VLOOKUP($D159,tbSuperannuation2026onwards,2,FALSE)),0)</f>
        <v>0</v>
      </c>
      <c r="S162" s="443">
        <f>S160*R162</f>
        <v>0</v>
      </c>
      <c r="T162" s="340">
        <f>_xlfn.IFNA(_xlfn.IFNA(VLOOKUP(CONCATENATE(pStartYear+5,$D159),tbSuperannuation,4,FALSE),VLOOKUP($D159,tbSuperannuation2026onwards,2,FALSE)),0)</f>
        <v>0</v>
      </c>
      <c r="U162" s="451">
        <f t="shared" ref="U162" si="661">U160*T162</f>
        <v>0</v>
      </c>
      <c r="V162" s="339">
        <f>_xlfn.IFNA(_xlfn.IFNA(VLOOKUP(CONCATENATE(pStartYear+6,$D159),tbSuperannuation,4,FALSE),VLOOKUP($D159,tbSuperannuation2026onwards,2,FALSE)),0)</f>
        <v>0</v>
      </c>
      <c r="W162" s="443">
        <f>W160*V162</f>
        <v>0</v>
      </c>
      <c r="X162" s="340">
        <f>_xlfn.IFNA(_xlfn.IFNA(VLOOKUP(CONCATENATE(pStartYear+7,$D159),tbSuperannuation,4,FALSE),VLOOKUP($D159,tbSuperannuation2026onwards,2,FALSE)),0)</f>
        <v>0</v>
      </c>
      <c r="Y162" s="451">
        <f t="shared" ref="Y162" si="662">Y160*X162</f>
        <v>0</v>
      </c>
      <c r="Z162" s="339">
        <f>_xlfn.IFNA(_xlfn.IFNA(VLOOKUP(CONCATENATE(pStartYear+8,$D159),tbSuperannuation,4,FALSE),VLOOKUP($D159,tbSuperannuation2026onwards,2,FALSE)),0)</f>
        <v>0</v>
      </c>
      <c r="AA162" s="443">
        <f>AA160*Z162</f>
        <v>0</v>
      </c>
      <c r="AB162" s="340">
        <f>_xlfn.IFNA(_xlfn.IFNA(VLOOKUP(CONCATENATE(pStartYear+9,$D159),tbSuperannuation,4,FALSE),VLOOKUP($D159,tbSuperannuation2026onwards,2,FALSE)),0)</f>
        <v>0</v>
      </c>
      <c r="AC162" s="451">
        <f t="shared" ref="AC162" si="663">AC160*AB162</f>
        <v>0</v>
      </c>
      <c r="AD162" s="335"/>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row>
    <row r="163" spans="1:56" x14ac:dyDescent="0.3">
      <c r="A163" s="1182"/>
      <c r="B163" s="1379"/>
      <c r="C163" s="1379"/>
      <c r="D163" s="1379"/>
      <c r="E163" s="1379"/>
      <c r="F163" s="1379"/>
      <c r="G163" s="1379"/>
      <c r="H163" s="1380"/>
      <c r="I163" s="341" t="s">
        <v>315</v>
      </c>
      <c r="J163" s="342"/>
      <c r="K163" s="444">
        <f>K161+K162+K160</f>
        <v>0</v>
      </c>
      <c r="L163" s="342"/>
      <c r="M163" s="444">
        <f t="shared" ref="M163" si="664">M161+M162+M160</f>
        <v>0</v>
      </c>
      <c r="N163" s="342"/>
      <c r="O163" s="444">
        <f>O161+O162+O160</f>
        <v>0</v>
      </c>
      <c r="P163" s="342"/>
      <c r="Q163" s="444">
        <f t="shared" ref="Q163" si="665">Q161+Q162+Q160</f>
        <v>0</v>
      </c>
      <c r="R163" s="342"/>
      <c r="S163" s="444">
        <f>S161+S162+S160</f>
        <v>0</v>
      </c>
      <c r="T163" s="342"/>
      <c r="U163" s="444">
        <f t="shared" ref="U163" si="666">U161+U162+U160</f>
        <v>0</v>
      </c>
      <c r="V163" s="342"/>
      <c r="W163" s="444">
        <f>W161+W162+W160</f>
        <v>0</v>
      </c>
      <c r="X163" s="342"/>
      <c r="Y163" s="444">
        <f t="shared" ref="Y163" si="667">Y161+Y162+Y160</f>
        <v>0</v>
      </c>
      <c r="Z163" s="342"/>
      <c r="AA163" s="444">
        <f>AA161+AA162+AA160</f>
        <v>0</v>
      </c>
      <c r="AB163" s="342"/>
      <c r="AC163" s="444">
        <f t="shared" ref="AC163" si="668">AC161+AC162+AC160</f>
        <v>0</v>
      </c>
      <c r="AD163" s="335">
        <f t="shared" si="413"/>
        <v>0</v>
      </c>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row>
    <row r="164" spans="1:56" x14ac:dyDescent="0.3">
      <c r="A164" s="1182"/>
      <c r="B164" s="1379"/>
      <c r="C164" s="1379"/>
      <c r="D164" s="1379"/>
      <c r="E164" s="1379"/>
      <c r="F164" s="1379"/>
      <c r="G164" s="1379"/>
      <c r="H164" s="1380"/>
      <c r="I164" s="336" t="s">
        <v>316</v>
      </c>
      <c r="J164" s="339">
        <f>_xlfn.IFNA(_xlfn.IFNA(VLOOKUP(pStartYear,tbPayrollTax,2,FALSE),vl_MaxPayrollTax),0)</f>
        <v>5.8500000000000003E-2</v>
      </c>
      <c r="K164" s="443">
        <f>J164*K163</f>
        <v>0</v>
      </c>
      <c r="L164" s="340">
        <f>_xlfn.IFNA(_xlfn.IFNA(VLOOKUP(pStartYear+1,tbPayrollTax,2,FALSE),vl_MaxPayrollTax),0)</f>
        <v>5.8500000000000003E-2</v>
      </c>
      <c r="M164" s="451">
        <f t="shared" ref="M164" si="669">L164*M163</f>
        <v>0</v>
      </c>
      <c r="N164" s="339">
        <f>_xlfn.IFNA(_xlfn.IFNA(VLOOKUP(pStartYear+2,tbPayrollTax,2,FALSE),vl_MaxPayrollTax),0)</f>
        <v>5.8500000000000003E-2</v>
      </c>
      <c r="O164" s="443">
        <f>N164*O163</f>
        <v>0</v>
      </c>
      <c r="P164" s="340">
        <f>_xlfn.IFNA(_xlfn.IFNA(VLOOKUP(pStartYear+3,tbPayrollTax,2,FALSE),vl_MaxPayrollTax),0)</f>
        <v>5.8500000000000003E-2</v>
      </c>
      <c r="Q164" s="451">
        <f t="shared" ref="Q164" si="670">P164*Q163</f>
        <v>0</v>
      </c>
      <c r="R164" s="339">
        <f>_xlfn.IFNA(_xlfn.IFNA(VLOOKUP(pStartYear+4,tbPayrollTax,2,FALSE),vl_MaxPayrollTax),0)</f>
        <v>5.8500000000000003E-2</v>
      </c>
      <c r="S164" s="443">
        <f>R164*S163</f>
        <v>0</v>
      </c>
      <c r="T164" s="340">
        <f>_xlfn.IFNA(_xlfn.IFNA(VLOOKUP(pStartYear+5,tbPayrollTax,2,FALSE),vl_MaxPayrollTax),0)</f>
        <v>5.8500000000000003E-2</v>
      </c>
      <c r="U164" s="451">
        <f t="shared" ref="U164" si="671">T164*U163</f>
        <v>0</v>
      </c>
      <c r="V164" s="339">
        <f>_xlfn.IFNA(_xlfn.IFNA(VLOOKUP(pStartYear+6,tbPayrollTax,2,FALSE),vl_MaxPayrollTax),0)</f>
        <v>5.8500000000000003E-2</v>
      </c>
      <c r="W164" s="443">
        <f>V164*W163</f>
        <v>0</v>
      </c>
      <c r="X164" s="340">
        <f>_xlfn.IFNA(_xlfn.IFNA(VLOOKUP(pStartYear+7,tbPayrollTax,2,FALSE),vl_MaxPayrollTax),0)</f>
        <v>5.8500000000000003E-2</v>
      </c>
      <c r="Y164" s="451">
        <f t="shared" ref="Y164" si="672">X164*Y163</f>
        <v>0</v>
      </c>
      <c r="Z164" s="339">
        <f>_xlfn.IFNA(_xlfn.IFNA(VLOOKUP(pStartYear+8,tbPayrollTax,2,FALSE),vl_MaxPayrollTax),0)</f>
        <v>5.8500000000000003E-2</v>
      </c>
      <c r="AA164" s="443">
        <f>Z164*AA163</f>
        <v>0</v>
      </c>
      <c r="AB164" s="340">
        <f>_xlfn.IFNA(_xlfn.IFNA(VLOOKUP(pStartYear+9,tbPayrollTax,2,FALSE),vl_MaxPayrollTax),0)</f>
        <v>5.8500000000000003E-2</v>
      </c>
      <c r="AC164" s="451">
        <f t="shared" ref="AC164" si="673">AB164*AC163</f>
        <v>0</v>
      </c>
      <c r="AD164" s="335"/>
      <c r="AE164" s="1152"/>
      <c r="AF164" s="1152"/>
      <c r="AG164" s="1152"/>
      <c r="AH164" s="1152"/>
      <c r="AI164" s="1152"/>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row>
    <row r="165" spans="1:56" x14ac:dyDescent="0.3">
      <c r="A165" s="1182"/>
      <c r="B165" s="1379"/>
      <c r="C165" s="1379"/>
      <c r="D165" s="1379"/>
      <c r="E165" s="1379"/>
      <c r="F165" s="1379"/>
      <c r="G165" s="1379"/>
      <c r="H165" s="1380"/>
      <c r="I165" s="336" t="s">
        <v>317</v>
      </c>
      <c r="J165" s="339">
        <f>_xlfn.IFNA(VLOOKUP($D159,tbWorkCover,2,FALSE),0)</f>
        <v>0</v>
      </c>
      <c r="K165" s="443">
        <f>J165*K163</f>
        <v>0</v>
      </c>
      <c r="L165" s="340">
        <f>_xlfn.IFNA(VLOOKUP($D159,tbWorkCover,2,FALSE),0)</f>
        <v>0</v>
      </c>
      <c r="M165" s="451">
        <f t="shared" ref="M165" si="674">L165*M163</f>
        <v>0</v>
      </c>
      <c r="N165" s="339">
        <f>_xlfn.IFNA(VLOOKUP($D159,tbWorkCover,2,FALSE),0)</f>
        <v>0</v>
      </c>
      <c r="O165" s="443">
        <f>N165*O163</f>
        <v>0</v>
      </c>
      <c r="P165" s="340">
        <f>_xlfn.IFNA(VLOOKUP($D159,tbWorkCover,2,FALSE),0)</f>
        <v>0</v>
      </c>
      <c r="Q165" s="451">
        <f t="shared" ref="Q165" si="675">P165*Q163</f>
        <v>0</v>
      </c>
      <c r="R165" s="339">
        <f>_xlfn.IFNA(VLOOKUP($D159,tbWorkCover,2,FALSE),0)</f>
        <v>0</v>
      </c>
      <c r="S165" s="443">
        <f>R165*S163</f>
        <v>0</v>
      </c>
      <c r="T165" s="340">
        <f>_xlfn.IFNA(VLOOKUP($D159,tbWorkCover,2,FALSE),0)</f>
        <v>0</v>
      </c>
      <c r="U165" s="451">
        <f t="shared" ref="U165" si="676">T165*U163</f>
        <v>0</v>
      </c>
      <c r="V165" s="339">
        <f>_xlfn.IFNA(VLOOKUP($D159,tbWorkCover,2,FALSE),0)</f>
        <v>0</v>
      </c>
      <c r="W165" s="443">
        <f>V165*W163</f>
        <v>0</v>
      </c>
      <c r="X165" s="340">
        <f>_xlfn.IFNA(VLOOKUP($D159,tbWorkCover,2,FALSE),0)</f>
        <v>0</v>
      </c>
      <c r="Y165" s="451">
        <f t="shared" ref="Y165" si="677">X165*Y163</f>
        <v>0</v>
      </c>
      <c r="Z165" s="339">
        <f>_xlfn.IFNA(VLOOKUP($D159,tbWorkCover,2,FALSE),0)</f>
        <v>0</v>
      </c>
      <c r="AA165" s="443">
        <f>Z165*AA163</f>
        <v>0</v>
      </c>
      <c r="AB165" s="340">
        <f>_xlfn.IFNA(VLOOKUP($D159,tbWorkCover,2,FALSE),0)</f>
        <v>0</v>
      </c>
      <c r="AC165" s="451">
        <f t="shared" ref="AC165" si="678">AB165*AC163</f>
        <v>0</v>
      </c>
      <c r="AD165" s="335"/>
      <c r="AE165" s="1152"/>
      <c r="AF165" s="1152"/>
      <c r="AG165" s="1152"/>
      <c r="AH165" s="1152"/>
      <c r="AI165" s="1152"/>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row>
    <row r="166" spans="1:56" x14ac:dyDescent="0.3">
      <c r="A166" s="1182"/>
      <c r="B166" s="1379"/>
      <c r="C166" s="1379"/>
      <c r="D166" s="1379"/>
      <c r="E166" s="1379"/>
      <c r="F166" s="1379"/>
      <c r="G166" s="1379"/>
      <c r="H166" s="1380"/>
      <c r="I166" s="336" t="s">
        <v>318</v>
      </c>
      <c r="J166" s="339">
        <f>_xlfn.IFNA(VLOOKUP($D159,tbLongServiceLeave,2,FALSE),0)</f>
        <v>0</v>
      </c>
      <c r="K166" s="443">
        <f>J166*K160</f>
        <v>0</v>
      </c>
      <c r="L166" s="340">
        <f>_xlfn.IFNA(VLOOKUP($D159,tbLongServiceLeave,2,FALSE),0)</f>
        <v>0</v>
      </c>
      <c r="M166" s="451">
        <f t="shared" ref="M166" si="679">L166*M160</f>
        <v>0</v>
      </c>
      <c r="N166" s="339">
        <f>_xlfn.IFNA(VLOOKUP($D159,tbLongServiceLeave,2,FALSE),0)</f>
        <v>0</v>
      </c>
      <c r="O166" s="443">
        <f>N166*O160</f>
        <v>0</v>
      </c>
      <c r="P166" s="340">
        <f>_xlfn.IFNA(VLOOKUP($D159,tbLongServiceLeave,2,FALSE),0)</f>
        <v>0</v>
      </c>
      <c r="Q166" s="451">
        <f t="shared" ref="Q166" si="680">P166*Q160</f>
        <v>0</v>
      </c>
      <c r="R166" s="339">
        <f>_xlfn.IFNA(VLOOKUP($D159,tbLongServiceLeave,2,FALSE),0)</f>
        <v>0</v>
      </c>
      <c r="S166" s="443">
        <f>R166*S160</f>
        <v>0</v>
      </c>
      <c r="T166" s="340">
        <f>_xlfn.IFNA(VLOOKUP($D159,tbLongServiceLeave,2,FALSE),0)</f>
        <v>0</v>
      </c>
      <c r="U166" s="451">
        <f t="shared" ref="U166" si="681">T166*U160</f>
        <v>0</v>
      </c>
      <c r="V166" s="339">
        <f>_xlfn.IFNA(VLOOKUP($D159,tbLongServiceLeave,2,FALSE),0)</f>
        <v>0</v>
      </c>
      <c r="W166" s="443">
        <f>V166*W160</f>
        <v>0</v>
      </c>
      <c r="X166" s="340">
        <f>_xlfn.IFNA(VLOOKUP($D159,tbLongServiceLeave,2,FALSE),0)</f>
        <v>0</v>
      </c>
      <c r="Y166" s="451">
        <f t="shared" ref="Y166" si="682">X166*Y160</f>
        <v>0</v>
      </c>
      <c r="Z166" s="339">
        <f>_xlfn.IFNA(VLOOKUP($D159,tbLongServiceLeave,2,FALSE),0)</f>
        <v>0</v>
      </c>
      <c r="AA166" s="443">
        <f>Z166*AA160</f>
        <v>0</v>
      </c>
      <c r="AB166" s="340">
        <f>_xlfn.IFNA(VLOOKUP($D159,tbLongServiceLeave,2,FALSE),0)</f>
        <v>0</v>
      </c>
      <c r="AC166" s="451">
        <f t="shared" ref="AC166" si="683">AB166*AC160</f>
        <v>0</v>
      </c>
      <c r="AD166" s="335"/>
      <c r="AE166" s="1152"/>
      <c r="AF166" s="1152"/>
      <c r="AG166" s="1152"/>
      <c r="AH166" s="1152"/>
      <c r="AI166" s="1152"/>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row>
    <row r="167" spans="1:56" x14ac:dyDescent="0.3">
      <c r="A167" s="1182"/>
      <c r="B167" s="1379"/>
      <c r="C167" s="1379"/>
      <c r="D167" s="1379"/>
      <c r="E167" s="1379"/>
      <c r="F167" s="1379"/>
      <c r="G167" s="1379"/>
      <c r="H167" s="1380"/>
      <c r="I167" s="336" t="s">
        <v>319</v>
      </c>
      <c r="J167" s="339">
        <f>_xlfn.IFNA(VLOOKUP($D159,tbParentalLeave,2,FALSE),0)</f>
        <v>0</v>
      </c>
      <c r="K167" s="443">
        <f>J167*K160</f>
        <v>0</v>
      </c>
      <c r="L167" s="340">
        <f>_xlfn.IFNA(VLOOKUP($D159,tbParentalLeave,2,FALSE),0)</f>
        <v>0</v>
      </c>
      <c r="M167" s="451">
        <f t="shared" ref="M167" si="684">L167*M160</f>
        <v>0</v>
      </c>
      <c r="N167" s="339">
        <f>_xlfn.IFNA(VLOOKUP($D159,tbParentalLeave,2,FALSE),0)</f>
        <v>0</v>
      </c>
      <c r="O167" s="443">
        <f>N167*O160</f>
        <v>0</v>
      </c>
      <c r="P167" s="340">
        <f>_xlfn.IFNA(VLOOKUP($D159,tbParentalLeave,2,FALSE),0)</f>
        <v>0</v>
      </c>
      <c r="Q167" s="451">
        <f t="shared" ref="Q167" si="685">P167*Q160</f>
        <v>0</v>
      </c>
      <c r="R167" s="339">
        <f>_xlfn.IFNA(VLOOKUP($D159,tbParentalLeave,2,FALSE),0)</f>
        <v>0</v>
      </c>
      <c r="S167" s="443">
        <f>R167*S160</f>
        <v>0</v>
      </c>
      <c r="T167" s="340">
        <f>_xlfn.IFNA(VLOOKUP($D159,tbParentalLeave,2,FALSE),0)</f>
        <v>0</v>
      </c>
      <c r="U167" s="451">
        <f t="shared" ref="U167" si="686">T167*U160</f>
        <v>0</v>
      </c>
      <c r="V167" s="339">
        <f>_xlfn.IFNA(VLOOKUP($D159,tbParentalLeave,2,FALSE),0)</f>
        <v>0</v>
      </c>
      <c r="W167" s="443">
        <f>V167*W160</f>
        <v>0</v>
      </c>
      <c r="X167" s="340">
        <f>_xlfn.IFNA(VLOOKUP($D159,tbParentalLeave,2,FALSE),0)</f>
        <v>0</v>
      </c>
      <c r="Y167" s="451">
        <f t="shared" ref="Y167" si="687">X167*Y160</f>
        <v>0</v>
      </c>
      <c r="Z167" s="339">
        <f>_xlfn.IFNA(VLOOKUP($D159,tbParentalLeave,2,FALSE),0)</f>
        <v>0</v>
      </c>
      <c r="AA167" s="443">
        <f>Z167*AA160</f>
        <v>0</v>
      </c>
      <c r="AB167" s="340">
        <f>_xlfn.IFNA(VLOOKUP($D159,tbParentalLeave,2,FALSE),0)</f>
        <v>0</v>
      </c>
      <c r="AC167" s="451">
        <f t="shared" ref="AC167" si="688">AB167*AC160</f>
        <v>0</v>
      </c>
      <c r="AD167" s="335"/>
      <c r="AE167" s="1152"/>
      <c r="AF167" s="1152"/>
      <c r="AG167" s="1152"/>
      <c r="AH167" s="1152"/>
      <c r="AI167" s="1152"/>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row>
    <row r="168" spans="1:56" x14ac:dyDescent="0.3">
      <c r="A168" s="1182"/>
      <c r="B168" s="1379"/>
      <c r="C168" s="1379"/>
      <c r="D168" s="1379"/>
      <c r="E168" s="1379"/>
      <c r="F168" s="1379"/>
      <c r="G168" s="1379"/>
      <c r="H168" s="1380"/>
      <c r="I168" s="437" t="s">
        <v>320</v>
      </c>
      <c r="J168" s="438">
        <f>vl_overridden_uom_oncosts_per</f>
        <v>0</v>
      </c>
      <c r="K168" s="445">
        <f>J168*K160</f>
        <v>0</v>
      </c>
      <c r="L168" s="438">
        <f>vl_overridden_uom_oncosts_per</f>
        <v>0</v>
      </c>
      <c r="M168" s="445">
        <f>L168*M160</f>
        <v>0</v>
      </c>
      <c r="N168" s="438">
        <f>vl_overridden_uom_oncosts_per</f>
        <v>0</v>
      </c>
      <c r="O168" s="445">
        <f t="shared" ref="O168" si="689">N168*O160</f>
        <v>0</v>
      </c>
      <c r="P168" s="438">
        <f>vl_overridden_uom_oncosts_per</f>
        <v>0</v>
      </c>
      <c r="Q168" s="445">
        <f t="shared" ref="Q168" si="690">P168*Q160</f>
        <v>0</v>
      </c>
      <c r="R168" s="438">
        <f>vl_overridden_uom_oncosts_per</f>
        <v>0</v>
      </c>
      <c r="S168" s="445">
        <f t="shared" ref="S168" si="691">R168*S160</f>
        <v>0</v>
      </c>
      <c r="T168" s="438">
        <f>vl_overridden_uom_oncosts_per</f>
        <v>0</v>
      </c>
      <c r="U168" s="445">
        <f t="shared" ref="U168" si="692">T168*U160</f>
        <v>0</v>
      </c>
      <c r="V168" s="438">
        <f>vl_overridden_uom_oncosts_per</f>
        <v>0</v>
      </c>
      <c r="W168" s="445">
        <f t="shared" ref="W168" si="693">V168*W160</f>
        <v>0</v>
      </c>
      <c r="X168" s="438">
        <f>vl_overridden_uom_oncosts_per</f>
        <v>0</v>
      </c>
      <c r="Y168" s="445">
        <f t="shared" ref="Y168" si="694">X168*Y160</f>
        <v>0</v>
      </c>
      <c r="Z168" s="438">
        <f>vl_overridden_uom_oncosts_per</f>
        <v>0</v>
      </c>
      <c r="AA168" s="445">
        <f t="shared" ref="AA168" si="695">Z168*AA160</f>
        <v>0</v>
      </c>
      <c r="AB168" s="438">
        <f>vl_overridden_uom_oncosts_per</f>
        <v>0</v>
      </c>
      <c r="AC168" s="445">
        <f t="shared" ref="AC168" si="696">AB168*AC160</f>
        <v>0</v>
      </c>
      <c r="AD168" s="335"/>
      <c r="AE168" s="1152"/>
      <c r="AF168" s="1152"/>
      <c r="AG168" s="1152"/>
      <c r="AH168" s="1152"/>
      <c r="AI168" s="115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row>
    <row r="169" spans="1:56" x14ac:dyDescent="0.3">
      <c r="A169" s="1182"/>
      <c r="B169" s="1379"/>
      <c r="C169" s="1379"/>
      <c r="D169" s="1379"/>
      <c r="E169" s="1379"/>
      <c r="F169" s="1379"/>
      <c r="G169" s="1379"/>
      <c r="H169" s="1380"/>
      <c r="I169" s="341" t="s">
        <v>321</v>
      </c>
      <c r="J169" s="342"/>
      <c r="K169" s="444">
        <f>SUM(K163:K168)</f>
        <v>0</v>
      </c>
      <c r="L169" s="342"/>
      <c r="M169" s="444">
        <f t="shared" ref="M169" si="697">SUM(M163:M168)</f>
        <v>0</v>
      </c>
      <c r="N169" s="342"/>
      <c r="O169" s="444">
        <f t="shared" ref="O169" si="698">SUM(O163:O168)</f>
        <v>0</v>
      </c>
      <c r="P169" s="342"/>
      <c r="Q169" s="444">
        <f t="shared" ref="Q169" si="699">SUM(Q163:Q168)</f>
        <v>0</v>
      </c>
      <c r="R169" s="342"/>
      <c r="S169" s="444">
        <f t="shared" ref="S169" si="700">SUM(S163:S168)</f>
        <v>0</v>
      </c>
      <c r="T169" s="342"/>
      <c r="U169" s="444">
        <f t="shared" ref="U169" si="701">SUM(U163:U168)</f>
        <v>0</v>
      </c>
      <c r="V169" s="342"/>
      <c r="W169" s="444">
        <f t="shared" ref="W169" si="702">SUM(W163:W168)</f>
        <v>0</v>
      </c>
      <c r="X169" s="342"/>
      <c r="Y169" s="444">
        <f t="shared" ref="Y169" si="703">SUM(Y163:Y168)</f>
        <v>0</v>
      </c>
      <c r="Z169" s="342"/>
      <c r="AA169" s="444">
        <f t="shared" ref="AA169" si="704">SUM(AA163:AA168)</f>
        <v>0</v>
      </c>
      <c r="AB169" s="342"/>
      <c r="AC169" s="444">
        <f t="shared" ref="AC169" si="705">SUM(AC163:AC168)</f>
        <v>0</v>
      </c>
      <c r="AD169" s="342"/>
      <c r="AE169" s="1152"/>
      <c r="AF169" s="1152"/>
      <c r="AG169" s="1152"/>
      <c r="AH169" s="1152"/>
      <c r="AI169" s="115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row>
    <row r="170" spans="1:56" x14ac:dyDescent="0.3">
      <c r="A170" s="1182"/>
      <c r="B170" s="1379"/>
      <c r="C170" s="1379"/>
      <c r="D170" s="1379"/>
      <c r="E170" s="1379"/>
      <c r="F170" s="1379"/>
      <c r="G170" s="1379"/>
      <c r="H170" s="1380"/>
      <c r="I170" s="336" t="s">
        <v>322</v>
      </c>
      <c r="J170" s="339">
        <f>_xlfn.IFNA(VLOOKUP($D159,tbAnnualLeaveProvision,2,FALSE),0)</f>
        <v>0</v>
      </c>
      <c r="K170" s="443">
        <f>J170*K160</f>
        <v>0</v>
      </c>
      <c r="L170" s="340">
        <f>_xlfn.IFNA(VLOOKUP($D159,tbAnnualLeaveProvision,2,FALSE),0)</f>
        <v>0</v>
      </c>
      <c r="M170" s="451">
        <f t="shared" ref="M170" si="706">L170*M160</f>
        <v>0</v>
      </c>
      <c r="N170" s="339">
        <f>_xlfn.IFNA(VLOOKUP($D159,tbAnnualLeaveProvision,2,FALSE),0)</f>
        <v>0</v>
      </c>
      <c r="O170" s="443">
        <f>N170*O160</f>
        <v>0</v>
      </c>
      <c r="P170" s="340">
        <f>_xlfn.IFNA(VLOOKUP($D159,tbAnnualLeaveProvision,2,FALSE),0)</f>
        <v>0</v>
      </c>
      <c r="Q170" s="451">
        <f t="shared" ref="Q170" si="707">P170*Q160</f>
        <v>0</v>
      </c>
      <c r="R170" s="339">
        <f>_xlfn.IFNA(VLOOKUP($D159,tbAnnualLeaveProvision,2,FALSE),0)</f>
        <v>0</v>
      </c>
      <c r="S170" s="443">
        <f>R170*S160</f>
        <v>0</v>
      </c>
      <c r="T170" s="340">
        <f>_xlfn.IFNA(VLOOKUP($D159,tbAnnualLeaveProvision,2,FALSE),0)</f>
        <v>0</v>
      </c>
      <c r="U170" s="451">
        <f t="shared" ref="U170" si="708">T170*U160</f>
        <v>0</v>
      </c>
      <c r="V170" s="339">
        <f>_xlfn.IFNA(VLOOKUP($D159,tbAnnualLeaveProvision,2,FALSE),0)</f>
        <v>0</v>
      </c>
      <c r="W170" s="443">
        <f>V170*W160</f>
        <v>0</v>
      </c>
      <c r="X170" s="340">
        <f>_xlfn.IFNA(VLOOKUP($D159,tbAnnualLeaveProvision,2,FALSE),0)</f>
        <v>0</v>
      </c>
      <c r="Y170" s="451">
        <f t="shared" ref="Y170" si="709">X170*Y160</f>
        <v>0</v>
      </c>
      <c r="Z170" s="339">
        <f>_xlfn.IFNA(VLOOKUP($D159,tbAnnualLeaveProvision,2,FALSE),0)</f>
        <v>0</v>
      </c>
      <c r="AA170" s="443">
        <f>Z170*AA160</f>
        <v>0</v>
      </c>
      <c r="AB170" s="340">
        <f>_xlfn.IFNA(VLOOKUP($D159,tbAnnualLeaveProvision,2,FALSE),0)</f>
        <v>0</v>
      </c>
      <c r="AC170" s="451">
        <f t="shared" ref="AC170" si="710">AB170*AC160</f>
        <v>0</v>
      </c>
      <c r="AD170" s="335"/>
      <c r="AE170" s="1152"/>
      <c r="AF170" s="1152"/>
      <c r="AG170" s="1152"/>
      <c r="AH170" s="1152"/>
      <c r="AI170" s="115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row>
    <row r="171" spans="1:56" x14ac:dyDescent="0.3">
      <c r="A171" s="1182"/>
      <c r="B171" s="1379"/>
      <c r="C171" s="1379"/>
      <c r="D171" s="1379"/>
      <c r="E171" s="1379"/>
      <c r="F171" s="1379"/>
      <c r="G171" s="1379"/>
      <c r="H171" s="1380"/>
      <c r="I171" s="336" t="s">
        <v>330</v>
      </c>
      <c r="J171" s="339"/>
      <c r="K171" s="446">
        <f>K169+K170</f>
        <v>0</v>
      </c>
      <c r="L171" s="340"/>
      <c r="M171" s="452">
        <f t="shared" ref="M171" si="711">M169+M170</f>
        <v>0</v>
      </c>
      <c r="N171" s="339"/>
      <c r="O171" s="446">
        <f>O169+O170</f>
        <v>0</v>
      </c>
      <c r="P171" s="340"/>
      <c r="Q171" s="452">
        <f t="shared" ref="Q171" si="712">Q169+Q170</f>
        <v>0</v>
      </c>
      <c r="R171" s="339"/>
      <c r="S171" s="446">
        <f>S169+S170</f>
        <v>0</v>
      </c>
      <c r="T171" s="340"/>
      <c r="U171" s="452">
        <f t="shared" ref="U171" si="713">U169+U170</f>
        <v>0</v>
      </c>
      <c r="V171" s="339"/>
      <c r="W171" s="446">
        <f>W169+W170</f>
        <v>0</v>
      </c>
      <c r="X171" s="340"/>
      <c r="Y171" s="452">
        <f t="shared" ref="Y171" si="714">Y169+Y170</f>
        <v>0</v>
      </c>
      <c r="Z171" s="339"/>
      <c r="AA171" s="446">
        <f>AA169+AA170</f>
        <v>0</v>
      </c>
      <c r="AB171" s="340"/>
      <c r="AC171" s="452">
        <f t="shared" ref="AC171" si="715">AC169+AC170</f>
        <v>0</v>
      </c>
      <c r="AD171" s="335"/>
      <c r="AE171" s="1152"/>
      <c r="AF171" s="1152"/>
      <c r="AG171" s="1152"/>
      <c r="AH171" s="1152"/>
      <c r="AI171" s="1152"/>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row>
    <row r="172" spans="1:56" x14ac:dyDescent="0.3">
      <c r="A172" s="1182"/>
      <c r="B172" s="1379"/>
      <c r="C172" s="1379"/>
      <c r="D172" s="1379"/>
      <c r="E172" s="1379"/>
      <c r="F172" s="1379"/>
      <c r="G172" s="1379"/>
      <c r="H172" s="1380"/>
      <c r="I172" s="343" t="s">
        <v>324</v>
      </c>
      <c r="J172" s="344"/>
      <c r="K172" s="443">
        <f>IFERROR(-(K169/vl_working_days_per_year)*J172,0)</f>
        <v>0</v>
      </c>
      <c r="L172" s="345"/>
      <c r="M172" s="451">
        <f>IFERROR(-(M169/vl_working_days_per_year)*L172,0)</f>
        <v>0</v>
      </c>
      <c r="N172" s="344"/>
      <c r="O172" s="443">
        <f>-(O169/vl_working_days_per_year)*N172</f>
        <v>0</v>
      </c>
      <c r="P172" s="345"/>
      <c r="Q172" s="451">
        <f>-(Q169/vl_working_days_per_year)*P172</f>
        <v>0</v>
      </c>
      <c r="R172" s="344"/>
      <c r="S172" s="443">
        <f>-(S169/vl_working_days_per_year)*R172</f>
        <v>0</v>
      </c>
      <c r="T172" s="345"/>
      <c r="U172" s="451">
        <f>-(U169/vl_working_days_per_year)*T172</f>
        <v>0</v>
      </c>
      <c r="V172" s="344"/>
      <c r="W172" s="443">
        <f>-(W169/vl_working_days_per_year)*V172</f>
        <v>0</v>
      </c>
      <c r="X172" s="345"/>
      <c r="Y172" s="451">
        <f>-(Y169/vl_working_days_per_year)*X172</f>
        <v>0</v>
      </c>
      <c r="Z172" s="344"/>
      <c r="AA172" s="443">
        <f>-(AA169/vl_working_days_per_year)*Z172</f>
        <v>0</v>
      </c>
      <c r="AB172" s="345"/>
      <c r="AC172" s="451">
        <f>-(AC169/vl_working_days_per_year)*AB172</f>
        <v>0</v>
      </c>
      <c r="AD172" s="335">
        <f t="shared" si="413"/>
        <v>0</v>
      </c>
      <c r="AE172" s="1152"/>
      <c r="AF172" s="1152"/>
      <c r="AG172" s="1152"/>
      <c r="AH172" s="1152"/>
      <c r="AI172" s="1152"/>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row>
    <row r="173" spans="1:56" x14ac:dyDescent="0.3">
      <c r="A173" s="1182"/>
      <c r="B173" s="1379"/>
      <c r="C173" s="1379"/>
      <c r="D173" s="1379"/>
      <c r="E173" s="1379"/>
      <c r="F173" s="1379"/>
      <c r="G173" s="1379"/>
      <c r="H173" s="1380"/>
      <c r="I173" s="341" t="s">
        <v>325</v>
      </c>
      <c r="J173" s="346"/>
      <c r="K173" s="444">
        <f>K171+K172</f>
        <v>0</v>
      </c>
      <c r="L173" s="346"/>
      <c r="M173" s="444">
        <f t="shared" ref="M173" si="716">M171+M172</f>
        <v>0</v>
      </c>
      <c r="N173" s="346"/>
      <c r="O173" s="444">
        <f>O171+O172</f>
        <v>0</v>
      </c>
      <c r="P173" s="346"/>
      <c r="Q173" s="444">
        <f t="shared" ref="Q173" si="717">Q171+Q172</f>
        <v>0</v>
      </c>
      <c r="R173" s="346"/>
      <c r="S173" s="444">
        <f>S171+S172</f>
        <v>0</v>
      </c>
      <c r="T173" s="346"/>
      <c r="U173" s="444">
        <f t="shared" ref="U173" si="718">U171+U172</f>
        <v>0</v>
      </c>
      <c r="V173" s="346"/>
      <c r="W173" s="444">
        <f>W171+W172</f>
        <v>0</v>
      </c>
      <c r="X173" s="346"/>
      <c r="Y173" s="444">
        <f t="shared" ref="Y173" si="719">Y171+Y172</f>
        <v>0</v>
      </c>
      <c r="Z173" s="346"/>
      <c r="AA173" s="444">
        <f>AA171+AA172</f>
        <v>0</v>
      </c>
      <c r="AB173" s="346"/>
      <c r="AC173" s="444">
        <f t="shared" ref="AC173" si="720">AC171+AC172</f>
        <v>0</v>
      </c>
      <c r="AD173" s="335">
        <f t="shared" si="413"/>
        <v>0</v>
      </c>
      <c r="AE173" s="1152"/>
      <c r="AF173" s="1152"/>
      <c r="AG173" s="1152"/>
      <c r="AH173" s="1152"/>
      <c r="AI173" s="1152"/>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row>
    <row r="174" spans="1:56" s="1" customFormat="1" ht="15" customHeight="1" x14ac:dyDescent="0.3">
      <c r="A174" s="727"/>
      <c r="B174" s="1379"/>
      <c r="C174" s="1379"/>
      <c r="D174" s="1379"/>
      <c r="E174" s="1379"/>
      <c r="F174" s="1379"/>
      <c r="G174" s="1379"/>
      <c r="H174" s="1380"/>
      <c r="I174" s="382" t="s">
        <v>326</v>
      </c>
      <c r="J174" s="383">
        <f>IFERROR(K174/K160,0)</f>
        <v>0</v>
      </c>
      <c r="K174" s="447">
        <f>SUM(K161:K162,K164:K167,K170)</f>
        <v>0</v>
      </c>
      <c r="L174" s="434">
        <f>IFERROR(M174/M160,0)</f>
        <v>0</v>
      </c>
      <c r="M174" s="453">
        <f t="shared" ref="M174" si="721">SUM(M161:M162,M164:M167,M170)</f>
        <v>0</v>
      </c>
      <c r="N174" s="383">
        <f t="shared" ref="N174" si="722">IFERROR(O174/O160,0)</f>
        <v>0</v>
      </c>
      <c r="O174" s="447">
        <f t="shared" ref="O174" si="723">SUM(O161:O162,O164:O167,O170)</f>
        <v>0</v>
      </c>
      <c r="P174" s="434">
        <f t="shared" ref="P174" si="724">IFERROR(Q174/Q160,0)</f>
        <v>0</v>
      </c>
      <c r="Q174" s="453">
        <f t="shared" ref="Q174" si="725">SUM(Q161:Q162,Q164:Q167,Q170)</f>
        <v>0</v>
      </c>
      <c r="R174" s="383">
        <f t="shared" ref="R174" si="726">IFERROR(S174/S160,0)</f>
        <v>0</v>
      </c>
      <c r="S174" s="447">
        <f t="shared" ref="S174" si="727">SUM(S161:S162,S164:S167,S170)</f>
        <v>0</v>
      </c>
      <c r="T174" s="434">
        <f t="shared" ref="T174" si="728">IFERROR(U174/U160,0)</f>
        <v>0</v>
      </c>
      <c r="U174" s="453">
        <f t="shared" ref="U174" si="729">SUM(U161:U162,U164:U167,U170)</f>
        <v>0</v>
      </c>
      <c r="V174" s="383">
        <f t="shared" ref="V174" si="730">IFERROR(W174/W160,0)</f>
        <v>0</v>
      </c>
      <c r="W174" s="447">
        <f t="shared" ref="W174" si="731">SUM(W161:W162,W164:W167,W170)</f>
        <v>0</v>
      </c>
      <c r="X174" s="434">
        <f t="shared" ref="X174" si="732">IFERROR(Y174/Y160,0)</f>
        <v>0</v>
      </c>
      <c r="Y174" s="453">
        <f t="shared" ref="Y174" si="733">SUM(Y161:Y162,Y164:Y167,Y170)</f>
        <v>0</v>
      </c>
      <c r="Z174" s="383">
        <f t="shared" ref="Z174" si="734">IFERROR(AA174/AA160,0)</f>
        <v>0</v>
      </c>
      <c r="AA174" s="447">
        <f t="shared" ref="AA174" si="735">SUM(AA161:AA162,AA164:AA167,AA170)</f>
        <v>0</v>
      </c>
      <c r="AB174" s="434">
        <f t="shared" ref="AB174" si="736">IFERROR(AC174/AC160,0)</f>
        <v>0</v>
      </c>
      <c r="AC174" s="453">
        <f t="shared" ref="AC174" si="737">SUM(AC161:AC162,AC164:AC167,AC170)</f>
        <v>0</v>
      </c>
      <c r="AD174" s="377">
        <f t="shared" si="413"/>
        <v>0</v>
      </c>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row>
    <row r="175" spans="1:56" x14ac:dyDescent="0.3">
      <c r="A175" s="1182"/>
      <c r="B175" s="1379"/>
      <c r="C175" s="1379"/>
      <c r="D175" s="1379"/>
      <c r="E175" s="1379"/>
      <c r="F175" s="1379"/>
      <c r="G175" s="1379"/>
      <c r="H175" s="1380"/>
      <c r="I175" s="382" t="s">
        <v>327</v>
      </c>
      <c r="J175" s="384">
        <f>pCRSalaries</f>
        <v>2.5</v>
      </c>
      <c r="K175" s="447"/>
      <c r="L175" s="435">
        <f>pCRSalaries</f>
        <v>2.5</v>
      </c>
      <c r="M175" s="453"/>
      <c r="N175" s="384">
        <f>pCRSalaries</f>
        <v>2.5</v>
      </c>
      <c r="O175" s="447"/>
      <c r="P175" s="435">
        <f>pCRSalaries</f>
        <v>2.5</v>
      </c>
      <c r="Q175" s="453"/>
      <c r="R175" s="384">
        <f>pCRSalaries</f>
        <v>2.5</v>
      </c>
      <c r="S175" s="447"/>
      <c r="T175" s="435">
        <f>pCRSalaries</f>
        <v>2.5</v>
      </c>
      <c r="U175" s="453"/>
      <c r="V175" s="384">
        <f>pCRSalaries</f>
        <v>2.5</v>
      </c>
      <c r="W175" s="447"/>
      <c r="X175" s="435">
        <f>pCRSalaries</f>
        <v>2.5</v>
      </c>
      <c r="Y175" s="453"/>
      <c r="Z175" s="384">
        <f>pCRSalaries</f>
        <v>2.5</v>
      </c>
      <c r="AA175" s="447"/>
      <c r="AB175" s="435">
        <f>pCRSalaries</f>
        <v>2.5</v>
      </c>
      <c r="AC175" s="453"/>
      <c r="AD175" s="335"/>
      <c r="AE175" s="1152"/>
      <c r="AF175" s="1152"/>
      <c r="AG175" s="1152"/>
      <c r="AH175" s="1152"/>
      <c r="AI175" s="1152"/>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row>
    <row r="176" spans="1:56" ht="16.2" thickBot="1" x14ac:dyDescent="0.35">
      <c r="A176" s="1182"/>
      <c r="B176" s="710"/>
      <c r="C176" s="347"/>
      <c r="D176" s="347"/>
      <c r="E176" s="347"/>
      <c r="F176" s="347"/>
      <c r="G176" s="347"/>
      <c r="H176" s="347"/>
      <c r="I176" s="436" t="s">
        <v>329</v>
      </c>
      <c r="J176" s="348"/>
      <c r="K176" s="448">
        <f>J175*K171</f>
        <v>0</v>
      </c>
      <c r="L176" s="348"/>
      <c r="M176" s="448">
        <f t="shared" ref="M176" si="738">L175*M171</f>
        <v>0</v>
      </c>
      <c r="N176" s="348"/>
      <c r="O176" s="448">
        <f>N175*O171</f>
        <v>0</v>
      </c>
      <c r="P176" s="348"/>
      <c r="Q176" s="448">
        <f t="shared" ref="Q176" si="739">P175*Q171</f>
        <v>0</v>
      </c>
      <c r="R176" s="348"/>
      <c r="S176" s="448">
        <f>R175*S171</f>
        <v>0</v>
      </c>
      <c r="T176" s="348"/>
      <c r="U176" s="448">
        <f t="shared" ref="U176" si="740">T175*U171</f>
        <v>0</v>
      </c>
      <c r="V176" s="348"/>
      <c r="W176" s="448">
        <f>V175*W171</f>
        <v>0</v>
      </c>
      <c r="X176" s="348"/>
      <c r="Y176" s="448">
        <f t="shared" ref="Y176" si="741">X175*Y171</f>
        <v>0</v>
      </c>
      <c r="Z176" s="348"/>
      <c r="AA176" s="448">
        <f>Z175*AA171</f>
        <v>0</v>
      </c>
      <c r="AB176" s="348"/>
      <c r="AC176" s="448">
        <f t="shared" ref="AC176" si="742">AB175*AC171</f>
        <v>0</v>
      </c>
      <c r="AD176" s="335">
        <f t="shared" si="413"/>
        <v>0</v>
      </c>
      <c r="AE176" s="1152"/>
      <c r="AF176" s="1152"/>
      <c r="AG176" s="1152"/>
      <c r="AH176" s="1152"/>
      <c r="AI176" s="1152"/>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row>
    <row r="177" spans="1:30" ht="15" thickBot="1" x14ac:dyDescent="0.35">
      <c r="A177" s="1182"/>
      <c r="B177" s="1181"/>
      <c r="C177" s="1181"/>
      <c r="D177" s="1181"/>
      <c r="E177" s="1181"/>
      <c r="F177" s="1181"/>
      <c r="G177" s="1181"/>
      <c r="H177" s="1181"/>
      <c r="I177" s="350"/>
      <c r="J177" s="351"/>
      <c r="K177" s="351"/>
      <c r="L177" s="351"/>
      <c r="M177" s="352"/>
      <c r="N177" s="351"/>
      <c r="O177" s="352"/>
      <c r="P177" s="351"/>
      <c r="Q177" s="352"/>
      <c r="R177" s="351"/>
      <c r="S177" s="352"/>
      <c r="T177" s="351"/>
      <c r="U177" s="352"/>
      <c r="V177" s="351"/>
      <c r="W177" s="352"/>
      <c r="X177" s="351"/>
      <c r="Y177" s="352"/>
      <c r="Z177" s="351"/>
      <c r="AA177" s="352"/>
      <c r="AB177" s="351"/>
      <c r="AC177" s="352"/>
      <c r="AD177" s="353" t="str">
        <f>IF(tbBudgetCurrency="AUD - Australian Dollar","",IFERROR(K177+M177+O177+Q177+S177+U177+W177+Y177+AA177+AC177,0))</f>
        <v/>
      </c>
    </row>
    <row r="178" spans="1:30" x14ac:dyDescent="0.3">
      <c r="A178" s="1182"/>
      <c r="B178" s="356" t="str">
        <f>IF('PART B Staff Costs'!B30="","",'PART B Staff Costs'!B30)</f>
        <v/>
      </c>
      <c r="C178" s="355" t="str">
        <f>IF('PART B Staff Costs'!C30="","",'PART B Staff Costs'!C30)</f>
        <v xml:space="preserve"> </v>
      </c>
      <c r="D178" s="355" t="str">
        <f>IF('PART B Staff Costs'!D30="","",'PART B Staff Costs'!D30)</f>
        <v/>
      </c>
      <c r="E178" s="355" t="str">
        <f>IF('PART B Staff Costs'!E30="","",'PART B Staff Costs'!E30)</f>
        <v/>
      </c>
      <c r="F178" s="355" t="str">
        <f>IF('PART B Staff Costs'!F30="","",'PART B Staff Costs'!F30)</f>
        <v/>
      </c>
      <c r="G178" s="355" t="str">
        <f>IF('PART B Staff Costs'!G30="","",'PART B Staff Costs'!G30)</f>
        <v/>
      </c>
      <c r="H178" s="332" t="str">
        <f t="shared" ref="H178" si="743">CONCATENATE(IF(D178=0,"",D178)," ",IF(E178=0,"",E178)," ",IF(F178=0,"",F178),,IF(OR(G178=0,G178=""),"",CONCATENATE(" (",G178,")")))</f>
        <v xml:space="preserve">  </v>
      </c>
      <c r="I178" s="332" t="s">
        <v>313</v>
      </c>
      <c r="J178" s="333">
        <f>_xlfn.IFNA('PART B Staff Costs'!H30*'PART B Staff Costs'!J$10,0)*new_xrate</f>
        <v>0</v>
      </c>
      <c r="K178" s="441"/>
      <c r="L178" s="334">
        <f>_xlfn.IFNA(IF(pStartYear+1&gt;pEndYear,0,VLOOKUP(CONCATENATE(
IF(OR($D178="Continuing",$D178="Fixed-Term"),"Fortnight",IF($D178="Casual","Casual",)),
$E178,
IF(OR($D178="Continuing",$D178="Fixed-Term"),
IF(LEFT($F178,6)="UOM 10","UOM 10",(LEFT($F178,LEN($F178)-1)&amp;MIN(RIGHT($F178,1)+COUNTIFS($J179:K179,"&gt;0")/2,VLOOKUP(LEFT($F178,LEN($F178)-2),tSalaryMax,2,FALSE)))),
IF($D178="Casual",
$F178,))
),tSalaryRate,5,FALSE)*VLOOKUP($G178,tSalaryRateMultiplier,2,FALSE)*'PART B Staff Costs'!L$10),0)*new_xrate</f>
        <v>0</v>
      </c>
      <c r="M178" s="449"/>
      <c r="N178" s="333">
        <f>_xlfn.IFNA(IF(pStartYear+2&gt;pEndYear,0,VLOOKUP(CONCATENATE(
IF(OR($D178="Continuing",$D178="Fixed-Term"),"Fortnight",IF($D178="Casual","Casual",)),
$E178,
IF(OR($D178="Continuing",$D178="Fixed-Term"),
IF(LEFT($F178,6)="UOM 10","UOM 10",(LEFT($F178,LEN($F178)-1)&amp;MIN(RIGHT($F178,1)+COUNTIFS($J179:M179,"&gt;0")/2,VLOOKUP(LEFT($F178,LEN($F178)-2),tSalaryMax,2,FALSE)))),
IF($D178="Casual",
$F178,))
),tSalaryRate,5,FALSE)*VLOOKUP($G178,tSalaryRateMultiplier,2,FALSE)*'PART B Staff Costs'!N$10),0)*new_xrate</f>
        <v>0</v>
      </c>
      <c r="O178" s="441"/>
      <c r="P178" s="334">
        <f>_xlfn.IFNA(IF(pStartYear+3&gt;pEndYear,0,VLOOKUP(CONCATENATE(
IF(OR($D178="Continuing",$D178="Fixed-Term"),"Fortnight",IF($D178="Casual","Casual",)),
$E178,
IF(OR($D178="Continuing",$D178="Fixed-Term"),
IF(LEFT($F178,6)="UOM 10","UOM 10",(LEFT($F178,LEN($F178)-1)&amp;MIN(RIGHT($F178,1)+COUNTIFS($J179:O179,"&gt;0")/2,VLOOKUP(LEFT($F178,LEN($F178)-2),tSalaryMax,2,FALSE)))),
IF($D178="Casual",
$F178,))
),tSalaryRate,5,FALSE)*VLOOKUP($G178,tSalaryRateMultiplier,2,FALSE)*'PART B Staff Costs'!P$10),0)*new_xrate</f>
        <v>0</v>
      </c>
      <c r="Q178" s="449"/>
      <c r="R178" s="333">
        <f>_xlfn.IFNA(IF(pStartYear+4&gt;pEndYear,0,VLOOKUP(CONCATENATE(
IF(OR($D178="Continuing",$D178="Fixed-Term"),"Fortnight",IF($D178="Casual","Casual",)),
$E178,
IF(OR($D178="Continuing",$D178="Fixed-Term"),
IF(LEFT($F178,6)="UOM 10","UOM 10",(LEFT($F178,LEN($F178)-1)&amp;MIN(RIGHT($F178,1)+COUNTIFS($J179:Q179,"&gt;0")/2,VLOOKUP(LEFT($F178,LEN($F178)-2),tSalaryMax,2,FALSE)))),
IF($D178="Casual",
$F178,))
),tSalaryRate,5,FALSE)*VLOOKUP($G178,tSalaryRateMultiplier,2,FALSE)*'PART B Staff Costs'!R$10),0)*new_xrate</f>
        <v>0</v>
      </c>
      <c r="S178" s="441"/>
      <c r="T178" s="334">
        <f>_xlfn.IFNA(IF(pStartYear+5&gt;pEndYear,0,VLOOKUP(CONCATENATE(
IF(OR($D178="Continuing",$D178="Fixed-Term"),"Fortnight",IF($D178="Casual","Casual",)),
$E178,
IF(OR($D178="Continuing",$D178="Fixed-Term"),
IF(LEFT($F178,6)="UOM 10","UOM 10",(LEFT($F178,LEN($F178)-1)&amp;MIN(RIGHT($F178,1)+COUNTIFS($J179:S179,"&gt;0")/2,VLOOKUP(LEFT($F178,LEN($F178)-2),tSalaryMax,2,FALSE)))),
IF($D178="Casual",
$F178,))
),tSalaryRate,5,FALSE)*VLOOKUP($G178,tSalaryRateMultiplier,2,FALSE)*'PART B Staff Costs'!T$10),0)*new_xrate</f>
        <v>0</v>
      </c>
      <c r="U178" s="449"/>
      <c r="V178" s="333">
        <f>_xlfn.IFNA(IF(pStartYear+6&gt;pEndYear,0,VLOOKUP(CONCATENATE(
IF(OR($D178="Continuing",$D178="Fixed-Term"),"Fortnight",IF($D178="Casual","Casual",)),
$E178,
IF(OR($D178="Continuing",$D178="Fixed-Term"),
IF(LEFT($F178,6)="UOM 10","UOM 10",(LEFT($F178,LEN($F178)-1)&amp;MIN(RIGHT($F178,1)+COUNTIFS($J179:U179,"&gt;0")/2,VLOOKUP(LEFT($F178,LEN($F178)-2),tSalaryMax,2,FALSE)))),
IF($D178="Casual",
$F178,))
),tSalaryRate,5,FALSE)*VLOOKUP($G178,tSalaryRateMultiplier,2,FALSE)*'PART B Staff Costs'!V$10),0)*new_xrate</f>
        <v>0</v>
      </c>
      <c r="W178" s="441"/>
      <c r="X178" s="334">
        <f>_xlfn.IFNA(IF(pStartYear+7&gt;pEndYear,0,VLOOKUP(CONCATENATE(
IF(OR($D178="Continuing",$D178="Fixed-Term"),"Fortnight",IF($D178="Casual","Casual",)),
$E178,
IF(OR($D178="Continuing",$D178="Fixed-Term"),
IF(LEFT($F178,6)="UOM 10","UOM 10",(LEFT($F178,LEN($F178)-1)&amp;MIN(RIGHT($F178,1)+COUNTIFS($J179:W179,"&gt;0")/2,VLOOKUP(LEFT($F178,LEN($F178)-2),tSalaryMax,2,FALSE)))),
IF($D178="Casual",
$F178,))
),tSalaryRate,5,FALSE)*VLOOKUP($G178,tSalaryRateMultiplier,2,FALSE)*'PART B Staff Costs'!X$10),0)*new_xrate</f>
        <v>0</v>
      </c>
      <c r="Y178" s="449"/>
      <c r="Z178" s="333">
        <f>_xlfn.IFNA(IF(pStartYear+8&gt;pEndYear,0,VLOOKUP(CONCATENATE(
IF(OR($D178="Continuing",$D178="Fixed-Term"),"Fortnight",IF($D178="Casual","Casual",)),
$E178,
IF(OR($D178="Continuing",$D178="Fixed-Term"),
IF(LEFT($F178,6)="UOM 10","UOM 10",(LEFT($F178,LEN($F178)-1)&amp;MIN(RIGHT($F178,1)+COUNTIFS($J179:Y179,"&gt;0")/2,VLOOKUP(LEFT($F178,LEN($F178)-2),tSalaryMax,2,FALSE)))),
IF($D178="Casual",
$F178,))
),tSalaryRate,5,FALSE)*VLOOKUP($G178,tSalaryRateMultiplier,2,FALSE)*'PART B Staff Costs'!Z$10),0)*new_xrate</f>
        <v>0</v>
      </c>
      <c r="AA178" s="441"/>
      <c r="AB178" s="334">
        <f>_xlfn.IFNA(IF(pStartYear+9&gt;pEndYear,0,VLOOKUP(CONCATENATE(
IF(OR($D178="Continuing",$D178="Fixed-Term"),"Fortnight",IF($D178="Casual","Casual",)),
$E178,
IF(OR($D178="Continuing",$D178="Fixed-Term"),
IF(LEFT($F178,6)="UOM 10","UOM 10",(LEFT($F178,LEN($F178)-1)&amp;MIN(RIGHT($F178,1)+COUNTIFS($J179:AA179,"&gt;0")/2,VLOOKUP(LEFT($F178,LEN($F178)-2),tSalaryMax,2,FALSE)))),
IF($D178="Casual",
$F178,))
),tSalaryRate,5,FALSE)*VLOOKUP($G178,tSalaryRateMultiplier,2,FALSE)*'PART B Staff Costs'!AB$10),0)*new_xrate</f>
        <v>0</v>
      </c>
      <c r="AC178" s="449"/>
      <c r="AD178" s="335"/>
    </row>
    <row r="179" spans="1:30" x14ac:dyDescent="0.3">
      <c r="A179" s="1182"/>
      <c r="B179" s="1377"/>
      <c r="C179" s="1377"/>
      <c r="D179" s="1377"/>
      <c r="E179" s="1377"/>
      <c r="F179" s="1377"/>
      <c r="G179" s="1377"/>
      <c r="H179" s="1378"/>
      <c r="I179" s="336" t="str">
        <f>IF('PART B Staff Costs'!G174&lt;&gt;"",CONCATENATE("Time/Requested salary"," (",'PART B Staff Costs'!G174,")"),"Time/Requested salary")</f>
        <v>Time/Requested salary</v>
      </c>
      <c r="J179" s="337">
        <f>_xlfn.IFNA('PART B Staff Costs'!I30,0)</f>
        <v>0</v>
      </c>
      <c r="K179" s="442">
        <f>IF('PART B Staff Costs'!$G$30="FTE",J179*J178*(First_year_fraction/12),J179*J178)</f>
        <v>0</v>
      </c>
      <c r="L179" s="338">
        <f>_xlfn.IFNA('PART B Staff Costs'!K30,0)</f>
        <v>0</v>
      </c>
      <c r="M179" s="450">
        <f>IF(pStartYear+1=pEndYear,IF('PART B Staff Costs'!$G$30="FTE",(L179*L178)*Last_Year_Fraction/12,L179*L178),L179*L178)</f>
        <v>0</v>
      </c>
      <c r="N179" s="337">
        <f>_xlfn.IFNA('PART B Staff Costs'!M30,0)</f>
        <v>0</v>
      </c>
      <c r="O179" s="442">
        <f>IF(pStartYear+2=pEndYear,IF('PART B Staff Costs'!$G$30="FTE",(N179*N178)*Last_Year_Fraction/12,N179*N178),N179*N178)</f>
        <v>0</v>
      </c>
      <c r="P179" s="338">
        <f>_xlfn.IFNA('PART B Staff Costs'!O30,0)</f>
        <v>0</v>
      </c>
      <c r="Q179" s="450">
        <f>IF(pStartYear+3=pEndYear,IF('PART B Staff Costs'!$G$30="FTE",(P179*P178)*Last_Year_Fraction/12,P179*P178),P179*P178)</f>
        <v>0</v>
      </c>
      <c r="R179" s="337">
        <f>_xlfn.IFNA('PART B Staff Costs'!Q30,0)</f>
        <v>0</v>
      </c>
      <c r="S179" s="442">
        <f>IF(pStartYear+4=pEndYear,IF('PART B Staff Costs'!$G$30="FTE",(R179*R178)*Last_Year_Fraction/12,R179*R178),R179*R178)</f>
        <v>0</v>
      </c>
      <c r="T179" s="338">
        <f>_xlfn.IFNA('PART B Staff Costs'!S30,0)</f>
        <v>0</v>
      </c>
      <c r="U179" s="450">
        <f>IF(pStartYear+5=pEndYear,IF('PART B Staff Costs'!$G$30="FTE",(T179*T178)*Last_Year_Fraction/12,T179*T178),T179*T178)</f>
        <v>0</v>
      </c>
      <c r="V179" s="337">
        <f>_xlfn.IFNA('PART B Staff Costs'!U30,0)</f>
        <v>0</v>
      </c>
      <c r="W179" s="442">
        <f>IF(pStartYear+6=pEndYear,IF('PART B Staff Costs'!$G$30="FTE",(V179*V178)*Last_Year_Fraction/12,V179*V178),V179*V178)</f>
        <v>0</v>
      </c>
      <c r="X179" s="338">
        <f>_xlfn.IFNA('PART B Staff Costs'!W30,0)</f>
        <v>0</v>
      </c>
      <c r="Y179" s="450">
        <f>IF(pStartYear+7=pEndYear,IF('PART B Staff Costs'!$G$30="FTE",(X179*X178)*Last_Year_Fraction/12,X179*X178),X179*X178)</f>
        <v>0</v>
      </c>
      <c r="Z179" s="337">
        <f>_xlfn.IFNA('PART B Staff Costs'!Y30,0)</f>
        <v>0</v>
      </c>
      <c r="AA179" s="442">
        <f>IF(pStartYear+8=pEndYear,IF('PART B Staff Costs'!$G$30="FTE",(Z179*Z178)*Last_Year_Fraction/12,Z179*Z178),Z179*Z178)</f>
        <v>0</v>
      </c>
      <c r="AB179" s="338">
        <f>_xlfn.IFNA('PART B Staff Costs'!AA30,0)</f>
        <v>0</v>
      </c>
      <c r="AC179" s="450">
        <f>IF(pStartYear+9=pEndYear,IF('PART B Staff Costs'!$G$30="FTE",(AB179*AB178)*Last_Year_Fraction/12,AB179*AB178),AB179*AB178)</f>
        <v>0</v>
      </c>
      <c r="AD179" s="335"/>
    </row>
    <row r="180" spans="1:30" x14ac:dyDescent="0.3">
      <c r="A180" s="1182"/>
      <c r="B180" s="1379"/>
      <c r="C180" s="1379"/>
      <c r="D180" s="1379"/>
      <c r="E180" s="1379"/>
      <c r="F180" s="1379"/>
      <c r="G180" s="1379"/>
      <c r="H180" s="1380"/>
      <c r="I180" s="336" t="str">
        <f>IF(tbBudgetCurrency="AUD - Australian Dollar",CONCATENATE("Leave Loading (max of AU$",vl_Max_Leave_Loading,")"),CONCATENATE("Leave Loading (max of ",ROUND(vl_Max_Leave_Loading*new_xrate,2)," ",LEFT(tbBudgetCurrency,3),")"))</f>
        <v>Leave Loading (max of AU$1611.3)</v>
      </c>
      <c r="J180" s="339">
        <f>_xlfn.IFNA(VLOOKUP($D178,tbLeaveLoading,2,FALSE),0)</f>
        <v>0</v>
      </c>
      <c r="K180" s="443">
        <f>IF(K179*J180&gt;vl_Max_Leave_Loading*new_xrate,vl_Max_Leave_Loading*new_xrate,K179*J180)</f>
        <v>0</v>
      </c>
      <c r="L180" s="340">
        <f>_xlfn.IFNA(VLOOKUP($D178,tbLeaveLoading,2,FALSE),0)</f>
        <v>0</v>
      </c>
      <c r="M180" s="451">
        <f>IF(M179*L180&gt;vl_Max_Leave_Loading*new_xrate,vl_Max_Leave_Loading*new_xrate,M179*L180)</f>
        <v>0</v>
      </c>
      <c r="N180" s="339">
        <f>_xlfn.IFNA(VLOOKUP($D178,tbLeaveLoading,2,FALSE),0)</f>
        <v>0</v>
      </c>
      <c r="O180" s="443">
        <f>IF(O179*N180&gt;vl_Max_Leave_Loading*new_xrate,vl_Max_Leave_Loading*new_xrate,O179*N180)</f>
        <v>0</v>
      </c>
      <c r="P180" s="340">
        <f>_xlfn.IFNA(VLOOKUP($D178,tbLeaveLoading,2,FALSE),0)</f>
        <v>0</v>
      </c>
      <c r="Q180" s="451">
        <f>IF(Q179*P180&gt;vl_Max_Leave_Loading*new_xrate,vl_Max_Leave_Loading*new_xrate,Q179*P180)</f>
        <v>0</v>
      </c>
      <c r="R180" s="339">
        <f>_xlfn.IFNA(VLOOKUP($D178,tbLeaveLoading,2,FALSE),0)</f>
        <v>0</v>
      </c>
      <c r="S180" s="443">
        <f>IF(S179*R180&gt;vl_Max_Leave_Loading*new_xrate,vl_Max_Leave_Loading*new_xrate,S179*R180)</f>
        <v>0</v>
      </c>
      <c r="T180" s="340">
        <f>_xlfn.IFNA(VLOOKUP($D178,tbLeaveLoading,2,FALSE),0)</f>
        <v>0</v>
      </c>
      <c r="U180" s="451">
        <f>IF(U179*T180&gt;vl_Max_Leave_Loading*new_xrate,vl_Max_Leave_Loading*new_xrate,U179*T180)</f>
        <v>0</v>
      </c>
      <c r="V180" s="339">
        <f>_xlfn.IFNA(VLOOKUP($D178,tbLeaveLoading,2,FALSE),0)</f>
        <v>0</v>
      </c>
      <c r="W180" s="443">
        <f>IF(W179*V180&gt;vl_Max_Leave_Loading*new_xrate,vl_Max_Leave_Loading*new_xrate,W179*V180)</f>
        <v>0</v>
      </c>
      <c r="X180" s="340">
        <f>_xlfn.IFNA(VLOOKUP($D178,tbLeaveLoading,2,FALSE),0)</f>
        <v>0</v>
      </c>
      <c r="Y180" s="451">
        <f>IF(Y179*X180&gt;vl_Max_Leave_Loading*new_xrate,vl_Max_Leave_Loading*new_xrate,Y179*X180)</f>
        <v>0</v>
      </c>
      <c r="Z180" s="339">
        <f>_xlfn.IFNA(VLOOKUP($D178,tbLeaveLoading,2,FALSE),0)</f>
        <v>0</v>
      </c>
      <c r="AA180" s="443">
        <f>IF(AA179*Z180&gt;vl_Max_Leave_Loading*new_xrate,vl_Max_Leave_Loading*new_xrate,AA179*Z180)</f>
        <v>0</v>
      </c>
      <c r="AB180" s="340">
        <f>_xlfn.IFNA(VLOOKUP($D178,tbLeaveLoading,2,FALSE),0)</f>
        <v>0</v>
      </c>
      <c r="AC180" s="451">
        <f>IF(AC179*AB180&gt;vl_Max_Leave_Loading*new_xrate,vl_Max_Leave_Loading*new_xrate,AC179*AB180)</f>
        <v>0</v>
      </c>
      <c r="AD180" s="335"/>
    </row>
    <row r="181" spans="1:30" x14ac:dyDescent="0.3">
      <c r="A181" s="1182"/>
      <c r="B181" s="1379"/>
      <c r="C181" s="1379"/>
      <c r="D181" s="1379"/>
      <c r="E181" s="1379"/>
      <c r="F181" s="1379"/>
      <c r="G181" s="1379"/>
      <c r="H181" s="1380"/>
      <c r="I181" s="336" t="s">
        <v>314</v>
      </c>
      <c r="J181" s="339">
        <f>_xlfn.IFNA(_xlfn.IFNA(VLOOKUP(CONCATENATE(pStartYear,$D178),tbSuperannuation,4,FALSE),VLOOKUP($D178,tbSuperannuation2026onwards,2,FALSE)),0)</f>
        <v>0</v>
      </c>
      <c r="K181" s="443">
        <f>K179*J181</f>
        <v>0</v>
      </c>
      <c r="L181" s="340">
        <f>_xlfn.IFNA(_xlfn.IFNA(VLOOKUP(CONCATENATE(pStartYear+1,$D178),tbSuperannuation,4,FALSE),VLOOKUP($D178,tbSuperannuation2026onwards,2,FALSE)),0)</f>
        <v>0</v>
      </c>
      <c r="M181" s="451">
        <f t="shared" ref="M181" si="744">M179*L181</f>
        <v>0</v>
      </c>
      <c r="N181" s="339">
        <f>_xlfn.IFNA(_xlfn.IFNA(VLOOKUP(CONCATENATE(pStartYear+2,$D178),tbSuperannuation,4,FALSE),VLOOKUP($D178,tbSuperannuation2026onwards,2,FALSE)),0)</f>
        <v>0</v>
      </c>
      <c r="O181" s="443">
        <f>O179*N181</f>
        <v>0</v>
      </c>
      <c r="P181" s="340">
        <f>_xlfn.IFNA(_xlfn.IFNA(VLOOKUP(CONCATENATE(pStartYear+3,$D178),tbSuperannuation,4,FALSE),VLOOKUP($D178,tbSuperannuation2026onwards,2,FALSE)),0)</f>
        <v>0</v>
      </c>
      <c r="Q181" s="451">
        <f t="shared" ref="Q181" si="745">Q179*P181</f>
        <v>0</v>
      </c>
      <c r="R181" s="339">
        <f>_xlfn.IFNA(_xlfn.IFNA(VLOOKUP(CONCATENATE(pStartYear+4,$D178),tbSuperannuation,4,FALSE),VLOOKUP($D178,tbSuperannuation2026onwards,2,FALSE)),0)</f>
        <v>0</v>
      </c>
      <c r="S181" s="443">
        <f>S179*R181</f>
        <v>0</v>
      </c>
      <c r="T181" s="340">
        <f>_xlfn.IFNA(_xlfn.IFNA(VLOOKUP(CONCATENATE(pStartYear+5,$D178),tbSuperannuation,4,FALSE),VLOOKUP($D178,tbSuperannuation2026onwards,2,FALSE)),0)</f>
        <v>0</v>
      </c>
      <c r="U181" s="451">
        <f t="shared" ref="U181" si="746">U179*T181</f>
        <v>0</v>
      </c>
      <c r="V181" s="339">
        <f>_xlfn.IFNA(_xlfn.IFNA(VLOOKUP(CONCATENATE(pStartYear+6,$D178),tbSuperannuation,4,FALSE),VLOOKUP($D178,tbSuperannuation2026onwards,2,FALSE)),0)</f>
        <v>0</v>
      </c>
      <c r="W181" s="443">
        <f>W179*V181</f>
        <v>0</v>
      </c>
      <c r="X181" s="340">
        <f>_xlfn.IFNA(_xlfn.IFNA(VLOOKUP(CONCATENATE(pStartYear+7,$D178),tbSuperannuation,4,FALSE),VLOOKUP($D178,tbSuperannuation2026onwards,2,FALSE)),0)</f>
        <v>0</v>
      </c>
      <c r="Y181" s="451">
        <f t="shared" ref="Y181" si="747">Y179*X181</f>
        <v>0</v>
      </c>
      <c r="Z181" s="339">
        <f>_xlfn.IFNA(_xlfn.IFNA(VLOOKUP(CONCATENATE(pStartYear+8,$D178),tbSuperannuation,4,FALSE),VLOOKUP($D178,tbSuperannuation2026onwards,2,FALSE)),0)</f>
        <v>0</v>
      </c>
      <c r="AA181" s="443">
        <f>AA179*Z181</f>
        <v>0</v>
      </c>
      <c r="AB181" s="340">
        <f>_xlfn.IFNA(_xlfn.IFNA(VLOOKUP(CONCATENATE(pStartYear+9,$D178),tbSuperannuation,4,FALSE),VLOOKUP($D178,tbSuperannuation2026onwards,2,FALSE)),0)</f>
        <v>0</v>
      </c>
      <c r="AC181" s="451">
        <f t="shared" ref="AC181" si="748">AC179*AB181</f>
        <v>0</v>
      </c>
      <c r="AD181" s="335"/>
    </row>
    <row r="182" spans="1:30" x14ac:dyDescent="0.3">
      <c r="A182" s="1182"/>
      <c r="B182" s="1379"/>
      <c r="C182" s="1379"/>
      <c r="D182" s="1379"/>
      <c r="E182" s="1379"/>
      <c r="F182" s="1379"/>
      <c r="G182" s="1379"/>
      <c r="H182" s="1380"/>
      <c r="I182" s="341" t="s">
        <v>315</v>
      </c>
      <c r="J182" s="342"/>
      <c r="K182" s="444">
        <f>K180+K181+K179</f>
        <v>0</v>
      </c>
      <c r="L182" s="342"/>
      <c r="M182" s="444">
        <f t="shared" ref="M182" si="749">M180+M181+M179</f>
        <v>0</v>
      </c>
      <c r="N182" s="342"/>
      <c r="O182" s="444">
        <f>O180+O181+O179</f>
        <v>0</v>
      </c>
      <c r="P182" s="342"/>
      <c r="Q182" s="444">
        <f t="shared" ref="Q182" si="750">Q180+Q181+Q179</f>
        <v>0</v>
      </c>
      <c r="R182" s="342"/>
      <c r="S182" s="444">
        <f>S180+S181+S179</f>
        <v>0</v>
      </c>
      <c r="T182" s="342"/>
      <c r="U182" s="444">
        <f t="shared" ref="U182" si="751">U180+U181+U179</f>
        <v>0</v>
      </c>
      <c r="V182" s="342"/>
      <c r="W182" s="444">
        <f>W180+W181+W179</f>
        <v>0</v>
      </c>
      <c r="X182" s="342"/>
      <c r="Y182" s="444">
        <f t="shared" ref="Y182" si="752">Y180+Y181+Y179</f>
        <v>0</v>
      </c>
      <c r="Z182" s="342"/>
      <c r="AA182" s="444">
        <f>AA180+AA181+AA179</f>
        <v>0</v>
      </c>
      <c r="AB182" s="342"/>
      <c r="AC182" s="444">
        <f t="shared" ref="AC182" si="753">AC180+AC181+AC179</f>
        <v>0</v>
      </c>
      <c r="AD182" s="335">
        <f t="shared" ref="AD182:AD252" si="754">IFERROR($K182+$M182+$O182+$Q182+$S182+$U182+$W182+$Y182+$AA182+$AC182,0)</f>
        <v>0</v>
      </c>
    </row>
    <row r="183" spans="1:30" x14ac:dyDescent="0.3">
      <c r="A183" s="1182"/>
      <c r="B183" s="1379"/>
      <c r="C183" s="1379"/>
      <c r="D183" s="1379"/>
      <c r="E183" s="1379"/>
      <c r="F183" s="1379"/>
      <c r="G183" s="1379"/>
      <c r="H183" s="1380"/>
      <c r="I183" s="336" t="s">
        <v>316</v>
      </c>
      <c r="J183" s="339">
        <f>_xlfn.IFNA(_xlfn.IFNA(VLOOKUP(pStartYear,tbPayrollTax,2,FALSE),vl_MaxPayrollTax),0)</f>
        <v>5.8500000000000003E-2</v>
      </c>
      <c r="K183" s="443">
        <f>J183*K182</f>
        <v>0</v>
      </c>
      <c r="L183" s="340">
        <f>_xlfn.IFNA(_xlfn.IFNA(VLOOKUP(pStartYear+1,tbPayrollTax,2,FALSE),vl_MaxPayrollTax),0)</f>
        <v>5.8500000000000003E-2</v>
      </c>
      <c r="M183" s="451">
        <f t="shared" ref="M183" si="755">L183*M182</f>
        <v>0</v>
      </c>
      <c r="N183" s="339">
        <f>_xlfn.IFNA(_xlfn.IFNA(VLOOKUP(pStartYear+2,tbPayrollTax,2,FALSE),vl_MaxPayrollTax),0)</f>
        <v>5.8500000000000003E-2</v>
      </c>
      <c r="O183" s="443">
        <f>N183*O182</f>
        <v>0</v>
      </c>
      <c r="P183" s="340">
        <f>_xlfn.IFNA(_xlfn.IFNA(VLOOKUP(pStartYear+3,tbPayrollTax,2,FALSE),vl_MaxPayrollTax),0)</f>
        <v>5.8500000000000003E-2</v>
      </c>
      <c r="Q183" s="451">
        <f t="shared" ref="Q183" si="756">P183*Q182</f>
        <v>0</v>
      </c>
      <c r="R183" s="339">
        <f>_xlfn.IFNA(_xlfn.IFNA(VLOOKUP(pStartYear+4,tbPayrollTax,2,FALSE),vl_MaxPayrollTax),0)</f>
        <v>5.8500000000000003E-2</v>
      </c>
      <c r="S183" s="443">
        <f>R183*S182</f>
        <v>0</v>
      </c>
      <c r="T183" s="340">
        <f>_xlfn.IFNA(_xlfn.IFNA(VLOOKUP(pStartYear+5,tbPayrollTax,2,FALSE),vl_MaxPayrollTax),0)</f>
        <v>5.8500000000000003E-2</v>
      </c>
      <c r="U183" s="451">
        <f t="shared" ref="U183" si="757">T183*U182</f>
        <v>0</v>
      </c>
      <c r="V183" s="339">
        <f>_xlfn.IFNA(_xlfn.IFNA(VLOOKUP(pStartYear+6,tbPayrollTax,2,FALSE),vl_MaxPayrollTax),0)</f>
        <v>5.8500000000000003E-2</v>
      </c>
      <c r="W183" s="443">
        <f>V183*W182</f>
        <v>0</v>
      </c>
      <c r="X183" s="340">
        <f>_xlfn.IFNA(_xlfn.IFNA(VLOOKUP(pStartYear+7,tbPayrollTax,2,FALSE),vl_MaxPayrollTax),0)</f>
        <v>5.8500000000000003E-2</v>
      </c>
      <c r="Y183" s="451">
        <f t="shared" ref="Y183" si="758">X183*Y182</f>
        <v>0</v>
      </c>
      <c r="Z183" s="339">
        <f>_xlfn.IFNA(_xlfn.IFNA(VLOOKUP(pStartYear+8,tbPayrollTax,2,FALSE),vl_MaxPayrollTax),0)</f>
        <v>5.8500000000000003E-2</v>
      </c>
      <c r="AA183" s="443">
        <f>Z183*AA182</f>
        <v>0</v>
      </c>
      <c r="AB183" s="340">
        <f>_xlfn.IFNA(_xlfn.IFNA(VLOOKUP(pStartYear+9,tbPayrollTax,2,FALSE),vl_MaxPayrollTax),0)</f>
        <v>5.8500000000000003E-2</v>
      </c>
      <c r="AC183" s="451">
        <f t="shared" ref="AC183" si="759">AB183*AC182</f>
        <v>0</v>
      </c>
      <c r="AD183" s="335"/>
    </row>
    <row r="184" spans="1:30" x14ac:dyDescent="0.3">
      <c r="A184" s="1182"/>
      <c r="B184" s="1379"/>
      <c r="C184" s="1379"/>
      <c r="D184" s="1379"/>
      <c r="E184" s="1379"/>
      <c r="F184" s="1379"/>
      <c r="G184" s="1379"/>
      <c r="H184" s="1380"/>
      <c r="I184" s="336" t="s">
        <v>317</v>
      </c>
      <c r="J184" s="339">
        <f>_xlfn.IFNA(VLOOKUP($D178,tbWorkCover,2,FALSE),0)</f>
        <v>0</v>
      </c>
      <c r="K184" s="443">
        <f>J184*K182</f>
        <v>0</v>
      </c>
      <c r="L184" s="340">
        <f>_xlfn.IFNA(VLOOKUP($D178,tbWorkCover,2,FALSE),0)</f>
        <v>0</v>
      </c>
      <c r="M184" s="451">
        <f t="shared" ref="M184" si="760">L184*M182</f>
        <v>0</v>
      </c>
      <c r="N184" s="339">
        <f>_xlfn.IFNA(VLOOKUP($D178,tbWorkCover,2,FALSE),0)</f>
        <v>0</v>
      </c>
      <c r="O184" s="443">
        <f>N184*O182</f>
        <v>0</v>
      </c>
      <c r="P184" s="340">
        <f>_xlfn.IFNA(VLOOKUP($D178,tbWorkCover,2,FALSE),0)</f>
        <v>0</v>
      </c>
      <c r="Q184" s="451">
        <f t="shared" ref="Q184" si="761">P184*Q182</f>
        <v>0</v>
      </c>
      <c r="R184" s="339">
        <f>_xlfn.IFNA(VLOOKUP($D178,tbWorkCover,2,FALSE),0)</f>
        <v>0</v>
      </c>
      <c r="S184" s="443">
        <f>R184*S182</f>
        <v>0</v>
      </c>
      <c r="T184" s="340">
        <f>_xlfn.IFNA(VLOOKUP($D178,tbWorkCover,2,FALSE),0)</f>
        <v>0</v>
      </c>
      <c r="U184" s="451">
        <f t="shared" ref="U184" si="762">T184*U182</f>
        <v>0</v>
      </c>
      <c r="V184" s="339">
        <f>_xlfn.IFNA(VLOOKUP($D178,tbWorkCover,2,FALSE),0)</f>
        <v>0</v>
      </c>
      <c r="W184" s="443">
        <f>V184*W182</f>
        <v>0</v>
      </c>
      <c r="X184" s="340">
        <f>_xlfn.IFNA(VLOOKUP($D178,tbWorkCover,2,FALSE),0)</f>
        <v>0</v>
      </c>
      <c r="Y184" s="451">
        <f t="shared" ref="Y184" si="763">X184*Y182</f>
        <v>0</v>
      </c>
      <c r="Z184" s="339">
        <f>_xlfn.IFNA(VLOOKUP($D178,tbWorkCover,2,FALSE),0)</f>
        <v>0</v>
      </c>
      <c r="AA184" s="443">
        <f>Z184*AA182</f>
        <v>0</v>
      </c>
      <c r="AB184" s="340">
        <f>_xlfn.IFNA(VLOOKUP($D178,tbWorkCover,2,FALSE),0)</f>
        <v>0</v>
      </c>
      <c r="AC184" s="451">
        <f t="shared" ref="AC184" si="764">AB184*AC182</f>
        <v>0</v>
      </c>
      <c r="AD184" s="335"/>
    </row>
    <row r="185" spans="1:30" x14ac:dyDescent="0.3">
      <c r="A185" s="1182"/>
      <c r="B185" s="1379"/>
      <c r="C185" s="1379"/>
      <c r="D185" s="1379"/>
      <c r="E185" s="1379"/>
      <c r="F185" s="1379"/>
      <c r="G185" s="1379"/>
      <c r="H185" s="1380"/>
      <c r="I185" s="336" t="s">
        <v>318</v>
      </c>
      <c r="J185" s="339">
        <f>_xlfn.IFNA(VLOOKUP($D178,tbLongServiceLeave,2,FALSE),0)</f>
        <v>0</v>
      </c>
      <c r="K185" s="443">
        <f>J185*K179</f>
        <v>0</v>
      </c>
      <c r="L185" s="340">
        <f>_xlfn.IFNA(VLOOKUP($D178,tbLongServiceLeave,2,FALSE),0)</f>
        <v>0</v>
      </c>
      <c r="M185" s="451">
        <f t="shared" ref="M185" si="765">L185*M179</f>
        <v>0</v>
      </c>
      <c r="N185" s="339">
        <f>_xlfn.IFNA(VLOOKUP($D178,tbLongServiceLeave,2,FALSE),0)</f>
        <v>0</v>
      </c>
      <c r="O185" s="443">
        <f>N185*O179</f>
        <v>0</v>
      </c>
      <c r="P185" s="340">
        <f>_xlfn.IFNA(VLOOKUP($D178,tbLongServiceLeave,2,FALSE),0)</f>
        <v>0</v>
      </c>
      <c r="Q185" s="451">
        <f t="shared" ref="Q185" si="766">P185*Q179</f>
        <v>0</v>
      </c>
      <c r="R185" s="339">
        <f>_xlfn.IFNA(VLOOKUP($D178,tbLongServiceLeave,2,FALSE),0)</f>
        <v>0</v>
      </c>
      <c r="S185" s="443">
        <f>R185*S179</f>
        <v>0</v>
      </c>
      <c r="T185" s="340">
        <f>_xlfn.IFNA(VLOOKUP($D178,tbLongServiceLeave,2,FALSE),0)</f>
        <v>0</v>
      </c>
      <c r="U185" s="451">
        <f t="shared" ref="U185" si="767">T185*U179</f>
        <v>0</v>
      </c>
      <c r="V185" s="339">
        <f>_xlfn.IFNA(VLOOKUP($D178,tbLongServiceLeave,2,FALSE),0)</f>
        <v>0</v>
      </c>
      <c r="W185" s="443">
        <f>V185*W179</f>
        <v>0</v>
      </c>
      <c r="X185" s="340">
        <f>_xlfn.IFNA(VLOOKUP($D178,tbLongServiceLeave,2,FALSE),0)</f>
        <v>0</v>
      </c>
      <c r="Y185" s="451">
        <f t="shared" ref="Y185" si="768">X185*Y179</f>
        <v>0</v>
      </c>
      <c r="Z185" s="339">
        <f>_xlfn.IFNA(VLOOKUP($D178,tbLongServiceLeave,2,FALSE),0)</f>
        <v>0</v>
      </c>
      <c r="AA185" s="443">
        <f>Z185*AA179</f>
        <v>0</v>
      </c>
      <c r="AB185" s="340">
        <f>_xlfn.IFNA(VLOOKUP($D178,tbLongServiceLeave,2,FALSE),0)</f>
        <v>0</v>
      </c>
      <c r="AC185" s="451">
        <f t="shared" ref="AC185" si="769">AB185*AC179</f>
        <v>0</v>
      </c>
      <c r="AD185" s="335"/>
    </row>
    <row r="186" spans="1:30" x14ac:dyDescent="0.3">
      <c r="A186" s="1182"/>
      <c r="B186" s="1379"/>
      <c r="C186" s="1379"/>
      <c r="D186" s="1379"/>
      <c r="E186" s="1379"/>
      <c r="F186" s="1379"/>
      <c r="G186" s="1379"/>
      <c r="H186" s="1380"/>
      <c r="I186" s="336" t="s">
        <v>319</v>
      </c>
      <c r="J186" s="339">
        <f>_xlfn.IFNA(VLOOKUP($D178,tbParentalLeave,2,FALSE),0)</f>
        <v>0</v>
      </c>
      <c r="K186" s="443">
        <f>J186*K179</f>
        <v>0</v>
      </c>
      <c r="L186" s="340">
        <f>_xlfn.IFNA(VLOOKUP($D178,tbParentalLeave,2,FALSE),0)</f>
        <v>0</v>
      </c>
      <c r="M186" s="451">
        <f t="shared" ref="M186" si="770">L186*M179</f>
        <v>0</v>
      </c>
      <c r="N186" s="339">
        <f>_xlfn.IFNA(VLOOKUP($D178,tbParentalLeave,2,FALSE),0)</f>
        <v>0</v>
      </c>
      <c r="O186" s="443">
        <f>N186*O179</f>
        <v>0</v>
      </c>
      <c r="P186" s="340">
        <f>_xlfn.IFNA(VLOOKUP($D178,tbParentalLeave,2,FALSE),0)</f>
        <v>0</v>
      </c>
      <c r="Q186" s="451">
        <f t="shared" ref="Q186" si="771">P186*Q179</f>
        <v>0</v>
      </c>
      <c r="R186" s="339">
        <f>_xlfn.IFNA(VLOOKUP($D178,tbParentalLeave,2,FALSE),0)</f>
        <v>0</v>
      </c>
      <c r="S186" s="443">
        <f>R186*S179</f>
        <v>0</v>
      </c>
      <c r="T186" s="340">
        <f>_xlfn.IFNA(VLOOKUP($D178,tbParentalLeave,2,FALSE),0)</f>
        <v>0</v>
      </c>
      <c r="U186" s="451">
        <f t="shared" ref="U186" si="772">T186*U179</f>
        <v>0</v>
      </c>
      <c r="V186" s="339">
        <f>_xlfn.IFNA(VLOOKUP($D178,tbParentalLeave,2,FALSE),0)</f>
        <v>0</v>
      </c>
      <c r="W186" s="443">
        <f>V186*W179</f>
        <v>0</v>
      </c>
      <c r="X186" s="340">
        <f>_xlfn.IFNA(VLOOKUP($D178,tbParentalLeave,2,FALSE),0)</f>
        <v>0</v>
      </c>
      <c r="Y186" s="451">
        <f t="shared" ref="Y186" si="773">X186*Y179</f>
        <v>0</v>
      </c>
      <c r="Z186" s="339">
        <f>_xlfn.IFNA(VLOOKUP($D178,tbParentalLeave,2,FALSE),0)</f>
        <v>0</v>
      </c>
      <c r="AA186" s="443">
        <f>Z186*AA179</f>
        <v>0</v>
      </c>
      <c r="AB186" s="340">
        <f>_xlfn.IFNA(VLOOKUP($D178,tbParentalLeave,2,FALSE),0)</f>
        <v>0</v>
      </c>
      <c r="AC186" s="451">
        <f t="shared" ref="AC186" si="774">AB186*AC179</f>
        <v>0</v>
      </c>
      <c r="AD186" s="335"/>
    </row>
    <row r="187" spans="1:30" x14ac:dyDescent="0.3">
      <c r="A187" s="1182"/>
      <c r="B187" s="1379"/>
      <c r="C187" s="1379"/>
      <c r="D187" s="1379"/>
      <c r="E187" s="1379"/>
      <c r="F187" s="1379"/>
      <c r="G187" s="1379"/>
      <c r="H187" s="1380"/>
      <c r="I187" s="437" t="s">
        <v>320</v>
      </c>
      <c r="J187" s="438">
        <f>vl_overridden_uom_oncosts_per</f>
        <v>0</v>
      </c>
      <c r="K187" s="445">
        <f>J187*K179</f>
        <v>0</v>
      </c>
      <c r="L187" s="438">
        <f>vl_overridden_uom_oncosts_per</f>
        <v>0</v>
      </c>
      <c r="M187" s="445">
        <f>L187*M179</f>
        <v>0</v>
      </c>
      <c r="N187" s="438">
        <f>vl_overridden_uom_oncosts_per</f>
        <v>0</v>
      </c>
      <c r="O187" s="445">
        <f t="shared" ref="O187" si="775">N187*O179</f>
        <v>0</v>
      </c>
      <c r="P187" s="438">
        <f>vl_overridden_uom_oncosts_per</f>
        <v>0</v>
      </c>
      <c r="Q187" s="445">
        <f t="shared" ref="Q187" si="776">P187*Q179</f>
        <v>0</v>
      </c>
      <c r="R187" s="438">
        <f>vl_overridden_uom_oncosts_per</f>
        <v>0</v>
      </c>
      <c r="S187" s="445">
        <f t="shared" ref="S187" si="777">R187*S179</f>
        <v>0</v>
      </c>
      <c r="T187" s="438">
        <f>vl_overridden_uom_oncosts_per</f>
        <v>0</v>
      </c>
      <c r="U187" s="445">
        <f t="shared" ref="U187" si="778">T187*U179</f>
        <v>0</v>
      </c>
      <c r="V187" s="438">
        <f>vl_overridden_uom_oncosts_per</f>
        <v>0</v>
      </c>
      <c r="W187" s="445">
        <f t="shared" ref="W187" si="779">V187*W179</f>
        <v>0</v>
      </c>
      <c r="X187" s="438">
        <f>vl_overridden_uom_oncosts_per</f>
        <v>0</v>
      </c>
      <c r="Y187" s="445">
        <f t="shared" ref="Y187" si="780">X187*Y179</f>
        <v>0</v>
      </c>
      <c r="Z187" s="438">
        <f>vl_overridden_uom_oncosts_per</f>
        <v>0</v>
      </c>
      <c r="AA187" s="445">
        <f t="shared" ref="AA187" si="781">Z187*AA179</f>
        <v>0</v>
      </c>
      <c r="AB187" s="438">
        <f>vl_overridden_uom_oncosts_per</f>
        <v>0</v>
      </c>
      <c r="AC187" s="445">
        <f t="shared" ref="AC187" si="782">AB187*AC179</f>
        <v>0</v>
      </c>
      <c r="AD187" s="335"/>
    </row>
    <row r="188" spans="1:30" x14ac:dyDescent="0.3">
      <c r="A188" s="1182"/>
      <c r="B188" s="1379"/>
      <c r="C188" s="1379"/>
      <c r="D188" s="1379"/>
      <c r="E188" s="1379"/>
      <c r="F188" s="1379"/>
      <c r="G188" s="1379"/>
      <c r="H188" s="1380"/>
      <c r="I188" s="341" t="s">
        <v>321</v>
      </c>
      <c r="J188" s="342"/>
      <c r="K188" s="444">
        <f>SUM(K182:K187)</f>
        <v>0</v>
      </c>
      <c r="L188" s="342"/>
      <c r="M188" s="444">
        <f t="shared" ref="M188" si="783">SUM(M182:M187)</f>
        <v>0</v>
      </c>
      <c r="N188" s="342"/>
      <c r="O188" s="444">
        <f t="shared" ref="O188" si="784">SUM(O182:O187)</f>
        <v>0</v>
      </c>
      <c r="P188" s="342"/>
      <c r="Q188" s="444">
        <f t="shared" ref="Q188" si="785">SUM(Q182:Q187)</f>
        <v>0</v>
      </c>
      <c r="R188" s="342"/>
      <c r="S188" s="444">
        <f t="shared" ref="S188" si="786">SUM(S182:S187)</f>
        <v>0</v>
      </c>
      <c r="T188" s="342"/>
      <c r="U188" s="444">
        <f t="shared" ref="U188" si="787">SUM(U182:U187)</f>
        <v>0</v>
      </c>
      <c r="V188" s="342"/>
      <c r="W188" s="444">
        <f t="shared" ref="W188" si="788">SUM(W182:W187)</f>
        <v>0</v>
      </c>
      <c r="X188" s="342"/>
      <c r="Y188" s="444">
        <f t="shared" ref="Y188" si="789">SUM(Y182:Y187)</f>
        <v>0</v>
      </c>
      <c r="Z188" s="342"/>
      <c r="AA188" s="444">
        <f t="shared" ref="AA188" si="790">SUM(AA182:AA187)</f>
        <v>0</v>
      </c>
      <c r="AB188" s="342"/>
      <c r="AC188" s="444">
        <f t="shared" ref="AC188" si="791">SUM(AC182:AC187)</f>
        <v>0</v>
      </c>
      <c r="AD188" s="335">
        <f t="shared" si="754"/>
        <v>0</v>
      </c>
    </row>
    <row r="189" spans="1:30" x14ac:dyDescent="0.3">
      <c r="A189" s="1182"/>
      <c r="B189" s="1379"/>
      <c r="C189" s="1379"/>
      <c r="D189" s="1379"/>
      <c r="E189" s="1379"/>
      <c r="F189" s="1379"/>
      <c r="G189" s="1379"/>
      <c r="H189" s="1380"/>
      <c r="I189" s="336" t="s">
        <v>322</v>
      </c>
      <c r="J189" s="339">
        <f>_xlfn.IFNA(VLOOKUP($D178,tbAnnualLeaveProvision,2,FALSE),0)</f>
        <v>0</v>
      </c>
      <c r="K189" s="443">
        <f>J189*K179</f>
        <v>0</v>
      </c>
      <c r="L189" s="340">
        <f>_xlfn.IFNA(VLOOKUP($D178,tbAnnualLeaveProvision,2,FALSE),0)</f>
        <v>0</v>
      </c>
      <c r="M189" s="451">
        <f t="shared" ref="M189" si="792">L189*M179</f>
        <v>0</v>
      </c>
      <c r="N189" s="339">
        <f>_xlfn.IFNA(VLOOKUP($D178,tbAnnualLeaveProvision,2,FALSE),0)</f>
        <v>0</v>
      </c>
      <c r="O189" s="443">
        <f>N189*O179</f>
        <v>0</v>
      </c>
      <c r="P189" s="340">
        <f>_xlfn.IFNA(VLOOKUP($D178,tbAnnualLeaveProvision,2,FALSE),0)</f>
        <v>0</v>
      </c>
      <c r="Q189" s="451">
        <f t="shared" ref="Q189" si="793">P189*Q179</f>
        <v>0</v>
      </c>
      <c r="R189" s="339">
        <f>_xlfn.IFNA(VLOOKUP($D178,tbAnnualLeaveProvision,2,FALSE),0)</f>
        <v>0</v>
      </c>
      <c r="S189" s="443">
        <f>R189*S179</f>
        <v>0</v>
      </c>
      <c r="T189" s="340">
        <f>_xlfn.IFNA(VLOOKUP($D178,tbAnnualLeaveProvision,2,FALSE),0)</f>
        <v>0</v>
      </c>
      <c r="U189" s="451">
        <f t="shared" ref="U189" si="794">T189*U179</f>
        <v>0</v>
      </c>
      <c r="V189" s="339">
        <f>_xlfn.IFNA(VLOOKUP($D178,tbAnnualLeaveProvision,2,FALSE),0)</f>
        <v>0</v>
      </c>
      <c r="W189" s="443">
        <f>V189*W179</f>
        <v>0</v>
      </c>
      <c r="X189" s="340">
        <f>_xlfn.IFNA(VLOOKUP($D178,tbAnnualLeaveProvision,2,FALSE),0)</f>
        <v>0</v>
      </c>
      <c r="Y189" s="451">
        <f t="shared" ref="Y189" si="795">X189*Y179</f>
        <v>0</v>
      </c>
      <c r="Z189" s="339">
        <f>_xlfn.IFNA(VLOOKUP($D178,tbAnnualLeaveProvision,2,FALSE),0)</f>
        <v>0</v>
      </c>
      <c r="AA189" s="443">
        <f>Z189*AA179</f>
        <v>0</v>
      </c>
      <c r="AB189" s="340">
        <f>_xlfn.IFNA(VLOOKUP($D178,tbAnnualLeaveProvision,2,FALSE),0)</f>
        <v>0</v>
      </c>
      <c r="AC189" s="451">
        <f t="shared" ref="AC189" si="796">AB189*AC179</f>
        <v>0</v>
      </c>
      <c r="AD189" s="335"/>
    </row>
    <row r="190" spans="1:30" x14ac:dyDescent="0.3">
      <c r="A190" s="1182"/>
      <c r="B190" s="1379"/>
      <c r="C190" s="1379"/>
      <c r="D190" s="1379"/>
      <c r="E190" s="1379"/>
      <c r="F190" s="1379"/>
      <c r="G190" s="1379"/>
      <c r="H190" s="1380"/>
      <c r="I190" s="336" t="s">
        <v>330</v>
      </c>
      <c r="J190" s="339"/>
      <c r="K190" s="446">
        <f>K188+K189</f>
        <v>0</v>
      </c>
      <c r="L190" s="340"/>
      <c r="M190" s="452">
        <f t="shared" ref="M190" si="797">M188+M189</f>
        <v>0</v>
      </c>
      <c r="N190" s="339"/>
      <c r="O190" s="446">
        <f>O188+O189</f>
        <v>0</v>
      </c>
      <c r="P190" s="340"/>
      <c r="Q190" s="452">
        <f t="shared" ref="Q190" si="798">Q188+Q189</f>
        <v>0</v>
      </c>
      <c r="R190" s="339"/>
      <c r="S190" s="446">
        <f>S188+S189</f>
        <v>0</v>
      </c>
      <c r="T190" s="340"/>
      <c r="U190" s="452">
        <f t="shared" ref="U190" si="799">U188+U189</f>
        <v>0</v>
      </c>
      <c r="V190" s="339"/>
      <c r="W190" s="446">
        <f>W188+W189</f>
        <v>0</v>
      </c>
      <c r="X190" s="340"/>
      <c r="Y190" s="452">
        <f t="shared" ref="Y190" si="800">Y188+Y189</f>
        <v>0</v>
      </c>
      <c r="Z190" s="339"/>
      <c r="AA190" s="446">
        <f>AA188+AA189</f>
        <v>0</v>
      </c>
      <c r="AB190" s="340"/>
      <c r="AC190" s="452">
        <f t="shared" ref="AC190" si="801">AC188+AC189</f>
        <v>0</v>
      </c>
      <c r="AD190" s="335"/>
    </row>
    <row r="191" spans="1:30" x14ac:dyDescent="0.3">
      <c r="A191" s="1182"/>
      <c r="B191" s="1379"/>
      <c r="C191" s="1379"/>
      <c r="D191" s="1379"/>
      <c r="E191" s="1379"/>
      <c r="F191" s="1379"/>
      <c r="G191" s="1379"/>
      <c r="H191" s="1380"/>
      <c r="I191" s="343" t="s">
        <v>324</v>
      </c>
      <c r="J191" s="344"/>
      <c r="K191" s="443">
        <f>IFERROR(-(K188/vl_working_days_per_year)*J191,0)</f>
        <v>0</v>
      </c>
      <c r="L191" s="345"/>
      <c r="M191" s="451">
        <f>IFERROR(-(M188/vl_working_days_per_year)*L191,0)</f>
        <v>0</v>
      </c>
      <c r="N191" s="344"/>
      <c r="O191" s="443">
        <f>-(O188/vl_working_days_per_year)*N191</f>
        <v>0</v>
      </c>
      <c r="P191" s="345"/>
      <c r="Q191" s="451">
        <f>-(Q188/vl_working_days_per_year)*P191</f>
        <v>0</v>
      </c>
      <c r="R191" s="344"/>
      <c r="S191" s="443">
        <f>-(S188/vl_working_days_per_year)*R191</f>
        <v>0</v>
      </c>
      <c r="T191" s="345"/>
      <c r="U191" s="451">
        <f>-(U188/vl_working_days_per_year)*T191</f>
        <v>0</v>
      </c>
      <c r="V191" s="344"/>
      <c r="W191" s="443">
        <f>-(W188/vl_working_days_per_year)*V191</f>
        <v>0</v>
      </c>
      <c r="X191" s="345"/>
      <c r="Y191" s="451">
        <f>-(Y188/vl_working_days_per_year)*X191</f>
        <v>0</v>
      </c>
      <c r="Z191" s="344"/>
      <c r="AA191" s="443">
        <f>-(AA188/vl_working_days_per_year)*Z191</f>
        <v>0</v>
      </c>
      <c r="AB191" s="345"/>
      <c r="AC191" s="451">
        <f>-(AC188/vl_working_days_per_year)*AB191</f>
        <v>0</v>
      </c>
      <c r="AD191" s="335">
        <f t="shared" si="754"/>
        <v>0</v>
      </c>
    </row>
    <row r="192" spans="1:30" x14ac:dyDescent="0.3">
      <c r="A192" s="1182"/>
      <c r="B192" s="1379"/>
      <c r="C192" s="1379"/>
      <c r="D192" s="1379"/>
      <c r="E192" s="1379"/>
      <c r="F192" s="1379"/>
      <c r="G192" s="1379"/>
      <c r="H192" s="1380"/>
      <c r="I192" s="341" t="s">
        <v>325</v>
      </c>
      <c r="J192" s="346"/>
      <c r="K192" s="444">
        <f>K190+K191</f>
        <v>0</v>
      </c>
      <c r="L192" s="346"/>
      <c r="M192" s="444">
        <f t="shared" ref="M192" si="802">M190+M191</f>
        <v>0</v>
      </c>
      <c r="N192" s="346"/>
      <c r="O192" s="444">
        <f>O190+O191</f>
        <v>0</v>
      </c>
      <c r="P192" s="346"/>
      <c r="Q192" s="444">
        <f t="shared" ref="Q192" si="803">Q190+Q191</f>
        <v>0</v>
      </c>
      <c r="R192" s="346"/>
      <c r="S192" s="444">
        <f>S190+S191</f>
        <v>0</v>
      </c>
      <c r="T192" s="346"/>
      <c r="U192" s="444">
        <f t="shared" ref="U192" si="804">U190+U191</f>
        <v>0</v>
      </c>
      <c r="V192" s="346"/>
      <c r="W192" s="444">
        <f>W190+W191</f>
        <v>0</v>
      </c>
      <c r="X192" s="346"/>
      <c r="Y192" s="444">
        <f t="shared" ref="Y192" si="805">Y190+Y191</f>
        <v>0</v>
      </c>
      <c r="Z192" s="346"/>
      <c r="AA192" s="444">
        <f>AA190+AA191</f>
        <v>0</v>
      </c>
      <c r="AB192" s="346"/>
      <c r="AC192" s="444">
        <f t="shared" ref="AC192" si="806">AC190+AC191</f>
        <v>0</v>
      </c>
      <c r="AD192" s="335">
        <f t="shared" si="754"/>
        <v>0</v>
      </c>
    </row>
    <row r="193" spans="1:56" s="1" customFormat="1" ht="15" customHeight="1" x14ac:dyDescent="0.3">
      <c r="A193" s="727"/>
      <c r="B193" s="1379"/>
      <c r="C193" s="1379"/>
      <c r="D193" s="1379"/>
      <c r="E193" s="1379"/>
      <c r="F193" s="1379"/>
      <c r="G193" s="1379"/>
      <c r="H193" s="1380"/>
      <c r="I193" s="382" t="s">
        <v>326</v>
      </c>
      <c r="J193" s="383">
        <f>IFERROR(K193/K179,0)</f>
        <v>0</v>
      </c>
      <c r="K193" s="447">
        <f>SUM(K180:K181,K183:K186,K189)</f>
        <v>0</v>
      </c>
      <c r="L193" s="434">
        <f>IFERROR(M193/M179,0)</f>
        <v>0</v>
      </c>
      <c r="M193" s="453">
        <f t="shared" ref="M193" si="807">SUM(M180:M181,M183:M186,M189)</f>
        <v>0</v>
      </c>
      <c r="N193" s="383">
        <f t="shared" ref="N193" si="808">IFERROR(O193/O179,0)</f>
        <v>0</v>
      </c>
      <c r="O193" s="447">
        <f t="shared" ref="O193" si="809">SUM(O180:O181,O183:O186,O189)</f>
        <v>0</v>
      </c>
      <c r="P193" s="434">
        <f t="shared" ref="P193" si="810">IFERROR(Q193/Q179,0)</f>
        <v>0</v>
      </c>
      <c r="Q193" s="453">
        <f t="shared" ref="Q193" si="811">SUM(Q180:Q181,Q183:Q186,Q189)</f>
        <v>0</v>
      </c>
      <c r="R193" s="383">
        <f t="shared" ref="R193" si="812">IFERROR(S193/S179,0)</f>
        <v>0</v>
      </c>
      <c r="S193" s="447">
        <f t="shared" ref="S193" si="813">SUM(S180:S181,S183:S186,S189)</f>
        <v>0</v>
      </c>
      <c r="T193" s="434">
        <f t="shared" ref="T193" si="814">IFERROR(U193/U179,0)</f>
        <v>0</v>
      </c>
      <c r="U193" s="453">
        <f t="shared" ref="U193" si="815">SUM(U180:U181,U183:U186,U189)</f>
        <v>0</v>
      </c>
      <c r="V193" s="383">
        <f t="shared" ref="V193" si="816">IFERROR(W193/W179,0)</f>
        <v>0</v>
      </c>
      <c r="W193" s="447">
        <f t="shared" ref="W193" si="817">SUM(W180:W181,W183:W186,W189)</f>
        <v>0</v>
      </c>
      <c r="X193" s="434">
        <f t="shared" ref="X193" si="818">IFERROR(Y193/Y179,0)</f>
        <v>0</v>
      </c>
      <c r="Y193" s="453">
        <f t="shared" ref="Y193" si="819">SUM(Y180:Y181,Y183:Y186,Y189)</f>
        <v>0</v>
      </c>
      <c r="Z193" s="383">
        <f t="shared" ref="Z193" si="820">IFERROR(AA193/AA179,0)</f>
        <v>0</v>
      </c>
      <c r="AA193" s="447">
        <f t="shared" ref="AA193" si="821">SUM(AA180:AA181,AA183:AA186,AA189)</f>
        <v>0</v>
      </c>
      <c r="AB193" s="434">
        <f t="shared" ref="AB193" si="822">IFERROR(AC193/AC179,0)</f>
        <v>0</v>
      </c>
      <c r="AC193" s="453">
        <f t="shared" ref="AC193" si="823">SUM(AC180:AC181,AC183:AC186,AC189)</f>
        <v>0</v>
      </c>
      <c r="AD193" s="377">
        <f t="shared" si="754"/>
        <v>0</v>
      </c>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row>
    <row r="194" spans="1:56" x14ac:dyDescent="0.3">
      <c r="A194" s="1182"/>
      <c r="B194" s="1379"/>
      <c r="C194" s="1379"/>
      <c r="D194" s="1379"/>
      <c r="E194" s="1379"/>
      <c r="F194" s="1379"/>
      <c r="G194" s="1379"/>
      <c r="H194" s="1380"/>
      <c r="I194" s="382" t="s">
        <v>327</v>
      </c>
      <c r="J194" s="384">
        <f>pCRSalaries</f>
        <v>2.5</v>
      </c>
      <c r="K194" s="447"/>
      <c r="L194" s="435">
        <f>pCRSalaries</f>
        <v>2.5</v>
      </c>
      <c r="M194" s="453"/>
      <c r="N194" s="384">
        <f>pCRSalaries</f>
        <v>2.5</v>
      </c>
      <c r="O194" s="447"/>
      <c r="P194" s="435">
        <f>pCRSalaries</f>
        <v>2.5</v>
      </c>
      <c r="Q194" s="453"/>
      <c r="R194" s="384">
        <f>pCRSalaries</f>
        <v>2.5</v>
      </c>
      <c r="S194" s="447"/>
      <c r="T194" s="435">
        <f>pCRSalaries</f>
        <v>2.5</v>
      </c>
      <c r="U194" s="453"/>
      <c r="V194" s="384">
        <f>pCRSalaries</f>
        <v>2.5</v>
      </c>
      <c r="W194" s="447"/>
      <c r="X194" s="435">
        <f>pCRSalaries</f>
        <v>2.5</v>
      </c>
      <c r="Y194" s="453"/>
      <c r="Z194" s="384">
        <f>pCRSalaries</f>
        <v>2.5</v>
      </c>
      <c r="AA194" s="447"/>
      <c r="AB194" s="435">
        <f>pCRSalaries</f>
        <v>2.5</v>
      </c>
      <c r="AC194" s="453"/>
      <c r="AD194" s="335"/>
      <c r="AE194" s="1152"/>
      <c r="AF194" s="1152"/>
      <c r="AG194" s="1152"/>
      <c r="AH194" s="1152"/>
      <c r="AI194" s="115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row>
    <row r="195" spans="1:56" ht="16.2" thickBot="1" x14ac:dyDescent="0.35">
      <c r="A195" s="1182"/>
      <c r="B195" s="710"/>
      <c r="C195" s="347"/>
      <c r="D195" s="347"/>
      <c r="E195" s="347"/>
      <c r="F195" s="347"/>
      <c r="G195" s="347"/>
      <c r="H195" s="347"/>
      <c r="I195" s="436" t="s">
        <v>329</v>
      </c>
      <c r="J195" s="348"/>
      <c r="K195" s="448">
        <f>J194*K190</f>
        <v>0</v>
      </c>
      <c r="L195" s="348"/>
      <c r="M195" s="448">
        <f t="shared" ref="M195" si="824">L194*M190</f>
        <v>0</v>
      </c>
      <c r="N195" s="348"/>
      <c r="O195" s="448">
        <f>N194*O190</f>
        <v>0</v>
      </c>
      <c r="P195" s="348"/>
      <c r="Q195" s="448">
        <f t="shared" ref="Q195" si="825">P194*Q190</f>
        <v>0</v>
      </c>
      <c r="R195" s="348"/>
      <c r="S195" s="448">
        <f>R194*S190</f>
        <v>0</v>
      </c>
      <c r="T195" s="348"/>
      <c r="U195" s="448">
        <f t="shared" ref="U195" si="826">T194*U190</f>
        <v>0</v>
      </c>
      <c r="V195" s="348"/>
      <c r="W195" s="448">
        <f>V194*W190</f>
        <v>0</v>
      </c>
      <c r="X195" s="348"/>
      <c r="Y195" s="448">
        <f t="shared" ref="Y195" si="827">X194*Y190</f>
        <v>0</v>
      </c>
      <c r="Z195" s="348"/>
      <c r="AA195" s="448">
        <f>Z194*AA190</f>
        <v>0</v>
      </c>
      <c r="AB195" s="348"/>
      <c r="AC195" s="448">
        <f t="shared" ref="AC195" si="828">AB194*AC190</f>
        <v>0</v>
      </c>
      <c r="AD195" s="335">
        <f t="shared" si="754"/>
        <v>0</v>
      </c>
      <c r="AE195" s="1152"/>
      <c r="AF195" s="1152"/>
      <c r="AG195" s="1152"/>
      <c r="AH195" s="1152"/>
      <c r="AI195" s="115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row>
    <row r="196" spans="1:56" ht="15" thickBot="1" x14ac:dyDescent="0.35">
      <c r="A196" s="1182"/>
      <c r="B196" s="1181"/>
      <c r="C196" s="1181"/>
      <c r="D196" s="1181"/>
      <c r="E196" s="1181"/>
      <c r="F196" s="1181"/>
      <c r="G196" s="1181"/>
      <c r="H196" s="1181"/>
      <c r="I196" s="350"/>
      <c r="J196" s="351"/>
      <c r="K196" s="351"/>
      <c r="L196" s="351"/>
      <c r="M196" s="352"/>
      <c r="N196" s="351"/>
      <c r="O196" s="352"/>
      <c r="P196" s="351"/>
      <c r="Q196" s="352"/>
      <c r="R196" s="351"/>
      <c r="S196" s="352"/>
      <c r="T196" s="351"/>
      <c r="U196" s="352"/>
      <c r="V196" s="351"/>
      <c r="W196" s="352"/>
      <c r="X196" s="351"/>
      <c r="Y196" s="352"/>
      <c r="Z196" s="351"/>
      <c r="AA196" s="352"/>
      <c r="AB196" s="351"/>
      <c r="AC196" s="352"/>
      <c r="AD196" s="353" t="str">
        <f>IF(tbBudgetCurrency="AUD - Australian Dollar","",IFERROR(K196+M196+O196+Q196+S196+U196+W196+Y196+AA196+AC196,0))</f>
        <v/>
      </c>
      <c r="AE196" s="1152"/>
      <c r="AF196" s="1152"/>
      <c r="AG196" s="1152"/>
      <c r="AH196" s="1152"/>
      <c r="AI196" s="115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row>
    <row r="197" spans="1:56" hidden="1" outlineLevel="1" x14ac:dyDescent="0.3">
      <c r="A197" s="1182"/>
      <c r="B197" s="356" t="str">
        <f>IF('PART B Staff Costs'!B31="","",'PART B Staff Costs'!B31)</f>
        <v/>
      </c>
      <c r="C197" s="355" t="str">
        <f>IF('PART B Staff Costs'!C31="","",'PART B Staff Costs'!C31)</f>
        <v xml:space="preserve"> </v>
      </c>
      <c r="D197" s="355" t="str">
        <f>IF('PART B Staff Costs'!D31="","",'PART B Staff Costs'!D31)</f>
        <v/>
      </c>
      <c r="E197" s="355" t="str">
        <f>IF('PART B Staff Costs'!E31="","",'PART B Staff Costs'!E31)</f>
        <v/>
      </c>
      <c r="F197" s="355" t="str">
        <f>IF('PART B Staff Costs'!F31="","",'PART B Staff Costs'!F31)</f>
        <v/>
      </c>
      <c r="G197" s="355" t="str">
        <f>IF('PART B Staff Costs'!G31="","",'PART B Staff Costs'!G31)</f>
        <v/>
      </c>
      <c r="H197" s="332" t="str">
        <f t="shared" ref="H197" si="829">CONCATENATE(IF(D197=0,"",D197)," ",IF(E197=0,"",E197)," ",IF(F197=0,"",F197),,IF(OR(G197=0,G197=""),"",CONCATENATE(" (",G197,")")))</f>
        <v xml:space="preserve">  </v>
      </c>
      <c r="I197" s="332" t="s">
        <v>313</v>
      </c>
      <c r="J197" s="333">
        <f>_xlfn.IFNA('PART B Staff Costs'!H31*'PART B Staff Costs'!J$10,0)*new_xrate</f>
        <v>0</v>
      </c>
      <c r="K197" s="441"/>
      <c r="L197" s="334">
        <f>_xlfn.IFNA(IF(pStartYear+1&gt;pEndYear,0,VLOOKUP(CONCATENATE(
IF(OR($D197="Continuing",$D197="Fixed-Term"),"Fortnight",IF($D197="Casual","Casual",)),
$E197,
IF(OR($D197="Continuing",$D197="Fixed-Term"),
IF(LEFT($F197,6)="UOM 10","UOM 10",(LEFT($F197,LEN($F197)-1)&amp;MIN(RIGHT($F197,1)+COUNTIFS($J198:K198,"&gt;0")/2,VLOOKUP(LEFT($F197,LEN($F197)-2),tSalaryMax,2,FALSE)))),
IF($D197="Casual",
$F197,))
),tSalaryRate,5,FALSE)*VLOOKUP($G197,tSalaryRateMultiplier,2,FALSE)*'PART B Staff Costs'!L$10),0)*new_xrate</f>
        <v>0</v>
      </c>
      <c r="M197" s="449"/>
      <c r="N197" s="333">
        <f>_xlfn.IFNA(IF(pStartYear+2&gt;pEndYear,0,VLOOKUP(CONCATENATE(
IF(OR($D197="Continuing",$D197="Fixed-Term"),"Fortnight",IF($D197="Casual","Casual",)),
$E197,
IF(OR($D197="Continuing",$D197="Fixed-Term"),
IF(LEFT($F197,6)="UOM 10","UOM 10",(LEFT($F197,LEN($F197)-1)&amp;MIN(RIGHT($F197,1)+COUNTIFS($J198:M198,"&gt;0")/2,VLOOKUP(LEFT($F197,LEN($F197)-2),tSalaryMax,2,FALSE)))),
IF($D197="Casual",
$F197,))
),tSalaryRate,5,FALSE)*VLOOKUP($G197,tSalaryRateMultiplier,2,FALSE)*'PART B Staff Costs'!N$10),0)*new_xrate</f>
        <v>0</v>
      </c>
      <c r="O197" s="441"/>
      <c r="P197" s="334">
        <f>_xlfn.IFNA(IF(pStartYear+3&gt;pEndYear,0,VLOOKUP(CONCATENATE(
IF(OR($D197="Continuing",$D197="Fixed-Term"),"Fortnight",IF($D197="Casual","Casual",)),
$E197,
IF(OR($D197="Continuing",$D197="Fixed-Term"),
IF(LEFT($F197,6)="UOM 10","UOM 10",(LEFT($F197,LEN($F197)-1)&amp;MIN(RIGHT($F197,1)+COUNTIFS($J198:O198,"&gt;0")/2,VLOOKUP(LEFT($F197,LEN($F197)-2),tSalaryMax,2,FALSE)))),
IF($D197="Casual",
$F197,))
),tSalaryRate,5,FALSE)*VLOOKUP($G197,tSalaryRateMultiplier,2,FALSE)*'PART B Staff Costs'!P$10),0)*new_xrate</f>
        <v>0</v>
      </c>
      <c r="Q197" s="449"/>
      <c r="R197" s="333">
        <f>_xlfn.IFNA(IF(pStartYear+4&gt;pEndYear,0,VLOOKUP(CONCATENATE(
IF(OR($D197="Continuing",$D197="Fixed-Term"),"Fortnight",IF($D197="Casual","Casual",)),
$E197,
IF(OR($D197="Continuing",$D197="Fixed-Term"),
IF(LEFT($F197,6)="UOM 10","UOM 10",(LEFT($F197,LEN($F197)-1)&amp;MIN(RIGHT($F197,1)+COUNTIFS($J198:Q198,"&gt;0")/2,VLOOKUP(LEFT($F197,LEN($F197)-2),tSalaryMax,2,FALSE)))),
IF($D197="Casual",
$F197,))
),tSalaryRate,5,FALSE)*VLOOKUP($G197,tSalaryRateMultiplier,2,FALSE)*'PART B Staff Costs'!R$10),0)*new_xrate</f>
        <v>0</v>
      </c>
      <c r="S197" s="441"/>
      <c r="T197" s="334">
        <f>_xlfn.IFNA(IF(pStartYear+5&gt;pEndYear,0,VLOOKUP(CONCATENATE(
IF(OR($D197="Continuing",$D197="Fixed-Term"),"Fortnight",IF($D197="Casual","Casual",)),
$E197,
IF(OR($D197="Continuing",$D197="Fixed-Term"),
IF(LEFT($F197,6)="UOM 10","UOM 10",(LEFT($F197,LEN($F197)-1)&amp;MIN(RIGHT($F197,1)+COUNTIFS($J198:S198,"&gt;0")/2,VLOOKUP(LEFT($F197,LEN($F197)-2),tSalaryMax,2,FALSE)))),
IF($D197="Casual",
$F197,))
),tSalaryRate,5,FALSE)*VLOOKUP($G197,tSalaryRateMultiplier,2,FALSE)*'PART B Staff Costs'!T$10),0)*new_xrate</f>
        <v>0</v>
      </c>
      <c r="U197" s="449"/>
      <c r="V197" s="333">
        <f>_xlfn.IFNA(IF(pStartYear+6&gt;pEndYear,0,VLOOKUP(CONCATENATE(
IF(OR($D197="Continuing",$D197="Fixed-Term"),"Fortnight",IF($D197="Casual","Casual",)),
$E197,
IF(OR($D197="Continuing",$D197="Fixed-Term"),
IF(LEFT($F197,6)="UOM 10","UOM 10",(LEFT($F197,LEN($F197)-1)&amp;MIN(RIGHT($F197,1)+COUNTIFS($J198:U198,"&gt;0")/2,VLOOKUP(LEFT($F197,LEN($F197)-2),tSalaryMax,2,FALSE)))),
IF($D197="Casual",
$F197,))
),tSalaryRate,5,FALSE)*VLOOKUP($G197,tSalaryRateMultiplier,2,FALSE)*'PART B Staff Costs'!V$10),0)*new_xrate</f>
        <v>0</v>
      </c>
      <c r="W197" s="441"/>
      <c r="X197" s="334">
        <f>_xlfn.IFNA(IF(pStartYear+7&gt;pEndYear,0,VLOOKUP(CONCATENATE(
IF(OR($D197="Continuing",$D197="Fixed-Term"),"Fortnight",IF($D197="Casual","Casual",)),
$E197,
IF(OR($D197="Continuing",$D197="Fixed-Term"),
IF(LEFT($F197,6)="UOM 10","UOM 10",(LEFT($F197,LEN($F197)-1)&amp;MIN(RIGHT($F197,1)+COUNTIFS($J198:W198,"&gt;0")/2,VLOOKUP(LEFT($F197,LEN($F197)-2),tSalaryMax,2,FALSE)))),
IF($D197="Casual",
$F197,))
),tSalaryRate,5,FALSE)*VLOOKUP($G197,tSalaryRateMultiplier,2,FALSE)*'PART B Staff Costs'!X$10),0)*new_xrate</f>
        <v>0</v>
      </c>
      <c r="Y197" s="449"/>
      <c r="Z197" s="333">
        <f>_xlfn.IFNA(IF(pStartYear+8&gt;pEndYear,0,VLOOKUP(CONCATENATE(
IF(OR($D197="Continuing",$D197="Fixed-Term"),"Fortnight",IF($D197="Casual","Casual",)),
$E197,
IF(OR($D197="Continuing",$D197="Fixed-Term"),
IF(LEFT($F197,6)="UOM 10","UOM 10",(LEFT($F197,LEN($F197)-1)&amp;MIN(RIGHT($F197,1)+COUNTIFS($J198:Y198,"&gt;0")/2,VLOOKUP(LEFT($F197,LEN($F197)-2),tSalaryMax,2,FALSE)))),
IF($D197="Casual",
$F197,))
),tSalaryRate,5,FALSE)*VLOOKUP($G197,tSalaryRateMultiplier,2,FALSE)*'PART B Staff Costs'!Z$10),0)*new_xrate</f>
        <v>0</v>
      </c>
      <c r="AA197" s="441"/>
      <c r="AB197" s="334">
        <f>_xlfn.IFNA(IF(pStartYear+9&gt;pEndYear,0,VLOOKUP(CONCATENATE(
IF(OR($D197="Continuing",$D197="Fixed-Term"),"Fortnight",IF($D197="Casual","Casual",)),
$E197,
IF(OR($D197="Continuing",$D197="Fixed-Term"),
IF(LEFT($F197,6)="UOM 10","UOM 10",(LEFT($F197,LEN($F197)-1)&amp;MIN(RIGHT($F197,1)+COUNTIFS($J198:AA198,"&gt;0")/2,VLOOKUP(LEFT($F197,LEN($F197)-2),tSalaryMax,2,FALSE)))),
IF($D197="Casual",
$F197,))
),tSalaryRate,5,FALSE)*VLOOKUP($G197,tSalaryRateMultiplier,2,FALSE)*'PART B Staff Costs'!AB$10),0)*new_xrate</f>
        <v>0</v>
      </c>
      <c r="AC197" s="449"/>
      <c r="AD197" s="335"/>
      <c r="AE197" s="1152"/>
      <c r="AF197" s="1152"/>
      <c r="AG197" s="1152"/>
      <c r="AH197" s="1152"/>
      <c r="AI197" s="115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row>
    <row r="198" spans="1:56" hidden="1" outlineLevel="1" x14ac:dyDescent="0.3">
      <c r="A198" s="1182"/>
      <c r="B198" s="1377"/>
      <c r="C198" s="1377"/>
      <c r="D198" s="1377"/>
      <c r="E198" s="1377"/>
      <c r="F198" s="1377"/>
      <c r="G198" s="1377"/>
      <c r="H198" s="1378"/>
      <c r="I198" s="336" t="str">
        <f>IF('PART B Staff Costs'!G193&lt;&gt;"",CONCATENATE("Time/Requested salary"," (",'PART B Staff Costs'!G193,")"),"Time/Requested salary")</f>
        <v>Time/Requested salary</v>
      </c>
      <c r="J198" s="337">
        <f>_xlfn.IFNA('PART B Staff Costs'!I31,0)</f>
        <v>0</v>
      </c>
      <c r="K198" s="442">
        <f>IF('PART B Staff Costs'!$G$31="FTE",J198*J197*(First_year_fraction/12),J198*J197)</f>
        <v>0</v>
      </c>
      <c r="L198" s="338">
        <f>_xlfn.IFNA('PART B Staff Costs'!K31,0)</f>
        <v>0</v>
      </c>
      <c r="M198" s="450">
        <f>IF(pStartYear+1=pEndYear,IF('PART B Staff Costs'!$G$31="FTE",(L198*L197)*Last_Year_Fraction/12,L198*L197),L198*L197)</f>
        <v>0</v>
      </c>
      <c r="N198" s="337">
        <f>_xlfn.IFNA('PART B Staff Costs'!M31,0)</f>
        <v>0</v>
      </c>
      <c r="O198" s="442">
        <f>IF(pStartYear+2=pEndYear,IF('PART B Staff Costs'!$G$31="FTE",(N198*N197)*Last_Year_Fraction/12,N198*N197),N198*N197)</f>
        <v>0</v>
      </c>
      <c r="P198" s="338">
        <f>_xlfn.IFNA('PART B Staff Costs'!O31,0)</f>
        <v>0</v>
      </c>
      <c r="Q198" s="450">
        <f>IF(pStartYear+3=pEndYear,IF('PART B Staff Costs'!$G$31="FTE",(P198*P197)*Last_Year_Fraction/12,P198*P197),P198*P197)</f>
        <v>0</v>
      </c>
      <c r="R198" s="337">
        <f>_xlfn.IFNA('PART B Staff Costs'!Q31,0)</f>
        <v>0</v>
      </c>
      <c r="S198" s="442">
        <f>IF(pStartYear+4=pEndYear,IF('PART B Staff Costs'!$G$31="FTE",(R198*R197)*Last_Year_Fraction/12,R198*R197),R198*R197)</f>
        <v>0</v>
      </c>
      <c r="T198" s="338">
        <f>_xlfn.IFNA('PART B Staff Costs'!S31,0)</f>
        <v>0</v>
      </c>
      <c r="U198" s="450">
        <f>IF(pStartYear+5=pEndYear,IF('PART B Staff Costs'!$G$31="FTE",(T198*T197)*Last_Year_Fraction/12,T198*T197),T198*T197)</f>
        <v>0</v>
      </c>
      <c r="V198" s="337">
        <f>_xlfn.IFNA('PART B Staff Costs'!U31,0)</f>
        <v>0</v>
      </c>
      <c r="W198" s="442">
        <f>IF(pStartYear+6=pEndYear,IF('PART B Staff Costs'!$G$31="FTE",(V198*V197)*Last_Year_Fraction/12,V198*V197),V198*V197)</f>
        <v>0</v>
      </c>
      <c r="X198" s="338">
        <f>_xlfn.IFNA('PART B Staff Costs'!W31,0)</f>
        <v>0</v>
      </c>
      <c r="Y198" s="450">
        <f>IF(pStartYear+7=pEndYear,IF('PART B Staff Costs'!$G$31="FTE",(X198*X197)*Last_Year_Fraction/12,X198*X197),X198*X197)</f>
        <v>0</v>
      </c>
      <c r="Z198" s="337">
        <f>_xlfn.IFNA('PART B Staff Costs'!Y31,0)</f>
        <v>0</v>
      </c>
      <c r="AA198" s="442">
        <f>IF(pStartYear+8=pEndYear,IF('PART B Staff Costs'!$G$31="FTE",(Z198*Z197)*Last_Year_Fraction/12,Z198*Z197),Z198*Z197)</f>
        <v>0</v>
      </c>
      <c r="AB198" s="338">
        <f>_xlfn.IFNA('PART B Staff Costs'!AA31,0)</f>
        <v>0</v>
      </c>
      <c r="AC198" s="450">
        <f>IF(pStartYear+9=pEndYear,IF('PART B Staff Costs'!$G$31="FTE",(AB198*AB197)*Last_Year_Fraction/12,AB198*AB197),AB198*AB197)</f>
        <v>0</v>
      </c>
      <c r="AD198" s="335"/>
      <c r="AE198" s="1152"/>
      <c r="AF198" s="1152"/>
      <c r="AG198" s="1152"/>
      <c r="AH198" s="1152"/>
      <c r="AI198" s="115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row>
    <row r="199" spans="1:56" hidden="1" outlineLevel="1" x14ac:dyDescent="0.3">
      <c r="A199" s="1182"/>
      <c r="B199" s="1379"/>
      <c r="C199" s="1379"/>
      <c r="D199" s="1379"/>
      <c r="E199" s="1379"/>
      <c r="F199" s="1379"/>
      <c r="G199" s="1379"/>
      <c r="H199" s="1380"/>
      <c r="I199" s="336" t="str">
        <f>IF(tbBudgetCurrency="AUD - Australian Dollar",CONCATENATE("Leave Loading (max of AU$",vl_Max_Leave_Loading,")"),CONCATENATE("Leave Loading (max of ",ROUND(vl_Max_Leave_Loading*new_xrate,2)," ",LEFT(tbBudgetCurrency,3),")"))</f>
        <v>Leave Loading (max of AU$1611.3)</v>
      </c>
      <c r="J199" s="339">
        <f>_xlfn.IFNA(VLOOKUP($D197,tbLeaveLoading,2,FALSE),0)</f>
        <v>0</v>
      </c>
      <c r="K199" s="443">
        <f>IF(K198*J199&gt;vl_Max_Leave_Loading*new_xrate,vl_Max_Leave_Loading*new_xrate,K198*J199)</f>
        <v>0</v>
      </c>
      <c r="L199" s="340">
        <f>_xlfn.IFNA(VLOOKUP($D197,tbLeaveLoading,2,FALSE),0)</f>
        <v>0</v>
      </c>
      <c r="M199" s="451">
        <f>IF(M198*L199&gt;vl_Max_Leave_Loading*new_xrate,vl_Max_Leave_Loading*new_xrate,M198*L199)</f>
        <v>0</v>
      </c>
      <c r="N199" s="339">
        <f>_xlfn.IFNA(VLOOKUP($D197,tbLeaveLoading,2,FALSE),0)</f>
        <v>0</v>
      </c>
      <c r="O199" s="443">
        <f>IF(O198*N199&gt;vl_Max_Leave_Loading*new_xrate,vl_Max_Leave_Loading*new_xrate,O198*N199)</f>
        <v>0</v>
      </c>
      <c r="P199" s="340">
        <f>_xlfn.IFNA(VLOOKUP($D197,tbLeaveLoading,2,FALSE),0)</f>
        <v>0</v>
      </c>
      <c r="Q199" s="451">
        <f>IF(Q198*P199&gt;vl_Max_Leave_Loading*new_xrate,vl_Max_Leave_Loading*new_xrate,Q198*P199)</f>
        <v>0</v>
      </c>
      <c r="R199" s="339">
        <f>_xlfn.IFNA(VLOOKUP($D197,tbLeaveLoading,2,FALSE),0)</f>
        <v>0</v>
      </c>
      <c r="S199" s="443">
        <f>IF(S198*R199&gt;vl_Max_Leave_Loading*new_xrate,vl_Max_Leave_Loading*new_xrate,S198*R199)</f>
        <v>0</v>
      </c>
      <c r="T199" s="340">
        <f>_xlfn.IFNA(VLOOKUP($D197,tbLeaveLoading,2,FALSE),0)</f>
        <v>0</v>
      </c>
      <c r="U199" s="451">
        <f>IF(U198*T199&gt;vl_Max_Leave_Loading*new_xrate,vl_Max_Leave_Loading*new_xrate,U198*T199)</f>
        <v>0</v>
      </c>
      <c r="V199" s="339">
        <f>_xlfn.IFNA(VLOOKUP($D197,tbLeaveLoading,2,FALSE),0)</f>
        <v>0</v>
      </c>
      <c r="W199" s="443">
        <f>IF(W198*V199&gt;vl_Max_Leave_Loading*new_xrate,vl_Max_Leave_Loading*new_xrate,W198*V199)</f>
        <v>0</v>
      </c>
      <c r="X199" s="340">
        <f>_xlfn.IFNA(VLOOKUP($D197,tbLeaveLoading,2,FALSE),0)</f>
        <v>0</v>
      </c>
      <c r="Y199" s="451">
        <f>IF(Y198*X199&gt;vl_Max_Leave_Loading*new_xrate,vl_Max_Leave_Loading*new_xrate,Y198*X199)</f>
        <v>0</v>
      </c>
      <c r="Z199" s="339">
        <f>_xlfn.IFNA(VLOOKUP($D197,tbLeaveLoading,2,FALSE),0)</f>
        <v>0</v>
      </c>
      <c r="AA199" s="443">
        <f>IF(AA198*Z199&gt;vl_Max_Leave_Loading*new_xrate,vl_Max_Leave_Loading*new_xrate,AA198*Z199)</f>
        <v>0</v>
      </c>
      <c r="AB199" s="340">
        <f>_xlfn.IFNA(VLOOKUP($D197,tbLeaveLoading,2,FALSE),0)</f>
        <v>0</v>
      </c>
      <c r="AC199" s="451">
        <f>IF(AC198*AB199&gt;vl_Max_Leave_Loading*new_xrate,vl_Max_Leave_Loading*new_xrate,AC198*AB199)</f>
        <v>0</v>
      </c>
      <c r="AD199" s="335"/>
      <c r="AE199" s="1152"/>
      <c r="AF199" s="1152"/>
      <c r="AG199" s="1152"/>
      <c r="AH199" s="1152"/>
      <c r="AI199" s="115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row>
    <row r="200" spans="1:56" hidden="1" outlineLevel="1" x14ac:dyDescent="0.3">
      <c r="A200" s="1182"/>
      <c r="B200" s="1379"/>
      <c r="C200" s="1379"/>
      <c r="D200" s="1379"/>
      <c r="E200" s="1379"/>
      <c r="F200" s="1379"/>
      <c r="G200" s="1379"/>
      <c r="H200" s="1380"/>
      <c r="I200" s="336" t="s">
        <v>314</v>
      </c>
      <c r="J200" s="339">
        <f>_xlfn.IFNA(_xlfn.IFNA(VLOOKUP(CONCATENATE(pStartYear,$D197),tbSuperannuation,4,FALSE),VLOOKUP($D197,tbSuperannuation2026onwards,2,FALSE)),0)</f>
        <v>0</v>
      </c>
      <c r="K200" s="443">
        <f>K198*J200</f>
        <v>0</v>
      </c>
      <c r="L200" s="340">
        <f>_xlfn.IFNA(_xlfn.IFNA(VLOOKUP(CONCATENATE(pStartYear+1,$D197),tbSuperannuation,4,FALSE),VLOOKUP($D197,tbSuperannuation2026onwards,2,FALSE)),0)</f>
        <v>0</v>
      </c>
      <c r="M200" s="451">
        <f t="shared" ref="M200" si="830">M198*L200</f>
        <v>0</v>
      </c>
      <c r="N200" s="339">
        <f>_xlfn.IFNA(_xlfn.IFNA(VLOOKUP(CONCATENATE(pStartYear+2,$D197),tbSuperannuation,4,FALSE),VLOOKUP($D197,tbSuperannuation2026onwards,2,FALSE)),0)</f>
        <v>0</v>
      </c>
      <c r="O200" s="443">
        <f>O198*N200</f>
        <v>0</v>
      </c>
      <c r="P200" s="340">
        <f>_xlfn.IFNA(_xlfn.IFNA(VLOOKUP(CONCATENATE(pStartYear+3,$D197),tbSuperannuation,4,FALSE),VLOOKUP($D197,tbSuperannuation2026onwards,2,FALSE)),0)</f>
        <v>0</v>
      </c>
      <c r="Q200" s="451">
        <f t="shared" ref="Q200" si="831">Q198*P200</f>
        <v>0</v>
      </c>
      <c r="R200" s="339">
        <f>_xlfn.IFNA(_xlfn.IFNA(VLOOKUP(CONCATENATE(pStartYear+4,$D197),tbSuperannuation,4,FALSE),VLOOKUP($D197,tbSuperannuation2026onwards,2,FALSE)),0)</f>
        <v>0</v>
      </c>
      <c r="S200" s="443">
        <f>S198*R200</f>
        <v>0</v>
      </c>
      <c r="T200" s="340">
        <f>_xlfn.IFNA(_xlfn.IFNA(VLOOKUP(CONCATENATE(pStartYear+5,$D197),tbSuperannuation,4,FALSE),VLOOKUP($D197,tbSuperannuation2026onwards,2,FALSE)),0)</f>
        <v>0</v>
      </c>
      <c r="U200" s="451">
        <f t="shared" ref="U200" si="832">U198*T200</f>
        <v>0</v>
      </c>
      <c r="V200" s="339">
        <f>_xlfn.IFNA(_xlfn.IFNA(VLOOKUP(CONCATENATE(pStartYear+6,$D197),tbSuperannuation,4,FALSE),VLOOKUP($D197,tbSuperannuation2026onwards,2,FALSE)),0)</f>
        <v>0</v>
      </c>
      <c r="W200" s="443">
        <f>W198*V200</f>
        <v>0</v>
      </c>
      <c r="X200" s="340">
        <f>_xlfn.IFNA(_xlfn.IFNA(VLOOKUP(CONCATENATE(pStartYear+7,$D197),tbSuperannuation,4,FALSE),VLOOKUP($D197,tbSuperannuation2026onwards,2,FALSE)),0)</f>
        <v>0</v>
      </c>
      <c r="Y200" s="451">
        <f t="shared" ref="Y200" si="833">Y198*X200</f>
        <v>0</v>
      </c>
      <c r="Z200" s="339">
        <f>_xlfn.IFNA(_xlfn.IFNA(VLOOKUP(CONCATENATE(pStartYear+8,$D197),tbSuperannuation,4,FALSE),VLOOKUP($D197,tbSuperannuation2026onwards,2,FALSE)),0)</f>
        <v>0</v>
      </c>
      <c r="AA200" s="443">
        <f>AA198*Z200</f>
        <v>0</v>
      </c>
      <c r="AB200" s="340">
        <f>_xlfn.IFNA(_xlfn.IFNA(VLOOKUP(CONCATENATE(pStartYear+9,$D197),tbSuperannuation,4,FALSE),VLOOKUP($D197,tbSuperannuation2026onwards,2,FALSE)),0)</f>
        <v>0</v>
      </c>
      <c r="AC200" s="451">
        <f t="shared" ref="AC200" si="834">AC198*AB200</f>
        <v>0</v>
      </c>
      <c r="AD200" s="335"/>
      <c r="AE200" s="1152"/>
      <c r="AF200" s="1152"/>
      <c r="AG200" s="1152"/>
      <c r="AH200" s="1152"/>
      <c r="AI200" s="1152"/>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row>
    <row r="201" spans="1:56" hidden="1" outlineLevel="1" x14ac:dyDescent="0.3">
      <c r="A201" s="1182"/>
      <c r="B201" s="1379"/>
      <c r="C201" s="1379"/>
      <c r="D201" s="1379"/>
      <c r="E201" s="1379"/>
      <c r="F201" s="1379"/>
      <c r="G201" s="1379"/>
      <c r="H201" s="1380"/>
      <c r="I201" s="341" t="s">
        <v>315</v>
      </c>
      <c r="J201" s="342"/>
      <c r="K201" s="444">
        <f>K199+K200+K198</f>
        <v>0</v>
      </c>
      <c r="L201" s="342"/>
      <c r="M201" s="444">
        <f t="shared" ref="M201" si="835">M199+M200+M198</f>
        <v>0</v>
      </c>
      <c r="N201" s="342"/>
      <c r="O201" s="444">
        <f>O199+O200+O198</f>
        <v>0</v>
      </c>
      <c r="P201" s="342"/>
      <c r="Q201" s="444">
        <f t="shared" ref="Q201" si="836">Q199+Q200+Q198</f>
        <v>0</v>
      </c>
      <c r="R201" s="342"/>
      <c r="S201" s="444">
        <f>S199+S200+S198</f>
        <v>0</v>
      </c>
      <c r="T201" s="342"/>
      <c r="U201" s="444">
        <f t="shared" ref="U201" si="837">U199+U200+U198</f>
        <v>0</v>
      </c>
      <c r="V201" s="342"/>
      <c r="W201" s="444">
        <f>W199+W200+W198</f>
        <v>0</v>
      </c>
      <c r="X201" s="342"/>
      <c r="Y201" s="444">
        <f t="shared" ref="Y201" si="838">Y199+Y200+Y198</f>
        <v>0</v>
      </c>
      <c r="Z201" s="342"/>
      <c r="AA201" s="444">
        <f>AA199+AA200+AA198</f>
        <v>0</v>
      </c>
      <c r="AB201" s="342"/>
      <c r="AC201" s="444">
        <f t="shared" ref="AC201" si="839">AC199+AC200+AC198</f>
        <v>0</v>
      </c>
      <c r="AD201" s="335">
        <f t="shared" si="754"/>
        <v>0</v>
      </c>
      <c r="AE201" s="1152"/>
      <c r="AF201" s="1152"/>
      <c r="AG201" s="1152"/>
      <c r="AH201" s="1152"/>
      <c r="AI201" s="1152"/>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row>
    <row r="202" spans="1:56" hidden="1" outlineLevel="1" x14ac:dyDescent="0.3">
      <c r="A202" s="1182"/>
      <c r="B202" s="1379"/>
      <c r="C202" s="1379"/>
      <c r="D202" s="1379"/>
      <c r="E202" s="1379"/>
      <c r="F202" s="1379"/>
      <c r="G202" s="1379"/>
      <c r="H202" s="1380"/>
      <c r="I202" s="336" t="s">
        <v>316</v>
      </c>
      <c r="J202" s="339">
        <f>_xlfn.IFNA(_xlfn.IFNA(VLOOKUP(pStartYear,tbPayrollTax,2,FALSE),vl_MaxPayrollTax),0)</f>
        <v>5.8500000000000003E-2</v>
      </c>
      <c r="K202" s="443">
        <f>J202*K201</f>
        <v>0</v>
      </c>
      <c r="L202" s="340">
        <f>_xlfn.IFNA(_xlfn.IFNA(VLOOKUP(pStartYear+1,tbPayrollTax,2,FALSE),vl_MaxPayrollTax),0)</f>
        <v>5.8500000000000003E-2</v>
      </c>
      <c r="M202" s="451">
        <f t="shared" ref="M202" si="840">L202*M201</f>
        <v>0</v>
      </c>
      <c r="N202" s="339">
        <f>_xlfn.IFNA(_xlfn.IFNA(VLOOKUP(pStartYear+2,tbPayrollTax,2,FALSE),vl_MaxPayrollTax),0)</f>
        <v>5.8500000000000003E-2</v>
      </c>
      <c r="O202" s="443">
        <f>N202*O201</f>
        <v>0</v>
      </c>
      <c r="P202" s="340">
        <f>_xlfn.IFNA(_xlfn.IFNA(VLOOKUP(pStartYear+3,tbPayrollTax,2,FALSE),vl_MaxPayrollTax),0)</f>
        <v>5.8500000000000003E-2</v>
      </c>
      <c r="Q202" s="451">
        <f t="shared" ref="Q202" si="841">P202*Q201</f>
        <v>0</v>
      </c>
      <c r="R202" s="339">
        <f>_xlfn.IFNA(_xlfn.IFNA(VLOOKUP(pStartYear+4,tbPayrollTax,2,FALSE),vl_MaxPayrollTax),0)</f>
        <v>5.8500000000000003E-2</v>
      </c>
      <c r="S202" s="443">
        <f>R202*S201</f>
        <v>0</v>
      </c>
      <c r="T202" s="340">
        <f>_xlfn.IFNA(_xlfn.IFNA(VLOOKUP(pStartYear+5,tbPayrollTax,2,FALSE),vl_MaxPayrollTax),0)</f>
        <v>5.8500000000000003E-2</v>
      </c>
      <c r="U202" s="451">
        <f t="shared" ref="U202" si="842">T202*U201</f>
        <v>0</v>
      </c>
      <c r="V202" s="339">
        <f>_xlfn.IFNA(_xlfn.IFNA(VLOOKUP(pStartYear+6,tbPayrollTax,2,FALSE),vl_MaxPayrollTax),0)</f>
        <v>5.8500000000000003E-2</v>
      </c>
      <c r="W202" s="443">
        <f>V202*W201</f>
        <v>0</v>
      </c>
      <c r="X202" s="340">
        <f>_xlfn.IFNA(_xlfn.IFNA(VLOOKUP(pStartYear+7,tbPayrollTax,2,FALSE),vl_MaxPayrollTax),0)</f>
        <v>5.8500000000000003E-2</v>
      </c>
      <c r="Y202" s="451">
        <f t="shared" ref="Y202" si="843">X202*Y201</f>
        <v>0</v>
      </c>
      <c r="Z202" s="339">
        <f>_xlfn.IFNA(_xlfn.IFNA(VLOOKUP(pStartYear+8,tbPayrollTax,2,FALSE),vl_MaxPayrollTax),0)</f>
        <v>5.8500000000000003E-2</v>
      </c>
      <c r="AA202" s="443">
        <f>Z202*AA201</f>
        <v>0</v>
      </c>
      <c r="AB202" s="340">
        <f>_xlfn.IFNA(_xlfn.IFNA(VLOOKUP(pStartYear+9,tbPayrollTax,2,FALSE),vl_MaxPayrollTax),0)</f>
        <v>5.8500000000000003E-2</v>
      </c>
      <c r="AC202" s="451">
        <f t="shared" ref="AC202" si="844">AB202*AC201</f>
        <v>0</v>
      </c>
      <c r="AD202" s="335"/>
      <c r="AE202" s="1152"/>
      <c r="AF202" s="1152"/>
      <c r="AG202" s="1152"/>
      <c r="AH202" s="1152"/>
      <c r="AI202" s="1152"/>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row>
    <row r="203" spans="1:56" hidden="1" outlineLevel="1" x14ac:dyDescent="0.3">
      <c r="A203" s="1182"/>
      <c r="B203" s="1379"/>
      <c r="C203" s="1379"/>
      <c r="D203" s="1379"/>
      <c r="E203" s="1379"/>
      <c r="F203" s="1379"/>
      <c r="G203" s="1379"/>
      <c r="H203" s="1380"/>
      <c r="I203" s="336" t="s">
        <v>317</v>
      </c>
      <c r="J203" s="339">
        <f>_xlfn.IFNA(VLOOKUP($D197,tbWorkCover,2,FALSE),0)</f>
        <v>0</v>
      </c>
      <c r="K203" s="443">
        <f>J203*K201</f>
        <v>0</v>
      </c>
      <c r="L203" s="340">
        <f>_xlfn.IFNA(VLOOKUP($D197,tbWorkCover,2,FALSE),0)</f>
        <v>0</v>
      </c>
      <c r="M203" s="451">
        <f t="shared" ref="M203" si="845">L203*M201</f>
        <v>0</v>
      </c>
      <c r="N203" s="339">
        <f>_xlfn.IFNA(VLOOKUP($D197,tbWorkCover,2,FALSE),0)</f>
        <v>0</v>
      </c>
      <c r="O203" s="443">
        <f>N203*O201</f>
        <v>0</v>
      </c>
      <c r="P203" s="340">
        <f>_xlfn.IFNA(VLOOKUP($D197,tbWorkCover,2,FALSE),0)</f>
        <v>0</v>
      </c>
      <c r="Q203" s="451">
        <f t="shared" ref="Q203" si="846">P203*Q201</f>
        <v>0</v>
      </c>
      <c r="R203" s="339">
        <f>_xlfn.IFNA(VLOOKUP($D197,tbWorkCover,2,FALSE),0)</f>
        <v>0</v>
      </c>
      <c r="S203" s="443">
        <f>R203*S201</f>
        <v>0</v>
      </c>
      <c r="T203" s="340">
        <f>_xlfn.IFNA(VLOOKUP($D197,tbWorkCover,2,FALSE),0)</f>
        <v>0</v>
      </c>
      <c r="U203" s="451">
        <f t="shared" ref="U203" si="847">T203*U201</f>
        <v>0</v>
      </c>
      <c r="V203" s="339">
        <f>_xlfn.IFNA(VLOOKUP($D197,tbWorkCover,2,FALSE),0)</f>
        <v>0</v>
      </c>
      <c r="W203" s="443">
        <f>V203*W201</f>
        <v>0</v>
      </c>
      <c r="X203" s="340">
        <f>_xlfn.IFNA(VLOOKUP($D197,tbWorkCover,2,FALSE),0)</f>
        <v>0</v>
      </c>
      <c r="Y203" s="451">
        <f t="shared" ref="Y203" si="848">X203*Y201</f>
        <v>0</v>
      </c>
      <c r="Z203" s="339">
        <f>_xlfn.IFNA(VLOOKUP($D197,tbWorkCover,2,FALSE),0)</f>
        <v>0</v>
      </c>
      <c r="AA203" s="443">
        <f>Z203*AA201</f>
        <v>0</v>
      </c>
      <c r="AB203" s="340">
        <f>_xlfn.IFNA(VLOOKUP($D197,tbWorkCover,2,FALSE),0)</f>
        <v>0</v>
      </c>
      <c r="AC203" s="451">
        <f t="shared" ref="AC203" si="849">AB203*AC201</f>
        <v>0</v>
      </c>
      <c r="AD203" s="335"/>
      <c r="AE203" s="1152"/>
      <c r="AF203" s="1152"/>
      <c r="AG203" s="1152"/>
      <c r="AH203" s="1152"/>
      <c r="AI203" s="1152"/>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row>
    <row r="204" spans="1:56" hidden="1" outlineLevel="1" x14ac:dyDescent="0.3">
      <c r="A204" s="1182"/>
      <c r="B204" s="1379"/>
      <c r="C204" s="1379"/>
      <c r="D204" s="1379"/>
      <c r="E204" s="1379"/>
      <c r="F204" s="1379"/>
      <c r="G204" s="1379"/>
      <c r="H204" s="1380"/>
      <c r="I204" s="336" t="s">
        <v>318</v>
      </c>
      <c r="J204" s="339">
        <f>_xlfn.IFNA(VLOOKUP($D197,tbLongServiceLeave,2,FALSE),0)</f>
        <v>0</v>
      </c>
      <c r="K204" s="443">
        <f>J204*K198</f>
        <v>0</v>
      </c>
      <c r="L204" s="340">
        <f>_xlfn.IFNA(VLOOKUP($D197,tbLongServiceLeave,2,FALSE),0)</f>
        <v>0</v>
      </c>
      <c r="M204" s="451">
        <f t="shared" ref="M204" si="850">L204*M198</f>
        <v>0</v>
      </c>
      <c r="N204" s="339">
        <f>_xlfn.IFNA(VLOOKUP($D197,tbLongServiceLeave,2,FALSE),0)</f>
        <v>0</v>
      </c>
      <c r="O204" s="443">
        <f>N204*O198</f>
        <v>0</v>
      </c>
      <c r="P204" s="340">
        <f>_xlfn.IFNA(VLOOKUP($D197,tbLongServiceLeave,2,FALSE),0)</f>
        <v>0</v>
      </c>
      <c r="Q204" s="451">
        <f t="shared" ref="Q204" si="851">P204*Q198</f>
        <v>0</v>
      </c>
      <c r="R204" s="339">
        <f>_xlfn.IFNA(VLOOKUP($D197,tbLongServiceLeave,2,FALSE),0)</f>
        <v>0</v>
      </c>
      <c r="S204" s="443">
        <f>R204*S198</f>
        <v>0</v>
      </c>
      <c r="T204" s="340">
        <f>_xlfn.IFNA(VLOOKUP($D197,tbLongServiceLeave,2,FALSE),0)</f>
        <v>0</v>
      </c>
      <c r="U204" s="451">
        <f t="shared" ref="U204" si="852">T204*U198</f>
        <v>0</v>
      </c>
      <c r="V204" s="339">
        <f>_xlfn.IFNA(VLOOKUP($D197,tbLongServiceLeave,2,FALSE),0)</f>
        <v>0</v>
      </c>
      <c r="W204" s="443">
        <f>V204*W198</f>
        <v>0</v>
      </c>
      <c r="X204" s="340">
        <f>_xlfn.IFNA(VLOOKUP($D197,tbLongServiceLeave,2,FALSE),0)</f>
        <v>0</v>
      </c>
      <c r="Y204" s="451">
        <f t="shared" ref="Y204" si="853">X204*Y198</f>
        <v>0</v>
      </c>
      <c r="Z204" s="339">
        <f>_xlfn.IFNA(VLOOKUP($D197,tbLongServiceLeave,2,FALSE),0)</f>
        <v>0</v>
      </c>
      <c r="AA204" s="443">
        <f>Z204*AA198</f>
        <v>0</v>
      </c>
      <c r="AB204" s="340">
        <f>_xlfn.IFNA(VLOOKUP($D197,tbLongServiceLeave,2,FALSE),0)</f>
        <v>0</v>
      </c>
      <c r="AC204" s="451">
        <f t="shared" ref="AC204" si="854">AB204*AC198</f>
        <v>0</v>
      </c>
      <c r="AD204" s="335"/>
      <c r="AE204" s="1152"/>
      <c r="AF204" s="1152"/>
      <c r="AG204" s="1152"/>
      <c r="AH204" s="1152"/>
      <c r="AI204" s="1152"/>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row>
    <row r="205" spans="1:56" hidden="1" outlineLevel="1" x14ac:dyDescent="0.3">
      <c r="A205" s="1182"/>
      <c r="B205" s="1379"/>
      <c r="C205" s="1379"/>
      <c r="D205" s="1379"/>
      <c r="E205" s="1379"/>
      <c r="F205" s="1379"/>
      <c r="G205" s="1379"/>
      <c r="H205" s="1380"/>
      <c r="I205" s="336" t="s">
        <v>319</v>
      </c>
      <c r="J205" s="339">
        <f>_xlfn.IFNA(VLOOKUP($D197,tbParentalLeave,2,FALSE),0)</f>
        <v>0</v>
      </c>
      <c r="K205" s="443">
        <f>J205*K198</f>
        <v>0</v>
      </c>
      <c r="L205" s="340">
        <f>_xlfn.IFNA(VLOOKUP($D197,tbParentalLeave,2,FALSE),0)</f>
        <v>0</v>
      </c>
      <c r="M205" s="451">
        <f t="shared" ref="M205" si="855">L205*M198</f>
        <v>0</v>
      </c>
      <c r="N205" s="339">
        <f>_xlfn.IFNA(VLOOKUP($D197,tbParentalLeave,2,FALSE),0)</f>
        <v>0</v>
      </c>
      <c r="O205" s="443">
        <f>N205*O198</f>
        <v>0</v>
      </c>
      <c r="P205" s="340">
        <f>_xlfn.IFNA(VLOOKUP($D197,tbParentalLeave,2,FALSE),0)</f>
        <v>0</v>
      </c>
      <c r="Q205" s="451">
        <f t="shared" ref="Q205" si="856">P205*Q198</f>
        <v>0</v>
      </c>
      <c r="R205" s="339">
        <f>_xlfn.IFNA(VLOOKUP($D197,tbParentalLeave,2,FALSE),0)</f>
        <v>0</v>
      </c>
      <c r="S205" s="443">
        <f>R205*S198</f>
        <v>0</v>
      </c>
      <c r="T205" s="340">
        <f>_xlfn.IFNA(VLOOKUP($D197,tbParentalLeave,2,FALSE),0)</f>
        <v>0</v>
      </c>
      <c r="U205" s="451">
        <f t="shared" ref="U205" si="857">T205*U198</f>
        <v>0</v>
      </c>
      <c r="V205" s="339">
        <f>_xlfn.IFNA(VLOOKUP($D197,tbParentalLeave,2,FALSE),0)</f>
        <v>0</v>
      </c>
      <c r="W205" s="443">
        <f>V205*W198</f>
        <v>0</v>
      </c>
      <c r="X205" s="340">
        <f>_xlfn.IFNA(VLOOKUP($D197,tbParentalLeave,2,FALSE),0)</f>
        <v>0</v>
      </c>
      <c r="Y205" s="451">
        <f t="shared" ref="Y205" si="858">X205*Y198</f>
        <v>0</v>
      </c>
      <c r="Z205" s="339">
        <f>_xlfn.IFNA(VLOOKUP($D197,tbParentalLeave,2,FALSE),0)</f>
        <v>0</v>
      </c>
      <c r="AA205" s="443">
        <f>Z205*AA198</f>
        <v>0</v>
      </c>
      <c r="AB205" s="340">
        <f>_xlfn.IFNA(VLOOKUP($D197,tbParentalLeave,2,FALSE),0)</f>
        <v>0</v>
      </c>
      <c r="AC205" s="451">
        <f t="shared" ref="AC205" si="859">AB205*AC198</f>
        <v>0</v>
      </c>
      <c r="AD205" s="335"/>
      <c r="AE205" s="1152"/>
      <c r="AF205" s="1152"/>
      <c r="AG205" s="1152"/>
      <c r="AH205" s="1152"/>
      <c r="AI205" s="1152"/>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row>
    <row r="206" spans="1:56" hidden="1" outlineLevel="1" x14ac:dyDescent="0.3">
      <c r="A206" s="1182"/>
      <c r="B206" s="1379"/>
      <c r="C206" s="1379"/>
      <c r="D206" s="1379"/>
      <c r="E206" s="1379"/>
      <c r="F206" s="1379"/>
      <c r="G206" s="1379"/>
      <c r="H206" s="1380"/>
      <c r="I206" s="437" t="s">
        <v>320</v>
      </c>
      <c r="J206" s="438">
        <f>vl_overridden_uom_oncosts_per</f>
        <v>0</v>
      </c>
      <c r="K206" s="445">
        <f>J206*K198</f>
        <v>0</v>
      </c>
      <c r="L206" s="438">
        <f>vl_overridden_uom_oncosts_per</f>
        <v>0</v>
      </c>
      <c r="M206" s="445">
        <f>L206*M198</f>
        <v>0</v>
      </c>
      <c r="N206" s="438">
        <f>vl_overridden_uom_oncosts_per</f>
        <v>0</v>
      </c>
      <c r="O206" s="445">
        <f t="shared" ref="O206" si="860">N206*O198</f>
        <v>0</v>
      </c>
      <c r="P206" s="438">
        <f>vl_overridden_uom_oncosts_per</f>
        <v>0</v>
      </c>
      <c r="Q206" s="445">
        <f t="shared" ref="Q206" si="861">P206*Q198</f>
        <v>0</v>
      </c>
      <c r="R206" s="438">
        <f>vl_overridden_uom_oncosts_per</f>
        <v>0</v>
      </c>
      <c r="S206" s="445">
        <f t="shared" ref="S206" si="862">R206*S198</f>
        <v>0</v>
      </c>
      <c r="T206" s="438">
        <f>vl_overridden_uom_oncosts_per</f>
        <v>0</v>
      </c>
      <c r="U206" s="445">
        <f t="shared" ref="U206" si="863">T206*U198</f>
        <v>0</v>
      </c>
      <c r="V206" s="438">
        <f>vl_overridden_uom_oncosts_per</f>
        <v>0</v>
      </c>
      <c r="W206" s="445">
        <f t="shared" ref="W206" si="864">V206*W198</f>
        <v>0</v>
      </c>
      <c r="X206" s="438">
        <f>vl_overridden_uom_oncosts_per</f>
        <v>0</v>
      </c>
      <c r="Y206" s="445">
        <f t="shared" ref="Y206" si="865">X206*Y198</f>
        <v>0</v>
      </c>
      <c r="Z206" s="438">
        <f>vl_overridden_uom_oncosts_per</f>
        <v>0</v>
      </c>
      <c r="AA206" s="445">
        <f t="shared" ref="AA206" si="866">Z206*AA198</f>
        <v>0</v>
      </c>
      <c r="AB206" s="438">
        <f>vl_overridden_uom_oncosts_per</f>
        <v>0</v>
      </c>
      <c r="AC206" s="445">
        <f t="shared" ref="AC206" si="867">AB206*AC198</f>
        <v>0</v>
      </c>
      <c r="AD206" s="335"/>
      <c r="AE206" s="1152"/>
      <c r="AF206" s="1152"/>
      <c r="AG206" s="1152"/>
      <c r="AH206" s="1152"/>
      <c r="AI206" s="1152"/>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row>
    <row r="207" spans="1:56" hidden="1" outlineLevel="1" x14ac:dyDescent="0.3">
      <c r="A207" s="1182"/>
      <c r="B207" s="1379"/>
      <c r="C207" s="1379"/>
      <c r="D207" s="1379"/>
      <c r="E207" s="1379"/>
      <c r="F207" s="1379"/>
      <c r="G207" s="1379"/>
      <c r="H207" s="1380"/>
      <c r="I207" s="341" t="s">
        <v>321</v>
      </c>
      <c r="J207" s="342"/>
      <c r="K207" s="444">
        <f>SUM(K201:K206)</f>
        <v>0</v>
      </c>
      <c r="L207" s="342"/>
      <c r="M207" s="444">
        <f t="shared" ref="M207" si="868">SUM(M201:M206)</f>
        <v>0</v>
      </c>
      <c r="N207" s="342"/>
      <c r="O207" s="444">
        <f t="shared" ref="O207" si="869">SUM(O201:O206)</f>
        <v>0</v>
      </c>
      <c r="P207" s="342"/>
      <c r="Q207" s="444">
        <f t="shared" ref="Q207" si="870">SUM(Q201:Q206)</f>
        <v>0</v>
      </c>
      <c r="R207" s="342"/>
      <c r="S207" s="444">
        <f t="shared" ref="S207" si="871">SUM(S201:S206)</f>
        <v>0</v>
      </c>
      <c r="T207" s="342"/>
      <c r="U207" s="444">
        <f t="shared" ref="U207" si="872">SUM(U201:U206)</f>
        <v>0</v>
      </c>
      <c r="V207" s="342"/>
      <c r="W207" s="444">
        <f t="shared" ref="W207" si="873">SUM(W201:W206)</f>
        <v>0</v>
      </c>
      <c r="X207" s="342"/>
      <c r="Y207" s="444">
        <f t="shared" ref="Y207" si="874">SUM(Y201:Y206)</f>
        <v>0</v>
      </c>
      <c r="Z207" s="342"/>
      <c r="AA207" s="444">
        <f t="shared" ref="AA207" si="875">SUM(AA201:AA206)</f>
        <v>0</v>
      </c>
      <c r="AB207" s="342"/>
      <c r="AC207" s="444">
        <f t="shared" ref="AC207" si="876">SUM(AC201:AC206)</f>
        <v>0</v>
      </c>
      <c r="AD207" s="335">
        <f t="shared" si="754"/>
        <v>0</v>
      </c>
      <c r="AE207" s="1152"/>
      <c r="AF207" s="1152"/>
      <c r="AG207" s="1152"/>
      <c r="AH207" s="1152"/>
      <c r="AI207" s="1152"/>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row>
    <row r="208" spans="1:56" hidden="1" outlineLevel="1" x14ac:dyDescent="0.3">
      <c r="A208" s="1182"/>
      <c r="B208" s="1379"/>
      <c r="C208" s="1379"/>
      <c r="D208" s="1379"/>
      <c r="E208" s="1379"/>
      <c r="F208" s="1379"/>
      <c r="G208" s="1379"/>
      <c r="H208" s="1380"/>
      <c r="I208" s="336" t="s">
        <v>322</v>
      </c>
      <c r="J208" s="339">
        <f>_xlfn.IFNA(VLOOKUP($D197,tbAnnualLeaveProvision,2,FALSE),0)</f>
        <v>0</v>
      </c>
      <c r="K208" s="443">
        <f>J208*K198</f>
        <v>0</v>
      </c>
      <c r="L208" s="340">
        <f>_xlfn.IFNA(VLOOKUP($D197,tbAnnualLeaveProvision,2,FALSE),0)</f>
        <v>0</v>
      </c>
      <c r="M208" s="451">
        <f t="shared" ref="M208" si="877">L208*M198</f>
        <v>0</v>
      </c>
      <c r="N208" s="339">
        <f>_xlfn.IFNA(VLOOKUP($D197,tbAnnualLeaveProvision,2,FALSE),0)</f>
        <v>0</v>
      </c>
      <c r="O208" s="443">
        <f>N208*O198</f>
        <v>0</v>
      </c>
      <c r="P208" s="340">
        <f>_xlfn.IFNA(VLOOKUP($D197,tbAnnualLeaveProvision,2,FALSE),0)</f>
        <v>0</v>
      </c>
      <c r="Q208" s="451">
        <f t="shared" ref="Q208" si="878">P208*Q198</f>
        <v>0</v>
      </c>
      <c r="R208" s="339">
        <f>_xlfn.IFNA(VLOOKUP($D197,tbAnnualLeaveProvision,2,FALSE),0)</f>
        <v>0</v>
      </c>
      <c r="S208" s="443">
        <f>R208*S198</f>
        <v>0</v>
      </c>
      <c r="T208" s="340">
        <f>_xlfn.IFNA(VLOOKUP($D197,tbAnnualLeaveProvision,2,FALSE),0)</f>
        <v>0</v>
      </c>
      <c r="U208" s="451">
        <f t="shared" ref="U208" si="879">T208*U198</f>
        <v>0</v>
      </c>
      <c r="V208" s="339">
        <f>_xlfn.IFNA(VLOOKUP($D197,tbAnnualLeaveProvision,2,FALSE),0)</f>
        <v>0</v>
      </c>
      <c r="W208" s="443">
        <f>V208*W198</f>
        <v>0</v>
      </c>
      <c r="X208" s="340">
        <f>_xlfn.IFNA(VLOOKUP($D197,tbAnnualLeaveProvision,2,FALSE),0)</f>
        <v>0</v>
      </c>
      <c r="Y208" s="451">
        <f t="shared" ref="Y208" si="880">X208*Y198</f>
        <v>0</v>
      </c>
      <c r="Z208" s="339">
        <f>_xlfn.IFNA(VLOOKUP($D197,tbAnnualLeaveProvision,2,FALSE),0)</f>
        <v>0</v>
      </c>
      <c r="AA208" s="443">
        <f>Z208*AA198</f>
        <v>0</v>
      </c>
      <c r="AB208" s="340">
        <f>_xlfn.IFNA(VLOOKUP($D197,tbAnnualLeaveProvision,2,FALSE),0)</f>
        <v>0</v>
      </c>
      <c r="AC208" s="451">
        <f t="shared" ref="AC208" si="881">AB208*AC198</f>
        <v>0</v>
      </c>
      <c r="AD208" s="335"/>
      <c r="AE208" s="1152"/>
      <c r="AF208" s="1152"/>
      <c r="AG208" s="1152"/>
      <c r="AH208" s="1152"/>
      <c r="AI208" s="1152"/>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row>
    <row r="209" spans="1:56" hidden="1" outlineLevel="1" x14ac:dyDescent="0.3">
      <c r="A209" s="1182"/>
      <c r="B209" s="1379"/>
      <c r="C209" s="1379"/>
      <c r="D209" s="1379"/>
      <c r="E209" s="1379"/>
      <c r="F209" s="1379"/>
      <c r="G209" s="1379"/>
      <c r="H209" s="1380"/>
      <c r="I209" s="336" t="s">
        <v>330</v>
      </c>
      <c r="J209" s="339"/>
      <c r="K209" s="446">
        <f>K207+K208</f>
        <v>0</v>
      </c>
      <c r="L209" s="340"/>
      <c r="M209" s="452">
        <f t="shared" ref="M209" si="882">M207+M208</f>
        <v>0</v>
      </c>
      <c r="N209" s="339"/>
      <c r="O209" s="446">
        <f>O207+O208</f>
        <v>0</v>
      </c>
      <c r="P209" s="340"/>
      <c r="Q209" s="452">
        <f t="shared" ref="Q209" si="883">Q207+Q208</f>
        <v>0</v>
      </c>
      <c r="R209" s="339"/>
      <c r="S209" s="446">
        <f>S207+S208</f>
        <v>0</v>
      </c>
      <c r="T209" s="340"/>
      <c r="U209" s="452">
        <f t="shared" ref="U209" si="884">U207+U208</f>
        <v>0</v>
      </c>
      <c r="V209" s="339"/>
      <c r="W209" s="446">
        <f>W207+W208</f>
        <v>0</v>
      </c>
      <c r="X209" s="340"/>
      <c r="Y209" s="452">
        <f t="shared" ref="Y209" si="885">Y207+Y208</f>
        <v>0</v>
      </c>
      <c r="Z209" s="339"/>
      <c r="AA209" s="446">
        <f>AA207+AA208</f>
        <v>0</v>
      </c>
      <c r="AB209" s="340"/>
      <c r="AC209" s="452">
        <f t="shared" ref="AC209" si="886">AC207+AC208</f>
        <v>0</v>
      </c>
      <c r="AD209" s="335"/>
      <c r="AE209" s="1152"/>
      <c r="AF209" s="1152"/>
      <c r="AG209" s="1152"/>
      <c r="AH209" s="1152"/>
      <c r="AI209" s="1152"/>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row>
    <row r="210" spans="1:56" hidden="1" outlineLevel="1" x14ac:dyDescent="0.3">
      <c r="A210" s="1182"/>
      <c r="B210" s="1379"/>
      <c r="C210" s="1379"/>
      <c r="D210" s="1379"/>
      <c r="E210" s="1379"/>
      <c r="F210" s="1379"/>
      <c r="G210" s="1379"/>
      <c r="H210" s="1380"/>
      <c r="I210" s="343" t="s">
        <v>324</v>
      </c>
      <c r="J210" s="344"/>
      <c r="K210" s="443">
        <f>IFERROR(-(K207/vl_working_days_per_year)*J210,0)</f>
        <v>0</v>
      </c>
      <c r="L210" s="345"/>
      <c r="M210" s="451">
        <f>IFERROR(-(M207/vl_working_days_per_year)*L210,0)</f>
        <v>0</v>
      </c>
      <c r="N210" s="344"/>
      <c r="O210" s="443">
        <f>-(O207/vl_working_days_per_year)*N210</f>
        <v>0</v>
      </c>
      <c r="P210" s="345"/>
      <c r="Q210" s="451">
        <f>-(Q207/vl_working_days_per_year)*P210</f>
        <v>0</v>
      </c>
      <c r="R210" s="344"/>
      <c r="S210" s="443">
        <f>-(S207/vl_working_days_per_year)*R210</f>
        <v>0</v>
      </c>
      <c r="T210" s="345"/>
      <c r="U210" s="451">
        <f>-(U207/vl_working_days_per_year)*T210</f>
        <v>0</v>
      </c>
      <c r="V210" s="344"/>
      <c r="W210" s="443">
        <f>-(W207/vl_working_days_per_year)*V210</f>
        <v>0</v>
      </c>
      <c r="X210" s="345"/>
      <c r="Y210" s="451">
        <f>-(Y207/vl_working_days_per_year)*X210</f>
        <v>0</v>
      </c>
      <c r="Z210" s="344"/>
      <c r="AA210" s="443">
        <f>-(AA207/vl_working_days_per_year)*Z210</f>
        <v>0</v>
      </c>
      <c r="AB210" s="345"/>
      <c r="AC210" s="451">
        <f>-(AC207/vl_working_days_per_year)*AB210</f>
        <v>0</v>
      </c>
      <c r="AD210" s="335">
        <f t="shared" si="754"/>
        <v>0</v>
      </c>
      <c r="AE210" s="1152"/>
      <c r="AF210" s="1152"/>
      <c r="AG210" s="1152"/>
      <c r="AH210" s="1152"/>
      <c r="AI210" s="1152"/>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row>
    <row r="211" spans="1:56" hidden="1" outlineLevel="1" x14ac:dyDescent="0.3">
      <c r="A211" s="1182"/>
      <c r="B211" s="1379"/>
      <c r="C211" s="1379"/>
      <c r="D211" s="1379"/>
      <c r="E211" s="1379"/>
      <c r="F211" s="1379"/>
      <c r="G211" s="1379"/>
      <c r="H211" s="1380"/>
      <c r="I211" s="341" t="s">
        <v>325</v>
      </c>
      <c r="J211" s="346"/>
      <c r="K211" s="444">
        <f>K209+K210</f>
        <v>0</v>
      </c>
      <c r="L211" s="346"/>
      <c r="M211" s="444">
        <f t="shared" ref="M211" si="887">M209+M210</f>
        <v>0</v>
      </c>
      <c r="N211" s="346"/>
      <c r="O211" s="444">
        <f>O209+O210</f>
        <v>0</v>
      </c>
      <c r="P211" s="346"/>
      <c r="Q211" s="444">
        <f t="shared" ref="Q211" si="888">Q209+Q210</f>
        <v>0</v>
      </c>
      <c r="R211" s="346"/>
      <c r="S211" s="444">
        <f>S209+S210</f>
        <v>0</v>
      </c>
      <c r="T211" s="346"/>
      <c r="U211" s="444">
        <f t="shared" ref="U211" si="889">U209+U210</f>
        <v>0</v>
      </c>
      <c r="V211" s="346"/>
      <c r="W211" s="444">
        <f>W209+W210</f>
        <v>0</v>
      </c>
      <c r="X211" s="346"/>
      <c r="Y211" s="444">
        <f t="shared" ref="Y211" si="890">Y209+Y210</f>
        <v>0</v>
      </c>
      <c r="Z211" s="346"/>
      <c r="AA211" s="444">
        <f>AA209+AA210</f>
        <v>0</v>
      </c>
      <c r="AB211" s="346"/>
      <c r="AC211" s="444">
        <f t="shared" ref="AC211" si="891">AC209+AC210</f>
        <v>0</v>
      </c>
      <c r="AD211" s="335">
        <f t="shared" si="754"/>
        <v>0</v>
      </c>
      <c r="AE211" s="1152"/>
      <c r="AF211" s="1152"/>
      <c r="AG211" s="1152"/>
      <c r="AH211" s="1152"/>
      <c r="AI211" s="1152"/>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row>
    <row r="212" spans="1:56" s="1" customFormat="1" ht="15" hidden="1" customHeight="1" outlineLevel="1" x14ac:dyDescent="0.3">
      <c r="A212" s="727"/>
      <c r="B212" s="1379"/>
      <c r="C212" s="1379"/>
      <c r="D212" s="1379"/>
      <c r="E212" s="1379"/>
      <c r="F212" s="1379"/>
      <c r="G212" s="1379"/>
      <c r="H212" s="1380"/>
      <c r="I212" s="382" t="s">
        <v>326</v>
      </c>
      <c r="J212" s="383">
        <f>IFERROR(K212/K198,0)</f>
        <v>0</v>
      </c>
      <c r="K212" s="447">
        <f>SUM(K199:K200,K202:K205,K208)</f>
        <v>0</v>
      </c>
      <c r="L212" s="434">
        <f>IFERROR(M212/M198,0)</f>
        <v>0</v>
      </c>
      <c r="M212" s="453">
        <f t="shared" ref="M212" si="892">SUM(M199:M200,M202:M205,M208)</f>
        <v>0</v>
      </c>
      <c r="N212" s="383">
        <f t="shared" ref="N212" si="893">IFERROR(O212/O198,0)</f>
        <v>0</v>
      </c>
      <c r="O212" s="447">
        <f t="shared" ref="O212" si="894">SUM(O199:O200,O202:O205,O208)</f>
        <v>0</v>
      </c>
      <c r="P212" s="434">
        <f t="shared" ref="P212" si="895">IFERROR(Q212/Q198,0)</f>
        <v>0</v>
      </c>
      <c r="Q212" s="453">
        <f t="shared" ref="Q212" si="896">SUM(Q199:Q200,Q202:Q205,Q208)</f>
        <v>0</v>
      </c>
      <c r="R212" s="383">
        <f t="shared" ref="R212" si="897">IFERROR(S212/S198,0)</f>
        <v>0</v>
      </c>
      <c r="S212" s="447">
        <f t="shared" ref="S212" si="898">SUM(S199:S200,S202:S205,S208)</f>
        <v>0</v>
      </c>
      <c r="T212" s="434">
        <f t="shared" ref="T212" si="899">IFERROR(U212/U198,0)</f>
        <v>0</v>
      </c>
      <c r="U212" s="453">
        <f t="shared" ref="U212" si="900">SUM(U199:U200,U202:U205,U208)</f>
        <v>0</v>
      </c>
      <c r="V212" s="383">
        <f t="shared" ref="V212" si="901">IFERROR(W212/W198,0)</f>
        <v>0</v>
      </c>
      <c r="W212" s="447">
        <f t="shared" ref="W212" si="902">SUM(W199:W200,W202:W205,W208)</f>
        <v>0</v>
      </c>
      <c r="X212" s="434">
        <f t="shared" ref="X212" si="903">IFERROR(Y212/Y198,0)</f>
        <v>0</v>
      </c>
      <c r="Y212" s="453">
        <f t="shared" ref="Y212" si="904">SUM(Y199:Y200,Y202:Y205,Y208)</f>
        <v>0</v>
      </c>
      <c r="Z212" s="383">
        <f t="shared" ref="Z212" si="905">IFERROR(AA212/AA198,0)</f>
        <v>0</v>
      </c>
      <c r="AA212" s="447">
        <f t="shared" ref="AA212" si="906">SUM(AA199:AA200,AA202:AA205,AA208)</f>
        <v>0</v>
      </c>
      <c r="AB212" s="434">
        <f t="shared" ref="AB212" si="907">IFERROR(AC212/AC198,0)</f>
        <v>0</v>
      </c>
      <c r="AC212" s="453">
        <f t="shared" ref="AC212" si="908">SUM(AC199:AC200,AC202:AC205,AC208)</f>
        <v>0</v>
      </c>
      <c r="AD212" s="377">
        <f t="shared" si="754"/>
        <v>0</v>
      </c>
      <c r="AE212" s="14"/>
      <c r="AF212" s="14"/>
      <c r="AG212" s="14"/>
      <c r="AH212" s="14"/>
      <c r="AI212" s="14"/>
      <c r="AJ212" s="14"/>
      <c r="AK212" s="14"/>
      <c r="AL212" s="14"/>
      <c r="AM212" s="14"/>
      <c r="AN212" s="14"/>
      <c r="AO212" s="14"/>
      <c r="AP212" s="14"/>
      <c r="AQ212" s="14"/>
      <c r="AR212" s="14"/>
      <c r="AS212" s="14"/>
      <c r="AT212" s="14"/>
      <c r="AU212" s="14"/>
      <c r="AV212" s="14"/>
      <c r="AW212" s="14"/>
      <c r="AX212" s="14"/>
      <c r="AY212" s="14"/>
      <c r="AZ212" s="14"/>
      <c r="BA212" s="14"/>
      <c r="BB212" s="14"/>
      <c r="BC212" s="14"/>
      <c r="BD212" s="14"/>
    </row>
    <row r="213" spans="1:56" hidden="1" outlineLevel="1" x14ac:dyDescent="0.3">
      <c r="A213" s="1182"/>
      <c r="B213" s="1379"/>
      <c r="C213" s="1379"/>
      <c r="D213" s="1379"/>
      <c r="E213" s="1379"/>
      <c r="F213" s="1379"/>
      <c r="G213" s="1379"/>
      <c r="H213" s="1380"/>
      <c r="I213" s="382" t="s">
        <v>327</v>
      </c>
      <c r="J213" s="384">
        <f>pCRSalaries</f>
        <v>2.5</v>
      </c>
      <c r="K213" s="447"/>
      <c r="L213" s="435">
        <f>pCRSalaries</f>
        <v>2.5</v>
      </c>
      <c r="M213" s="453"/>
      <c r="N213" s="384">
        <f>pCRSalaries</f>
        <v>2.5</v>
      </c>
      <c r="O213" s="447"/>
      <c r="P213" s="435">
        <f>pCRSalaries</f>
        <v>2.5</v>
      </c>
      <c r="Q213" s="453"/>
      <c r="R213" s="384">
        <f>pCRSalaries</f>
        <v>2.5</v>
      </c>
      <c r="S213" s="447"/>
      <c r="T213" s="435">
        <f>pCRSalaries</f>
        <v>2.5</v>
      </c>
      <c r="U213" s="453"/>
      <c r="V213" s="384">
        <f>pCRSalaries</f>
        <v>2.5</v>
      </c>
      <c r="W213" s="447"/>
      <c r="X213" s="435">
        <f>pCRSalaries</f>
        <v>2.5</v>
      </c>
      <c r="Y213" s="453"/>
      <c r="Z213" s="384">
        <f>pCRSalaries</f>
        <v>2.5</v>
      </c>
      <c r="AA213" s="447"/>
      <c r="AB213" s="435">
        <f>pCRSalaries</f>
        <v>2.5</v>
      </c>
      <c r="AC213" s="453"/>
      <c r="AD213" s="335"/>
      <c r="AE213" s="1152"/>
      <c r="AF213" s="1152"/>
      <c r="AG213" s="1152"/>
      <c r="AH213" s="1152"/>
      <c r="AI213" s="1152"/>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row>
    <row r="214" spans="1:56" ht="16.2" hidden="1" outlineLevel="1" thickBot="1" x14ac:dyDescent="0.35">
      <c r="A214" s="1182"/>
      <c r="B214" s="710"/>
      <c r="C214" s="347"/>
      <c r="D214" s="347"/>
      <c r="E214" s="347"/>
      <c r="F214" s="347"/>
      <c r="G214" s="347"/>
      <c r="H214" s="347"/>
      <c r="I214" s="436" t="s">
        <v>329</v>
      </c>
      <c r="J214" s="348"/>
      <c r="K214" s="448">
        <f>J213*K209</f>
        <v>0</v>
      </c>
      <c r="L214" s="348"/>
      <c r="M214" s="448">
        <f t="shared" ref="M214" si="909">L213*M209</f>
        <v>0</v>
      </c>
      <c r="N214" s="348"/>
      <c r="O214" s="448">
        <f>N213*O209</f>
        <v>0</v>
      </c>
      <c r="P214" s="348"/>
      <c r="Q214" s="448">
        <f t="shared" ref="Q214" si="910">P213*Q209</f>
        <v>0</v>
      </c>
      <c r="R214" s="348"/>
      <c r="S214" s="448">
        <f>R213*S209</f>
        <v>0</v>
      </c>
      <c r="T214" s="348"/>
      <c r="U214" s="448">
        <f t="shared" ref="U214" si="911">T213*U209</f>
        <v>0</v>
      </c>
      <c r="V214" s="348"/>
      <c r="W214" s="448">
        <f>V213*W209</f>
        <v>0</v>
      </c>
      <c r="X214" s="348"/>
      <c r="Y214" s="448">
        <f t="shared" ref="Y214" si="912">X213*Y209</f>
        <v>0</v>
      </c>
      <c r="Z214" s="348"/>
      <c r="AA214" s="448">
        <f>Z213*AA209</f>
        <v>0</v>
      </c>
      <c r="AB214" s="348"/>
      <c r="AC214" s="448">
        <f t="shared" ref="AC214" si="913">AB213*AC209</f>
        <v>0</v>
      </c>
      <c r="AD214" s="335">
        <f t="shared" si="754"/>
        <v>0</v>
      </c>
      <c r="AE214" s="1152"/>
      <c r="AF214" s="1152"/>
      <c r="AG214" s="1152"/>
      <c r="AH214" s="1152"/>
      <c r="AI214" s="1152"/>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row>
    <row r="215" spans="1:56" ht="15" hidden="1" outlineLevel="1" thickBot="1" x14ac:dyDescent="0.35">
      <c r="A215" s="1182"/>
      <c r="B215" s="1181"/>
      <c r="C215" s="1181"/>
      <c r="D215" s="1181"/>
      <c r="E215" s="1181"/>
      <c r="F215" s="1181"/>
      <c r="G215" s="1181"/>
      <c r="H215" s="1181"/>
      <c r="I215" s="350"/>
      <c r="J215" s="351"/>
      <c r="K215" s="351"/>
      <c r="L215" s="351"/>
      <c r="M215" s="352"/>
      <c r="N215" s="351"/>
      <c r="O215" s="352"/>
      <c r="P215" s="351"/>
      <c r="Q215" s="352"/>
      <c r="R215" s="351"/>
      <c r="S215" s="352"/>
      <c r="T215" s="351"/>
      <c r="U215" s="352"/>
      <c r="V215" s="351"/>
      <c r="W215" s="352"/>
      <c r="X215" s="351"/>
      <c r="Y215" s="352"/>
      <c r="Z215" s="351"/>
      <c r="AA215" s="352"/>
      <c r="AB215" s="351"/>
      <c r="AC215" s="352"/>
      <c r="AD215" s="353" t="str">
        <f>IF(tbBudgetCurrency="AUD - Australian Dollar","",IFERROR(K215+M215+O215+Q215+S215+U215+W215+Y215+AA215+AC215,0))</f>
        <v/>
      </c>
      <c r="AE215" s="1152"/>
      <c r="AF215" s="1152"/>
      <c r="AG215" s="1152"/>
      <c r="AH215" s="1152"/>
      <c r="AI215" s="1152"/>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row>
    <row r="216" spans="1:56" hidden="1" outlineLevel="1" x14ac:dyDescent="0.3">
      <c r="A216" s="1182"/>
      <c r="B216" s="356" t="str">
        <f>IF('PART B Staff Costs'!B32="","",'PART B Staff Costs'!B32)</f>
        <v/>
      </c>
      <c r="C216" s="355" t="str">
        <f>IF('PART B Staff Costs'!C32="","",'PART B Staff Costs'!C32)</f>
        <v xml:space="preserve"> </v>
      </c>
      <c r="D216" s="355" t="str">
        <f>IF('PART B Staff Costs'!D32="","",'PART B Staff Costs'!D32)</f>
        <v/>
      </c>
      <c r="E216" s="355" t="str">
        <f>IF('PART B Staff Costs'!E32="","",'PART B Staff Costs'!E32)</f>
        <v/>
      </c>
      <c r="F216" s="355" t="str">
        <f>IF('PART B Staff Costs'!F32="","",'PART B Staff Costs'!F32)</f>
        <v/>
      </c>
      <c r="G216" s="355" t="str">
        <f>IF('PART B Staff Costs'!G32="","",'PART B Staff Costs'!G32)</f>
        <v/>
      </c>
      <c r="H216" s="332" t="str">
        <f t="shared" ref="H216" si="914">CONCATENATE(IF(D216=0,"",D216)," ",IF(E216=0,"",E216)," ",IF(F216=0,"",F216),,IF(OR(G216=0,G216=""),"",CONCATENATE(" (",G216,")")))</f>
        <v xml:space="preserve">  </v>
      </c>
      <c r="I216" s="332" t="s">
        <v>313</v>
      </c>
      <c r="J216" s="333">
        <f>_xlfn.IFNA('PART B Staff Costs'!H32*'PART B Staff Costs'!J$10,0)*new_xrate</f>
        <v>0</v>
      </c>
      <c r="K216" s="441"/>
      <c r="L216" s="334">
        <f>_xlfn.IFNA(IF(pStartYear+1&gt;pEndYear,0,VLOOKUP(CONCATENATE(
IF(OR($D216="Continuing",$D216="Fixed-Term"),"Fortnight",IF($D216="Casual","Casual",)),
$E216,
IF(OR($D216="Continuing",$D216="Fixed-Term"),
IF(LEFT($F216,6)="UOM 10","UOM 10",(LEFT($F216,LEN($F216)-1)&amp;MIN(RIGHT($F216,1)+COUNTIFS($J217:K217,"&gt;0")/2,VLOOKUP(LEFT($F216,LEN($F216)-2),tSalaryMax,2,FALSE)))),
IF($D216="Casual",
$F216,))
),tSalaryRate,5,FALSE)*VLOOKUP($G216,tSalaryRateMultiplier,2,FALSE)*'PART B Staff Costs'!L$10),0)*new_xrate</f>
        <v>0</v>
      </c>
      <c r="M216" s="449"/>
      <c r="N216" s="333">
        <f>_xlfn.IFNA(IF(pStartYear+2&gt;pEndYear,0,VLOOKUP(CONCATENATE(
IF(OR($D216="Continuing",$D216="Fixed-Term"),"Fortnight",IF($D216="Casual","Casual",)),
$E216,
IF(OR($D216="Continuing",$D216="Fixed-Term"),
IF(LEFT($F216,6)="UOM 10","UOM 10",(LEFT($F216,LEN($F216)-1)&amp;MIN(RIGHT($F216,1)+COUNTIFS($J217:M217,"&gt;0")/2,VLOOKUP(LEFT($F216,LEN($F216)-2),tSalaryMax,2,FALSE)))),
IF($D216="Casual",
$F216,))
),tSalaryRate,5,FALSE)*VLOOKUP($G216,tSalaryRateMultiplier,2,FALSE)*'PART B Staff Costs'!N$10),0)*new_xrate</f>
        <v>0</v>
      </c>
      <c r="O216" s="441"/>
      <c r="P216" s="334">
        <f>_xlfn.IFNA(IF(pStartYear+3&gt;pEndYear,0,VLOOKUP(CONCATENATE(
IF(OR($D216="Continuing",$D216="Fixed-Term"),"Fortnight",IF($D216="Casual","Casual",)),
$E216,
IF(OR($D216="Continuing",$D216="Fixed-Term"),
IF(LEFT($F216,6)="UOM 10","UOM 10",(LEFT($F216,LEN($F216)-1)&amp;MIN(RIGHT($F216,1)+COUNTIFS($J217:O217,"&gt;0")/2,VLOOKUP(LEFT($F216,LEN($F216)-2),tSalaryMax,2,FALSE)))),
IF($D216="Casual",
$F216,))
),tSalaryRate,5,FALSE)*VLOOKUP($G216,tSalaryRateMultiplier,2,FALSE)*'PART B Staff Costs'!P$10),0)*new_xrate</f>
        <v>0</v>
      </c>
      <c r="Q216" s="449"/>
      <c r="R216" s="333">
        <f>_xlfn.IFNA(IF(pStartYear+4&gt;pEndYear,0,VLOOKUP(CONCATENATE(
IF(OR($D216="Continuing",$D216="Fixed-Term"),"Fortnight",IF($D216="Casual","Casual",)),
$E216,
IF(OR($D216="Continuing",$D216="Fixed-Term"),
IF(LEFT($F216,6)="UOM 10","UOM 10",(LEFT($F216,LEN($F216)-1)&amp;MIN(RIGHT($F216,1)+COUNTIFS($J217:Q217,"&gt;0")/2,VLOOKUP(LEFT($F216,LEN($F216)-2),tSalaryMax,2,FALSE)))),
IF($D216="Casual",
$F216,))
),tSalaryRate,5,FALSE)*VLOOKUP($G216,tSalaryRateMultiplier,2,FALSE)*'PART B Staff Costs'!R$10),0)*new_xrate</f>
        <v>0</v>
      </c>
      <c r="S216" s="441"/>
      <c r="T216" s="334">
        <f>_xlfn.IFNA(IF(pStartYear+5&gt;pEndYear,0,VLOOKUP(CONCATENATE(
IF(OR($D216="Continuing",$D216="Fixed-Term"),"Fortnight",IF($D216="Casual","Casual",)),
$E216,
IF(OR($D216="Continuing",$D216="Fixed-Term"),
IF(LEFT($F216,6)="UOM 10","UOM 10",(LEFT($F216,LEN($F216)-1)&amp;MIN(RIGHT($F216,1)+COUNTIFS($J217:S217,"&gt;0")/2,VLOOKUP(LEFT($F216,LEN($F216)-2),tSalaryMax,2,FALSE)))),
IF($D216="Casual",
$F216,))
),tSalaryRate,5,FALSE)*VLOOKUP($G216,tSalaryRateMultiplier,2,FALSE)*'PART B Staff Costs'!T$10),0)*new_xrate</f>
        <v>0</v>
      </c>
      <c r="U216" s="449"/>
      <c r="V216" s="333">
        <f>_xlfn.IFNA(IF(pStartYear+6&gt;pEndYear,0,VLOOKUP(CONCATENATE(
IF(OR($D216="Continuing",$D216="Fixed-Term"),"Fortnight",IF($D216="Casual","Casual",)),
$E216,
IF(OR($D216="Continuing",$D216="Fixed-Term"),
IF(LEFT($F216,6)="UOM 10","UOM 10",(LEFT($F216,LEN($F216)-1)&amp;MIN(RIGHT($F216,1)+COUNTIFS($J217:U217,"&gt;0")/2,VLOOKUP(LEFT($F216,LEN($F216)-2),tSalaryMax,2,FALSE)))),
IF($D216="Casual",
$F216,))
),tSalaryRate,5,FALSE)*VLOOKUP($G216,tSalaryRateMultiplier,2,FALSE)*'PART B Staff Costs'!V$10),0)*new_xrate</f>
        <v>0</v>
      </c>
      <c r="W216" s="441"/>
      <c r="X216" s="334">
        <f>_xlfn.IFNA(IF(pStartYear+7&gt;pEndYear,0,VLOOKUP(CONCATENATE(
IF(OR($D216="Continuing",$D216="Fixed-Term"),"Fortnight",IF($D216="Casual","Casual",)),
$E216,
IF(OR($D216="Continuing",$D216="Fixed-Term"),
IF(LEFT($F216,6)="UOM 10","UOM 10",(LEFT($F216,LEN($F216)-1)&amp;MIN(RIGHT($F216,1)+COUNTIFS($J217:W217,"&gt;0")/2,VLOOKUP(LEFT($F216,LEN($F216)-2),tSalaryMax,2,FALSE)))),
IF($D216="Casual",
$F216,))
),tSalaryRate,5,FALSE)*VLOOKUP($G216,tSalaryRateMultiplier,2,FALSE)*'PART B Staff Costs'!X$10),0)*new_xrate</f>
        <v>0</v>
      </c>
      <c r="Y216" s="449"/>
      <c r="Z216" s="333">
        <f>_xlfn.IFNA(IF(pStartYear+8&gt;pEndYear,0,VLOOKUP(CONCATENATE(
IF(OR($D216="Continuing",$D216="Fixed-Term"),"Fortnight",IF($D216="Casual","Casual",)),
$E216,
IF(OR($D216="Continuing",$D216="Fixed-Term"),
IF(LEFT($F216,6)="UOM 10","UOM 10",(LEFT($F216,LEN($F216)-1)&amp;MIN(RIGHT($F216,1)+COUNTIFS($J217:Y217,"&gt;0")/2,VLOOKUP(LEFT($F216,LEN($F216)-2),tSalaryMax,2,FALSE)))),
IF($D216="Casual",
$F216,))
),tSalaryRate,5,FALSE)*VLOOKUP($G216,tSalaryRateMultiplier,2,FALSE)*'PART B Staff Costs'!Z$10),0)*new_xrate</f>
        <v>0</v>
      </c>
      <c r="AA216" s="441"/>
      <c r="AB216" s="334">
        <f>_xlfn.IFNA(IF(pStartYear+9&gt;pEndYear,0,VLOOKUP(CONCATENATE(
IF(OR($D216="Continuing",$D216="Fixed-Term"),"Fortnight",IF($D216="Casual","Casual",)),
$E216,
IF(OR($D216="Continuing",$D216="Fixed-Term"),
IF(LEFT($F216,6)="UOM 10","UOM 10",(LEFT($F216,LEN($F216)-1)&amp;MIN(RIGHT($F216,1)+COUNTIFS($J217:AA217,"&gt;0")/2,VLOOKUP(LEFT($F216,LEN($F216)-2),tSalaryMax,2,FALSE)))),
IF($D216="Casual",
$F216,))
),tSalaryRate,5,FALSE)*VLOOKUP($G216,tSalaryRateMultiplier,2,FALSE)*'PART B Staff Costs'!AB$10),0)*new_xrate</f>
        <v>0</v>
      </c>
      <c r="AC216" s="449"/>
      <c r="AD216" s="335"/>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row>
    <row r="217" spans="1:56" hidden="1" outlineLevel="1" x14ac:dyDescent="0.3">
      <c r="A217" s="1182"/>
      <c r="B217" s="1377"/>
      <c r="C217" s="1377"/>
      <c r="D217" s="1377"/>
      <c r="E217" s="1377"/>
      <c r="F217" s="1377"/>
      <c r="G217" s="1377"/>
      <c r="H217" s="1378"/>
      <c r="I217" s="336" t="str">
        <f>IF('PART B Staff Costs'!G212&lt;&gt;"",CONCATENATE("Time/Requested salary"," (",'PART B Staff Costs'!G212,")"),"Time/Requested salary")</f>
        <v>Time/Requested salary</v>
      </c>
      <c r="J217" s="337">
        <f>_xlfn.IFNA('PART B Staff Costs'!I32,0)</f>
        <v>0</v>
      </c>
      <c r="K217" s="442">
        <f>IF('PART B Staff Costs'!$G$32="FTE",J217*J216*(First_year_fraction/12),J217*J216)</f>
        <v>0</v>
      </c>
      <c r="L217" s="338">
        <f>_xlfn.IFNA('PART B Staff Costs'!K32,0)</f>
        <v>0</v>
      </c>
      <c r="M217" s="450">
        <f>IF(pStartYear+1=pEndYear,IF('PART B Staff Costs'!$G$32="FTE",(L217*L216)*Last_Year_Fraction/12,L217*L216),L217*L216)</f>
        <v>0</v>
      </c>
      <c r="N217" s="337">
        <f>_xlfn.IFNA('PART B Staff Costs'!M32,0)</f>
        <v>0</v>
      </c>
      <c r="O217" s="442">
        <f>IF(pStartYear+2=pEndYear,IF('PART B Staff Costs'!$G$32="FTE",(N217*N216)*Last_Year_Fraction/12,N217*N216),N217*N216)</f>
        <v>0</v>
      </c>
      <c r="P217" s="338">
        <f>_xlfn.IFNA('PART B Staff Costs'!O32,0)</f>
        <v>0</v>
      </c>
      <c r="Q217" s="450">
        <f>IF(pStartYear+3=pEndYear,IF('PART B Staff Costs'!$G$32="FTE",(P217*P216)*Last_Year_Fraction/12,P217*P216),P217*P216)</f>
        <v>0</v>
      </c>
      <c r="R217" s="337">
        <f>_xlfn.IFNA('PART B Staff Costs'!Q32,0)</f>
        <v>0</v>
      </c>
      <c r="S217" s="442">
        <f>IF(pStartYear+4=pEndYear,IF('PART B Staff Costs'!$G$32="FTE",(R217*R216)*Last_Year_Fraction/12,R217*R216),R217*R216)</f>
        <v>0</v>
      </c>
      <c r="T217" s="338">
        <f>_xlfn.IFNA('PART B Staff Costs'!S32,0)</f>
        <v>0</v>
      </c>
      <c r="U217" s="450">
        <f>IF(pStartYear+5=pEndYear,IF('PART B Staff Costs'!$G$32="FTE",(T217*T216)*Last_Year_Fraction/12,T217*T216),T217*T216)</f>
        <v>0</v>
      </c>
      <c r="V217" s="337">
        <f>_xlfn.IFNA('PART B Staff Costs'!U32,0)</f>
        <v>0</v>
      </c>
      <c r="W217" s="442">
        <f>IF(pStartYear+6=pEndYear,IF('PART B Staff Costs'!$G$32="FTE",(V217*V216)*Last_Year_Fraction/12,V217*V216),V217*V216)</f>
        <v>0</v>
      </c>
      <c r="X217" s="338">
        <f>_xlfn.IFNA('PART B Staff Costs'!W32,0)</f>
        <v>0</v>
      </c>
      <c r="Y217" s="450">
        <f>IF(pStartYear+7=pEndYear,IF('PART B Staff Costs'!$G$32="FTE",(X217*X216)*Last_Year_Fraction/12,X217*X216),X217*X216)</f>
        <v>0</v>
      </c>
      <c r="Z217" s="337">
        <f>_xlfn.IFNA('PART B Staff Costs'!Y32,0)</f>
        <v>0</v>
      </c>
      <c r="AA217" s="442">
        <f>IF(pStartYear+8=pEndYear,IF('PART B Staff Costs'!$G$32="FTE",(Z217*Z216)*Last_Year_Fraction/12,Z217*Z216),Z217*Z216)</f>
        <v>0</v>
      </c>
      <c r="AB217" s="338">
        <f>_xlfn.IFNA('PART B Staff Costs'!AA32,0)</f>
        <v>0</v>
      </c>
      <c r="AC217" s="450">
        <f>IF(pStartYear+9=pEndYear,IF('PART B Staff Costs'!$G$32="FTE",(AB217*AB216)*Last_Year_Fraction/12,AB217*AB216),AB217*AB216)</f>
        <v>0</v>
      </c>
      <c r="AD217" s="335"/>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row>
    <row r="218" spans="1:56" hidden="1" outlineLevel="1" x14ac:dyDescent="0.3">
      <c r="A218" s="1182"/>
      <c r="B218" s="1379"/>
      <c r="C218" s="1379"/>
      <c r="D218" s="1379"/>
      <c r="E218" s="1379"/>
      <c r="F218" s="1379"/>
      <c r="G218" s="1379"/>
      <c r="H218" s="1380"/>
      <c r="I218" s="336" t="str">
        <f>IF(tbBudgetCurrency="AUD - Australian Dollar",CONCATENATE("Leave Loading (max of AU$",vl_Max_Leave_Loading,")"),CONCATENATE("Leave Loading (max of ",ROUND(vl_Max_Leave_Loading*new_xrate,2)," ",LEFT(tbBudgetCurrency,3),")"))</f>
        <v>Leave Loading (max of AU$1611.3)</v>
      </c>
      <c r="J218" s="339">
        <f>_xlfn.IFNA(VLOOKUP($D216,tbLeaveLoading,2,FALSE),0)</f>
        <v>0</v>
      </c>
      <c r="K218" s="443">
        <f>IF(K217*J218&gt;vl_Max_Leave_Loading*new_xrate,vl_Max_Leave_Loading*new_xrate,K217*J218)</f>
        <v>0</v>
      </c>
      <c r="L218" s="340">
        <f>_xlfn.IFNA(VLOOKUP($D216,tbLeaveLoading,2,FALSE),0)</f>
        <v>0</v>
      </c>
      <c r="M218" s="451">
        <f>IF(M217*L218&gt;vl_Max_Leave_Loading*new_xrate,vl_Max_Leave_Loading*new_xrate,M217*L218)</f>
        <v>0</v>
      </c>
      <c r="N218" s="339">
        <f>_xlfn.IFNA(VLOOKUP($D216,tbLeaveLoading,2,FALSE),0)</f>
        <v>0</v>
      </c>
      <c r="O218" s="443">
        <f>IF(O217*N218&gt;vl_Max_Leave_Loading*new_xrate,vl_Max_Leave_Loading*new_xrate,O217*N218)</f>
        <v>0</v>
      </c>
      <c r="P218" s="340">
        <f>_xlfn.IFNA(VLOOKUP($D216,tbLeaveLoading,2,FALSE),0)</f>
        <v>0</v>
      </c>
      <c r="Q218" s="451">
        <f>IF(Q217*P218&gt;vl_Max_Leave_Loading*new_xrate,vl_Max_Leave_Loading*new_xrate,Q217*P218)</f>
        <v>0</v>
      </c>
      <c r="R218" s="339">
        <f>_xlfn.IFNA(VLOOKUP($D216,tbLeaveLoading,2,FALSE),0)</f>
        <v>0</v>
      </c>
      <c r="S218" s="443">
        <f>IF(S217*R218&gt;vl_Max_Leave_Loading*new_xrate,vl_Max_Leave_Loading*new_xrate,S217*R218)</f>
        <v>0</v>
      </c>
      <c r="T218" s="340">
        <f>_xlfn.IFNA(VLOOKUP($D216,tbLeaveLoading,2,FALSE),0)</f>
        <v>0</v>
      </c>
      <c r="U218" s="451">
        <f>IF(U217*T218&gt;vl_Max_Leave_Loading*new_xrate,vl_Max_Leave_Loading*new_xrate,U217*T218)</f>
        <v>0</v>
      </c>
      <c r="V218" s="339">
        <f>_xlfn.IFNA(VLOOKUP($D216,tbLeaveLoading,2,FALSE),0)</f>
        <v>0</v>
      </c>
      <c r="W218" s="443">
        <f>IF(W217*V218&gt;vl_Max_Leave_Loading*new_xrate,vl_Max_Leave_Loading*new_xrate,W217*V218)</f>
        <v>0</v>
      </c>
      <c r="X218" s="340">
        <f>_xlfn.IFNA(VLOOKUP($D216,tbLeaveLoading,2,FALSE),0)</f>
        <v>0</v>
      </c>
      <c r="Y218" s="451">
        <f>IF(Y217*X218&gt;vl_Max_Leave_Loading*new_xrate,vl_Max_Leave_Loading*new_xrate,Y217*X218)</f>
        <v>0</v>
      </c>
      <c r="Z218" s="339">
        <f>_xlfn.IFNA(VLOOKUP($D216,tbLeaveLoading,2,FALSE),0)</f>
        <v>0</v>
      </c>
      <c r="AA218" s="443">
        <f>IF(AA217*Z218&gt;vl_Max_Leave_Loading*new_xrate,vl_Max_Leave_Loading*new_xrate,AA217*Z218)</f>
        <v>0</v>
      </c>
      <c r="AB218" s="340">
        <f>_xlfn.IFNA(VLOOKUP($D216,tbLeaveLoading,2,FALSE),0)</f>
        <v>0</v>
      </c>
      <c r="AC218" s="451">
        <f>IF(AC217*AB218&gt;vl_Max_Leave_Loading*new_xrate,vl_Max_Leave_Loading*new_xrate,AC217*AB218)</f>
        <v>0</v>
      </c>
      <c r="AD218" s="335"/>
      <c r="AE218" s="1152"/>
      <c r="AF218" s="1152"/>
      <c r="AG218" s="1152"/>
      <c r="AH218" s="1152"/>
      <c r="AI218" s="1152"/>
      <c r="AJ218" s="1152"/>
      <c r="AK218" s="1152"/>
      <c r="AL218" s="1152"/>
      <c r="AM218" s="1152"/>
      <c r="AN218" s="1152"/>
      <c r="AO218" s="1152"/>
      <c r="AP218" s="1152"/>
      <c r="AQ218" s="1152"/>
      <c r="AR218" s="1152"/>
      <c r="AS218" s="1152"/>
      <c r="AT218" s="1152"/>
      <c r="AU218" s="1152"/>
      <c r="AV218" s="1152"/>
      <c r="AW218" s="1152"/>
      <c r="AX218" s="1152"/>
      <c r="AY218" s="1152"/>
      <c r="AZ218" s="1152"/>
      <c r="BA218" s="1152"/>
      <c r="BB218" s="1152"/>
      <c r="BC218" s="1152"/>
      <c r="BD218" s="1152"/>
    </row>
    <row r="219" spans="1:56" hidden="1" outlineLevel="1" x14ac:dyDescent="0.3">
      <c r="A219" s="1182"/>
      <c r="B219" s="1379"/>
      <c r="C219" s="1379"/>
      <c r="D219" s="1379"/>
      <c r="E219" s="1379"/>
      <c r="F219" s="1379"/>
      <c r="G219" s="1379"/>
      <c r="H219" s="1380"/>
      <c r="I219" s="336" t="s">
        <v>314</v>
      </c>
      <c r="J219" s="339">
        <f>_xlfn.IFNA(_xlfn.IFNA(VLOOKUP(CONCATENATE(pStartYear,$D216),tbSuperannuation,4,FALSE),VLOOKUP($D216,tbSuperannuation2026onwards,2,FALSE)),0)</f>
        <v>0</v>
      </c>
      <c r="K219" s="443">
        <f>K217*J219</f>
        <v>0</v>
      </c>
      <c r="L219" s="340">
        <f>_xlfn.IFNA(_xlfn.IFNA(VLOOKUP(CONCATENATE(pStartYear+1,$D216),tbSuperannuation,4,FALSE),VLOOKUP($D216,tbSuperannuation2026onwards,2,FALSE)),0)</f>
        <v>0</v>
      </c>
      <c r="M219" s="451">
        <f t="shared" ref="M219" si="915">M217*L219</f>
        <v>0</v>
      </c>
      <c r="N219" s="339">
        <f>_xlfn.IFNA(_xlfn.IFNA(VLOOKUP(CONCATENATE(pStartYear+2,$D216),tbSuperannuation,4,FALSE),VLOOKUP($D216,tbSuperannuation2026onwards,2,FALSE)),0)</f>
        <v>0</v>
      </c>
      <c r="O219" s="443">
        <f>O217*N219</f>
        <v>0</v>
      </c>
      <c r="P219" s="340">
        <f>_xlfn.IFNA(_xlfn.IFNA(VLOOKUP(CONCATENATE(pStartYear+3,$D216),tbSuperannuation,4,FALSE),VLOOKUP($D216,tbSuperannuation2026onwards,2,FALSE)),0)</f>
        <v>0</v>
      </c>
      <c r="Q219" s="451">
        <f t="shared" ref="Q219" si="916">Q217*P219</f>
        <v>0</v>
      </c>
      <c r="R219" s="339">
        <f>_xlfn.IFNA(_xlfn.IFNA(VLOOKUP(CONCATENATE(pStartYear+4,$D216),tbSuperannuation,4,FALSE),VLOOKUP($D216,tbSuperannuation2026onwards,2,FALSE)),0)</f>
        <v>0</v>
      </c>
      <c r="S219" s="443">
        <f>S217*R219</f>
        <v>0</v>
      </c>
      <c r="T219" s="340">
        <f>_xlfn.IFNA(_xlfn.IFNA(VLOOKUP(CONCATENATE(pStartYear+5,$D216),tbSuperannuation,4,FALSE),VLOOKUP($D216,tbSuperannuation2026onwards,2,FALSE)),0)</f>
        <v>0</v>
      </c>
      <c r="U219" s="451">
        <f t="shared" ref="U219" si="917">U217*T219</f>
        <v>0</v>
      </c>
      <c r="V219" s="339">
        <f>_xlfn.IFNA(_xlfn.IFNA(VLOOKUP(CONCATENATE(pStartYear+6,$D216),tbSuperannuation,4,FALSE),VLOOKUP($D216,tbSuperannuation2026onwards,2,FALSE)),0)</f>
        <v>0</v>
      </c>
      <c r="W219" s="443">
        <f>W217*V219</f>
        <v>0</v>
      </c>
      <c r="X219" s="340">
        <f>_xlfn.IFNA(_xlfn.IFNA(VLOOKUP(CONCATENATE(pStartYear+7,$D216),tbSuperannuation,4,FALSE),VLOOKUP($D216,tbSuperannuation2026onwards,2,FALSE)),0)</f>
        <v>0</v>
      </c>
      <c r="Y219" s="451">
        <f t="shared" ref="Y219" si="918">Y217*X219</f>
        <v>0</v>
      </c>
      <c r="Z219" s="339">
        <f>_xlfn.IFNA(_xlfn.IFNA(VLOOKUP(CONCATENATE(pStartYear+8,$D216),tbSuperannuation,4,FALSE),VLOOKUP($D216,tbSuperannuation2026onwards,2,FALSE)),0)</f>
        <v>0</v>
      </c>
      <c r="AA219" s="443">
        <f>AA217*Z219</f>
        <v>0</v>
      </c>
      <c r="AB219" s="340">
        <f>_xlfn.IFNA(_xlfn.IFNA(VLOOKUP(CONCATENATE(pStartYear+9,$D216),tbSuperannuation,4,FALSE),VLOOKUP($D216,tbSuperannuation2026onwards,2,FALSE)),0)</f>
        <v>0</v>
      </c>
      <c r="AC219" s="451">
        <f t="shared" ref="AC219" si="919">AC217*AB219</f>
        <v>0</v>
      </c>
      <c r="AD219" s="335"/>
      <c r="AE219" s="1152"/>
      <c r="AF219" s="1152"/>
      <c r="AG219" s="1152"/>
      <c r="AH219" s="1152"/>
      <c r="AI219" s="1152"/>
      <c r="AJ219" s="1152"/>
      <c r="AK219" s="1152"/>
      <c r="AL219" s="1152"/>
      <c r="AM219" s="1152"/>
      <c r="AN219" s="1152"/>
      <c r="AO219" s="1152"/>
      <c r="AP219" s="1152"/>
      <c r="AQ219" s="1152"/>
      <c r="AR219" s="1152"/>
      <c r="AS219" s="1152"/>
      <c r="AT219" s="1152"/>
      <c r="AU219" s="1152"/>
      <c r="AV219" s="1152"/>
      <c r="AW219" s="1152"/>
      <c r="AX219" s="1152"/>
      <c r="AY219" s="1152"/>
      <c r="AZ219" s="1152"/>
      <c r="BA219" s="1152"/>
      <c r="BB219" s="1152"/>
      <c r="BC219" s="1152"/>
      <c r="BD219" s="1152"/>
    </row>
    <row r="220" spans="1:56" hidden="1" outlineLevel="1" x14ac:dyDescent="0.3">
      <c r="A220" s="1182"/>
      <c r="B220" s="1379"/>
      <c r="C220" s="1379"/>
      <c r="D220" s="1379"/>
      <c r="E220" s="1379"/>
      <c r="F220" s="1379"/>
      <c r="G220" s="1379"/>
      <c r="H220" s="1380"/>
      <c r="I220" s="341" t="s">
        <v>315</v>
      </c>
      <c r="J220" s="342"/>
      <c r="K220" s="444">
        <f>K218+K219+K217</f>
        <v>0</v>
      </c>
      <c r="L220" s="342"/>
      <c r="M220" s="444">
        <f t="shared" ref="M220" si="920">M218+M219+M217</f>
        <v>0</v>
      </c>
      <c r="N220" s="342"/>
      <c r="O220" s="444">
        <f>O218+O219+O217</f>
        <v>0</v>
      </c>
      <c r="P220" s="342"/>
      <c r="Q220" s="444">
        <f t="shared" ref="Q220" si="921">Q218+Q219+Q217</f>
        <v>0</v>
      </c>
      <c r="R220" s="342"/>
      <c r="S220" s="444">
        <f>S218+S219+S217</f>
        <v>0</v>
      </c>
      <c r="T220" s="342"/>
      <c r="U220" s="444">
        <f t="shared" ref="U220" si="922">U218+U219+U217</f>
        <v>0</v>
      </c>
      <c r="V220" s="342"/>
      <c r="W220" s="444">
        <f>W218+W219+W217</f>
        <v>0</v>
      </c>
      <c r="X220" s="342"/>
      <c r="Y220" s="444">
        <f t="shared" ref="Y220" si="923">Y218+Y219+Y217</f>
        <v>0</v>
      </c>
      <c r="Z220" s="342"/>
      <c r="AA220" s="444">
        <f>AA218+AA219+AA217</f>
        <v>0</v>
      </c>
      <c r="AB220" s="342"/>
      <c r="AC220" s="444">
        <f t="shared" ref="AC220" si="924">AC218+AC219+AC217</f>
        <v>0</v>
      </c>
      <c r="AD220" s="335">
        <f t="shared" si="754"/>
        <v>0</v>
      </c>
      <c r="AE220" s="1152"/>
      <c r="AF220" s="1152"/>
      <c r="AG220" s="1152"/>
      <c r="AH220" s="1152"/>
      <c r="AI220" s="1152"/>
      <c r="AJ220" s="1152"/>
      <c r="AK220" s="1152"/>
      <c r="AL220" s="1152"/>
      <c r="AM220" s="1152"/>
      <c r="AN220" s="1152"/>
      <c r="AO220" s="1152"/>
      <c r="AP220" s="1152"/>
      <c r="AQ220" s="1152"/>
      <c r="AR220" s="1152"/>
      <c r="AS220" s="1152"/>
      <c r="AT220" s="1152"/>
      <c r="AU220" s="1152"/>
      <c r="AV220" s="1152"/>
      <c r="AW220" s="1152"/>
      <c r="AX220" s="1152"/>
      <c r="AY220" s="1152"/>
      <c r="AZ220" s="1152"/>
      <c r="BA220" s="1152"/>
      <c r="BB220" s="1152"/>
      <c r="BC220" s="1152"/>
      <c r="BD220" s="1152"/>
    </row>
    <row r="221" spans="1:56" hidden="1" outlineLevel="1" x14ac:dyDescent="0.3">
      <c r="A221" s="1182"/>
      <c r="B221" s="1379"/>
      <c r="C221" s="1379"/>
      <c r="D221" s="1379"/>
      <c r="E221" s="1379"/>
      <c r="F221" s="1379"/>
      <c r="G221" s="1379"/>
      <c r="H221" s="1380"/>
      <c r="I221" s="336" t="s">
        <v>316</v>
      </c>
      <c r="J221" s="339">
        <f>_xlfn.IFNA(_xlfn.IFNA(VLOOKUP(pStartYear,tbPayrollTax,2,FALSE),vl_MaxPayrollTax),0)</f>
        <v>5.8500000000000003E-2</v>
      </c>
      <c r="K221" s="443">
        <f>J221*K220</f>
        <v>0</v>
      </c>
      <c r="L221" s="340">
        <f>_xlfn.IFNA(_xlfn.IFNA(VLOOKUP(pStartYear+1,tbPayrollTax,2,FALSE),vl_MaxPayrollTax),0)</f>
        <v>5.8500000000000003E-2</v>
      </c>
      <c r="M221" s="451">
        <f t="shared" ref="M221" si="925">L221*M220</f>
        <v>0</v>
      </c>
      <c r="N221" s="339">
        <f>_xlfn.IFNA(_xlfn.IFNA(VLOOKUP(pStartYear+2,tbPayrollTax,2,FALSE),vl_MaxPayrollTax),0)</f>
        <v>5.8500000000000003E-2</v>
      </c>
      <c r="O221" s="443">
        <f>N221*O220</f>
        <v>0</v>
      </c>
      <c r="P221" s="340">
        <f>_xlfn.IFNA(_xlfn.IFNA(VLOOKUP(pStartYear+3,tbPayrollTax,2,FALSE),vl_MaxPayrollTax),0)</f>
        <v>5.8500000000000003E-2</v>
      </c>
      <c r="Q221" s="451">
        <f t="shared" ref="Q221" si="926">P221*Q220</f>
        <v>0</v>
      </c>
      <c r="R221" s="339">
        <f>_xlfn.IFNA(_xlfn.IFNA(VLOOKUP(pStartYear+4,tbPayrollTax,2,FALSE),vl_MaxPayrollTax),0)</f>
        <v>5.8500000000000003E-2</v>
      </c>
      <c r="S221" s="443">
        <f>R221*S220</f>
        <v>0</v>
      </c>
      <c r="T221" s="340">
        <f>_xlfn.IFNA(_xlfn.IFNA(VLOOKUP(pStartYear+5,tbPayrollTax,2,FALSE),vl_MaxPayrollTax),0)</f>
        <v>5.8500000000000003E-2</v>
      </c>
      <c r="U221" s="451">
        <f t="shared" ref="U221" si="927">T221*U220</f>
        <v>0</v>
      </c>
      <c r="V221" s="339">
        <f>_xlfn.IFNA(_xlfn.IFNA(VLOOKUP(pStartYear+6,tbPayrollTax,2,FALSE),vl_MaxPayrollTax),0)</f>
        <v>5.8500000000000003E-2</v>
      </c>
      <c r="W221" s="443">
        <f>V221*W220</f>
        <v>0</v>
      </c>
      <c r="X221" s="340">
        <f>_xlfn.IFNA(_xlfn.IFNA(VLOOKUP(pStartYear+7,tbPayrollTax,2,FALSE),vl_MaxPayrollTax),0)</f>
        <v>5.8500000000000003E-2</v>
      </c>
      <c r="Y221" s="451">
        <f t="shared" ref="Y221" si="928">X221*Y220</f>
        <v>0</v>
      </c>
      <c r="Z221" s="339">
        <f>_xlfn.IFNA(_xlfn.IFNA(VLOOKUP(pStartYear+8,tbPayrollTax,2,FALSE),vl_MaxPayrollTax),0)</f>
        <v>5.8500000000000003E-2</v>
      </c>
      <c r="AA221" s="443">
        <f>Z221*AA220</f>
        <v>0</v>
      </c>
      <c r="AB221" s="340">
        <f>_xlfn.IFNA(_xlfn.IFNA(VLOOKUP(pStartYear+9,tbPayrollTax,2,FALSE),vl_MaxPayrollTax),0)</f>
        <v>5.8500000000000003E-2</v>
      </c>
      <c r="AC221" s="451">
        <f t="shared" ref="AC221" si="929">AB221*AC220</f>
        <v>0</v>
      </c>
      <c r="AD221" s="335"/>
      <c r="AE221" s="1152"/>
      <c r="AF221" s="1152"/>
      <c r="AG221" s="1152"/>
      <c r="AH221" s="1152"/>
      <c r="AI221" s="1152"/>
      <c r="AJ221" s="1152"/>
      <c r="AK221" s="1152"/>
      <c r="AL221" s="1152"/>
      <c r="AM221" s="1152"/>
      <c r="AN221" s="1152"/>
      <c r="AO221" s="1152"/>
      <c r="AP221" s="1152"/>
      <c r="AQ221" s="1152"/>
      <c r="AR221" s="1152"/>
      <c r="AS221" s="1152"/>
      <c r="AT221" s="1152"/>
      <c r="AU221" s="1152"/>
      <c r="AV221" s="1152"/>
      <c r="AW221" s="1152"/>
      <c r="AX221" s="1152"/>
      <c r="AY221" s="1152"/>
      <c r="AZ221" s="1152"/>
      <c r="BA221" s="1152"/>
      <c r="BB221" s="1152"/>
      <c r="BC221" s="1152"/>
      <c r="BD221" s="1152"/>
    </row>
    <row r="222" spans="1:56" hidden="1" outlineLevel="1" x14ac:dyDescent="0.3">
      <c r="A222" s="1182"/>
      <c r="B222" s="1379"/>
      <c r="C222" s="1379"/>
      <c r="D222" s="1379"/>
      <c r="E222" s="1379"/>
      <c r="F222" s="1379"/>
      <c r="G222" s="1379"/>
      <c r="H222" s="1380"/>
      <c r="I222" s="336" t="s">
        <v>317</v>
      </c>
      <c r="J222" s="339">
        <f>_xlfn.IFNA(VLOOKUP($D216,tbWorkCover,2,FALSE),0)</f>
        <v>0</v>
      </c>
      <c r="K222" s="443">
        <f>J222*K220</f>
        <v>0</v>
      </c>
      <c r="L222" s="340">
        <f>_xlfn.IFNA(VLOOKUP($D216,tbWorkCover,2,FALSE),0)</f>
        <v>0</v>
      </c>
      <c r="M222" s="451">
        <f t="shared" ref="M222" si="930">L222*M220</f>
        <v>0</v>
      </c>
      <c r="N222" s="339">
        <f>_xlfn.IFNA(VLOOKUP($D216,tbWorkCover,2,FALSE),0)</f>
        <v>0</v>
      </c>
      <c r="O222" s="443">
        <f>N222*O220</f>
        <v>0</v>
      </c>
      <c r="P222" s="340">
        <f>_xlfn.IFNA(VLOOKUP($D216,tbWorkCover,2,FALSE),0)</f>
        <v>0</v>
      </c>
      <c r="Q222" s="451">
        <f t="shared" ref="Q222" si="931">P222*Q220</f>
        <v>0</v>
      </c>
      <c r="R222" s="339">
        <f>_xlfn.IFNA(VLOOKUP($D216,tbWorkCover,2,FALSE),0)</f>
        <v>0</v>
      </c>
      <c r="S222" s="443">
        <f>R222*S220</f>
        <v>0</v>
      </c>
      <c r="T222" s="340">
        <f>_xlfn.IFNA(VLOOKUP($D216,tbWorkCover,2,FALSE),0)</f>
        <v>0</v>
      </c>
      <c r="U222" s="451">
        <f t="shared" ref="U222" si="932">T222*U220</f>
        <v>0</v>
      </c>
      <c r="V222" s="339">
        <f>_xlfn.IFNA(VLOOKUP($D216,tbWorkCover,2,FALSE),0)</f>
        <v>0</v>
      </c>
      <c r="W222" s="443">
        <f>V222*W220</f>
        <v>0</v>
      </c>
      <c r="X222" s="340">
        <f>_xlfn.IFNA(VLOOKUP($D216,tbWorkCover,2,FALSE),0)</f>
        <v>0</v>
      </c>
      <c r="Y222" s="451">
        <f t="shared" ref="Y222" si="933">X222*Y220</f>
        <v>0</v>
      </c>
      <c r="Z222" s="339">
        <f>_xlfn.IFNA(VLOOKUP($D216,tbWorkCover,2,FALSE),0)</f>
        <v>0</v>
      </c>
      <c r="AA222" s="443">
        <f>Z222*AA220</f>
        <v>0</v>
      </c>
      <c r="AB222" s="340">
        <f>_xlfn.IFNA(VLOOKUP($D216,tbWorkCover,2,FALSE),0)</f>
        <v>0</v>
      </c>
      <c r="AC222" s="451">
        <f t="shared" ref="AC222" si="934">AB222*AC220</f>
        <v>0</v>
      </c>
      <c r="AD222" s="335"/>
      <c r="AE222" s="1152"/>
      <c r="AF222" s="1152"/>
      <c r="AG222" s="1152"/>
      <c r="AH222" s="1152"/>
      <c r="AI222" s="1152"/>
      <c r="AJ222" s="1152"/>
      <c r="AK222" s="1152"/>
      <c r="AL222" s="1152"/>
      <c r="AM222" s="1152"/>
      <c r="AN222" s="1152"/>
      <c r="AO222" s="1152"/>
      <c r="AP222" s="1152"/>
      <c r="AQ222" s="1152"/>
      <c r="AR222" s="1152"/>
      <c r="AS222" s="1152"/>
      <c r="AT222" s="1152"/>
      <c r="AU222" s="1152"/>
      <c r="AV222" s="1152"/>
      <c r="AW222" s="1152"/>
      <c r="AX222" s="1152"/>
      <c r="AY222" s="1152"/>
      <c r="AZ222" s="1152"/>
      <c r="BA222" s="1152"/>
      <c r="BB222" s="1152"/>
      <c r="BC222" s="1152"/>
      <c r="BD222" s="1152"/>
    </row>
    <row r="223" spans="1:56" hidden="1" outlineLevel="1" x14ac:dyDescent="0.3">
      <c r="A223" s="1182"/>
      <c r="B223" s="1379"/>
      <c r="C223" s="1379"/>
      <c r="D223" s="1379"/>
      <c r="E223" s="1379"/>
      <c r="F223" s="1379"/>
      <c r="G223" s="1379"/>
      <c r="H223" s="1380"/>
      <c r="I223" s="336" t="s">
        <v>318</v>
      </c>
      <c r="J223" s="339">
        <f>_xlfn.IFNA(VLOOKUP($D216,tbLongServiceLeave,2,FALSE),0)</f>
        <v>0</v>
      </c>
      <c r="K223" s="443">
        <f>J223*K217</f>
        <v>0</v>
      </c>
      <c r="L223" s="340">
        <f>_xlfn.IFNA(VLOOKUP($D216,tbLongServiceLeave,2,FALSE),0)</f>
        <v>0</v>
      </c>
      <c r="M223" s="451">
        <f t="shared" ref="M223" si="935">L223*M217</f>
        <v>0</v>
      </c>
      <c r="N223" s="339">
        <f>_xlfn.IFNA(VLOOKUP($D216,tbLongServiceLeave,2,FALSE),0)</f>
        <v>0</v>
      </c>
      <c r="O223" s="443">
        <f>N223*O217</f>
        <v>0</v>
      </c>
      <c r="P223" s="340">
        <f>_xlfn.IFNA(VLOOKUP($D216,tbLongServiceLeave,2,FALSE),0)</f>
        <v>0</v>
      </c>
      <c r="Q223" s="451">
        <f t="shared" ref="Q223" si="936">P223*Q217</f>
        <v>0</v>
      </c>
      <c r="R223" s="339">
        <f>_xlfn.IFNA(VLOOKUP($D216,tbLongServiceLeave,2,FALSE),0)</f>
        <v>0</v>
      </c>
      <c r="S223" s="443">
        <f>R223*S217</f>
        <v>0</v>
      </c>
      <c r="T223" s="340">
        <f>_xlfn.IFNA(VLOOKUP($D216,tbLongServiceLeave,2,FALSE),0)</f>
        <v>0</v>
      </c>
      <c r="U223" s="451">
        <f t="shared" ref="U223" si="937">T223*U217</f>
        <v>0</v>
      </c>
      <c r="V223" s="339">
        <f>_xlfn.IFNA(VLOOKUP($D216,tbLongServiceLeave,2,FALSE),0)</f>
        <v>0</v>
      </c>
      <c r="W223" s="443">
        <f>V223*W217</f>
        <v>0</v>
      </c>
      <c r="X223" s="340">
        <f>_xlfn.IFNA(VLOOKUP($D216,tbLongServiceLeave,2,FALSE),0)</f>
        <v>0</v>
      </c>
      <c r="Y223" s="451">
        <f t="shared" ref="Y223" si="938">X223*Y217</f>
        <v>0</v>
      </c>
      <c r="Z223" s="339">
        <f>_xlfn.IFNA(VLOOKUP($D216,tbLongServiceLeave,2,FALSE),0)</f>
        <v>0</v>
      </c>
      <c r="AA223" s="443">
        <f>Z223*AA217</f>
        <v>0</v>
      </c>
      <c r="AB223" s="340">
        <f>_xlfn.IFNA(VLOOKUP($D216,tbLongServiceLeave,2,FALSE),0)</f>
        <v>0</v>
      </c>
      <c r="AC223" s="451">
        <f t="shared" ref="AC223" si="939">AB223*AC217</f>
        <v>0</v>
      </c>
      <c r="AD223" s="335"/>
      <c r="AE223" s="1152"/>
      <c r="AF223" s="1152"/>
      <c r="AG223" s="1152"/>
      <c r="AH223" s="1152"/>
      <c r="AI223" s="1152"/>
      <c r="AJ223" s="1152"/>
      <c r="AK223" s="1152"/>
      <c r="AL223" s="1152"/>
      <c r="AM223" s="1152"/>
      <c r="AN223" s="1152"/>
      <c r="AO223" s="1152"/>
      <c r="AP223" s="1152"/>
      <c r="AQ223" s="1152"/>
      <c r="AR223" s="1152"/>
      <c r="AS223" s="1152"/>
      <c r="AT223" s="1152"/>
      <c r="AU223" s="1152"/>
      <c r="AV223" s="1152"/>
      <c r="AW223" s="1152"/>
      <c r="AX223" s="1152"/>
      <c r="AY223" s="1152"/>
      <c r="AZ223" s="1152"/>
      <c r="BA223" s="1152"/>
      <c r="BB223" s="1152"/>
      <c r="BC223" s="1152"/>
      <c r="BD223" s="1152"/>
    </row>
    <row r="224" spans="1:56" hidden="1" outlineLevel="1" x14ac:dyDescent="0.3">
      <c r="A224" s="1182"/>
      <c r="B224" s="1379"/>
      <c r="C224" s="1379"/>
      <c r="D224" s="1379"/>
      <c r="E224" s="1379"/>
      <c r="F224" s="1379"/>
      <c r="G224" s="1379"/>
      <c r="H224" s="1380"/>
      <c r="I224" s="336" t="s">
        <v>319</v>
      </c>
      <c r="J224" s="339">
        <f>_xlfn.IFNA(VLOOKUP($D216,tbParentalLeave,2,FALSE),0)</f>
        <v>0</v>
      </c>
      <c r="K224" s="443">
        <f>J224*K217</f>
        <v>0</v>
      </c>
      <c r="L224" s="340">
        <f>_xlfn.IFNA(VLOOKUP($D216,tbParentalLeave,2,FALSE),0)</f>
        <v>0</v>
      </c>
      <c r="M224" s="451">
        <f t="shared" ref="M224" si="940">L224*M217</f>
        <v>0</v>
      </c>
      <c r="N224" s="339">
        <f>_xlfn.IFNA(VLOOKUP($D216,tbParentalLeave,2,FALSE),0)</f>
        <v>0</v>
      </c>
      <c r="O224" s="443">
        <f>N224*O217</f>
        <v>0</v>
      </c>
      <c r="P224" s="340">
        <f>_xlfn.IFNA(VLOOKUP($D216,tbParentalLeave,2,FALSE),0)</f>
        <v>0</v>
      </c>
      <c r="Q224" s="451">
        <f t="shared" ref="Q224" si="941">P224*Q217</f>
        <v>0</v>
      </c>
      <c r="R224" s="339">
        <f>_xlfn.IFNA(VLOOKUP($D216,tbParentalLeave,2,FALSE),0)</f>
        <v>0</v>
      </c>
      <c r="S224" s="443">
        <f>R224*S217</f>
        <v>0</v>
      </c>
      <c r="T224" s="340">
        <f>_xlfn.IFNA(VLOOKUP($D216,tbParentalLeave,2,FALSE),0)</f>
        <v>0</v>
      </c>
      <c r="U224" s="451">
        <f t="shared" ref="U224" si="942">T224*U217</f>
        <v>0</v>
      </c>
      <c r="V224" s="339">
        <f>_xlfn.IFNA(VLOOKUP($D216,tbParentalLeave,2,FALSE),0)</f>
        <v>0</v>
      </c>
      <c r="W224" s="443">
        <f>V224*W217</f>
        <v>0</v>
      </c>
      <c r="X224" s="340">
        <f>_xlfn.IFNA(VLOOKUP($D216,tbParentalLeave,2,FALSE),0)</f>
        <v>0</v>
      </c>
      <c r="Y224" s="451">
        <f t="shared" ref="Y224" si="943">X224*Y217</f>
        <v>0</v>
      </c>
      <c r="Z224" s="339">
        <f>_xlfn.IFNA(VLOOKUP($D216,tbParentalLeave,2,FALSE),0)</f>
        <v>0</v>
      </c>
      <c r="AA224" s="443">
        <f>Z224*AA217</f>
        <v>0</v>
      </c>
      <c r="AB224" s="340">
        <f>_xlfn.IFNA(VLOOKUP($D216,tbParentalLeave,2,FALSE),0)</f>
        <v>0</v>
      </c>
      <c r="AC224" s="451">
        <f t="shared" ref="AC224" si="944">AB224*AC217</f>
        <v>0</v>
      </c>
      <c r="AD224" s="335"/>
      <c r="AE224" s="1152"/>
      <c r="AF224" s="1152"/>
      <c r="AG224" s="1152"/>
      <c r="AH224" s="1152"/>
      <c r="AI224" s="1152"/>
      <c r="AJ224" s="1152"/>
      <c r="AK224" s="1152"/>
      <c r="AL224" s="1152"/>
      <c r="AM224" s="1152"/>
      <c r="AN224" s="1152"/>
      <c r="AO224" s="1152"/>
      <c r="AP224" s="1152"/>
      <c r="AQ224" s="1152"/>
      <c r="AR224" s="1152"/>
      <c r="AS224" s="1152"/>
      <c r="AT224" s="1152"/>
      <c r="AU224" s="1152"/>
      <c r="AV224" s="1152"/>
      <c r="AW224" s="1152"/>
      <c r="AX224" s="1152"/>
      <c r="AY224" s="1152"/>
      <c r="AZ224" s="1152"/>
      <c r="BA224" s="1152"/>
      <c r="BB224" s="1152"/>
      <c r="BC224" s="1152"/>
      <c r="BD224" s="1152"/>
    </row>
    <row r="225" spans="1:56" hidden="1" outlineLevel="1" x14ac:dyDescent="0.3">
      <c r="A225" s="1182"/>
      <c r="B225" s="1379"/>
      <c r="C225" s="1379"/>
      <c r="D225" s="1379"/>
      <c r="E225" s="1379"/>
      <c r="F225" s="1379"/>
      <c r="G225" s="1379"/>
      <c r="H225" s="1380"/>
      <c r="I225" s="437" t="s">
        <v>320</v>
      </c>
      <c r="J225" s="438">
        <f>vl_overridden_uom_oncosts_per</f>
        <v>0</v>
      </c>
      <c r="K225" s="445">
        <f>J225*K217</f>
        <v>0</v>
      </c>
      <c r="L225" s="438">
        <f>vl_overridden_uom_oncosts_per</f>
        <v>0</v>
      </c>
      <c r="M225" s="445">
        <f>L225*M217</f>
        <v>0</v>
      </c>
      <c r="N225" s="438">
        <f>vl_overridden_uom_oncosts_per</f>
        <v>0</v>
      </c>
      <c r="O225" s="445">
        <f t="shared" ref="O225" si="945">N225*O217</f>
        <v>0</v>
      </c>
      <c r="P225" s="438">
        <f>vl_overridden_uom_oncosts_per</f>
        <v>0</v>
      </c>
      <c r="Q225" s="445">
        <f t="shared" ref="Q225" si="946">P225*Q217</f>
        <v>0</v>
      </c>
      <c r="R225" s="438">
        <f>vl_overridden_uom_oncosts_per</f>
        <v>0</v>
      </c>
      <c r="S225" s="445">
        <f t="shared" ref="S225" si="947">R225*S217</f>
        <v>0</v>
      </c>
      <c r="T225" s="438">
        <f>vl_overridden_uom_oncosts_per</f>
        <v>0</v>
      </c>
      <c r="U225" s="445">
        <f t="shared" ref="U225" si="948">T225*U217</f>
        <v>0</v>
      </c>
      <c r="V225" s="438">
        <f>vl_overridden_uom_oncosts_per</f>
        <v>0</v>
      </c>
      <c r="W225" s="445">
        <f t="shared" ref="W225" si="949">V225*W217</f>
        <v>0</v>
      </c>
      <c r="X225" s="438">
        <f>vl_overridden_uom_oncosts_per</f>
        <v>0</v>
      </c>
      <c r="Y225" s="445">
        <f t="shared" ref="Y225" si="950">X225*Y217</f>
        <v>0</v>
      </c>
      <c r="Z225" s="438">
        <f>vl_overridden_uom_oncosts_per</f>
        <v>0</v>
      </c>
      <c r="AA225" s="445">
        <f t="shared" ref="AA225" si="951">Z225*AA217</f>
        <v>0</v>
      </c>
      <c r="AB225" s="438">
        <f>vl_overridden_uom_oncosts_per</f>
        <v>0</v>
      </c>
      <c r="AC225" s="445">
        <f t="shared" ref="AC225" si="952">AB225*AC217</f>
        <v>0</v>
      </c>
      <c r="AD225" s="335"/>
      <c r="AE225" s="1152"/>
      <c r="AF225" s="1152"/>
      <c r="AG225" s="1152"/>
      <c r="AH225" s="1152"/>
      <c r="AI225" s="1152"/>
      <c r="AJ225" s="1152"/>
      <c r="AK225" s="1152"/>
      <c r="AL225" s="1152"/>
      <c r="AM225" s="1152"/>
      <c r="AN225" s="1152"/>
      <c r="AO225" s="1152"/>
      <c r="AP225" s="1152"/>
      <c r="AQ225" s="1152"/>
      <c r="AR225" s="1152"/>
      <c r="AS225" s="1152"/>
      <c r="AT225" s="1152"/>
      <c r="AU225" s="1152"/>
      <c r="AV225" s="1152"/>
      <c r="AW225" s="1152"/>
      <c r="AX225" s="1152"/>
      <c r="AY225" s="1152"/>
      <c r="AZ225" s="1152"/>
      <c r="BA225" s="1152"/>
      <c r="BB225" s="1152"/>
      <c r="BC225" s="1152"/>
      <c r="BD225" s="1152"/>
    </row>
    <row r="226" spans="1:56" hidden="1" outlineLevel="1" x14ac:dyDescent="0.3">
      <c r="A226" s="1182"/>
      <c r="B226" s="1379"/>
      <c r="C226" s="1379"/>
      <c r="D226" s="1379"/>
      <c r="E226" s="1379"/>
      <c r="F226" s="1379"/>
      <c r="G226" s="1379"/>
      <c r="H226" s="1380"/>
      <c r="I226" s="341" t="s">
        <v>321</v>
      </c>
      <c r="J226" s="342"/>
      <c r="K226" s="444">
        <f>SUM(K220:K225)</f>
        <v>0</v>
      </c>
      <c r="L226" s="342"/>
      <c r="M226" s="444">
        <f t="shared" ref="M226" si="953">SUM(M220:M225)</f>
        <v>0</v>
      </c>
      <c r="N226" s="342"/>
      <c r="O226" s="444">
        <f t="shared" ref="O226" si="954">SUM(O220:O225)</f>
        <v>0</v>
      </c>
      <c r="P226" s="342"/>
      <c r="Q226" s="444">
        <f t="shared" ref="Q226" si="955">SUM(Q220:Q225)</f>
        <v>0</v>
      </c>
      <c r="R226" s="342"/>
      <c r="S226" s="444">
        <f t="shared" ref="S226" si="956">SUM(S220:S225)</f>
        <v>0</v>
      </c>
      <c r="T226" s="342"/>
      <c r="U226" s="444">
        <f t="shared" ref="U226" si="957">SUM(U220:U225)</f>
        <v>0</v>
      </c>
      <c r="V226" s="342"/>
      <c r="W226" s="444">
        <f t="shared" ref="W226" si="958">SUM(W220:W225)</f>
        <v>0</v>
      </c>
      <c r="X226" s="342"/>
      <c r="Y226" s="444">
        <f t="shared" ref="Y226" si="959">SUM(Y220:Y225)</f>
        <v>0</v>
      </c>
      <c r="Z226" s="342"/>
      <c r="AA226" s="444">
        <f t="shared" ref="AA226" si="960">SUM(AA220:AA225)</f>
        <v>0</v>
      </c>
      <c r="AB226" s="342"/>
      <c r="AC226" s="444">
        <f t="shared" ref="AC226" si="961">SUM(AC220:AC225)</f>
        <v>0</v>
      </c>
      <c r="AD226" s="335">
        <f t="shared" si="754"/>
        <v>0</v>
      </c>
      <c r="AE226" s="1152"/>
      <c r="AF226" s="1152"/>
      <c r="AG226" s="1152"/>
      <c r="AH226" s="1152"/>
      <c r="AI226" s="1152"/>
      <c r="AJ226" s="1152"/>
      <c r="AK226" s="1152"/>
      <c r="AL226" s="1152"/>
      <c r="AM226" s="1152"/>
      <c r="AN226" s="1152"/>
      <c r="AO226" s="1152"/>
      <c r="AP226" s="1152"/>
      <c r="AQ226" s="1152"/>
      <c r="AR226" s="1152"/>
      <c r="AS226" s="1152"/>
      <c r="AT226" s="1152"/>
      <c r="AU226" s="1152"/>
      <c r="AV226" s="1152"/>
      <c r="AW226" s="1152"/>
      <c r="AX226" s="1152"/>
      <c r="AY226" s="1152"/>
      <c r="AZ226" s="1152"/>
      <c r="BA226" s="1152"/>
      <c r="BB226" s="1152"/>
      <c r="BC226" s="1152"/>
      <c r="BD226" s="1152"/>
    </row>
    <row r="227" spans="1:56" hidden="1" outlineLevel="1" x14ac:dyDescent="0.3">
      <c r="A227" s="1182"/>
      <c r="B227" s="1379"/>
      <c r="C227" s="1379"/>
      <c r="D227" s="1379"/>
      <c r="E227" s="1379"/>
      <c r="F227" s="1379"/>
      <c r="G227" s="1379"/>
      <c r="H227" s="1380"/>
      <c r="I227" s="336" t="s">
        <v>322</v>
      </c>
      <c r="J227" s="339">
        <f>_xlfn.IFNA(VLOOKUP($D216,tbAnnualLeaveProvision,2,FALSE),0)</f>
        <v>0</v>
      </c>
      <c r="K227" s="443">
        <f>J227*K217</f>
        <v>0</v>
      </c>
      <c r="L227" s="340">
        <f>_xlfn.IFNA(VLOOKUP($D216,tbAnnualLeaveProvision,2,FALSE),0)</f>
        <v>0</v>
      </c>
      <c r="M227" s="451">
        <f t="shared" ref="M227" si="962">L227*M217</f>
        <v>0</v>
      </c>
      <c r="N227" s="339">
        <f>_xlfn.IFNA(VLOOKUP($D216,tbAnnualLeaveProvision,2,FALSE),0)</f>
        <v>0</v>
      </c>
      <c r="O227" s="443">
        <f>N227*O217</f>
        <v>0</v>
      </c>
      <c r="P227" s="340">
        <f>_xlfn.IFNA(VLOOKUP($D216,tbAnnualLeaveProvision,2,FALSE),0)</f>
        <v>0</v>
      </c>
      <c r="Q227" s="451">
        <f t="shared" ref="Q227" si="963">P227*Q217</f>
        <v>0</v>
      </c>
      <c r="R227" s="339">
        <f>_xlfn.IFNA(VLOOKUP($D216,tbAnnualLeaveProvision,2,FALSE),0)</f>
        <v>0</v>
      </c>
      <c r="S227" s="443">
        <f>R227*S217</f>
        <v>0</v>
      </c>
      <c r="T227" s="340">
        <f>_xlfn.IFNA(VLOOKUP($D216,tbAnnualLeaveProvision,2,FALSE),0)</f>
        <v>0</v>
      </c>
      <c r="U227" s="451">
        <f t="shared" ref="U227" si="964">T227*U217</f>
        <v>0</v>
      </c>
      <c r="V227" s="339">
        <f>_xlfn.IFNA(VLOOKUP($D216,tbAnnualLeaveProvision,2,FALSE),0)</f>
        <v>0</v>
      </c>
      <c r="W227" s="443">
        <f>V227*W217</f>
        <v>0</v>
      </c>
      <c r="X227" s="340">
        <f>_xlfn.IFNA(VLOOKUP($D216,tbAnnualLeaveProvision,2,FALSE),0)</f>
        <v>0</v>
      </c>
      <c r="Y227" s="451">
        <f t="shared" ref="Y227" si="965">X227*Y217</f>
        <v>0</v>
      </c>
      <c r="Z227" s="339">
        <f>_xlfn.IFNA(VLOOKUP($D216,tbAnnualLeaveProvision,2,FALSE),0)</f>
        <v>0</v>
      </c>
      <c r="AA227" s="443">
        <f>Z227*AA217</f>
        <v>0</v>
      </c>
      <c r="AB227" s="340">
        <f>_xlfn.IFNA(VLOOKUP($D216,tbAnnualLeaveProvision,2,FALSE),0)</f>
        <v>0</v>
      </c>
      <c r="AC227" s="451">
        <f t="shared" ref="AC227" si="966">AB227*AC217</f>
        <v>0</v>
      </c>
      <c r="AD227" s="335"/>
      <c r="AE227" s="1152"/>
      <c r="AF227" s="1152"/>
      <c r="AG227" s="1152"/>
      <c r="AH227" s="1152"/>
      <c r="AI227" s="1152"/>
      <c r="AJ227" s="1152"/>
      <c r="AK227" s="1152"/>
      <c r="AL227" s="1152"/>
      <c r="AM227" s="1152"/>
      <c r="AN227" s="1152"/>
      <c r="AO227" s="1152"/>
      <c r="AP227" s="1152"/>
      <c r="AQ227" s="1152"/>
      <c r="AR227" s="1152"/>
      <c r="AS227" s="1152"/>
      <c r="AT227" s="1152"/>
      <c r="AU227" s="1152"/>
      <c r="AV227" s="1152"/>
      <c r="AW227" s="1152"/>
      <c r="AX227" s="1152"/>
      <c r="AY227" s="1152"/>
      <c r="AZ227" s="1152"/>
      <c r="BA227" s="1152"/>
      <c r="BB227" s="1152"/>
      <c r="BC227" s="1152"/>
      <c r="BD227" s="1152"/>
    </row>
    <row r="228" spans="1:56" hidden="1" outlineLevel="1" x14ac:dyDescent="0.3">
      <c r="A228" s="1182"/>
      <c r="B228" s="1379"/>
      <c r="C228" s="1379"/>
      <c r="D228" s="1379"/>
      <c r="E228" s="1379"/>
      <c r="F228" s="1379"/>
      <c r="G228" s="1379"/>
      <c r="H228" s="1380"/>
      <c r="I228" s="336" t="s">
        <v>330</v>
      </c>
      <c r="J228" s="339"/>
      <c r="K228" s="446">
        <f>K226+K227</f>
        <v>0</v>
      </c>
      <c r="L228" s="340"/>
      <c r="M228" s="452">
        <f t="shared" ref="M228" si="967">M226+M227</f>
        <v>0</v>
      </c>
      <c r="N228" s="339"/>
      <c r="O228" s="446">
        <f>O226+O227</f>
        <v>0</v>
      </c>
      <c r="P228" s="340"/>
      <c r="Q228" s="452">
        <f t="shared" ref="Q228" si="968">Q226+Q227</f>
        <v>0</v>
      </c>
      <c r="R228" s="339"/>
      <c r="S228" s="446">
        <f>S226+S227</f>
        <v>0</v>
      </c>
      <c r="T228" s="340"/>
      <c r="U228" s="452">
        <f t="shared" ref="U228" si="969">U226+U227</f>
        <v>0</v>
      </c>
      <c r="V228" s="339"/>
      <c r="W228" s="446">
        <f>W226+W227</f>
        <v>0</v>
      </c>
      <c r="X228" s="340"/>
      <c r="Y228" s="452">
        <f t="shared" ref="Y228" si="970">Y226+Y227</f>
        <v>0</v>
      </c>
      <c r="Z228" s="339"/>
      <c r="AA228" s="446">
        <f>AA226+AA227</f>
        <v>0</v>
      </c>
      <c r="AB228" s="340"/>
      <c r="AC228" s="452">
        <f t="shared" ref="AC228" si="971">AC226+AC227</f>
        <v>0</v>
      </c>
      <c r="AD228" s="335"/>
      <c r="AE228" s="1152"/>
      <c r="AF228" s="1152"/>
      <c r="AG228" s="1152"/>
      <c r="AH228" s="1152"/>
      <c r="AI228" s="1152"/>
      <c r="AJ228" s="1152"/>
      <c r="AK228" s="1152"/>
      <c r="AL228" s="1152"/>
      <c r="AM228" s="1152"/>
      <c r="AN228" s="1152"/>
      <c r="AO228" s="1152"/>
      <c r="AP228" s="1152"/>
      <c r="AQ228" s="1152"/>
      <c r="AR228" s="1152"/>
      <c r="AS228" s="1152"/>
      <c r="AT228" s="1152"/>
      <c r="AU228" s="1152"/>
      <c r="AV228" s="1152"/>
      <c r="AW228" s="1152"/>
      <c r="AX228" s="1152"/>
      <c r="AY228" s="1152"/>
      <c r="AZ228" s="1152"/>
      <c r="BA228" s="1152"/>
      <c r="BB228" s="1152"/>
      <c r="BC228" s="1152"/>
      <c r="BD228" s="1152"/>
    </row>
    <row r="229" spans="1:56" hidden="1" outlineLevel="1" x14ac:dyDescent="0.3">
      <c r="A229" s="1182"/>
      <c r="B229" s="1379"/>
      <c r="C229" s="1379"/>
      <c r="D229" s="1379"/>
      <c r="E229" s="1379"/>
      <c r="F229" s="1379"/>
      <c r="G229" s="1379"/>
      <c r="H229" s="1380"/>
      <c r="I229" s="343" t="s">
        <v>324</v>
      </c>
      <c r="J229" s="344"/>
      <c r="K229" s="443">
        <f>IFERROR(-(K226/vl_working_days_per_year)*J229,0)</f>
        <v>0</v>
      </c>
      <c r="L229" s="345"/>
      <c r="M229" s="451">
        <f>IFERROR(-(M226/vl_working_days_per_year)*L229,0)</f>
        <v>0</v>
      </c>
      <c r="N229" s="344"/>
      <c r="O229" s="443">
        <f>-(O226/vl_working_days_per_year)*N229</f>
        <v>0</v>
      </c>
      <c r="P229" s="345"/>
      <c r="Q229" s="451">
        <f>-(Q226/vl_working_days_per_year)*P229</f>
        <v>0</v>
      </c>
      <c r="R229" s="344"/>
      <c r="S229" s="443">
        <f>-(S226/vl_working_days_per_year)*R229</f>
        <v>0</v>
      </c>
      <c r="T229" s="345"/>
      <c r="U229" s="451">
        <f>-(U226/vl_working_days_per_year)*T229</f>
        <v>0</v>
      </c>
      <c r="V229" s="344"/>
      <c r="W229" s="443">
        <f>-(W226/vl_working_days_per_year)*V229</f>
        <v>0</v>
      </c>
      <c r="X229" s="345"/>
      <c r="Y229" s="451">
        <f>-(Y226/vl_working_days_per_year)*X229</f>
        <v>0</v>
      </c>
      <c r="Z229" s="344"/>
      <c r="AA229" s="443">
        <f>-(AA226/vl_working_days_per_year)*Z229</f>
        <v>0</v>
      </c>
      <c r="AB229" s="345"/>
      <c r="AC229" s="451">
        <f>-(AC226/vl_working_days_per_year)*AB229</f>
        <v>0</v>
      </c>
      <c r="AD229" s="335">
        <f t="shared" si="754"/>
        <v>0</v>
      </c>
      <c r="AE229" s="1152"/>
      <c r="AF229" s="1152"/>
      <c r="AG229" s="1152"/>
      <c r="AH229" s="1152"/>
      <c r="AI229" s="1152"/>
      <c r="AJ229" s="1152"/>
      <c r="AK229" s="1152"/>
      <c r="AL229" s="1152"/>
      <c r="AM229" s="1152"/>
      <c r="AN229" s="1152"/>
      <c r="AO229" s="1152"/>
      <c r="AP229" s="1152"/>
      <c r="AQ229" s="1152"/>
      <c r="AR229" s="1152"/>
      <c r="AS229" s="1152"/>
      <c r="AT229" s="1152"/>
      <c r="AU229" s="1152"/>
      <c r="AV229" s="1152"/>
      <c r="AW229" s="1152"/>
      <c r="AX229" s="1152"/>
      <c r="AY229" s="1152"/>
      <c r="AZ229" s="1152"/>
      <c r="BA229" s="1152"/>
      <c r="BB229" s="1152"/>
      <c r="BC229" s="1152"/>
      <c r="BD229" s="1152"/>
    </row>
    <row r="230" spans="1:56" hidden="1" outlineLevel="1" x14ac:dyDescent="0.3">
      <c r="A230" s="1182"/>
      <c r="B230" s="1379"/>
      <c r="C230" s="1379"/>
      <c r="D230" s="1379"/>
      <c r="E230" s="1379"/>
      <c r="F230" s="1379"/>
      <c r="G230" s="1379"/>
      <c r="H230" s="1380"/>
      <c r="I230" s="341" t="s">
        <v>325</v>
      </c>
      <c r="J230" s="346"/>
      <c r="K230" s="444">
        <f>K228+K229</f>
        <v>0</v>
      </c>
      <c r="L230" s="346"/>
      <c r="M230" s="444">
        <f t="shared" ref="M230" si="972">M228+M229</f>
        <v>0</v>
      </c>
      <c r="N230" s="346"/>
      <c r="O230" s="444">
        <f>O228+O229</f>
        <v>0</v>
      </c>
      <c r="P230" s="346"/>
      <c r="Q230" s="444">
        <f t="shared" ref="Q230" si="973">Q228+Q229</f>
        <v>0</v>
      </c>
      <c r="R230" s="346"/>
      <c r="S230" s="444">
        <f>S228+S229</f>
        <v>0</v>
      </c>
      <c r="T230" s="346"/>
      <c r="U230" s="444">
        <f t="shared" ref="U230" si="974">U228+U229</f>
        <v>0</v>
      </c>
      <c r="V230" s="346"/>
      <c r="W230" s="444">
        <f>W228+W229</f>
        <v>0</v>
      </c>
      <c r="X230" s="346"/>
      <c r="Y230" s="444">
        <f t="shared" ref="Y230" si="975">Y228+Y229</f>
        <v>0</v>
      </c>
      <c r="Z230" s="346"/>
      <c r="AA230" s="444">
        <f>AA228+AA229</f>
        <v>0</v>
      </c>
      <c r="AB230" s="346"/>
      <c r="AC230" s="444">
        <f t="shared" ref="AC230" si="976">AC228+AC229</f>
        <v>0</v>
      </c>
      <c r="AD230" s="335">
        <f t="shared" si="754"/>
        <v>0</v>
      </c>
      <c r="AE230" s="1152"/>
      <c r="AF230" s="1152"/>
      <c r="AG230" s="1152"/>
      <c r="AH230" s="1152"/>
      <c r="AI230" s="1152"/>
      <c r="AJ230" s="1152"/>
      <c r="AK230" s="1152"/>
      <c r="AL230" s="1152"/>
      <c r="AM230" s="1152"/>
      <c r="AN230" s="1152"/>
      <c r="AO230" s="1152"/>
      <c r="AP230" s="1152"/>
      <c r="AQ230" s="1152"/>
      <c r="AR230" s="1152"/>
      <c r="AS230" s="1152"/>
      <c r="AT230" s="1152"/>
      <c r="AU230" s="1152"/>
      <c r="AV230" s="1152"/>
      <c r="AW230" s="1152"/>
      <c r="AX230" s="1152"/>
      <c r="AY230" s="1152"/>
      <c r="AZ230" s="1152"/>
      <c r="BA230" s="1152"/>
      <c r="BB230" s="1152"/>
      <c r="BC230" s="1152"/>
      <c r="BD230" s="1152"/>
    </row>
    <row r="231" spans="1:56" s="1" customFormat="1" ht="15" hidden="1" customHeight="1" outlineLevel="1" x14ac:dyDescent="0.3">
      <c r="A231" s="727"/>
      <c r="B231" s="1379"/>
      <c r="C231" s="1379"/>
      <c r="D231" s="1379"/>
      <c r="E231" s="1379"/>
      <c r="F231" s="1379"/>
      <c r="G231" s="1379"/>
      <c r="H231" s="1380"/>
      <c r="I231" s="382" t="s">
        <v>326</v>
      </c>
      <c r="J231" s="383">
        <f>IFERROR(K231/K217,0)</f>
        <v>0</v>
      </c>
      <c r="K231" s="447">
        <f>SUM(K218:K219,K221:K224,K227)</f>
        <v>0</v>
      </c>
      <c r="L231" s="434">
        <f>IFERROR(M231/M217,0)</f>
        <v>0</v>
      </c>
      <c r="M231" s="453">
        <f t="shared" ref="M231" si="977">SUM(M218:M219,M221:M224,M227)</f>
        <v>0</v>
      </c>
      <c r="N231" s="383">
        <f t="shared" ref="N231" si="978">IFERROR(O231/O217,0)</f>
        <v>0</v>
      </c>
      <c r="O231" s="447">
        <f t="shared" ref="O231" si="979">SUM(O218:O219,O221:O224,O227)</f>
        <v>0</v>
      </c>
      <c r="P231" s="434">
        <f t="shared" ref="P231" si="980">IFERROR(Q231/Q217,0)</f>
        <v>0</v>
      </c>
      <c r="Q231" s="453">
        <f t="shared" ref="Q231" si="981">SUM(Q218:Q219,Q221:Q224,Q227)</f>
        <v>0</v>
      </c>
      <c r="R231" s="383">
        <f t="shared" ref="R231" si="982">IFERROR(S231/S217,0)</f>
        <v>0</v>
      </c>
      <c r="S231" s="447">
        <f t="shared" ref="S231" si="983">SUM(S218:S219,S221:S224,S227)</f>
        <v>0</v>
      </c>
      <c r="T231" s="434">
        <f t="shared" ref="T231" si="984">IFERROR(U231/U217,0)</f>
        <v>0</v>
      </c>
      <c r="U231" s="453">
        <f t="shared" ref="U231" si="985">SUM(U218:U219,U221:U224,U227)</f>
        <v>0</v>
      </c>
      <c r="V231" s="383">
        <f t="shared" ref="V231" si="986">IFERROR(W231/W217,0)</f>
        <v>0</v>
      </c>
      <c r="W231" s="447">
        <f t="shared" ref="W231" si="987">SUM(W218:W219,W221:W224,W227)</f>
        <v>0</v>
      </c>
      <c r="X231" s="434">
        <f t="shared" ref="X231" si="988">IFERROR(Y231/Y217,0)</f>
        <v>0</v>
      </c>
      <c r="Y231" s="453">
        <f t="shared" ref="Y231" si="989">SUM(Y218:Y219,Y221:Y224,Y227)</f>
        <v>0</v>
      </c>
      <c r="Z231" s="383">
        <f t="shared" ref="Z231" si="990">IFERROR(AA231/AA217,0)</f>
        <v>0</v>
      </c>
      <c r="AA231" s="447">
        <f t="shared" ref="AA231" si="991">SUM(AA218:AA219,AA221:AA224,AA227)</f>
        <v>0</v>
      </c>
      <c r="AB231" s="434">
        <f t="shared" ref="AB231" si="992">IFERROR(AC231/AC217,0)</f>
        <v>0</v>
      </c>
      <c r="AC231" s="453">
        <f t="shared" ref="AC231" si="993">SUM(AC218:AC219,AC221:AC224,AC227)</f>
        <v>0</v>
      </c>
      <c r="AD231" s="377">
        <f t="shared" si="754"/>
        <v>0</v>
      </c>
      <c r="AE231" s="14"/>
      <c r="AF231" s="14"/>
      <c r="AG231" s="14"/>
      <c r="AH231" s="14"/>
      <c r="AI231" s="14"/>
      <c r="AJ231" s="14"/>
      <c r="AK231" s="14"/>
      <c r="AL231" s="14"/>
      <c r="AM231" s="14"/>
      <c r="AN231" s="14"/>
      <c r="AO231" s="14"/>
      <c r="AP231" s="14"/>
      <c r="AQ231" s="14"/>
      <c r="AR231" s="14"/>
      <c r="AS231" s="14"/>
      <c r="AT231" s="14"/>
      <c r="AU231" s="14"/>
      <c r="AV231" s="14"/>
      <c r="AW231" s="14"/>
      <c r="AX231" s="14"/>
      <c r="AY231" s="14"/>
      <c r="AZ231" s="14"/>
      <c r="BA231" s="14"/>
      <c r="BB231" s="14"/>
      <c r="BC231" s="14"/>
      <c r="BD231" s="14"/>
    </row>
    <row r="232" spans="1:56" hidden="1" outlineLevel="1" x14ac:dyDescent="0.3">
      <c r="A232" s="1182"/>
      <c r="B232" s="1379"/>
      <c r="C232" s="1379"/>
      <c r="D232" s="1379"/>
      <c r="E232" s="1379"/>
      <c r="F232" s="1379"/>
      <c r="G232" s="1379"/>
      <c r="H232" s="1380"/>
      <c r="I232" s="382" t="s">
        <v>327</v>
      </c>
      <c r="J232" s="384">
        <f>pCRSalaries</f>
        <v>2.5</v>
      </c>
      <c r="K232" s="447"/>
      <c r="L232" s="435">
        <f>pCRSalaries</f>
        <v>2.5</v>
      </c>
      <c r="M232" s="453"/>
      <c r="N232" s="384">
        <f>pCRSalaries</f>
        <v>2.5</v>
      </c>
      <c r="O232" s="447"/>
      <c r="P232" s="435">
        <f>pCRSalaries</f>
        <v>2.5</v>
      </c>
      <c r="Q232" s="453"/>
      <c r="R232" s="384">
        <f>pCRSalaries</f>
        <v>2.5</v>
      </c>
      <c r="S232" s="447"/>
      <c r="T232" s="435">
        <f>pCRSalaries</f>
        <v>2.5</v>
      </c>
      <c r="U232" s="453"/>
      <c r="V232" s="384">
        <f>pCRSalaries</f>
        <v>2.5</v>
      </c>
      <c r="W232" s="447"/>
      <c r="X232" s="435">
        <f>pCRSalaries</f>
        <v>2.5</v>
      </c>
      <c r="Y232" s="453"/>
      <c r="Z232" s="384">
        <f>pCRSalaries</f>
        <v>2.5</v>
      </c>
      <c r="AA232" s="447"/>
      <c r="AB232" s="435">
        <f>pCRSalaries</f>
        <v>2.5</v>
      </c>
      <c r="AC232" s="453"/>
      <c r="AD232" s="335"/>
      <c r="AE232" s="1152"/>
      <c r="AF232" s="1152"/>
      <c r="AG232" s="1152"/>
      <c r="AH232" s="1152"/>
      <c r="AI232" s="1152"/>
      <c r="AJ232" s="1152"/>
      <c r="AK232" s="1152"/>
      <c r="AL232" s="1152"/>
      <c r="AM232" s="1152"/>
      <c r="AN232" s="1152"/>
      <c r="AO232" s="1152"/>
      <c r="AP232" s="1152"/>
      <c r="AQ232" s="1152"/>
      <c r="AR232" s="1152"/>
      <c r="AS232" s="1152"/>
      <c r="AT232" s="1152"/>
      <c r="AU232" s="1152"/>
      <c r="AV232" s="1152"/>
      <c r="AW232" s="1152"/>
      <c r="AX232" s="1152"/>
      <c r="AY232" s="1152"/>
      <c r="AZ232" s="1152"/>
      <c r="BA232" s="1152"/>
      <c r="BB232" s="1152"/>
      <c r="BC232" s="1152"/>
      <c r="BD232" s="1152"/>
    </row>
    <row r="233" spans="1:56" ht="16.2" hidden="1" outlineLevel="1" thickBot="1" x14ac:dyDescent="0.35">
      <c r="A233" s="1182"/>
      <c r="B233" s="710"/>
      <c r="C233" s="347"/>
      <c r="D233" s="347"/>
      <c r="E233" s="347"/>
      <c r="F233" s="347"/>
      <c r="G233" s="347"/>
      <c r="H233" s="347"/>
      <c r="I233" s="436" t="s">
        <v>329</v>
      </c>
      <c r="J233" s="348"/>
      <c r="K233" s="448">
        <f>J232*K228</f>
        <v>0</v>
      </c>
      <c r="L233" s="348"/>
      <c r="M233" s="448">
        <f t="shared" ref="M233" si="994">L232*M228</f>
        <v>0</v>
      </c>
      <c r="N233" s="348"/>
      <c r="O233" s="448">
        <f>N232*O228</f>
        <v>0</v>
      </c>
      <c r="P233" s="348"/>
      <c r="Q233" s="448">
        <f t="shared" ref="Q233" si="995">P232*Q228</f>
        <v>0</v>
      </c>
      <c r="R233" s="348"/>
      <c r="S233" s="448">
        <f>R232*S228</f>
        <v>0</v>
      </c>
      <c r="T233" s="348"/>
      <c r="U233" s="448">
        <f t="shared" ref="U233" si="996">T232*U228</f>
        <v>0</v>
      </c>
      <c r="V233" s="348"/>
      <c r="W233" s="448">
        <f>V232*W228</f>
        <v>0</v>
      </c>
      <c r="X233" s="348"/>
      <c r="Y233" s="448">
        <f t="shared" ref="Y233" si="997">X232*Y228</f>
        <v>0</v>
      </c>
      <c r="Z233" s="348"/>
      <c r="AA233" s="448">
        <f>Z232*AA228</f>
        <v>0</v>
      </c>
      <c r="AB233" s="348"/>
      <c r="AC233" s="448">
        <f t="shared" ref="AC233" si="998">AB232*AC228</f>
        <v>0</v>
      </c>
      <c r="AD233" s="335">
        <f>IFERROR($K233+$M233+$O233+$Q233+$S233+$U233+$W233+$Y233+$AA233+$AC233,0)</f>
        <v>0</v>
      </c>
      <c r="AE233" s="1152"/>
      <c r="AF233" s="1152"/>
      <c r="AG233" s="1152"/>
      <c r="AH233" s="1152"/>
      <c r="AI233" s="1152"/>
      <c r="AJ233" s="1152"/>
      <c r="AK233" s="1152"/>
      <c r="AL233" s="1152"/>
      <c r="AM233" s="1152"/>
      <c r="AN233" s="1152"/>
      <c r="AO233" s="1152"/>
      <c r="AP233" s="1152"/>
      <c r="AQ233" s="1152"/>
      <c r="AR233" s="1152"/>
      <c r="AS233" s="1152"/>
      <c r="AT233" s="1152"/>
      <c r="AU233" s="1152"/>
      <c r="AV233" s="1152"/>
      <c r="AW233" s="1152"/>
      <c r="AX233" s="1152"/>
      <c r="AY233" s="1152"/>
      <c r="AZ233" s="1152"/>
      <c r="BA233" s="1152"/>
      <c r="BB233" s="1152"/>
      <c r="BC233" s="1152"/>
      <c r="BD233" s="1152"/>
    </row>
    <row r="234" spans="1:56" ht="15" hidden="1" outlineLevel="1" thickBot="1" x14ac:dyDescent="0.35">
      <c r="A234" s="1182"/>
      <c r="B234" s="1181"/>
      <c r="C234" s="1181"/>
      <c r="D234" s="1181"/>
      <c r="E234" s="1181"/>
      <c r="F234" s="1181"/>
      <c r="G234" s="1181"/>
      <c r="H234" s="1181"/>
      <c r="I234" s="350"/>
      <c r="J234" s="351"/>
      <c r="K234" s="351"/>
      <c r="L234" s="351"/>
      <c r="M234" s="352"/>
      <c r="N234" s="351"/>
      <c r="O234" s="352"/>
      <c r="P234" s="351"/>
      <c r="Q234" s="352"/>
      <c r="R234" s="351"/>
      <c r="S234" s="352"/>
      <c r="T234" s="351"/>
      <c r="U234" s="352"/>
      <c r="V234" s="351"/>
      <c r="W234" s="352"/>
      <c r="X234" s="351"/>
      <c r="Y234" s="352"/>
      <c r="Z234" s="351"/>
      <c r="AA234" s="352"/>
      <c r="AB234" s="351"/>
      <c r="AC234" s="352"/>
      <c r="AD234" s="353" t="str">
        <f>IF(tbBudgetCurrency="AUD - Australian Dollar","",IFERROR(K234+M234+O234+Q234+S234+U234+W234+Y234+AA234+AC234,0))</f>
        <v/>
      </c>
      <c r="AE234" s="1152"/>
      <c r="AF234" s="1152"/>
      <c r="AG234" s="1152"/>
      <c r="AH234" s="1152"/>
      <c r="AI234" s="1152"/>
      <c r="AJ234" s="1152"/>
      <c r="AK234" s="1152"/>
      <c r="AL234" s="1152"/>
      <c r="AM234" s="1152"/>
      <c r="AN234" s="1152"/>
      <c r="AO234" s="1152"/>
      <c r="AP234" s="1152"/>
      <c r="AQ234" s="1152"/>
      <c r="AR234" s="1152"/>
      <c r="AS234" s="1152"/>
      <c r="AT234" s="1152"/>
      <c r="AU234" s="1152"/>
      <c r="AV234" s="1152"/>
      <c r="AW234" s="1152"/>
      <c r="AX234" s="1152"/>
      <c r="AY234" s="1152"/>
      <c r="AZ234" s="1152"/>
      <c r="BA234" s="1152"/>
      <c r="BB234" s="1152"/>
      <c r="BC234" s="1152"/>
      <c r="BD234" s="1152"/>
    </row>
    <row r="235" spans="1:56" hidden="1" outlineLevel="1" x14ac:dyDescent="0.3">
      <c r="A235" s="1182"/>
      <c r="B235" s="356" t="str">
        <f>IF('PART B Staff Costs'!B33="","",'PART B Staff Costs'!B33)</f>
        <v/>
      </c>
      <c r="C235" s="355" t="str">
        <f>IF('PART B Staff Costs'!C33="","",'PART B Staff Costs'!C33)</f>
        <v xml:space="preserve"> </v>
      </c>
      <c r="D235" s="355" t="str">
        <f>IF('PART B Staff Costs'!D33="","",'PART B Staff Costs'!D33)</f>
        <v/>
      </c>
      <c r="E235" s="355" t="str">
        <f>IF('PART B Staff Costs'!E33="","",'PART B Staff Costs'!E33)</f>
        <v/>
      </c>
      <c r="F235" s="355" t="str">
        <f>IF('PART B Staff Costs'!F33="","",'PART B Staff Costs'!F33)</f>
        <v/>
      </c>
      <c r="G235" s="355" t="str">
        <f>IF('PART B Staff Costs'!G33="","",'PART B Staff Costs'!G33)</f>
        <v/>
      </c>
      <c r="H235" s="332" t="str">
        <f t="shared" ref="H235" si="999">CONCATENATE(IF(D235=0,"",D235)," ",IF(E235=0,"",E235)," ",IF(F235=0,"",F235),,IF(OR(G235=0,G235=""),"",CONCATENATE(" (",G235,")")))</f>
        <v xml:space="preserve">  </v>
      </c>
      <c r="I235" s="332" t="s">
        <v>313</v>
      </c>
      <c r="J235" s="333">
        <f>_xlfn.IFNA('PART B Staff Costs'!H33*'PART B Staff Costs'!J$10,0)*new_xrate</f>
        <v>0</v>
      </c>
      <c r="K235" s="441"/>
      <c r="L235" s="334">
        <f>_xlfn.IFNA(IF(pStartYear+1&gt;pEndYear,0,VLOOKUP(CONCATENATE(
IF(OR($D235="Continuing",$D235="Fixed-Term"),"Fortnight",IF($D235="Casual","Casual",)),
$E235,
IF(OR($D235="Continuing",$D235="Fixed-Term"),
IF(LEFT($F235,6)="UOM 10","UOM 10",(LEFT($F235,LEN($F235)-1)&amp;MIN(RIGHT($F235,1)+COUNTIFS($J236:K236,"&gt;0")/2,VLOOKUP(LEFT($F235,LEN($F235)-2),tSalaryMax,2,FALSE)))),
IF($D235="Casual",
$F235,))
),tSalaryRate,5,FALSE)*VLOOKUP($G235,tSalaryRateMultiplier,2,FALSE)*'PART B Staff Costs'!L$10),0)*new_xrate</f>
        <v>0</v>
      </c>
      <c r="M235" s="449"/>
      <c r="N235" s="333">
        <f>_xlfn.IFNA(IF(pStartYear+2&gt;pEndYear,0,VLOOKUP(CONCATENATE(
IF(OR($D235="Continuing",$D235="Fixed-Term"),"Fortnight",IF($D235="Casual","Casual",)),
$E235,
IF(OR($D235="Continuing",$D235="Fixed-Term"),
IF(LEFT($F235,6)="UOM 10","UOM 10",(LEFT($F235,LEN($F235)-1)&amp;MIN(RIGHT($F235,1)+COUNTIFS($J236:M236,"&gt;0")/2,VLOOKUP(LEFT($F235,LEN($F235)-2),tSalaryMax,2,FALSE)))),
IF($D235="Casual",
$F235,))
),tSalaryRate,5,FALSE)*VLOOKUP($G235,tSalaryRateMultiplier,2,FALSE)*'PART B Staff Costs'!N$10),0)*new_xrate</f>
        <v>0</v>
      </c>
      <c r="O235" s="441"/>
      <c r="P235" s="334">
        <f>_xlfn.IFNA(IF(pStartYear+3&gt;pEndYear,0,VLOOKUP(CONCATENATE(
IF(OR($D235="Continuing",$D235="Fixed-Term"),"Fortnight",IF($D235="Casual","Casual",)),
$E235,
IF(OR($D235="Continuing",$D235="Fixed-Term"),
IF(LEFT($F235,6)="UOM 10","UOM 10",(LEFT($F235,LEN($F235)-1)&amp;MIN(RIGHT($F235,1)+COUNTIFS($J236:O236,"&gt;0")/2,VLOOKUP(LEFT($F235,LEN($F235)-2),tSalaryMax,2,FALSE)))),
IF($D235="Casual",
$F235,))
),tSalaryRate,5,FALSE)*VLOOKUP($G235,tSalaryRateMultiplier,2,FALSE)*'PART B Staff Costs'!P$10),0)*new_xrate</f>
        <v>0</v>
      </c>
      <c r="Q235" s="449"/>
      <c r="R235" s="333">
        <f>_xlfn.IFNA(IF(pStartYear+4&gt;pEndYear,0,VLOOKUP(CONCATENATE(
IF(OR($D235="Continuing",$D235="Fixed-Term"),"Fortnight",IF($D235="Casual","Casual",)),
$E235,
IF(OR($D235="Continuing",$D235="Fixed-Term"),
IF(LEFT($F235,6)="UOM 10","UOM 10",(LEFT($F235,LEN($F235)-1)&amp;MIN(RIGHT($F235,1)+COUNTIFS($J236:Q236,"&gt;0")/2,VLOOKUP(LEFT($F235,LEN($F235)-2),tSalaryMax,2,FALSE)))),
IF($D235="Casual",
$F235,))
),tSalaryRate,5,FALSE)*VLOOKUP($G235,tSalaryRateMultiplier,2,FALSE)*'PART B Staff Costs'!R$10),0)*new_xrate</f>
        <v>0</v>
      </c>
      <c r="S235" s="441"/>
      <c r="T235" s="334">
        <f>_xlfn.IFNA(IF(pStartYear+5&gt;pEndYear,0,VLOOKUP(CONCATENATE(
IF(OR($D235="Continuing",$D235="Fixed-Term"),"Fortnight",IF($D235="Casual","Casual",)),
$E235,
IF(OR($D235="Continuing",$D235="Fixed-Term"),
IF(LEFT($F235,6)="UOM 10","UOM 10",(LEFT($F235,LEN($F235)-1)&amp;MIN(RIGHT($F235,1)+COUNTIFS($J236:S236,"&gt;0")/2,VLOOKUP(LEFT($F235,LEN($F235)-2),tSalaryMax,2,FALSE)))),
IF($D235="Casual",
$F235,))
),tSalaryRate,5,FALSE)*VLOOKUP($G235,tSalaryRateMultiplier,2,FALSE)*'PART B Staff Costs'!T$10),0)*new_xrate</f>
        <v>0</v>
      </c>
      <c r="U235" s="449"/>
      <c r="V235" s="333">
        <f>_xlfn.IFNA(IF(pStartYear+6&gt;pEndYear,0,VLOOKUP(CONCATENATE(
IF(OR($D235="Continuing",$D235="Fixed-Term"),"Fortnight",IF($D235="Casual","Casual",)),
$E235,
IF(OR($D235="Continuing",$D235="Fixed-Term"),
IF(LEFT($F235,6)="UOM 10","UOM 10",(LEFT($F235,LEN($F235)-1)&amp;MIN(RIGHT($F235,1)+COUNTIFS($J236:U236,"&gt;0")/2,VLOOKUP(LEFT($F235,LEN($F235)-2),tSalaryMax,2,FALSE)))),
IF($D235="Casual",
$F235,))
),tSalaryRate,5,FALSE)*VLOOKUP($G235,tSalaryRateMultiplier,2,FALSE)*'PART B Staff Costs'!V$10),0)*new_xrate</f>
        <v>0</v>
      </c>
      <c r="W235" s="441"/>
      <c r="X235" s="334">
        <f>_xlfn.IFNA(IF(pStartYear+7&gt;pEndYear,0,VLOOKUP(CONCATENATE(
IF(OR($D235="Continuing",$D235="Fixed-Term"),"Fortnight",IF($D235="Casual","Casual",)),
$E235,
IF(OR($D235="Continuing",$D235="Fixed-Term"),
IF(LEFT($F235,6)="UOM 10","UOM 10",(LEFT($F235,LEN($F235)-1)&amp;MIN(RIGHT($F235,1)+COUNTIFS($J236:W236,"&gt;0")/2,VLOOKUP(LEFT($F235,LEN($F235)-2),tSalaryMax,2,FALSE)))),
IF($D235="Casual",
$F235,))
),tSalaryRate,5,FALSE)*VLOOKUP($G235,tSalaryRateMultiplier,2,FALSE)*'PART B Staff Costs'!X$10),0)*new_xrate</f>
        <v>0</v>
      </c>
      <c r="Y235" s="449"/>
      <c r="Z235" s="333">
        <f>_xlfn.IFNA(IF(pStartYear+8&gt;pEndYear,0,VLOOKUP(CONCATENATE(
IF(OR($D235="Continuing",$D235="Fixed-Term"),"Fortnight",IF($D235="Casual","Casual",)),
$E235,
IF(OR($D235="Continuing",$D235="Fixed-Term"),
IF(LEFT($F235,6)="UOM 10","UOM 10",(LEFT($F235,LEN($F235)-1)&amp;MIN(RIGHT($F235,1)+COUNTIFS($J236:Y236,"&gt;0")/2,VLOOKUP(LEFT($F235,LEN($F235)-2),tSalaryMax,2,FALSE)))),
IF($D235="Casual",
$F235,))
),tSalaryRate,5,FALSE)*VLOOKUP($G235,tSalaryRateMultiplier,2,FALSE)*'PART B Staff Costs'!Z$10),0)*new_xrate</f>
        <v>0</v>
      </c>
      <c r="AA235" s="441"/>
      <c r="AB235" s="334">
        <f>_xlfn.IFNA(IF(pStartYear+9&gt;pEndYear,0,VLOOKUP(CONCATENATE(
IF(OR($D235="Continuing",$D235="Fixed-Term"),"Fortnight",IF($D235="Casual","Casual",)),
$E235,
IF(OR($D235="Continuing",$D235="Fixed-Term"),
IF(LEFT($F235,6)="UOM 10","UOM 10",(LEFT($F235,LEN($F235)-1)&amp;MIN(RIGHT($F235,1)+COUNTIFS($J236:AA236,"&gt;0")/2,VLOOKUP(LEFT($F235,LEN($F235)-2),tSalaryMax,2,FALSE)))),
IF($D235="Casual",
$F235,))
),tSalaryRate,5,FALSE)*VLOOKUP($G235,tSalaryRateMultiplier,2,FALSE)*'PART B Staff Costs'!AB$10),0)*new_xrate</f>
        <v>0</v>
      </c>
      <c r="AC235" s="449"/>
      <c r="AD235" s="335"/>
      <c r="AE235" s="1152"/>
      <c r="AF235" s="1152"/>
      <c r="AG235" s="1152"/>
      <c r="AH235" s="1152"/>
      <c r="AI235" s="1152"/>
      <c r="AJ235" s="1152"/>
      <c r="AK235" s="1152"/>
      <c r="AL235" s="1152"/>
      <c r="AM235" s="1152"/>
      <c r="AN235" s="1152"/>
      <c r="AO235" s="1152"/>
      <c r="AP235" s="1152"/>
      <c r="AQ235" s="1152"/>
      <c r="AR235" s="1152"/>
      <c r="AS235" s="1152"/>
      <c r="AT235" s="1152"/>
      <c r="AU235" s="1152"/>
      <c r="AV235" s="1152"/>
      <c r="AW235" s="1152"/>
      <c r="AX235" s="1152"/>
      <c r="AY235" s="1152"/>
      <c r="AZ235" s="1152"/>
      <c r="BA235" s="1152"/>
      <c r="BB235" s="1152"/>
      <c r="BC235" s="1152"/>
      <c r="BD235" s="1152"/>
    </row>
    <row r="236" spans="1:56" hidden="1" outlineLevel="1" x14ac:dyDescent="0.3">
      <c r="A236" s="1182"/>
      <c r="B236" s="1377"/>
      <c r="C236" s="1377"/>
      <c r="D236" s="1377"/>
      <c r="E236" s="1377"/>
      <c r="F236" s="1377"/>
      <c r="G236" s="1377"/>
      <c r="H236" s="1378"/>
      <c r="I236" s="336" t="str">
        <f>IF('PART B Staff Costs'!G231&lt;&gt;"",CONCATENATE("Time/Requested salary"," (",'PART B Staff Costs'!G231,")"),"Time/Requested salary")</f>
        <v>Time/Requested salary</v>
      </c>
      <c r="J236" s="337">
        <f>_xlfn.IFNA('PART B Staff Costs'!I33,0)</f>
        <v>0</v>
      </c>
      <c r="K236" s="442">
        <f>IF('PART B Staff Costs'!$G$33="FTE",J236*J235*(First_year_fraction/12),J236*J235)</f>
        <v>0</v>
      </c>
      <c r="L236" s="338">
        <f>_xlfn.IFNA('PART B Staff Costs'!K33,0)</f>
        <v>0</v>
      </c>
      <c r="M236" s="450">
        <f>IF(pStartYear+1=pEndYear,IF('PART B Staff Costs'!$G$33="FTE",(L236*L235)*Last_Year_Fraction/12,L236*L235),L236*L235)</f>
        <v>0</v>
      </c>
      <c r="N236" s="337">
        <f>_xlfn.IFNA('PART B Staff Costs'!M33,0)</f>
        <v>0</v>
      </c>
      <c r="O236" s="442">
        <f>IF(pStartYear+2=pEndYear,IF('PART B Staff Costs'!$G$33="FTE",(N236*N235)*Last_Year_Fraction/12,N236*N235),N236*N235)</f>
        <v>0</v>
      </c>
      <c r="P236" s="338">
        <f>_xlfn.IFNA('PART B Staff Costs'!O33,0)</f>
        <v>0</v>
      </c>
      <c r="Q236" s="450">
        <f>IF(pStartYear+3=pEndYear,IF('PART B Staff Costs'!$G$33="FTE",(P236*P235)*Last_Year_Fraction/12,P236*P235),P236*P235)</f>
        <v>0</v>
      </c>
      <c r="R236" s="337">
        <f>_xlfn.IFNA('PART B Staff Costs'!Q33,0)</f>
        <v>0</v>
      </c>
      <c r="S236" s="442">
        <f>IF(pStartYear+4=pEndYear,IF('PART B Staff Costs'!$G$33="FTE",(R236*R235)*Last_Year_Fraction/12,R236*R235),R236*R235)</f>
        <v>0</v>
      </c>
      <c r="T236" s="338">
        <f>_xlfn.IFNA('PART B Staff Costs'!S33,0)</f>
        <v>0</v>
      </c>
      <c r="U236" s="450">
        <f>IF(pStartYear+5=pEndYear,IF('PART B Staff Costs'!$G$33="FTE",(T236*T235)*Last_Year_Fraction/12,T236*T235),T236*T235)</f>
        <v>0</v>
      </c>
      <c r="V236" s="337">
        <f>_xlfn.IFNA('PART B Staff Costs'!U33,0)</f>
        <v>0</v>
      </c>
      <c r="W236" s="442">
        <f>IF(pStartYear+6=pEndYear,IF('PART B Staff Costs'!$G$33="FTE",(V236*V235)*Last_Year_Fraction/12,V236*V235),V236*V235)</f>
        <v>0</v>
      </c>
      <c r="X236" s="338">
        <f>_xlfn.IFNA('PART B Staff Costs'!W33,0)</f>
        <v>0</v>
      </c>
      <c r="Y236" s="450">
        <f>IF(pStartYear+7=pEndYear,IF('PART B Staff Costs'!$G$33="FTE",(X236*X235)*Last_Year_Fraction/12,X236*X235),X236*X235)</f>
        <v>0</v>
      </c>
      <c r="Z236" s="337">
        <f>_xlfn.IFNA('PART B Staff Costs'!Y33,0)</f>
        <v>0</v>
      </c>
      <c r="AA236" s="442">
        <f>IF(pStartYear+8=pEndYear,IF('PART B Staff Costs'!$G$33="FTE",(Z236*Z235)*Last_Year_Fraction/12,Z236*Z235),Z236*Z235)</f>
        <v>0</v>
      </c>
      <c r="AB236" s="338">
        <f>_xlfn.IFNA('PART B Staff Costs'!AA33,0)</f>
        <v>0</v>
      </c>
      <c r="AC236" s="450">
        <f>IF(pStartYear+9=pEndYear,IF('PART B Staff Costs'!$G$33="FTE",(AB236*AB235)*Last_Year_Fraction/12,AB236*AB235),AB236*AB235)</f>
        <v>0</v>
      </c>
      <c r="AD236" s="335"/>
      <c r="AE236" s="1152"/>
      <c r="AF236" s="1152"/>
      <c r="AG236" s="1152"/>
      <c r="AH236" s="1152"/>
      <c r="AI236" s="1152"/>
      <c r="AJ236" s="1152"/>
      <c r="AK236" s="1152"/>
      <c r="AL236" s="1152"/>
      <c r="AM236" s="1152"/>
      <c r="AN236" s="1152"/>
      <c r="AO236" s="1152"/>
      <c r="AP236" s="1152"/>
      <c r="AQ236" s="1152"/>
      <c r="AR236" s="1152"/>
      <c r="AS236" s="1152"/>
      <c r="AT236" s="1152"/>
      <c r="AU236" s="1152"/>
      <c r="AV236" s="1152"/>
      <c r="AW236" s="1152"/>
      <c r="AX236" s="1152"/>
      <c r="AY236" s="1152"/>
      <c r="AZ236" s="1152"/>
      <c r="BA236" s="1152"/>
      <c r="BB236" s="1152"/>
      <c r="BC236" s="1152"/>
      <c r="BD236" s="1152"/>
    </row>
    <row r="237" spans="1:56" hidden="1" outlineLevel="1" x14ac:dyDescent="0.3">
      <c r="A237" s="1182"/>
      <c r="B237" s="1379"/>
      <c r="C237" s="1379"/>
      <c r="D237" s="1379"/>
      <c r="E237" s="1379"/>
      <c r="F237" s="1379"/>
      <c r="G237" s="1379"/>
      <c r="H237" s="1380"/>
      <c r="I237" s="336" t="str">
        <f>IF(tbBudgetCurrency="AUD - Australian Dollar",CONCATENATE("Leave Loading (max of AU$",vl_Max_Leave_Loading,")"),CONCATENATE("Leave Loading (max of ",ROUND(vl_Max_Leave_Loading*new_xrate,2)," ",LEFT(tbBudgetCurrency,3),")"))</f>
        <v>Leave Loading (max of AU$1611.3)</v>
      </c>
      <c r="J237" s="339">
        <f>_xlfn.IFNA(VLOOKUP($D235,tbLeaveLoading,2,FALSE),0)</f>
        <v>0</v>
      </c>
      <c r="K237" s="443">
        <f>IF(K236*J237&gt;vl_Max_Leave_Loading*new_xrate,vl_Max_Leave_Loading*new_xrate,K236*J237)</f>
        <v>0</v>
      </c>
      <c r="L237" s="340">
        <f>_xlfn.IFNA(VLOOKUP($D235,tbLeaveLoading,2,FALSE),0)</f>
        <v>0</v>
      </c>
      <c r="M237" s="451">
        <f>IF(M236*L237&gt;vl_Max_Leave_Loading*new_xrate,vl_Max_Leave_Loading*new_xrate,M236*L237)</f>
        <v>0</v>
      </c>
      <c r="N237" s="339">
        <f>_xlfn.IFNA(VLOOKUP($D235,tbLeaveLoading,2,FALSE),0)</f>
        <v>0</v>
      </c>
      <c r="O237" s="443">
        <f>IF(O236*N237&gt;vl_Max_Leave_Loading*new_xrate,vl_Max_Leave_Loading*new_xrate,O236*N237)</f>
        <v>0</v>
      </c>
      <c r="P237" s="340">
        <f>_xlfn.IFNA(VLOOKUP($D235,tbLeaveLoading,2,FALSE),0)</f>
        <v>0</v>
      </c>
      <c r="Q237" s="451">
        <f>IF(Q236*P237&gt;vl_Max_Leave_Loading*new_xrate,vl_Max_Leave_Loading*new_xrate,Q236*P237)</f>
        <v>0</v>
      </c>
      <c r="R237" s="339">
        <f>_xlfn.IFNA(VLOOKUP($D235,tbLeaveLoading,2,FALSE),0)</f>
        <v>0</v>
      </c>
      <c r="S237" s="443">
        <f>IF(S236*R237&gt;vl_Max_Leave_Loading*new_xrate,vl_Max_Leave_Loading*new_xrate,S236*R237)</f>
        <v>0</v>
      </c>
      <c r="T237" s="340">
        <f>_xlfn.IFNA(VLOOKUP($D235,tbLeaveLoading,2,FALSE),0)</f>
        <v>0</v>
      </c>
      <c r="U237" s="451">
        <f>IF(U236*T237&gt;vl_Max_Leave_Loading*new_xrate,vl_Max_Leave_Loading*new_xrate,U236*T237)</f>
        <v>0</v>
      </c>
      <c r="V237" s="339">
        <f>_xlfn.IFNA(VLOOKUP($D235,tbLeaveLoading,2,FALSE),0)</f>
        <v>0</v>
      </c>
      <c r="W237" s="443">
        <f>IF(W236*V237&gt;vl_Max_Leave_Loading*new_xrate,vl_Max_Leave_Loading*new_xrate,W236*V237)</f>
        <v>0</v>
      </c>
      <c r="X237" s="340">
        <f>_xlfn.IFNA(VLOOKUP($D235,tbLeaveLoading,2,FALSE),0)</f>
        <v>0</v>
      </c>
      <c r="Y237" s="451">
        <f>IF(Y236*X237&gt;vl_Max_Leave_Loading*new_xrate,vl_Max_Leave_Loading*new_xrate,Y236*X237)</f>
        <v>0</v>
      </c>
      <c r="Z237" s="339">
        <f>_xlfn.IFNA(VLOOKUP($D235,tbLeaveLoading,2,FALSE),0)</f>
        <v>0</v>
      </c>
      <c r="AA237" s="443">
        <f>IF(AA236*Z237&gt;vl_Max_Leave_Loading*new_xrate,vl_Max_Leave_Loading*new_xrate,AA236*Z237)</f>
        <v>0</v>
      </c>
      <c r="AB237" s="340">
        <f>_xlfn.IFNA(VLOOKUP($D235,tbLeaveLoading,2,FALSE),0)</f>
        <v>0</v>
      </c>
      <c r="AC237" s="451">
        <f>IF(AC236*AB237&gt;vl_Max_Leave_Loading*new_xrate,vl_Max_Leave_Loading*new_xrate,AC236*AB237)</f>
        <v>0</v>
      </c>
      <c r="AD237" s="335"/>
      <c r="AE237" s="1152"/>
      <c r="AF237" s="1152"/>
      <c r="AG237" s="1152"/>
      <c r="AH237" s="1152"/>
      <c r="AI237" s="1152"/>
      <c r="AJ237" s="1152"/>
      <c r="AK237" s="1152"/>
      <c r="AL237" s="1152"/>
      <c r="AM237" s="1152"/>
      <c r="AN237" s="1152"/>
      <c r="AO237" s="1152"/>
      <c r="AP237" s="1152"/>
      <c r="AQ237" s="1152"/>
      <c r="AR237" s="1152"/>
      <c r="AS237" s="1152"/>
      <c r="AT237" s="1152"/>
      <c r="AU237" s="1152"/>
      <c r="AV237" s="1152"/>
      <c r="AW237" s="1152"/>
      <c r="AX237" s="1152"/>
      <c r="AY237" s="1152"/>
      <c r="AZ237" s="1152"/>
      <c r="BA237" s="1152"/>
      <c r="BB237" s="1152"/>
      <c r="BC237" s="1152"/>
      <c r="BD237" s="1152"/>
    </row>
    <row r="238" spans="1:56" hidden="1" outlineLevel="1" x14ac:dyDescent="0.3">
      <c r="A238" s="1182"/>
      <c r="B238" s="1379"/>
      <c r="C238" s="1379"/>
      <c r="D238" s="1379"/>
      <c r="E238" s="1379"/>
      <c r="F238" s="1379"/>
      <c r="G238" s="1379"/>
      <c r="H238" s="1380"/>
      <c r="I238" s="336" t="s">
        <v>314</v>
      </c>
      <c r="J238" s="339">
        <f>_xlfn.IFNA(_xlfn.IFNA(VLOOKUP(CONCATENATE(pStartYear,$D235),tbSuperannuation,4,FALSE),VLOOKUP($D235,tbSuperannuation2026onwards,2,FALSE)),0)</f>
        <v>0</v>
      </c>
      <c r="K238" s="443">
        <f>K236*J238</f>
        <v>0</v>
      </c>
      <c r="L238" s="340">
        <f>_xlfn.IFNA(_xlfn.IFNA(VLOOKUP(CONCATENATE(pStartYear+1,$D235),tbSuperannuation,4,FALSE),VLOOKUP($D235,tbSuperannuation2026onwards,2,FALSE)),0)</f>
        <v>0</v>
      </c>
      <c r="M238" s="451">
        <f t="shared" ref="M238" si="1000">M236*L238</f>
        <v>0</v>
      </c>
      <c r="N238" s="339">
        <f>_xlfn.IFNA(_xlfn.IFNA(VLOOKUP(CONCATENATE(pStartYear+2,$D235),tbSuperannuation,4,FALSE),VLOOKUP($D235,tbSuperannuation2026onwards,2,FALSE)),0)</f>
        <v>0</v>
      </c>
      <c r="O238" s="443">
        <f>O236*N238</f>
        <v>0</v>
      </c>
      <c r="P238" s="340">
        <f>_xlfn.IFNA(_xlfn.IFNA(VLOOKUP(CONCATENATE(pStartYear+3,$D235),tbSuperannuation,4,FALSE),VLOOKUP($D235,tbSuperannuation2026onwards,2,FALSE)),0)</f>
        <v>0</v>
      </c>
      <c r="Q238" s="451">
        <f t="shared" ref="Q238" si="1001">Q236*P238</f>
        <v>0</v>
      </c>
      <c r="R238" s="339">
        <f>_xlfn.IFNA(_xlfn.IFNA(VLOOKUP(CONCATENATE(pStartYear+4,$D235),tbSuperannuation,4,FALSE),VLOOKUP($D235,tbSuperannuation2026onwards,2,FALSE)),0)</f>
        <v>0</v>
      </c>
      <c r="S238" s="443">
        <f>S236*R238</f>
        <v>0</v>
      </c>
      <c r="T238" s="340">
        <f>_xlfn.IFNA(_xlfn.IFNA(VLOOKUP(CONCATENATE(pStartYear+5,$D235),tbSuperannuation,4,FALSE),VLOOKUP($D235,tbSuperannuation2026onwards,2,FALSE)),0)</f>
        <v>0</v>
      </c>
      <c r="U238" s="451">
        <f t="shared" ref="U238" si="1002">U236*T238</f>
        <v>0</v>
      </c>
      <c r="V238" s="339">
        <f>_xlfn.IFNA(_xlfn.IFNA(VLOOKUP(CONCATENATE(pStartYear+6,$D235),tbSuperannuation,4,FALSE),VLOOKUP($D235,tbSuperannuation2026onwards,2,FALSE)),0)</f>
        <v>0</v>
      </c>
      <c r="W238" s="443">
        <f>W236*V238</f>
        <v>0</v>
      </c>
      <c r="X238" s="340">
        <f>_xlfn.IFNA(_xlfn.IFNA(VLOOKUP(CONCATENATE(pStartYear+7,$D235),tbSuperannuation,4,FALSE),VLOOKUP($D235,tbSuperannuation2026onwards,2,FALSE)),0)</f>
        <v>0</v>
      </c>
      <c r="Y238" s="451">
        <f t="shared" ref="Y238" si="1003">Y236*X238</f>
        <v>0</v>
      </c>
      <c r="Z238" s="339">
        <f>_xlfn.IFNA(_xlfn.IFNA(VLOOKUP(CONCATENATE(pStartYear+8,$D235),tbSuperannuation,4,FALSE),VLOOKUP($D235,tbSuperannuation2026onwards,2,FALSE)),0)</f>
        <v>0</v>
      </c>
      <c r="AA238" s="443">
        <f>AA236*Z238</f>
        <v>0</v>
      </c>
      <c r="AB238" s="340">
        <f>_xlfn.IFNA(_xlfn.IFNA(VLOOKUP(CONCATENATE(pStartYear+9,$D235),tbSuperannuation,4,FALSE),VLOOKUP($D235,tbSuperannuation2026onwards,2,FALSE)),0)</f>
        <v>0</v>
      </c>
      <c r="AC238" s="451">
        <f t="shared" ref="AC238" si="1004">AC236*AB238</f>
        <v>0</v>
      </c>
      <c r="AD238" s="335"/>
      <c r="AE238" s="1152"/>
      <c r="AF238" s="1152"/>
      <c r="AG238" s="1152"/>
      <c r="AH238" s="1152"/>
      <c r="AI238" s="1152"/>
      <c r="AJ238" s="1152"/>
      <c r="AK238" s="1152"/>
      <c r="AL238" s="1152"/>
      <c r="AM238" s="1152"/>
      <c r="AN238" s="1152"/>
      <c r="AO238" s="1152"/>
      <c r="AP238" s="1152"/>
      <c r="AQ238" s="1152"/>
      <c r="AR238" s="1152"/>
      <c r="AS238" s="1152"/>
      <c r="AT238" s="1152"/>
      <c r="AU238" s="1152"/>
      <c r="AV238" s="1152"/>
      <c r="AW238" s="1152"/>
      <c r="AX238" s="1152"/>
      <c r="AY238" s="1152"/>
      <c r="AZ238" s="1152"/>
      <c r="BA238" s="1152"/>
      <c r="BB238" s="1152"/>
      <c r="BC238" s="1152"/>
      <c r="BD238" s="1152"/>
    </row>
    <row r="239" spans="1:56" hidden="1" outlineLevel="1" x14ac:dyDescent="0.3">
      <c r="A239" s="1182"/>
      <c r="B239" s="1379"/>
      <c r="C239" s="1379"/>
      <c r="D239" s="1379"/>
      <c r="E239" s="1379"/>
      <c r="F239" s="1379"/>
      <c r="G239" s="1379"/>
      <c r="H239" s="1380"/>
      <c r="I239" s="341" t="s">
        <v>315</v>
      </c>
      <c r="J239" s="342"/>
      <c r="K239" s="444">
        <f>K237+K238+K236</f>
        <v>0</v>
      </c>
      <c r="L239" s="342"/>
      <c r="M239" s="444">
        <f t="shared" ref="M239" si="1005">M237+M238+M236</f>
        <v>0</v>
      </c>
      <c r="N239" s="342"/>
      <c r="O239" s="444">
        <f>O237+O238+O236</f>
        <v>0</v>
      </c>
      <c r="P239" s="342"/>
      <c r="Q239" s="444">
        <f t="shared" ref="Q239" si="1006">Q237+Q238+Q236</f>
        <v>0</v>
      </c>
      <c r="R239" s="342"/>
      <c r="S239" s="444">
        <f>S237+S238+S236</f>
        <v>0</v>
      </c>
      <c r="T239" s="342"/>
      <c r="U239" s="444">
        <f t="shared" ref="U239" si="1007">U237+U238+U236</f>
        <v>0</v>
      </c>
      <c r="V239" s="342"/>
      <c r="W239" s="444">
        <f>W237+W238+W236</f>
        <v>0</v>
      </c>
      <c r="X239" s="342"/>
      <c r="Y239" s="444">
        <f t="shared" ref="Y239" si="1008">Y237+Y238+Y236</f>
        <v>0</v>
      </c>
      <c r="Z239" s="342"/>
      <c r="AA239" s="444">
        <f>AA237+AA238+AA236</f>
        <v>0</v>
      </c>
      <c r="AB239" s="342"/>
      <c r="AC239" s="444">
        <f t="shared" ref="AC239" si="1009">AC237+AC238+AC236</f>
        <v>0</v>
      </c>
      <c r="AD239" s="335">
        <f t="shared" si="754"/>
        <v>0</v>
      </c>
      <c r="AE239" s="1152"/>
      <c r="AF239" s="1152"/>
      <c r="AG239" s="1152"/>
      <c r="AH239" s="1152"/>
      <c r="AI239" s="1152"/>
      <c r="AJ239" s="1152"/>
      <c r="AK239" s="1152"/>
      <c r="AL239" s="1152"/>
      <c r="AM239" s="1152"/>
      <c r="AN239" s="1152"/>
      <c r="AO239" s="1152"/>
      <c r="AP239" s="1152"/>
      <c r="AQ239" s="1152"/>
      <c r="AR239" s="1152"/>
      <c r="AS239" s="1152"/>
      <c r="AT239" s="1152"/>
      <c r="AU239" s="1152"/>
      <c r="AV239" s="1152"/>
      <c r="AW239" s="1152"/>
      <c r="AX239" s="1152"/>
      <c r="AY239" s="1152"/>
      <c r="AZ239" s="1152"/>
      <c r="BA239" s="1152"/>
      <c r="BB239" s="1152"/>
      <c r="BC239" s="1152"/>
      <c r="BD239" s="1152"/>
    </row>
    <row r="240" spans="1:56" hidden="1" outlineLevel="1" x14ac:dyDescent="0.3">
      <c r="A240" s="1182"/>
      <c r="B240" s="1379"/>
      <c r="C240" s="1379"/>
      <c r="D240" s="1379"/>
      <c r="E240" s="1379"/>
      <c r="F240" s="1379"/>
      <c r="G240" s="1379"/>
      <c r="H240" s="1380"/>
      <c r="I240" s="336" t="s">
        <v>316</v>
      </c>
      <c r="J240" s="339">
        <f>_xlfn.IFNA(_xlfn.IFNA(VLOOKUP(pStartYear,tbPayrollTax,2,FALSE),vl_MaxPayrollTax),0)</f>
        <v>5.8500000000000003E-2</v>
      </c>
      <c r="K240" s="443">
        <f>J240*K239</f>
        <v>0</v>
      </c>
      <c r="L240" s="340">
        <f>_xlfn.IFNA(_xlfn.IFNA(VLOOKUP(pStartYear+1,tbPayrollTax,2,FALSE),vl_MaxPayrollTax),0)</f>
        <v>5.8500000000000003E-2</v>
      </c>
      <c r="M240" s="451">
        <f t="shared" ref="M240" si="1010">L240*M239</f>
        <v>0</v>
      </c>
      <c r="N240" s="339">
        <f>_xlfn.IFNA(_xlfn.IFNA(VLOOKUP(pStartYear+2,tbPayrollTax,2,FALSE),vl_MaxPayrollTax),0)</f>
        <v>5.8500000000000003E-2</v>
      </c>
      <c r="O240" s="443">
        <f>N240*O239</f>
        <v>0</v>
      </c>
      <c r="P240" s="340">
        <f>_xlfn.IFNA(_xlfn.IFNA(VLOOKUP(pStartYear+3,tbPayrollTax,2,FALSE),vl_MaxPayrollTax),0)</f>
        <v>5.8500000000000003E-2</v>
      </c>
      <c r="Q240" s="451">
        <f t="shared" ref="Q240" si="1011">P240*Q239</f>
        <v>0</v>
      </c>
      <c r="R240" s="339">
        <f>_xlfn.IFNA(_xlfn.IFNA(VLOOKUP(pStartYear+4,tbPayrollTax,2,FALSE),vl_MaxPayrollTax),0)</f>
        <v>5.8500000000000003E-2</v>
      </c>
      <c r="S240" s="443">
        <f>R240*S239</f>
        <v>0</v>
      </c>
      <c r="T240" s="340">
        <f>_xlfn.IFNA(_xlfn.IFNA(VLOOKUP(pStartYear+5,tbPayrollTax,2,FALSE),vl_MaxPayrollTax),0)</f>
        <v>5.8500000000000003E-2</v>
      </c>
      <c r="U240" s="451">
        <f t="shared" ref="U240" si="1012">T240*U239</f>
        <v>0</v>
      </c>
      <c r="V240" s="339">
        <f>_xlfn.IFNA(_xlfn.IFNA(VLOOKUP(pStartYear+6,tbPayrollTax,2,FALSE),vl_MaxPayrollTax),0)</f>
        <v>5.8500000000000003E-2</v>
      </c>
      <c r="W240" s="443">
        <f>V240*W239</f>
        <v>0</v>
      </c>
      <c r="X240" s="340">
        <f>_xlfn.IFNA(_xlfn.IFNA(VLOOKUP(pStartYear+7,tbPayrollTax,2,FALSE),vl_MaxPayrollTax),0)</f>
        <v>5.8500000000000003E-2</v>
      </c>
      <c r="Y240" s="451">
        <f t="shared" ref="Y240" si="1013">X240*Y239</f>
        <v>0</v>
      </c>
      <c r="Z240" s="339">
        <f>_xlfn.IFNA(_xlfn.IFNA(VLOOKUP(pStartYear+8,tbPayrollTax,2,FALSE),vl_MaxPayrollTax),0)</f>
        <v>5.8500000000000003E-2</v>
      </c>
      <c r="AA240" s="443">
        <f>Z240*AA239</f>
        <v>0</v>
      </c>
      <c r="AB240" s="340">
        <f>_xlfn.IFNA(_xlfn.IFNA(VLOOKUP(pStartYear+9,tbPayrollTax,2,FALSE),vl_MaxPayrollTax),0)</f>
        <v>5.8500000000000003E-2</v>
      </c>
      <c r="AC240" s="451">
        <f t="shared" ref="AC240" si="1014">AB240*AC239</f>
        <v>0</v>
      </c>
      <c r="AD240" s="335"/>
      <c r="AE240" s="1152"/>
      <c r="AF240" s="1152"/>
      <c r="AG240" s="1152"/>
      <c r="AH240" s="1152"/>
      <c r="AI240" s="1152"/>
      <c r="AJ240" s="1152"/>
      <c r="AK240" s="1152"/>
      <c r="AL240" s="1152"/>
      <c r="AM240" s="1152"/>
      <c r="AN240" s="1152"/>
      <c r="AO240" s="1152"/>
      <c r="AP240" s="1152"/>
      <c r="AQ240" s="1152"/>
      <c r="AR240" s="1152"/>
      <c r="AS240" s="1152"/>
      <c r="AT240" s="1152"/>
      <c r="AU240" s="1152"/>
      <c r="AV240" s="1152"/>
      <c r="AW240" s="1152"/>
      <c r="AX240" s="1152"/>
      <c r="AY240" s="1152"/>
      <c r="AZ240" s="1152"/>
      <c r="BA240" s="1152"/>
      <c r="BB240" s="1152"/>
      <c r="BC240" s="1152"/>
      <c r="BD240" s="1152"/>
    </row>
    <row r="241" spans="1:56" hidden="1" outlineLevel="1" x14ac:dyDescent="0.3">
      <c r="A241" s="1182"/>
      <c r="B241" s="1379"/>
      <c r="C241" s="1379"/>
      <c r="D241" s="1379"/>
      <c r="E241" s="1379"/>
      <c r="F241" s="1379"/>
      <c r="G241" s="1379"/>
      <c r="H241" s="1380"/>
      <c r="I241" s="336" t="s">
        <v>317</v>
      </c>
      <c r="J241" s="339">
        <f>_xlfn.IFNA(VLOOKUP($D235,tbWorkCover,2,FALSE),0)</f>
        <v>0</v>
      </c>
      <c r="K241" s="443">
        <f>J241*K239</f>
        <v>0</v>
      </c>
      <c r="L241" s="340">
        <f>_xlfn.IFNA(VLOOKUP($D235,tbWorkCover,2,FALSE),0)</f>
        <v>0</v>
      </c>
      <c r="M241" s="451">
        <f t="shared" ref="M241" si="1015">L241*M239</f>
        <v>0</v>
      </c>
      <c r="N241" s="339">
        <f>_xlfn.IFNA(VLOOKUP($D235,tbWorkCover,2,FALSE),0)</f>
        <v>0</v>
      </c>
      <c r="O241" s="443">
        <f>N241*O239</f>
        <v>0</v>
      </c>
      <c r="P241" s="340">
        <f>_xlfn.IFNA(VLOOKUP($D235,tbWorkCover,2,FALSE),0)</f>
        <v>0</v>
      </c>
      <c r="Q241" s="451">
        <f t="shared" ref="Q241" si="1016">P241*Q239</f>
        <v>0</v>
      </c>
      <c r="R241" s="339">
        <f>_xlfn.IFNA(VLOOKUP($D235,tbWorkCover,2,FALSE),0)</f>
        <v>0</v>
      </c>
      <c r="S241" s="443">
        <f>R241*S239</f>
        <v>0</v>
      </c>
      <c r="T241" s="340">
        <f>_xlfn.IFNA(VLOOKUP($D235,tbWorkCover,2,FALSE),0)</f>
        <v>0</v>
      </c>
      <c r="U241" s="451">
        <f t="shared" ref="U241" si="1017">T241*U239</f>
        <v>0</v>
      </c>
      <c r="V241" s="339">
        <f>_xlfn.IFNA(VLOOKUP($D235,tbWorkCover,2,FALSE),0)</f>
        <v>0</v>
      </c>
      <c r="W241" s="443">
        <f>V241*W239</f>
        <v>0</v>
      </c>
      <c r="X241" s="340">
        <f>_xlfn.IFNA(VLOOKUP($D235,tbWorkCover,2,FALSE),0)</f>
        <v>0</v>
      </c>
      <c r="Y241" s="451">
        <f t="shared" ref="Y241" si="1018">X241*Y239</f>
        <v>0</v>
      </c>
      <c r="Z241" s="339">
        <f>_xlfn.IFNA(VLOOKUP($D235,tbWorkCover,2,FALSE),0)</f>
        <v>0</v>
      </c>
      <c r="AA241" s="443">
        <f>Z241*AA239</f>
        <v>0</v>
      </c>
      <c r="AB241" s="340">
        <f>_xlfn.IFNA(VLOOKUP($D235,tbWorkCover,2,FALSE),0)</f>
        <v>0</v>
      </c>
      <c r="AC241" s="451">
        <f t="shared" ref="AC241" si="1019">AB241*AC239</f>
        <v>0</v>
      </c>
      <c r="AD241" s="335"/>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row>
    <row r="242" spans="1:56" hidden="1" outlineLevel="1" x14ac:dyDescent="0.3">
      <c r="A242" s="1182"/>
      <c r="B242" s="1379"/>
      <c r="C242" s="1379"/>
      <c r="D242" s="1379"/>
      <c r="E242" s="1379"/>
      <c r="F242" s="1379"/>
      <c r="G242" s="1379"/>
      <c r="H242" s="1380"/>
      <c r="I242" s="336" t="s">
        <v>318</v>
      </c>
      <c r="J242" s="339">
        <f>_xlfn.IFNA(VLOOKUP($D235,tbLongServiceLeave,2,FALSE),0)</f>
        <v>0</v>
      </c>
      <c r="K242" s="443">
        <f>J242*K236</f>
        <v>0</v>
      </c>
      <c r="L242" s="340">
        <f>_xlfn.IFNA(VLOOKUP($D235,tbLongServiceLeave,2,FALSE),0)</f>
        <v>0</v>
      </c>
      <c r="M242" s="451">
        <f t="shared" ref="M242" si="1020">L242*M236</f>
        <v>0</v>
      </c>
      <c r="N242" s="339">
        <f>_xlfn.IFNA(VLOOKUP($D235,tbLongServiceLeave,2,FALSE),0)</f>
        <v>0</v>
      </c>
      <c r="O242" s="443">
        <f>N242*O236</f>
        <v>0</v>
      </c>
      <c r="P242" s="340">
        <f>_xlfn.IFNA(VLOOKUP($D235,tbLongServiceLeave,2,FALSE),0)</f>
        <v>0</v>
      </c>
      <c r="Q242" s="451">
        <f t="shared" ref="Q242" si="1021">P242*Q236</f>
        <v>0</v>
      </c>
      <c r="R242" s="339">
        <f>_xlfn.IFNA(VLOOKUP($D235,tbLongServiceLeave,2,FALSE),0)</f>
        <v>0</v>
      </c>
      <c r="S242" s="443">
        <f>R242*S236</f>
        <v>0</v>
      </c>
      <c r="T242" s="340">
        <f>_xlfn.IFNA(VLOOKUP($D235,tbLongServiceLeave,2,FALSE),0)</f>
        <v>0</v>
      </c>
      <c r="U242" s="451">
        <f t="shared" ref="U242" si="1022">T242*U236</f>
        <v>0</v>
      </c>
      <c r="V242" s="339">
        <f>_xlfn.IFNA(VLOOKUP($D235,tbLongServiceLeave,2,FALSE),0)</f>
        <v>0</v>
      </c>
      <c r="W242" s="443">
        <f>V242*W236</f>
        <v>0</v>
      </c>
      <c r="X242" s="340">
        <f>_xlfn.IFNA(VLOOKUP($D235,tbLongServiceLeave,2,FALSE),0)</f>
        <v>0</v>
      </c>
      <c r="Y242" s="451">
        <f t="shared" ref="Y242" si="1023">X242*Y236</f>
        <v>0</v>
      </c>
      <c r="Z242" s="339">
        <f>_xlfn.IFNA(VLOOKUP($D235,tbLongServiceLeave,2,FALSE),0)</f>
        <v>0</v>
      </c>
      <c r="AA242" s="443">
        <f>Z242*AA236</f>
        <v>0</v>
      </c>
      <c r="AB242" s="340">
        <f>_xlfn.IFNA(VLOOKUP($D235,tbLongServiceLeave,2,FALSE),0)</f>
        <v>0</v>
      </c>
      <c r="AC242" s="451">
        <f t="shared" ref="AC242" si="1024">AB242*AC236</f>
        <v>0</v>
      </c>
      <c r="AD242" s="335"/>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row>
    <row r="243" spans="1:56" hidden="1" outlineLevel="1" x14ac:dyDescent="0.3">
      <c r="A243" s="1182"/>
      <c r="B243" s="1379"/>
      <c r="C243" s="1379"/>
      <c r="D243" s="1379"/>
      <c r="E243" s="1379"/>
      <c r="F243" s="1379"/>
      <c r="G243" s="1379"/>
      <c r="H243" s="1380"/>
      <c r="I243" s="336" t="s">
        <v>319</v>
      </c>
      <c r="J243" s="339">
        <f>_xlfn.IFNA(VLOOKUP($D235,tbParentalLeave,2,FALSE),0)</f>
        <v>0</v>
      </c>
      <c r="K243" s="443">
        <f>J243*K236</f>
        <v>0</v>
      </c>
      <c r="L243" s="340">
        <f>_xlfn.IFNA(VLOOKUP($D235,tbParentalLeave,2,FALSE),0)</f>
        <v>0</v>
      </c>
      <c r="M243" s="451">
        <f t="shared" ref="M243" si="1025">L243*M236</f>
        <v>0</v>
      </c>
      <c r="N243" s="339">
        <f>_xlfn.IFNA(VLOOKUP($D235,tbParentalLeave,2,FALSE),0)</f>
        <v>0</v>
      </c>
      <c r="O243" s="443">
        <f>N243*O236</f>
        <v>0</v>
      </c>
      <c r="P243" s="340">
        <f>_xlfn.IFNA(VLOOKUP($D235,tbParentalLeave,2,FALSE),0)</f>
        <v>0</v>
      </c>
      <c r="Q243" s="451">
        <f t="shared" ref="Q243" si="1026">P243*Q236</f>
        <v>0</v>
      </c>
      <c r="R243" s="339">
        <f>_xlfn.IFNA(VLOOKUP($D235,tbParentalLeave,2,FALSE),0)</f>
        <v>0</v>
      </c>
      <c r="S243" s="443">
        <f>R243*S236</f>
        <v>0</v>
      </c>
      <c r="T243" s="340">
        <f>_xlfn.IFNA(VLOOKUP($D235,tbParentalLeave,2,FALSE),0)</f>
        <v>0</v>
      </c>
      <c r="U243" s="451">
        <f t="shared" ref="U243" si="1027">T243*U236</f>
        <v>0</v>
      </c>
      <c r="V243" s="339">
        <f>_xlfn.IFNA(VLOOKUP($D235,tbParentalLeave,2,FALSE),0)</f>
        <v>0</v>
      </c>
      <c r="W243" s="443">
        <f>V243*W236</f>
        <v>0</v>
      </c>
      <c r="X243" s="340">
        <f>_xlfn.IFNA(VLOOKUP($D235,tbParentalLeave,2,FALSE),0)</f>
        <v>0</v>
      </c>
      <c r="Y243" s="451">
        <f t="shared" ref="Y243" si="1028">X243*Y236</f>
        <v>0</v>
      </c>
      <c r="Z243" s="339">
        <f>_xlfn.IFNA(VLOOKUP($D235,tbParentalLeave,2,FALSE),0)</f>
        <v>0</v>
      </c>
      <c r="AA243" s="443">
        <f>Z243*AA236</f>
        <v>0</v>
      </c>
      <c r="AB243" s="340">
        <f>_xlfn.IFNA(VLOOKUP($D235,tbParentalLeave,2,FALSE),0)</f>
        <v>0</v>
      </c>
      <c r="AC243" s="451">
        <f t="shared" ref="AC243" si="1029">AB243*AC236</f>
        <v>0</v>
      </c>
      <c r="AD243" s="335"/>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row>
    <row r="244" spans="1:56" hidden="1" outlineLevel="1" x14ac:dyDescent="0.3">
      <c r="A244" s="1182"/>
      <c r="B244" s="1379"/>
      <c r="C244" s="1379"/>
      <c r="D244" s="1379"/>
      <c r="E244" s="1379"/>
      <c r="F244" s="1379"/>
      <c r="G244" s="1379"/>
      <c r="H244" s="1380"/>
      <c r="I244" s="437" t="s">
        <v>320</v>
      </c>
      <c r="J244" s="438">
        <f>vl_overridden_uom_oncosts_per</f>
        <v>0</v>
      </c>
      <c r="K244" s="445">
        <f>J244*K236</f>
        <v>0</v>
      </c>
      <c r="L244" s="438">
        <f>vl_overridden_uom_oncosts_per</f>
        <v>0</v>
      </c>
      <c r="M244" s="445">
        <f>L244*M236</f>
        <v>0</v>
      </c>
      <c r="N244" s="438">
        <f>vl_overridden_uom_oncosts_per</f>
        <v>0</v>
      </c>
      <c r="O244" s="445">
        <f t="shared" ref="O244" si="1030">N244*O236</f>
        <v>0</v>
      </c>
      <c r="P244" s="438">
        <f>vl_overridden_uom_oncosts_per</f>
        <v>0</v>
      </c>
      <c r="Q244" s="445">
        <f t="shared" ref="Q244" si="1031">P244*Q236</f>
        <v>0</v>
      </c>
      <c r="R244" s="438">
        <f>vl_overridden_uom_oncosts_per</f>
        <v>0</v>
      </c>
      <c r="S244" s="445">
        <f t="shared" ref="S244" si="1032">R244*S236</f>
        <v>0</v>
      </c>
      <c r="T244" s="438">
        <f>vl_overridden_uom_oncosts_per</f>
        <v>0</v>
      </c>
      <c r="U244" s="445">
        <f t="shared" ref="U244" si="1033">T244*U236</f>
        <v>0</v>
      </c>
      <c r="V244" s="438">
        <f>vl_overridden_uom_oncosts_per</f>
        <v>0</v>
      </c>
      <c r="W244" s="445">
        <f t="shared" ref="W244" si="1034">V244*W236</f>
        <v>0</v>
      </c>
      <c r="X244" s="438">
        <f>vl_overridden_uom_oncosts_per</f>
        <v>0</v>
      </c>
      <c r="Y244" s="445">
        <f t="shared" ref="Y244" si="1035">X244*Y236</f>
        <v>0</v>
      </c>
      <c r="Z244" s="438">
        <f>vl_overridden_uom_oncosts_per</f>
        <v>0</v>
      </c>
      <c r="AA244" s="445">
        <f t="shared" ref="AA244" si="1036">Z244*AA236</f>
        <v>0</v>
      </c>
      <c r="AB244" s="438">
        <f>vl_overridden_uom_oncosts_per</f>
        <v>0</v>
      </c>
      <c r="AC244" s="445">
        <f t="shared" ref="AC244" si="1037">AB244*AC236</f>
        <v>0</v>
      </c>
      <c r="AD244" s="335"/>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row>
    <row r="245" spans="1:56" hidden="1" outlineLevel="1" x14ac:dyDescent="0.3">
      <c r="A245" s="1182"/>
      <c r="B245" s="1379"/>
      <c r="C245" s="1379"/>
      <c r="D245" s="1379"/>
      <c r="E245" s="1379"/>
      <c r="F245" s="1379"/>
      <c r="G245" s="1379"/>
      <c r="H245" s="1380"/>
      <c r="I245" s="341" t="s">
        <v>321</v>
      </c>
      <c r="J245" s="342"/>
      <c r="K245" s="444">
        <f>SUM(K239:K244)</f>
        <v>0</v>
      </c>
      <c r="L245" s="342"/>
      <c r="M245" s="444">
        <f t="shared" ref="M245" si="1038">SUM(M239:M244)</f>
        <v>0</v>
      </c>
      <c r="N245" s="342"/>
      <c r="O245" s="444">
        <f t="shared" ref="O245" si="1039">SUM(O239:O244)</f>
        <v>0</v>
      </c>
      <c r="P245" s="342"/>
      <c r="Q245" s="444">
        <f t="shared" ref="Q245" si="1040">SUM(Q239:Q244)</f>
        <v>0</v>
      </c>
      <c r="R245" s="342"/>
      <c r="S245" s="444">
        <f t="shared" ref="S245" si="1041">SUM(S239:S244)</f>
        <v>0</v>
      </c>
      <c r="T245" s="342"/>
      <c r="U245" s="444">
        <f t="shared" ref="U245" si="1042">SUM(U239:U244)</f>
        <v>0</v>
      </c>
      <c r="V245" s="342"/>
      <c r="W245" s="444">
        <f t="shared" ref="W245" si="1043">SUM(W239:W244)</f>
        <v>0</v>
      </c>
      <c r="X245" s="342"/>
      <c r="Y245" s="444">
        <f t="shared" ref="Y245" si="1044">SUM(Y239:Y244)</f>
        <v>0</v>
      </c>
      <c r="Z245" s="342"/>
      <c r="AA245" s="444">
        <f t="shared" ref="AA245" si="1045">SUM(AA239:AA244)</f>
        <v>0</v>
      </c>
      <c r="AB245" s="342"/>
      <c r="AC245" s="444">
        <f t="shared" ref="AC245" si="1046">SUM(AC239:AC244)</f>
        <v>0</v>
      </c>
      <c r="AD245" s="335">
        <f t="shared" si="754"/>
        <v>0</v>
      </c>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row>
    <row r="246" spans="1:56" hidden="1" outlineLevel="1" x14ac:dyDescent="0.3">
      <c r="A246" s="1182"/>
      <c r="B246" s="1379"/>
      <c r="C246" s="1379"/>
      <c r="D246" s="1379"/>
      <c r="E246" s="1379"/>
      <c r="F246" s="1379"/>
      <c r="G246" s="1379"/>
      <c r="H246" s="1380"/>
      <c r="I246" s="336" t="s">
        <v>322</v>
      </c>
      <c r="J246" s="339">
        <f>_xlfn.IFNA(VLOOKUP($D235,tbAnnualLeaveProvision,2,FALSE),0)</f>
        <v>0</v>
      </c>
      <c r="K246" s="443">
        <f>J246*K236</f>
        <v>0</v>
      </c>
      <c r="L246" s="340">
        <f>_xlfn.IFNA(VLOOKUP($D235,tbAnnualLeaveProvision,2,FALSE),0)</f>
        <v>0</v>
      </c>
      <c r="M246" s="451">
        <f t="shared" ref="M246" si="1047">L246*M236</f>
        <v>0</v>
      </c>
      <c r="N246" s="339">
        <f>_xlfn.IFNA(VLOOKUP($D235,tbAnnualLeaveProvision,2,FALSE),0)</f>
        <v>0</v>
      </c>
      <c r="O246" s="443">
        <f>N246*O236</f>
        <v>0</v>
      </c>
      <c r="P246" s="340">
        <f>_xlfn.IFNA(VLOOKUP($D235,tbAnnualLeaveProvision,2,FALSE),0)</f>
        <v>0</v>
      </c>
      <c r="Q246" s="451">
        <f t="shared" ref="Q246" si="1048">P246*Q236</f>
        <v>0</v>
      </c>
      <c r="R246" s="339">
        <f>_xlfn.IFNA(VLOOKUP($D235,tbAnnualLeaveProvision,2,FALSE),0)</f>
        <v>0</v>
      </c>
      <c r="S246" s="443">
        <f>R246*S236</f>
        <v>0</v>
      </c>
      <c r="T246" s="340">
        <f>_xlfn.IFNA(VLOOKUP($D235,tbAnnualLeaveProvision,2,FALSE),0)</f>
        <v>0</v>
      </c>
      <c r="U246" s="451">
        <f t="shared" ref="U246" si="1049">T246*U236</f>
        <v>0</v>
      </c>
      <c r="V246" s="339">
        <f>_xlfn.IFNA(VLOOKUP($D235,tbAnnualLeaveProvision,2,FALSE),0)</f>
        <v>0</v>
      </c>
      <c r="W246" s="443">
        <f>V246*W236</f>
        <v>0</v>
      </c>
      <c r="X246" s="340">
        <f>_xlfn.IFNA(VLOOKUP($D235,tbAnnualLeaveProvision,2,FALSE),0)</f>
        <v>0</v>
      </c>
      <c r="Y246" s="451">
        <f t="shared" ref="Y246" si="1050">X246*Y236</f>
        <v>0</v>
      </c>
      <c r="Z246" s="339">
        <f>_xlfn.IFNA(VLOOKUP($D235,tbAnnualLeaveProvision,2,FALSE),0)</f>
        <v>0</v>
      </c>
      <c r="AA246" s="443">
        <f>Z246*AA236</f>
        <v>0</v>
      </c>
      <c r="AB246" s="340">
        <f>_xlfn.IFNA(VLOOKUP($D235,tbAnnualLeaveProvision,2,FALSE),0)</f>
        <v>0</v>
      </c>
      <c r="AC246" s="451">
        <f t="shared" ref="AC246" si="1051">AB246*AC236</f>
        <v>0</v>
      </c>
      <c r="AD246" s="335"/>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row>
    <row r="247" spans="1:56" hidden="1" outlineLevel="1" x14ac:dyDescent="0.3">
      <c r="A247" s="1182"/>
      <c r="B247" s="1379"/>
      <c r="C247" s="1379"/>
      <c r="D247" s="1379"/>
      <c r="E247" s="1379"/>
      <c r="F247" s="1379"/>
      <c r="G247" s="1379"/>
      <c r="H247" s="1380"/>
      <c r="I247" s="336" t="s">
        <v>330</v>
      </c>
      <c r="J247" s="339"/>
      <c r="K247" s="446">
        <f>K245+K246</f>
        <v>0</v>
      </c>
      <c r="L247" s="340"/>
      <c r="M247" s="452">
        <f t="shared" ref="M247" si="1052">M245+M246</f>
        <v>0</v>
      </c>
      <c r="N247" s="339"/>
      <c r="O247" s="446">
        <f>O245+O246</f>
        <v>0</v>
      </c>
      <c r="P247" s="340"/>
      <c r="Q247" s="452">
        <f t="shared" ref="Q247" si="1053">Q245+Q246</f>
        <v>0</v>
      </c>
      <c r="R247" s="339"/>
      <c r="S247" s="446">
        <f>S245+S246</f>
        <v>0</v>
      </c>
      <c r="T247" s="340"/>
      <c r="U247" s="452">
        <f t="shared" ref="U247" si="1054">U245+U246</f>
        <v>0</v>
      </c>
      <c r="V247" s="339"/>
      <c r="W247" s="446">
        <f>W245+W246</f>
        <v>0</v>
      </c>
      <c r="X247" s="340"/>
      <c r="Y247" s="452">
        <f t="shared" ref="Y247" si="1055">Y245+Y246</f>
        <v>0</v>
      </c>
      <c r="Z247" s="339"/>
      <c r="AA247" s="446">
        <f>AA245+AA246</f>
        <v>0</v>
      </c>
      <c r="AB247" s="340"/>
      <c r="AC247" s="452">
        <f t="shared" ref="AC247" si="1056">AC245+AC246</f>
        <v>0</v>
      </c>
      <c r="AD247" s="335"/>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row>
    <row r="248" spans="1:56" hidden="1" outlineLevel="1" x14ac:dyDescent="0.3">
      <c r="A248" s="1182"/>
      <c r="B248" s="1379"/>
      <c r="C248" s="1379"/>
      <c r="D248" s="1379"/>
      <c r="E248" s="1379"/>
      <c r="F248" s="1379"/>
      <c r="G248" s="1379"/>
      <c r="H248" s="1380"/>
      <c r="I248" s="343" t="s">
        <v>324</v>
      </c>
      <c r="J248" s="344"/>
      <c r="K248" s="443">
        <f>IFERROR(-(K245/vl_working_days_per_year)*J248,0)</f>
        <v>0</v>
      </c>
      <c r="L248" s="345"/>
      <c r="M248" s="451">
        <f>IFERROR(-(M245/vl_working_days_per_year)*L248,0)</f>
        <v>0</v>
      </c>
      <c r="N248" s="344"/>
      <c r="O248" s="443">
        <f>-(O245/vl_working_days_per_year)*N248</f>
        <v>0</v>
      </c>
      <c r="P248" s="345"/>
      <c r="Q248" s="451">
        <f>-(Q245/vl_working_days_per_year)*P248</f>
        <v>0</v>
      </c>
      <c r="R248" s="344"/>
      <c r="S248" s="443">
        <f>-(S245/vl_working_days_per_year)*R248</f>
        <v>0</v>
      </c>
      <c r="T248" s="345"/>
      <c r="U248" s="451">
        <f>-(U245/vl_working_days_per_year)*T248</f>
        <v>0</v>
      </c>
      <c r="V248" s="344"/>
      <c r="W248" s="443">
        <f>-(W245/vl_working_days_per_year)*V248</f>
        <v>0</v>
      </c>
      <c r="X248" s="345"/>
      <c r="Y248" s="451">
        <f>-(Y245/vl_working_days_per_year)*X248</f>
        <v>0</v>
      </c>
      <c r="Z248" s="344"/>
      <c r="AA248" s="443">
        <f>-(AA245/vl_working_days_per_year)*Z248</f>
        <v>0</v>
      </c>
      <c r="AB248" s="345"/>
      <c r="AC248" s="451">
        <f>-(AC245/vl_working_days_per_year)*AB248</f>
        <v>0</v>
      </c>
      <c r="AD248" s="335">
        <f t="shared" si="754"/>
        <v>0</v>
      </c>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row>
    <row r="249" spans="1:56" hidden="1" outlineLevel="1" x14ac:dyDescent="0.3">
      <c r="A249" s="1182"/>
      <c r="B249" s="1379"/>
      <c r="C249" s="1379"/>
      <c r="D249" s="1379"/>
      <c r="E249" s="1379"/>
      <c r="F249" s="1379"/>
      <c r="G249" s="1379"/>
      <c r="H249" s="1380"/>
      <c r="I249" s="341" t="s">
        <v>325</v>
      </c>
      <c r="J249" s="346"/>
      <c r="K249" s="444">
        <f>K247+K248</f>
        <v>0</v>
      </c>
      <c r="L249" s="346"/>
      <c r="M249" s="444">
        <f t="shared" ref="M249" si="1057">M247+M248</f>
        <v>0</v>
      </c>
      <c r="N249" s="346"/>
      <c r="O249" s="444">
        <f>O247+O248</f>
        <v>0</v>
      </c>
      <c r="P249" s="346"/>
      <c r="Q249" s="444">
        <f t="shared" ref="Q249" si="1058">Q247+Q248</f>
        <v>0</v>
      </c>
      <c r="R249" s="346"/>
      <c r="S249" s="444">
        <f>S247+S248</f>
        <v>0</v>
      </c>
      <c r="T249" s="346"/>
      <c r="U249" s="444">
        <f t="shared" ref="U249" si="1059">U247+U248</f>
        <v>0</v>
      </c>
      <c r="V249" s="346"/>
      <c r="W249" s="444">
        <f>W247+W248</f>
        <v>0</v>
      </c>
      <c r="X249" s="346"/>
      <c r="Y249" s="444">
        <f t="shared" ref="Y249" si="1060">Y247+Y248</f>
        <v>0</v>
      </c>
      <c r="Z249" s="346"/>
      <c r="AA249" s="444">
        <f>AA247+AA248</f>
        <v>0</v>
      </c>
      <c r="AB249" s="346"/>
      <c r="AC249" s="444">
        <f t="shared" ref="AC249" si="1061">AC247+AC248</f>
        <v>0</v>
      </c>
      <c r="AD249" s="335">
        <f t="shared" si="754"/>
        <v>0</v>
      </c>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row>
    <row r="250" spans="1:56" s="1" customFormat="1" ht="15" hidden="1" customHeight="1" outlineLevel="1" x14ac:dyDescent="0.3">
      <c r="A250" s="727"/>
      <c r="B250" s="1379"/>
      <c r="C250" s="1379"/>
      <c r="D250" s="1379"/>
      <c r="E250" s="1379"/>
      <c r="F250" s="1379"/>
      <c r="G250" s="1379"/>
      <c r="H250" s="1380"/>
      <c r="I250" s="382" t="s">
        <v>326</v>
      </c>
      <c r="J250" s="383">
        <f>IFERROR(K250/K236,0)</f>
        <v>0</v>
      </c>
      <c r="K250" s="447">
        <f>SUM(K237:K238,K240:K243,K246)</f>
        <v>0</v>
      </c>
      <c r="L250" s="434">
        <f>IFERROR(M250/M236,0)</f>
        <v>0</v>
      </c>
      <c r="M250" s="453">
        <f t="shared" ref="M250" si="1062">SUM(M237:M238,M240:M243,M246)</f>
        <v>0</v>
      </c>
      <c r="N250" s="383">
        <f t="shared" ref="N250" si="1063">IFERROR(O250/O236,0)</f>
        <v>0</v>
      </c>
      <c r="O250" s="447">
        <f t="shared" ref="O250" si="1064">SUM(O237:O238,O240:O243,O246)</f>
        <v>0</v>
      </c>
      <c r="P250" s="434">
        <f t="shared" ref="P250" si="1065">IFERROR(Q250/Q236,0)</f>
        <v>0</v>
      </c>
      <c r="Q250" s="453">
        <f t="shared" ref="Q250" si="1066">SUM(Q237:Q238,Q240:Q243,Q246)</f>
        <v>0</v>
      </c>
      <c r="R250" s="383">
        <f t="shared" ref="R250" si="1067">IFERROR(S250/S236,0)</f>
        <v>0</v>
      </c>
      <c r="S250" s="447">
        <f t="shared" ref="S250" si="1068">SUM(S237:S238,S240:S243,S246)</f>
        <v>0</v>
      </c>
      <c r="T250" s="434">
        <f t="shared" ref="T250" si="1069">IFERROR(U250/U236,0)</f>
        <v>0</v>
      </c>
      <c r="U250" s="453">
        <f t="shared" ref="U250" si="1070">SUM(U237:U238,U240:U243,U246)</f>
        <v>0</v>
      </c>
      <c r="V250" s="383">
        <f t="shared" ref="V250" si="1071">IFERROR(W250/W236,0)</f>
        <v>0</v>
      </c>
      <c r="W250" s="447">
        <f t="shared" ref="W250" si="1072">SUM(W237:W238,W240:W243,W246)</f>
        <v>0</v>
      </c>
      <c r="X250" s="434">
        <f t="shared" ref="X250" si="1073">IFERROR(Y250/Y236,0)</f>
        <v>0</v>
      </c>
      <c r="Y250" s="453">
        <f t="shared" ref="Y250" si="1074">SUM(Y237:Y238,Y240:Y243,Y246)</f>
        <v>0</v>
      </c>
      <c r="Z250" s="383">
        <f t="shared" ref="Z250" si="1075">IFERROR(AA250/AA236,0)</f>
        <v>0</v>
      </c>
      <c r="AA250" s="447">
        <f t="shared" ref="AA250" si="1076">SUM(AA237:AA238,AA240:AA243,AA246)</f>
        <v>0</v>
      </c>
      <c r="AB250" s="434">
        <f t="shared" ref="AB250" si="1077">IFERROR(AC250/AC236,0)</f>
        <v>0</v>
      </c>
      <c r="AC250" s="453">
        <f t="shared" ref="AC250" si="1078">SUM(AC237:AC238,AC240:AC243,AC246)</f>
        <v>0</v>
      </c>
      <c r="AD250" s="377">
        <f t="shared" si="754"/>
        <v>0</v>
      </c>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row>
    <row r="251" spans="1:56" hidden="1" outlineLevel="1" x14ac:dyDescent="0.3">
      <c r="A251" s="1182"/>
      <c r="B251" s="1379"/>
      <c r="C251" s="1379"/>
      <c r="D251" s="1379"/>
      <c r="E251" s="1379"/>
      <c r="F251" s="1379"/>
      <c r="G251" s="1379"/>
      <c r="H251" s="1380"/>
      <c r="I251" s="382" t="s">
        <v>327</v>
      </c>
      <c r="J251" s="384">
        <f>pCRSalaries</f>
        <v>2.5</v>
      </c>
      <c r="K251" s="447"/>
      <c r="L251" s="435">
        <f>pCRSalaries</f>
        <v>2.5</v>
      </c>
      <c r="M251" s="453"/>
      <c r="N251" s="384">
        <f>pCRSalaries</f>
        <v>2.5</v>
      </c>
      <c r="O251" s="447"/>
      <c r="P251" s="435">
        <f>pCRSalaries</f>
        <v>2.5</v>
      </c>
      <c r="Q251" s="453"/>
      <c r="R251" s="384">
        <f>pCRSalaries</f>
        <v>2.5</v>
      </c>
      <c r="S251" s="447"/>
      <c r="T251" s="435">
        <f>pCRSalaries</f>
        <v>2.5</v>
      </c>
      <c r="U251" s="453"/>
      <c r="V251" s="384">
        <f>pCRSalaries</f>
        <v>2.5</v>
      </c>
      <c r="W251" s="447"/>
      <c r="X251" s="435">
        <f>pCRSalaries</f>
        <v>2.5</v>
      </c>
      <c r="Y251" s="453"/>
      <c r="Z251" s="384">
        <f>pCRSalaries</f>
        <v>2.5</v>
      </c>
      <c r="AA251" s="447"/>
      <c r="AB251" s="435">
        <f>pCRSalaries</f>
        <v>2.5</v>
      </c>
      <c r="AC251" s="453"/>
      <c r="AD251" s="335"/>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row>
    <row r="252" spans="1:56" ht="16.2" hidden="1" outlineLevel="1" thickBot="1" x14ac:dyDescent="0.35">
      <c r="A252" s="1182"/>
      <c r="B252" s="710"/>
      <c r="C252" s="347"/>
      <c r="D252" s="347"/>
      <c r="E252" s="347"/>
      <c r="F252" s="347"/>
      <c r="G252" s="347"/>
      <c r="H252" s="347"/>
      <c r="I252" s="436" t="s">
        <v>329</v>
      </c>
      <c r="J252" s="348"/>
      <c r="K252" s="448">
        <f>J251*K247</f>
        <v>0</v>
      </c>
      <c r="L252" s="348"/>
      <c r="M252" s="448">
        <f t="shared" ref="M252" si="1079">L251*M247</f>
        <v>0</v>
      </c>
      <c r="N252" s="348"/>
      <c r="O252" s="448">
        <f>N251*O247</f>
        <v>0</v>
      </c>
      <c r="P252" s="348"/>
      <c r="Q252" s="448">
        <f t="shared" ref="Q252" si="1080">P251*Q247</f>
        <v>0</v>
      </c>
      <c r="R252" s="348"/>
      <c r="S252" s="448">
        <f>R251*S247</f>
        <v>0</v>
      </c>
      <c r="T252" s="348"/>
      <c r="U252" s="448">
        <f t="shared" ref="U252" si="1081">T251*U247</f>
        <v>0</v>
      </c>
      <c r="V252" s="348"/>
      <c r="W252" s="448">
        <f>V251*W247</f>
        <v>0</v>
      </c>
      <c r="X252" s="348"/>
      <c r="Y252" s="448">
        <f t="shared" ref="Y252" si="1082">X251*Y247</f>
        <v>0</v>
      </c>
      <c r="Z252" s="348"/>
      <c r="AA252" s="448">
        <f>Z251*AA247</f>
        <v>0</v>
      </c>
      <c r="AB252" s="348"/>
      <c r="AC252" s="448">
        <f t="shared" ref="AC252" si="1083">AB251*AC247</f>
        <v>0</v>
      </c>
      <c r="AD252" s="335">
        <f t="shared" si="754"/>
        <v>0</v>
      </c>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row>
    <row r="253" spans="1:56" ht="15" hidden="1" outlineLevel="1" thickBot="1" x14ac:dyDescent="0.35">
      <c r="A253" s="1182"/>
      <c r="B253" s="1181"/>
      <c r="C253" s="1181"/>
      <c r="D253" s="1181"/>
      <c r="E253" s="1181"/>
      <c r="F253" s="1181"/>
      <c r="G253" s="1181"/>
      <c r="H253" s="1181"/>
      <c r="I253" s="350"/>
      <c r="J253" s="351"/>
      <c r="K253" s="351"/>
      <c r="L253" s="351"/>
      <c r="M253" s="352"/>
      <c r="N253" s="351"/>
      <c r="O253" s="352"/>
      <c r="P253" s="351"/>
      <c r="Q253" s="352"/>
      <c r="R253" s="351"/>
      <c r="S253" s="352"/>
      <c r="T253" s="351"/>
      <c r="U253" s="352"/>
      <c r="V253" s="351"/>
      <c r="W253" s="352"/>
      <c r="X253" s="351"/>
      <c r="Y253" s="352"/>
      <c r="Z253" s="351"/>
      <c r="AA253" s="352"/>
      <c r="AB253" s="351"/>
      <c r="AC253" s="352"/>
      <c r="AD253" s="353" t="str">
        <f>IF(tbBudgetCurrency="AUD - Australian Dollar","",IFERROR(K253+M253+O253+Q253+S253+U253+W253+Y253+AA253+AC253,0))</f>
        <v/>
      </c>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row>
    <row r="254" spans="1:56" hidden="1" outlineLevel="1" x14ac:dyDescent="0.3">
      <c r="A254" s="1182"/>
      <c r="B254" s="356" t="str">
        <f>IF('PART B Staff Costs'!B34="","",'PART B Staff Costs'!B34)</f>
        <v/>
      </c>
      <c r="C254" s="355" t="str">
        <f>IF('PART B Staff Costs'!C34="","",'PART B Staff Costs'!C34)</f>
        <v xml:space="preserve"> </v>
      </c>
      <c r="D254" s="355" t="str">
        <f>IF('PART B Staff Costs'!D34="","",'PART B Staff Costs'!D34)</f>
        <v/>
      </c>
      <c r="E254" s="355" t="str">
        <f>IF('PART B Staff Costs'!E34="","",'PART B Staff Costs'!E34)</f>
        <v/>
      </c>
      <c r="F254" s="355" t="str">
        <f>IF('PART B Staff Costs'!F34="","",'PART B Staff Costs'!F34)</f>
        <v/>
      </c>
      <c r="G254" s="355" t="str">
        <f>IF('PART B Staff Costs'!G34="","",'PART B Staff Costs'!G34)</f>
        <v/>
      </c>
      <c r="H254" s="332" t="str">
        <f t="shared" ref="H254" si="1084">CONCATENATE(IF(D254=0,"",D254)," ",IF(E254=0,"",E254)," ",IF(F254=0,"",F254),,IF(OR(G254=0,G254=""),"",CONCATENATE(" (",G254,")")))</f>
        <v xml:space="preserve">  </v>
      </c>
      <c r="I254" s="332" t="s">
        <v>313</v>
      </c>
      <c r="J254" s="333">
        <f>_xlfn.IFNA('PART B Staff Costs'!H34*'PART B Staff Costs'!J$10,0)*new_xrate</f>
        <v>0</v>
      </c>
      <c r="K254" s="441"/>
      <c r="L254" s="334">
        <f>_xlfn.IFNA(IF(pStartYear+1&gt;pEndYear,0,VLOOKUP(CONCATENATE(
IF(OR($D254="Continuing",$D254="Fixed-Term"),"Fortnight",IF($D254="Casual","Casual",)),
$E254,
IF(OR($D254="Continuing",$D254="Fixed-Term"),
IF(LEFT($F254,6)="UOM 10","UOM 10",(LEFT($F254,LEN($F254)-1)&amp;MIN(RIGHT($F254,1)+COUNTIFS($J255:K255,"&gt;0")/2,VLOOKUP(LEFT($F254,LEN($F254)-2),tSalaryMax,2,FALSE)))),
IF($D254="Casual",
$F254,))
),tSalaryRate,5,FALSE)*VLOOKUP($G254,tSalaryRateMultiplier,2,FALSE)*'PART B Staff Costs'!L$10),0)*new_xrate</f>
        <v>0</v>
      </c>
      <c r="M254" s="449"/>
      <c r="N254" s="333">
        <f>_xlfn.IFNA(IF(pStartYear+2&gt;pEndYear,0,VLOOKUP(CONCATENATE(
IF(OR($D254="Continuing",$D254="Fixed-Term"),"Fortnight",IF($D254="Casual","Casual",)),
$E254,
IF(OR($D254="Continuing",$D254="Fixed-Term"),
IF(LEFT($F254,6)="UOM 10","UOM 10",(LEFT($F254,LEN($F254)-1)&amp;MIN(RIGHT($F254,1)+COUNTIFS($J255:M255,"&gt;0")/2,VLOOKUP(LEFT($F254,LEN($F254)-2),tSalaryMax,2,FALSE)))),
IF($D254="Casual",
$F254,))
),tSalaryRate,5,FALSE)*VLOOKUP($G254,tSalaryRateMultiplier,2,FALSE)*'PART B Staff Costs'!N$10),0)*new_xrate</f>
        <v>0</v>
      </c>
      <c r="O254" s="441"/>
      <c r="P254" s="334">
        <f>_xlfn.IFNA(IF(pStartYear+3&gt;pEndYear,0,VLOOKUP(CONCATENATE(
IF(OR($D254="Continuing",$D254="Fixed-Term"),"Fortnight",IF($D254="Casual","Casual",)),
$E254,
IF(OR($D254="Continuing",$D254="Fixed-Term"),
IF(LEFT($F254,6)="UOM 10","UOM 10",(LEFT($F254,LEN($F254)-1)&amp;MIN(RIGHT($F254,1)+COUNTIFS($J255:O255,"&gt;0")/2,VLOOKUP(LEFT($F254,LEN($F254)-2),tSalaryMax,2,FALSE)))),
IF($D254="Casual",
$F254,))
),tSalaryRate,5,FALSE)*VLOOKUP($G254,tSalaryRateMultiplier,2,FALSE)*'PART B Staff Costs'!P$10),0)*new_xrate</f>
        <v>0</v>
      </c>
      <c r="Q254" s="449"/>
      <c r="R254" s="333">
        <f>_xlfn.IFNA(IF(pStartYear+4&gt;pEndYear,0,VLOOKUP(CONCATENATE(
IF(OR($D254="Continuing",$D254="Fixed-Term"),"Fortnight",IF($D254="Casual","Casual",)),
$E254,
IF(OR($D254="Continuing",$D254="Fixed-Term"),
IF(LEFT($F254,6)="UOM 10","UOM 10",(LEFT($F254,LEN($F254)-1)&amp;MIN(RIGHT($F254,1)+COUNTIFS($J255:Q255,"&gt;0")/2,VLOOKUP(LEFT($F254,LEN($F254)-2),tSalaryMax,2,FALSE)))),
IF($D254="Casual",
$F254,))
),tSalaryRate,5,FALSE)*VLOOKUP($G254,tSalaryRateMultiplier,2,FALSE)*'PART B Staff Costs'!R$10),0)*new_xrate</f>
        <v>0</v>
      </c>
      <c r="S254" s="441"/>
      <c r="T254" s="334">
        <f>_xlfn.IFNA(IF(pStartYear+5&gt;pEndYear,0,VLOOKUP(CONCATENATE(
IF(OR($D254="Continuing",$D254="Fixed-Term"),"Fortnight",IF($D254="Casual","Casual",)),
$E254,
IF(OR($D254="Continuing",$D254="Fixed-Term"),
IF(LEFT($F254,6)="UOM 10","UOM 10",(LEFT($F254,LEN($F254)-1)&amp;MIN(RIGHT($F254,1)+COUNTIFS($J255:S255,"&gt;0")/2,VLOOKUP(LEFT($F254,LEN($F254)-2),tSalaryMax,2,FALSE)))),
IF($D254="Casual",
$F254,))
),tSalaryRate,5,FALSE)*VLOOKUP($G254,tSalaryRateMultiplier,2,FALSE)*'PART B Staff Costs'!T$10),0)*new_xrate</f>
        <v>0</v>
      </c>
      <c r="U254" s="449"/>
      <c r="V254" s="333">
        <f>_xlfn.IFNA(IF(pStartYear+6&gt;pEndYear,0,VLOOKUP(CONCATENATE(
IF(OR($D254="Continuing",$D254="Fixed-Term"),"Fortnight",IF($D254="Casual","Casual",)),
$E254,
IF(OR($D254="Continuing",$D254="Fixed-Term"),
IF(LEFT($F254,6)="UOM 10","UOM 10",(LEFT($F254,LEN($F254)-1)&amp;MIN(RIGHT($F254,1)+COUNTIFS($J255:U255,"&gt;0")/2,VLOOKUP(LEFT($F254,LEN($F254)-2),tSalaryMax,2,FALSE)))),
IF($D254="Casual",
$F254,))
),tSalaryRate,5,FALSE)*VLOOKUP($G254,tSalaryRateMultiplier,2,FALSE)*'PART B Staff Costs'!V$10),0)*new_xrate</f>
        <v>0</v>
      </c>
      <c r="W254" s="441"/>
      <c r="X254" s="334">
        <f>_xlfn.IFNA(IF(pStartYear+7&gt;pEndYear,0,VLOOKUP(CONCATENATE(
IF(OR($D254="Continuing",$D254="Fixed-Term"),"Fortnight",IF($D254="Casual","Casual",)),
$E254,
IF(OR($D254="Continuing",$D254="Fixed-Term"),
IF(LEFT($F254,6)="UOM 10","UOM 10",(LEFT($F254,LEN($F254)-1)&amp;MIN(RIGHT($F254,1)+COUNTIFS($J255:W255,"&gt;0")/2,VLOOKUP(LEFT($F254,LEN($F254)-2),tSalaryMax,2,FALSE)))),
IF($D254="Casual",
$F254,))
),tSalaryRate,5,FALSE)*VLOOKUP($G254,tSalaryRateMultiplier,2,FALSE)*'PART B Staff Costs'!X$10),0)*new_xrate</f>
        <v>0</v>
      </c>
      <c r="Y254" s="449"/>
      <c r="Z254" s="333">
        <f>_xlfn.IFNA(IF(pStartYear+8&gt;pEndYear,0,VLOOKUP(CONCATENATE(
IF(OR($D254="Continuing",$D254="Fixed-Term"),"Fortnight",IF($D254="Casual","Casual",)),
$E254,
IF(OR($D254="Continuing",$D254="Fixed-Term"),
IF(LEFT($F254,6)="UOM 10","UOM 10",(LEFT($F254,LEN($F254)-1)&amp;MIN(RIGHT($F254,1)+COUNTIFS($J255:Y255,"&gt;0")/2,VLOOKUP(LEFT($F254,LEN($F254)-2),tSalaryMax,2,FALSE)))),
IF($D254="Casual",
$F254,))
),tSalaryRate,5,FALSE)*VLOOKUP($G254,tSalaryRateMultiplier,2,FALSE)*'PART B Staff Costs'!Z$10),0)*new_xrate</f>
        <v>0</v>
      </c>
      <c r="AA254" s="441"/>
      <c r="AB254" s="334">
        <f>_xlfn.IFNA(IF(pStartYear+9&gt;pEndYear,0,VLOOKUP(CONCATENATE(
IF(OR($D254="Continuing",$D254="Fixed-Term"),"Fortnight",IF($D254="Casual","Casual",)),
$E254,
IF(OR($D254="Continuing",$D254="Fixed-Term"),
IF(LEFT($F254,6)="UOM 10","UOM 10",(LEFT($F254,LEN($F254)-1)&amp;MIN(RIGHT($F254,1)+COUNTIFS($J255:AA255,"&gt;0")/2,VLOOKUP(LEFT($F254,LEN($F254)-2),tSalaryMax,2,FALSE)))),
IF($D254="Casual",
$F254,))
),tSalaryRate,5,FALSE)*VLOOKUP($G254,tSalaryRateMultiplier,2,FALSE)*'PART B Staff Costs'!AB$10),0)*new_xrate</f>
        <v>0</v>
      </c>
      <c r="AC254" s="449"/>
      <c r="AD254" s="335"/>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row>
    <row r="255" spans="1:56" hidden="1" outlineLevel="1" x14ac:dyDescent="0.3">
      <c r="A255" s="1182"/>
      <c r="B255" s="1377"/>
      <c r="C255" s="1377"/>
      <c r="D255" s="1377"/>
      <c r="E255" s="1377"/>
      <c r="F255" s="1377"/>
      <c r="G255" s="1377"/>
      <c r="H255" s="1378"/>
      <c r="I255" s="336" t="str">
        <f>IF('PART B Staff Costs'!G250&lt;&gt;"",CONCATENATE("Time/Requested salary"," (",'PART B Staff Costs'!G250,")"),"Time/Requested salary")</f>
        <v>Time/Requested salary</v>
      </c>
      <c r="J255" s="337">
        <f>_xlfn.IFNA('PART B Staff Costs'!I34,0)</f>
        <v>0</v>
      </c>
      <c r="K255" s="442">
        <f>IF('PART B Staff Costs'!$G$34="FTE",J255*J254*(First_year_fraction/12),J255*J254)</f>
        <v>0</v>
      </c>
      <c r="L255" s="338">
        <f>_xlfn.IFNA('PART B Staff Costs'!K34,0)</f>
        <v>0</v>
      </c>
      <c r="M255" s="450">
        <f>IF(pStartYear+1=pEndYear,IF('PART B Staff Costs'!$G$34="FTE",(L255*L254)*Last_Year_Fraction/12,L255*L254),L255*L254)</f>
        <v>0</v>
      </c>
      <c r="N255" s="337">
        <f>_xlfn.IFNA('PART B Staff Costs'!M34,0)</f>
        <v>0</v>
      </c>
      <c r="O255" s="442">
        <f>IF(pStartYear+2=pEndYear,IF('PART B Staff Costs'!$G$34="FTE",(N255*N254)*Last_Year_Fraction/12,N255*N254),N255*N254)</f>
        <v>0</v>
      </c>
      <c r="P255" s="338">
        <f>_xlfn.IFNA('PART B Staff Costs'!O34,0)</f>
        <v>0</v>
      </c>
      <c r="Q255" s="450">
        <f>IF(pStartYear+3=pEndYear,IF('PART B Staff Costs'!$G$34="FTE",(P255*P254)*Last_Year_Fraction/12,P255*P254),P255*P254)</f>
        <v>0</v>
      </c>
      <c r="R255" s="337">
        <f>_xlfn.IFNA('PART B Staff Costs'!Q34,0)</f>
        <v>0</v>
      </c>
      <c r="S255" s="442">
        <f>IF(pStartYear+4=pEndYear,IF('PART B Staff Costs'!$G$34="FTE",(R255*R254)*Last_Year_Fraction/12,R255*R254),R255*R254)</f>
        <v>0</v>
      </c>
      <c r="T255" s="338">
        <f>_xlfn.IFNA('PART B Staff Costs'!S34,0)</f>
        <v>0</v>
      </c>
      <c r="U255" s="450">
        <f>IF(pStartYear+5=pEndYear,IF('PART B Staff Costs'!$G$34="FTE",(T255*T254)*Last_Year_Fraction/12,T255*T254),T255*T254)</f>
        <v>0</v>
      </c>
      <c r="V255" s="337">
        <f>_xlfn.IFNA('PART B Staff Costs'!U34,0)</f>
        <v>0</v>
      </c>
      <c r="W255" s="442">
        <f>IF(pStartYear+6=pEndYear,IF('PART B Staff Costs'!$G$34="FTE",(V255*V254)*Last_Year_Fraction/12,V255*V254),V255*V254)</f>
        <v>0</v>
      </c>
      <c r="X255" s="338">
        <f>_xlfn.IFNA('PART B Staff Costs'!W34,0)</f>
        <v>0</v>
      </c>
      <c r="Y255" s="450">
        <f>IF(pStartYear+7=pEndYear,IF('PART B Staff Costs'!$G$34="FTE",(X255*X254)*Last_Year_Fraction/12,X255*X254),X255*X254)</f>
        <v>0</v>
      </c>
      <c r="Z255" s="337">
        <f>_xlfn.IFNA('PART B Staff Costs'!Y34,0)</f>
        <v>0</v>
      </c>
      <c r="AA255" s="442">
        <f>IF(pStartYear+8=pEndYear,IF('PART B Staff Costs'!$G$34="FTE",(Z255*Z254)*Last_Year_Fraction/12,Z255*Z254),Z255*Z254)</f>
        <v>0</v>
      </c>
      <c r="AB255" s="338">
        <f>_xlfn.IFNA('PART B Staff Costs'!AA34,0)</f>
        <v>0</v>
      </c>
      <c r="AC255" s="450">
        <f>IF(pStartYear+9=pEndYear,IF('PART B Staff Costs'!$G$34="FTE",(AB255*AB254)*Last_Year_Fraction/12,AB255*AB254),AB255*AB254)</f>
        <v>0</v>
      </c>
      <c r="AD255" s="335"/>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row>
    <row r="256" spans="1:56" hidden="1" outlineLevel="1" x14ac:dyDescent="0.3">
      <c r="A256" s="1182"/>
      <c r="B256" s="1379"/>
      <c r="C256" s="1379"/>
      <c r="D256" s="1379"/>
      <c r="E256" s="1379"/>
      <c r="F256" s="1379"/>
      <c r="G256" s="1379"/>
      <c r="H256" s="1380"/>
      <c r="I256" s="336" t="str">
        <f>IF(tbBudgetCurrency="AUD - Australian Dollar",CONCATENATE("Leave Loading (max of AU$",vl_Max_Leave_Loading,")"),CONCATENATE("Leave Loading (max of ",ROUND(vl_Max_Leave_Loading*new_xrate,2)," ",LEFT(tbBudgetCurrency,3),")"))</f>
        <v>Leave Loading (max of AU$1611.3)</v>
      </c>
      <c r="J256" s="339">
        <f>_xlfn.IFNA(VLOOKUP($D254,tbLeaveLoading,2,FALSE),0)</f>
        <v>0</v>
      </c>
      <c r="K256" s="443">
        <f>IF(K255*J256&gt;vl_Max_Leave_Loading*new_xrate,vl_Max_Leave_Loading*new_xrate,K255*J256)</f>
        <v>0</v>
      </c>
      <c r="L256" s="340">
        <f>_xlfn.IFNA(VLOOKUP($D254,tbLeaveLoading,2,FALSE),0)</f>
        <v>0</v>
      </c>
      <c r="M256" s="451">
        <f>IF(M255*L256&gt;vl_Max_Leave_Loading*new_xrate,vl_Max_Leave_Loading*new_xrate,M255*L256)</f>
        <v>0</v>
      </c>
      <c r="N256" s="339">
        <f>_xlfn.IFNA(VLOOKUP($D254,tbLeaveLoading,2,FALSE),0)</f>
        <v>0</v>
      </c>
      <c r="O256" s="443">
        <f>IF(O255*N256&gt;vl_Max_Leave_Loading*new_xrate,vl_Max_Leave_Loading*new_xrate,O255*N256)</f>
        <v>0</v>
      </c>
      <c r="P256" s="340">
        <f>_xlfn.IFNA(VLOOKUP($D254,tbLeaveLoading,2,FALSE),0)</f>
        <v>0</v>
      </c>
      <c r="Q256" s="451">
        <f>IF(Q255*P256&gt;vl_Max_Leave_Loading*new_xrate,vl_Max_Leave_Loading*new_xrate,Q255*P256)</f>
        <v>0</v>
      </c>
      <c r="R256" s="339">
        <f>_xlfn.IFNA(VLOOKUP($D254,tbLeaveLoading,2,FALSE),0)</f>
        <v>0</v>
      </c>
      <c r="S256" s="443">
        <f>IF(S255*R256&gt;vl_Max_Leave_Loading*new_xrate,vl_Max_Leave_Loading*new_xrate,S255*R256)</f>
        <v>0</v>
      </c>
      <c r="T256" s="340">
        <f>_xlfn.IFNA(VLOOKUP($D254,tbLeaveLoading,2,FALSE),0)</f>
        <v>0</v>
      </c>
      <c r="U256" s="451">
        <f>IF(U255*T256&gt;vl_Max_Leave_Loading*new_xrate,vl_Max_Leave_Loading*new_xrate,U255*T256)</f>
        <v>0</v>
      </c>
      <c r="V256" s="339">
        <f>_xlfn.IFNA(VLOOKUP($D254,tbLeaveLoading,2,FALSE),0)</f>
        <v>0</v>
      </c>
      <c r="W256" s="443">
        <f>IF(W255*V256&gt;vl_Max_Leave_Loading*new_xrate,vl_Max_Leave_Loading*new_xrate,W255*V256)</f>
        <v>0</v>
      </c>
      <c r="X256" s="340">
        <f>_xlfn.IFNA(VLOOKUP($D254,tbLeaveLoading,2,FALSE),0)</f>
        <v>0</v>
      </c>
      <c r="Y256" s="451">
        <f>IF(Y255*X256&gt;vl_Max_Leave_Loading*new_xrate,vl_Max_Leave_Loading*new_xrate,Y255*X256)</f>
        <v>0</v>
      </c>
      <c r="Z256" s="339">
        <f>_xlfn.IFNA(VLOOKUP($D254,tbLeaveLoading,2,FALSE),0)</f>
        <v>0</v>
      </c>
      <c r="AA256" s="443">
        <f>IF(AA255*Z256&gt;vl_Max_Leave_Loading*new_xrate,vl_Max_Leave_Loading*new_xrate,AA255*Z256)</f>
        <v>0</v>
      </c>
      <c r="AB256" s="340">
        <f>_xlfn.IFNA(VLOOKUP($D254,tbLeaveLoading,2,FALSE),0)</f>
        <v>0</v>
      </c>
      <c r="AC256" s="451">
        <f>IF(AC255*AB256&gt;vl_Max_Leave_Loading*new_xrate,vl_Max_Leave_Loading*new_xrate,AC255*AB256)</f>
        <v>0</v>
      </c>
      <c r="AD256" s="335"/>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row>
    <row r="257" spans="1:56" hidden="1" outlineLevel="1" x14ac:dyDescent="0.3">
      <c r="A257" s="1182"/>
      <c r="B257" s="1379"/>
      <c r="C257" s="1379"/>
      <c r="D257" s="1379"/>
      <c r="E257" s="1379"/>
      <c r="F257" s="1379"/>
      <c r="G257" s="1379"/>
      <c r="H257" s="1380"/>
      <c r="I257" s="336" t="s">
        <v>314</v>
      </c>
      <c r="J257" s="339">
        <f>_xlfn.IFNA(_xlfn.IFNA(VLOOKUP(CONCATENATE(pStartYear,$D254),tbSuperannuation,4,FALSE),VLOOKUP($D254,tbSuperannuation2026onwards,2,FALSE)),0)</f>
        <v>0</v>
      </c>
      <c r="K257" s="443">
        <f>K255*J257</f>
        <v>0</v>
      </c>
      <c r="L257" s="340">
        <f>_xlfn.IFNA(_xlfn.IFNA(VLOOKUP(CONCATENATE(pStartYear+1,$D254),tbSuperannuation,4,FALSE),VLOOKUP($D254,tbSuperannuation2026onwards,2,FALSE)),0)</f>
        <v>0</v>
      </c>
      <c r="M257" s="451">
        <f t="shared" ref="M257" si="1085">M255*L257</f>
        <v>0</v>
      </c>
      <c r="N257" s="339">
        <f>_xlfn.IFNA(_xlfn.IFNA(VLOOKUP(CONCATENATE(pStartYear+2,$D254),tbSuperannuation,4,FALSE),VLOOKUP($D254,tbSuperannuation2026onwards,2,FALSE)),0)</f>
        <v>0</v>
      </c>
      <c r="O257" s="443">
        <f>O255*N257</f>
        <v>0</v>
      </c>
      <c r="P257" s="340">
        <f>_xlfn.IFNA(_xlfn.IFNA(VLOOKUP(CONCATENATE(pStartYear+3,$D254),tbSuperannuation,4,FALSE),VLOOKUP($D254,tbSuperannuation2026onwards,2,FALSE)),0)</f>
        <v>0</v>
      </c>
      <c r="Q257" s="451">
        <f t="shared" ref="Q257" si="1086">Q255*P257</f>
        <v>0</v>
      </c>
      <c r="R257" s="339">
        <f>_xlfn.IFNA(_xlfn.IFNA(VLOOKUP(CONCATENATE(pStartYear+4,$D254),tbSuperannuation,4,FALSE),VLOOKUP($D254,tbSuperannuation2026onwards,2,FALSE)),0)</f>
        <v>0</v>
      </c>
      <c r="S257" s="443">
        <f>S255*R257</f>
        <v>0</v>
      </c>
      <c r="T257" s="340">
        <f>_xlfn.IFNA(_xlfn.IFNA(VLOOKUP(CONCATENATE(pStartYear+5,$D254),tbSuperannuation,4,FALSE),VLOOKUP($D254,tbSuperannuation2026onwards,2,FALSE)),0)</f>
        <v>0</v>
      </c>
      <c r="U257" s="451">
        <f t="shared" ref="U257" si="1087">U255*T257</f>
        <v>0</v>
      </c>
      <c r="V257" s="339">
        <f>_xlfn.IFNA(_xlfn.IFNA(VLOOKUP(CONCATENATE(pStartYear+6,$D254),tbSuperannuation,4,FALSE),VLOOKUP($D254,tbSuperannuation2026onwards,2,FALSE)),0)</f>
        <v>0</v>
      </c>
      <c r="W257" s="443">
        <f>W255*V257</f>
        <v>0</v>
      </c>
      <c r="X257" s="340">
        <f>_xlfn.IFNA(_xlfn.IFNA(VLOOKUP(CONCATENATE(pStartYear+7,$D254),tbSuperannuation,4,FALSE),VLOOKUP($D254,tbSuperannuation2026onwards,2,FALSE)),0)</f>
        <v>0</v>
      </c>
      <c r="Y257" s="451">
        <f t="shared" ref="Y257" si="1088">Y255*X257</f>
        <v>0</v>
      </c>
      <c r="Z257" s="339">
        <f>_xlfn.IFNA(_xlfn.IFNA(VLOOKUP(CONCATENATE(pStartYear+8,$D254),tbSuperannuation,4,FALSE),VLOOKUP($D254,tbSuperannuation2026onwards,2,FALSE)),0)</f>
        <v>0</v>
      </c>
      <c r="AA257" s="443">
        <f>AA255*Z257</f>
        <v>0</v>
      </c>
      <c r="AB257" s="340">
        <f>_xlfn.IFNA(_xlfn.IFNA(VLOOKUP(CONCATENATE(pStartYear+9,$D254),tbSuperannuation,4,FALSE),VLOOKUP($D254,tbSuperannuation2026onwards,2,FALSE)),0)</f>
        <v>0</v>
      </c>
      <c r="AC257" s="451">
        <f t="shared" ref="AC257" si="1089">AC255*AB257</f>
        <v>0</v>
      </c>
      <c r="AD257" s="335"/>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row>
    <row r="258" spans="1:56" hidden="1" outlineLevel="1" x14ac:dyDescent="0.3">
      <c r="A258" s="1182"/>
      <c r="B258" s="1379"/>
      <c r="C258" s="1379"/>
      <c r="D258" s="1379"/>
      <c r="E258" s="1379"/>
      <c r="F258" s="1379"/>
      <c r="G258" s="1379"/>
      <c r="H258" s="1380"/>
      <c r="I258" s="341" t="s">
        <v>315</v>
      </c>
      <c r="J258" s="342"/>
      <c r="K258" s="444">
        <f>K256+K257+K255</f>
        <v>0</v>
      </c>
      <c r="L258" s="342"/>
      <c r="M258" s="444">
        <f t="shared" ref="M258" si="1090">M256+M257+M255</f>
        <v>0</v>
      </c>
      <c r="N258" s="342"/>
      <c r="O258" s="444">
        <f>O256+O257+O255</f>
        <v>0</v>
      </c>
      <c r="P258" s="342"/>
      <c r="Q258" s="444">
        <f t="shared" ref="Q258" si="1091">Q256+Q257+Q255</f>
        <v>0</v>
      </c>
      <c r="R258" s="342"/>
      <c r="S258" s="444">
        <f>S256+S257+S255</f>
        <v>0</v>
      </c>
      <c r="T258" s="342"/>
      <c r="U258" s="444">
        <f t="shared" ref="U258" si="1092">U256+U257+U255</f>
        <v>0</v>
      </c>
      <c r="V258" s="342"/>
      <c r="W258" s="444">
        <f>W256+W257+W255</f>
        <v>0</v>
      </c>
      <c r="X258" s="342"/>
      <c r="Y258" s="444">
        <f t="shared" ref="Y258" si="1093">Y256+Y257+Y255</f>
        <v>0</v>
      </c>
      <c r="Z258" s="342"/>
      <c r="AA258" s="444">
        <f>AA256+AA257+AA255</f>
        <v>0</v>
      </c>
      <c r="AB258" s="342"/>
      <c r="AC258" s="444">
        <f t="shared" ref="AC258" si="1094">AC256+AC257+AC255</f>
        <v>0</v>
      </c>
      <c r="AD258" s="335">
        <f t="shared" ref="AD258:AD328" si="1095">IFERROR($K258+$M258+$O258+$Q258+$S258+$U258+$W258+$Y258+$AA258+$AC258,0)</f>
        <v>0</v>
      </c>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row>
    <row r="259" spans="1:56" hidden="1" outlineLevel="1" x14ac:dyDescent="0.3">
      <c r="A259" s="1182"/>
      <c r="B259" s="1379"/>
      <c r="C259" s="1379"/>
      <c r="D259" s="1379"/>
      <c r="E259" s="1379"/>
      <c r="F259" s="1379"/>
      <c r="G259" s="1379"/>
      <c r="H259" s="1380"/>
      <c r="I259" s="336" t="s">
        <v>316</v>
      </c>
      <c r="J259" s="339">
        <f>_xlfn.IFNA(_xlfn.IFNA(VLOOKUP(pStartYear,tbPayrollTax,2,FALSE),vl_MaxPayrollTax),0)</f>
        <v>5.8500000000000003E-2</v>
      </c>
      <c r="K259" s="443">
        <f>J259*K258</f>
        <v>0</v>
      </c>
      <c r="L259" s="340">
        <f>_xlfn.IFNA(_xlfn.IFNA(VLOOKUP(pStartYear+1,tbPayrollTax,2,FALSE),vl_MaxPayrollTax),0)</f>
        <v>5.8500000000000003E-2</v>
      </c>
      <c r="M259" s="451">
        <f t="shared" ref="M259" si="1096">L259*M258</f>
        <v>0</v>
      </c>
      <c r="N259" s="339">
        <f>_xlfn.IFNA(_xlfn.IFNA(VLOOKUP(pStartYear+2,tbPayrollTax,2,FALSE),vl_MaxPayrollTax),0)</f>
        <v>5.8500000000000003E-2</v>
      </c>
      <c r="O259" s="443">
        <f>N259*O258</f>
        <v>0</v>
      </c>
      <c r="P259" s="340">
        <f>_xlfn.IFNA(_xlfn.IFNA(VLOOKUP(pStartYear+3,tbPayrollTax,2,FALSE),vl_MaxPayrollTax),0)</f>
        <v>5.8500000000000003E-2</v>
      </c>
      <c r="Q259" s="451">
        <f t="shared" ref="Q259" si="1097">P259*Q258</f>
        <v>0</v>
      </c>
      <c r="R259" s="339">
        <f>_xlfn.IFNA(_xlfn.IFNA(VLOOKUP(pStartYear+4,tbPayrollTax,2,FALSE),vl_MaxPayrollTax),0)</f>
        <v>5.8500000000000003E-2</v>
      </c>
      <c r="S259" s="443">
        <f>R259*S258</f>
        <v>0</v>
      </c>
      <c r="T259" s="340">
        <f>_xlfn.IFNA(_xlfn.IFNA(VLOOKUP(pStartYear+5,tbPayrollTax,2,FALSE),vl_MaxPayrollTax),0)</f>
        <v>5.8500000000000003E-2</v>
      </c>
      <c r="U259" s="451">
        <f t="shared" ref="U259" si="1098">T259*U258</f>
        <v>0</v>
      </c>
      <c r="V259" s="339">
        <f>_xlfn.IFNA(_xlfn.IFNA(VLOOKUP(pStartYear+6,tbPayrollTax,2,FALSE),vl_MaxPayrollTax),0)</f>
        <v>5.8500000000000003E-2</v>
      </c>
      <c r="W259" s="443">
        <f>V259*W258</f>
        <v>0</v>
      </c>
      <c r="X259" s="340">
        <f>_xlfn.IFNA(_xlfn.IFNA(VLOOKUP(pStartYear+7,tbPayrollTax,2,FALSE),vl_MaxPayrollTax),0)</f>
        <v>5.8500000000000003E-2</v>
      </c>
      <c r="Y259" s="451">
        <f t="shared" ref="Y259" si="1099">X259*Y258</f>
        <v>0</v>
      </c>
      <c r="Z259" s="339">
        <f>_xlfn.IFNA(_xlfn.IFNA(VLOOKUP(pStartYear+8,tbPayrollTax,2,FALSE),vl_MaxPayrollTax),0)</f>
        <v>5.8500000000000003E-2</v>
      </c>
      <c r="AA259" s="443">
        <f>Z259*AA258</f>
        <v>0</v>
      </c>
      <c r="AB259" s="340">
        <f>_xlfn.IFNA(_xlfn.IFNA(VLOOKUP(pStartYear+9,tbPayrollTax,2,FALSE),vl_MaxPayrollTax),0)</f>
        <v>5.8500000000000003E-2</v>
      </c>
      <c r="AC259" s="451">
        <f t="shared" ref="AC259" si="1100">AB259*AC258</f>
        <v>0</v>
      </c>
      <c r="AD259" s="335"/>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row>
    <row r="260" spans="1:56" hidden="1" outlineLevel="1" x14ac:dyDescent="0.3">
      <c r="A260" s="1182"/>
      <c r="B260" s="1379"/>
      <c r="C260" s="1379"/>
      <c r="D260" s="1379"/>
      <c r="E260" s="1379"/>
      <c r="F260" s="1379"/>
      <c r="G260" s="1379"/>
      <c r="H260" s="1380"/>
      <c r="I260" s="336" t="s">
        <v>317</v>
      </c>
      <c r="J260" s="339">
        <f>_xlfn.IFNA(VLOOKUP($D254,tbWorkCover,2,FALSE),0)</f>
        <v>0</v>
      </c>
      <c r="K260" s="443">
        <f>J260*K258</f>
        <v>0</v>
      </c>
      <c r="L260" s="340">
        <f>_xlfn.IFNA(VLOOKUP($D254,tbWorkCover,2,FALSE),0)</f>
        <v>0</v>
      </c>
      <c r="M260" s="451">
        <f t="shared" ref="M260" si="1101">L260*M258</f>
        <v>0</v>
      </c>
      <c r="N260" s="339">
        <f>_xlfn.IFNA(VLOOKUP($D254,tbWorkCover,2,FALSE),0)</f>
        <v>0</v>
      </c>
      <c r="O260" s="443">
        <f>N260*O258</f>
        <v>0</v>
      </c>
      <c r="P260" s="340">
        <f>_xlfn.IFNA(VLOOKUP($D254,tbWorkCover,2,FALSE),0)</f>
        <v>0</v>
      </c>
      <c r="Q260" s="451">
        <f t="shared" ref="Q260" si="1102">P260*Q258</f>
        <v>0</v>
      </c>
      <c r="R260" s="339">
        <f>_xlfn.IFNA(VLOOKUP($D254,tbWorkCover,2,FALSE),0)</f>
        <v>0</v>
      </c>
      <c r="S260" s="443">
        <f>R260*S258</f>
        <v>0</v>
      </c>
      <c r="T260" s="340">
        <f>_xlfn.IFNA(VLOOKUP($D254,tbWorkCover,2,FALSE),0)</f>
        <v>0</v>
      </c>
      <c r="U260" s="451">
        <f t="shared" ref="U260" si="1103">T260*U258</f>
        <v>0</v>
      </c>
      <c r="V260" s="339">
        <f>_xlfn.IFNA(VLOOKUP($D254,tbWorkCover,2,FALSE),0)</f>
        <v>0</v>
      </c>
      <c r="W260" s="443">
        <f>V260*W258</f>
        <v>0</v>
      </c>
      <c r="X260" s="340">
        <f>_xlfn.IFNA(VLOOKUP($D254,tbWorkCover,2,FALSE),0)</f>
        <v>0</v>
      </c>
      <c r="Y260" s="451">
        <f t="shared" ref="Y260" si="1104">X260*Y258</f>
        <v>0</v>
      </c>
      <c r="Z260" s="339">
        <f>_xlfn.IFNA(VLOOKUP($D254,tbWorkCover,2,FALSE),0)</f>
        <v>0</v>
      </c>
      <c r="AA260" s="443">
        <f>Z260*AA258</f>
        <v>0</v>
      </c>
      <c r="AB260" s="340">
        <f>_xlfn.IFNA(VLOOKUP($D254,tbWorkCover,2,FALSE),0)</f>
        <v>0</v>
      </c>
      <c r="AC260" s="451">
        <f t="shared" ref="AC260" si="1105">AB260*AC258</f>
        <v>0</v>
      </c>
      <c r="AD260" s="335"/>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row>
    <row r="261" spans="1:56" hidden="1" outlineLevel="1" x14ac:dyDescent="0.3">
      <c r="A261" s="1182"/>
      <c r="B261" s="1379"/>
      <c r="C261" s="1379"/>
      <c r="D261" s="1379"/>
      <c r="E261" s="1379"/>
      <c r="F261" s="1379"/>
      <c r="G261" s="1379"/>
      <c r="H261" s="1380"/>
      <c r="I261" s="336" t="s">
        <v>318</v>
      </c>
      <c r="J261" s="339">
        <f>_xlfn.IFNA(VLOOKUP($D254,tbLongServiceLeave,2,FALSE),0)</f>
        <v>0</v>
      </c>
      <c r="K261" s="443">
        <f>J261*K255</f>
        <v>0</v>
      </c>
      <c r="L261" s="340">
        <f>_xlfn.IFNA(VLOOKUP($D254,tbLongServiceLeave,2,FALSE),0)</f>
        <v>0</v>
      </c>
      <c r="M261" s="451">
        <f t="shared" ref="M261" si="1106">L261*M255</f>
        <v>0</v>
      </c>
      <c r="N261" s="339">
        <f>_xlfn.IFNA(VLOOKUP($D254,tbLongServiceLeave,2,FALSE),0)</f>
        <v>0</v>
      </c>
      <c r="O261" s="443">
        <f>N261*O255</f>
        <v>0</v>
      </c>
      <c r="P261" s="340">
        <f>_xlfn.IFNA(VLOOKUP($D254,tbLongServiceLeave,2,FALSE),0)</f>
        <v>0</v>
      </c>
      <c r="Q261" s="451">
        <f t="shared" ref="Q261" si="1107">P261*Q255</f>
        <v>0</v>
      </c>
      <c r="R261" s="339">
        <f>_xlfn.IFNA(VLOOKUP($D254,tbLongServiceLeave,2,FALSE),0)</f>
        <v>0</v>
      </c>
      <c r="S261" s="443">
        <f>R261*S255</f>
        <v>0</v>
      </c>
      <c r="T261" s="340">
        <f>_xlfn.IFNA(VLOOKUP($D254,tbLongServiceLeave,2,FALSE),0)</f>
        <v>0</v>
      </c>
      <c r="U261" s="451">
        <f t="shared" ref="U261" si="1108">T261*U255</f>
        <v>0</v>
      </c>
      <c r="V261" s="339">
        <f>_xlfn.IFNA(VLOOKUP($D254,tbLongServiceLeave,2,FALSE),0)</f>
        <v>0</v>
      </c>
      <c r="W261" s="443">
        <f>V261*W255</f>
        <v>0</v>
      </c>
      <c r="X261" s="340">
        <f>_xlfn.IFNA(VLOOKUP($D254,tbLongServiceLeave,2,FALSE),0)</f>
        <v>0</v>
      </c>
      <c r="Y261" s="451">
        <f t="shared" ref="Y261" si="1109">X261*Y255</f>
        <v>0</v>
      </c>
      <c r="Z261" s="339">
        <f>_xlfn.IFNA(VLOOKUP($D254,tbLongServiceLeave,2,FALSE),0)</f>
        <v>0</v>
      </c>
      <c r="AA261" s="443">
        <f>Z261*AA255</f>
        <v>0</v>
      </c>
      <c r="AB261" s="340">
        <f>_xlfn.IFNA(VLOOKUP($D254,tbLongServiceLeave,2,FALSE),0)</f>
        <v>0</v>
      </c>
      <c r="AC261" s="451">
        <f t="shared" ref="AC261" si="1110">AB261*AC255</f>
        <v>0</v>
      </c>
      <c r="AD261" s="335"/>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row>
    <row r="262" spans="1:56" hidden="1" outlineLevel="1" x14ac:dyDescent="0.3">
      <c r="A262" s="1182"/>
      <c r="B262" s="1379"/>
      <c r="C262" s="1379"/>
      <c r="D262" s="1379"/>
      <c r="E262" s="1379"/>
      <c r="F262" s="1379"/>
      <c r="G262" s="1379"/>
      <c r="H262" s="1380"/>
      <c r="I262" s="336" t="s">
        <v>319</v>
      </c>
      <c r="J262" s="339">
        <f>_xlfn.IFNA(VLOOKUP($D254,tbParentalLeave,2,FALSE),0)</f>
        <v>0</v>
      </c>
      <c r="K262" s="443">
        <f>J262*K255</f>
        <v>0</v>
      </c>
      <c r="L262" s="340">
        <f>_xlfn.IFNA(VLOOKUP($D254,tbParentalLeave,2,FALSE),0)</f>
        <v>0</v>
      </c>
      <c r="M262" s="451">
        <f t="shared" ref="M262" si="1111">L262*M255</f>
        <v>0</v>
      </c>
      <c r="N262" s="339">
        <f>_xlfn.IFNA(VLOOKUP($D254,tbParentalLeave,2,FALSE),0)</f>
        <v>0</v>
      </c>
      <c r="O262" s="443">
        <f>N262*O255</f>
        <v>0</v>
      </c>
      <c r="P262" s="340">
        <f>_xlfn.IFNA(VLOOKUP($D254,tbParentalLeave,2,FALSE),0)</f>
        <v>0</v>
      </c>
      <c r="Q262" s="451">
        <f t="shared" ref="Q262" si="1112">P262*Q255</f>
        <v>0</v>
      </c>
      <c r="R262" s="339">
        <f>_xlfn.IFNA(VLOOKUP($D254,tbParentalLeave,2,FALSE),0)</f>
        <v>0</v>
      </c>
      <c r="S262" s="443">
        <f>R262*S255</f>
        <v>0</v>
      </c>
      <c r="T262" s="340">
        <f>_xlfn.IFNA(VLOOKUP($D254,tbParentalLeave,2,FALSE),0)</f>
        <v>0</v>
      </c>
      <c r="U262" s="451">
        <f t="shared" ref="U262" si="1113">T262*U255</f>
        <v>0</v>
      </c>
      <c r="V262" s="339">
        <f>_xlfn.IFNA(VLOOKUP($D254,tbParentalLeave,2,FALSE),0)</f>
        <v>0</v>
      </c>
      <c r="W262" s="443">
        <f>V262*W255</f>
        <v>0</v>
      </c>
      <c r="X262" s="340">
        <f>_xlfn.IFNA(VLOOKUP($D254,tbParentalLeave,2,FALSE),0)</f>
        <v>0</v>
      </c>
      <c r="Y262" s="451">
        <f t="shared" ref="Y262" si="1114">X262*Y255</f>
        <v>0</v>
      </c>
      <c r="Z262" s="339">
        <f>_xlfn.IFNA(VLOOKUP($D254,tbParentalLeave,2,FALSE),0)</f>
        <v>0</v>
      </c>
      <c r="AA262" s="443">
        <f>Z262*AA255</f>
        <v>0</v>
      </c>
      <c r="AB262" s="340">
        <f>_xlfn.IFNA(VLOOKUP($D254,tbParentalLeave,2,FALSE),0)</f>
        <v>0</v>
      </c>
      <c r="AC262" s="451">
        <f t="shared" ref="AC262" si="1115">AB262*AC255</f>
        <v>0</v>
      </c>
      <c r="AD262" s="335"/>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row>
    <row r="263" spans="1:56" hidden="1" outlineLevel="1" x14ac:dyDescent="0.3">
      <c r="A263" s="1182"/>
      <c r="B263" s="1379"/>
      <c r="C263" s="1379"/>
      <c r="D263" s="1379"/>
      <c r="E263" s="1379"/>
      <c r="F263" s="1379"/>
      <c r="G263" s="1379"/>
      <c r="H263" s="1380"/>
      <c r="I263" s="437" t="s">
        <v>320</v>
      </c>
      <c r="J263" s="438">
        <f>vl_overridden_uom_oncosts_per</f>
        <v>0</v>
      </c>
      <c r="K263" s="445">
        <f>J263*K255</f>
        <v>0</v>
      </c>
      <c r="L263" s="438">
        <f>vl_overridden_uom_oncosts_per</f>
        <v>0</v>
      </c>
      <c r="M263" s="445">
        <f>L263*M255</f>
        <v>0</v>
      </c>
      <c r="N263" s="438">
        <f>vl_overridden_uom_oncosts_per</f>
        <v>0</v>
      </c>
      <c r="O263" s="445">
        <f t="shared" ref="O263" si="1116">N263*O255</f>
        <v>0</v>
      </c>
      <c r="P263" s="438">
        <f>vl_overridden_uom_oncosts_per</f>
        <v>0</v>
      </c>
      <c r="Q263" s="445">
        <f t="shared" ref="Q263" si="1117">P263*Q255</f>
        <v>0</v>
      </c>
      <c r="R263" s="438">
        <f>vl_overridden_uom_oncosts_per</f>
        <v>0</v>
      </c>
      <c r="S263" s="445">
        <f t="shared" ref="S263" si="1118">R263*S255</f>
        <v>0</v>
      </c>
      <c r="T263" s="438">
        <f>vl_overridden_uom_oncosts_per</f>
        <v>0</v>
      </c>
      <c r="U263" s="445">
        <f t="shared" ref="U263" si="1119">T263*U255</f>
        <v>0</v>
      </c>
      <c r="V263" s="438">
        <f>vl_overridden_uom_oncosts_per</f>
        <v>0</v>
      </c>
      <c r="W263" s="445">
        <f t="shared" ref="W263" si="1120">V263*W255</f>
        <v>0</v>
      </c>
      <c r="X263" s="438">
        <f>vl_overridden_uom_oncosts_per</f>
        <v>0</v>
      </c>
      <c r="Y263" s="445">
        <f t="shared" ref="Y263" si="1121">X263*Y255</f>
        <v>0</v>
      </c>
      <c r="Z263" s="438">
        <f>vl_overridden_uom_oncosts_per</f>
        <v>0</v>
      </c>
      <c r="AA263" s="445">
        <f t="shared" ref="AA263" si="1122">Z263*AA255</f>
        <v>0</v>
      </c>
      <c r="AB263" s="438">
        <f>vl_overridden_uom_oncosts_per</f>
        <v>0</v>
      </c>
      <c r="AC263" s="445">
        <f t="shared" ref="AC263" si="1123">AB263*AC255</f>
        <v>0</v>
      </c>
      <c r="AD263" s="335"/>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row>
    <row r="264" spans="1:56" hidden="1" outlineLevel="1" x14ac:dyDescent="0.3">
      <c r="A264" s="1182"/>
      <c r="B264" s="1379"/>
      <c r="C264" s="1379"/>
      <c r="D264" s="1379"/>
      <c r="E264" s="1379"/>
      <c r="F264" s="1379"/>
      <c r="G264" s="1379"/>
      <c r="H264" s="1380"/>
      <c r="I264" s="341" t="s">
        <v>321</v>
      </c>
      <c r="J264" s="342"/>
      <c r="K264" s="444">
        <f>SUM(K258:K263)</f>
        <v>0</v>
      </c>
      <c r="L264" s="342"/>
      <c r="M264" s="444">
        <f t="shared" ref="M264" si="1124">SUM(M258:M263)</f>
        <v>0</v>
      </c>
      <c r="N264" s="342"/>
      <c r="O264" s="444">
        <f t="shared" ref="O264" si="1125">SUM(O258:O263)</f>
        <v>0</v>
      </c>
      <c r="P264" s="342"/>
      <c r="Q264" s="444">
        <f t="shared" ref="Q264" si="1126">SUM(Q258:Q263)</f>
        <v>0</v>
      </c>
      <c r="R264" s="342"/>
      <c r="S264" s="444">
        <f t="shared" ref="S264" si="1127">SUM(S258:S263)</f>
        <v>0</v>
      </c>
      <c r="T264" s="342"/>
      <c r="U264" s="444">
        <f t="shared" ref="U264" si="1128">SUM(U258:U263)</f>
        <v>0</v>
      </c>
      <c r="V264" s="342"/>
      <c r="W264" s="444">
        <f t="shared" ref="W264" si="1129">SUM(W258:W263)</f>
        <v>0</v>
      </c>
      <c r="X264" s="342"/>
      <c r="Y264" s="444">
        <f t="shared" ref="Y264" si="1130">SUM(Y258:Y263)</f>
        <v>0</v>
      </c>
      <c r="Z264" s="342"/>
      <c r="AA264" s="444">
        <f t="shared" ref="AA264" si="1131">SUM(AA258:AA263)</f>
        <v>0</v>
      </c>
      <c r="AB264" s="342"/>
      <c r="AC264" s="444">
        <f t="shared" ref="AC264" si="1132">SUM(AC258:AC263)</f>
        <v>0</v>
      </c>
      <c r="AD264" s="335">
        <f t="shared" si="1095"/>
        <v>0</v>
      </c>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row>
    <row r="265" spans="1:56" hidden="1" outlineLevel="1" x14ac:dyDescent="0.3">
      <c r="A265" s="1182"/>
      <c r="B265" s="1379"/>
      <c r="C265" s="1379"/>
      <c r="D265" s="1379"/>
      <c r="E265" s="1379"/>
      <c r="F265" s="1379"/>
      <c r="G265" s="1379"/>
      <c r="H265" s="1380"/>
      <c r="I265" s="336" t="s">
        <v>322</v>
      </c>
      <c r="J265" s="339">
        <f>_xlfn.IFNA(VLOOKUP($D254,tbAnnualLeaveProvision,2,FALSE),0)</f>
        <v>0</v>
      </c>
      <c r="K265" s="443">
        <f>J265*K255</f>
        <v>0</v>
      </c>
      <c r="L265" s="340">
        <f>_xlfn.IFNA(VLOOKUP($D254,tbAnnualLeaveProvision,2,FALSE),0)</f>
        <v>0</v>
      </c>
      <c r="M265" s="451">
        <f t="shared" ref="M265" si="1133">L265*M255</f>
        <v>0</v>
      </c>
      <c r="N265" s="339">
        <f>_xlfn.IFNA(VLOOKUP($D254,tbAnnualLeaveProvision,2,FALSE),0)</f>
        <v>0</v>
      </c>
      <c r="O265" s="443">
        <f>N265*O255</f>
        <v>0</v>
      </c>
      <c r="P265" s="340">
        <f>_xlfn.IFNA(VLOOKUP($D254,tbAnnualLeaveProvision,2,FALSE),0)</f>
        <v>0</v>
      </c>
      <c r="Q265" s="451">
        <f t="shared" ref="Q265" si="1134">P265*Q255</f>
        <v>0</v>
      </c>
      <c r="R265" s="339">
        <f>_xlfn.IFNA(VLOOKUP($D254,tbAnnualLeaveProvision,2,FALSE),0)</f>
        <v>0</v>
      </c>
      <c r="S265" s="443">
        <f>R265*S255</f>
        <v>0</v>
      </c>
      <c r="T265" s="340">
        <f>_xlfn.IFNA(VLOOKUP($D254,tbAnnualLeaveProvision,2,FALSE),0)</f>
        <v>0</v>
      </c>
      <c r="U265" s="451">
        <f t="shared" ref="U265" si="1135">T265*U255</f>
        <v>0</v>
      </c>
      <c r="V265" s="339">
        <f>_xlfn.IFNA(VLOOKUP($D254,tbAnnualLeaveProvision,2,FALSE),0)</f>
        <v>0</v>
      </c>
      <c r="W265" s="443">
        <f>V265*W255</f>
        <v>0</v>
      </c>
      <c r="X265" s="340">
        <f>_xlfn.IFNA(VLOOKUP($D254,tbAnnualLeaveProvision,2,FALSE),0)</f>
        <v>0</v>
      </c>
      <c r="Y265" s="451">
        <f t="shared" ref="Y265" si="1136">X265*Y255</f>
        <v>0</v>
      </c>
      <c r="Z265" s="339">
        <f>_xlfn.IFNA(VLOOKUP($D254,tbAnnualLeaveProvision,2,FALSE),0)</f>
        <v>0</v>
      </c>
      <c r="AA265" s="443">
        <f>Z265*AA255</f>
        <v>0</v>
      </c>
      <c r="AB265" s="340">
        <f>_xlfn.IFNA(VLOOKUP($D254,tbAnnualLeaveProvision,2,FALSE),0)</f>
        <v>0</v>
      </c>
      <c r="AC265" s="451">
        <f t="shared" ref="AC265" si="1137">AB265*AC255</f>
        <v>0</v>
      </c>
      <c r="AD265" s="335"/>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row>
    <row r="266" spans="1:56" hidden="1" outlineLevel="1" x14ac:dyDescent="0.3">
      <c r="A266" s="1182"/>
      <c r="B266" s="1379"/>
      <c r="C266" s="1379"/>
      <c r="D266" s="1379"/>
      <c r="E266" s="1379"/>
      <c r="F266" s="1379"/>
      <c r="G266" s="1379"/>
      <c r="H266" s="1380"/>
      <c r="I266" s="336" t="s">
        <v>330</v>
      </c>
      <c r="J266" s="339"/>
      <c r="K266" s="446">
        <f>K264+K265</f>
        <v>0</v>
      </c>
      <c r="L266" s="340"/>
      <c r="M266" s="452">
        <f t="shared" ref="M266" si="1138">M264+M265</f>
        <v>0</v>
      </c>
      <c r="N266" s="339"/>
      <c r="O266" s="446">
        <f>O264+O265</f>
        <v>0</v>
      </c>
      <c r="P266" s="340"/>
      <c r="Q266" s="452">
        <f t="shared" ref="Q266" si="1139">Q264+Q265</f>
        <v>0</v>
      </c>
      <c r="R266" s="339"/>
      <c r="S266" s="446">
        <f>S264+S265</f>
        <v>0</v>
      </c>
      <c r="T266" s="340"/>
      <c r="U266" s="452">
        <f t="shared" ref="U266" si="1140">U264+U265</f>
        <v>0</v>
      </c>
      <c r="V266" s="339"/>
      <c r="W266" s="446">
        <f>W264+W265</f>
        <v>0</v>
      </c>
      <c r="X266" s="340"/>
      <c r="Y266" s="452">
        <f t="shared" ref="Y266" si="1141">Y264+Y265</f>
        <v>0</v>
      </c>
      <c r="Z266" s="339"/>
      <c r="AA266" s="446">
        <f>AA264+AA265</f>
        <v>0</v>
      </c>
      <c r="AB266" s="340"/>
      <c r="AC266" s="452">
        <f t="shared" ref="AC266" si="1142">AC264+AC265</f>
        <v>0</v>
      </c>
      <c r="AD266" s="335"/>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row>
    <row r="267" spans="1:56" hidden="1" outlineLevel="1" x14ac:dyDescent="0.3">
      <c r="A267" s="1182"/>
      <c r="B267" s="1379"/>
      <c r="C267" s="1379"/>
      <c r="D267" s="1379"/>
      <c r="E267" s="1379"/>
      <c r="F267" s="1379"/>
      <c r="G267" s="1379"/>
      <c r="H267" s="1380"/>
      <c r="I267" s="343" t="s">
        <v>324</v>
      </c>
      <c r="J267" s="344"/>
      <c r="K267" s="443">
        <f>IFERROR(-(K264/vl_working_days_per_year)*J267,0)</f>
        <v>0</v>
      </c>
      <c r="L267" s="345"/>
      <c r="M267" s="451">
        <f>IFERROR(-(M264/vl_working_days_per_year)*L267,0)</f>
        <v>0</v>
      </c>
      <c r="N267" s="344"/>
      <c r="O267" s="443">
        <f>-(O264/vl_working_days_per_year)*N267</f>
        <v>0</v>
      </c>
      <c r="P267" s="345"/>
      <c r="Q267" s="451">
        <f>-(Q264/vl_working_days_per_year)*P267</f>
        <v>0</v>
      </c>
      <c r="R267" s="344"/>
      <c r="S267" s="443">
        <f>-(S264/vl_working_days_per_year)*R267</f>
        <v>0</v>
      </c>
      <c r="T267" s="345"/>
      <c r="U267" s="451">
        <f>-(U264/vl_working_days_per_year)*T267</f>
        <v>0</v>
      </c>
      <c r="V267" s="344"/>
      <c r="W267" s="443">
        <f>-(W264/vl_working_days_per_year)*V267</f>
        <v>0</v>
      </c>
      <c r="X267" s="345"/>
      <c r="Y267" s="451">
        <f>-(Y264/vl_working_days_per_year)*X267</f>
        <v>0</v>
      </c>
      <c r="Z267" s="344"/>
      <c r="AA267" s="443">
        <f>-(AA264/vl_working_days_per_year)*Z267</f>
        <v>0</v>
      </c>
      <c r="AB267" s="345"/>
      <c r="AC267" s="451">
        <f>-(AC264/vl_working_days_per_year)*AB267</f>
        <v>0</v>
      </c>
      <c r="AD267" s="335">
        <f t="shared" si="1095"/>
        <v>0</v>
      </c>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row>
    <row r="268" spans="1:56" hidden="1" outlineLevel="1" x14ac:dyDescent="0.3">
      <c r="A268" s="1182"/>
      <c r="B268" s="1379"/>
      <c r="C268" s="1379"/>
      <c r="D268" s="1379"/>
      <c r="E268" s="1379"/>
      <c r="F268" s="1379"/>
      <c r="G268" s="1379"/>
      <c r="H268" s="1380"/>
      <c r="I268" s="341" t="s">
        <v>325</v>
      </c>
      <c r="J268" s="346"/>
      <c r="K268" s="444">
        <f>K266+K267</f>
        <v>0</v>
      </c>
      <c r="L268" s="346"/>
      <c r="M268" s="444">
        <f t="shared" ref="M268" si="1143">M266+M267</f>
        <v>0</v>
      </c>
      <c r="N268" s="346"/>
      <c r="O268" s="444">
        <f>O266+O267</f>
        <v>0</v>
      </c>
      <c r="P268" s="346"/>
      <c r="Q268" s="444">
        <f t="shared" ref="Q268" si="1144">Q266+Q267</f>
        <v>0</v>
      </c>
      <c r="R268" s="346"/>
      <c r="S268" s="444">
        <f>S266+S267</f>
        <v>0</v>
      </c>
      <c r="T268" s="346"/>
      <c r="U268" s="444">
        <f t="shared" ref="U268" si="1145">U266+U267</f>
        <v>0</v>
      </c>
      <c r="V268" s="346"/>
      <c r="W268" s="444">
        <f>W266+W267</f>
        <v>0</v>
      </c>
      <c r="X268" s="346"/>
      <c r="Y268" s="444">
        <f t="shared" ref="Y268" si="1146">Y266+Y267</f>
        <v>0</v>
      </c>
      <c r="Z268" s="346"/>
      <c r="AA268" s="444">
        <f>AA266+AA267</f>
        <v>0</v>
      </c>
      <c r="AB268" s="346"/>
      <c r="AC268" s="444">
        <f t="shared" ref="AC268" si="1147">AC266+AC267</f>
        <v>0</v>
      </c>
      <c r="AD268" s="335">
        <f t="shared" si="1095"/>
        <v>0</v>
      </c>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row>
    <row r="269" spans="1:56" s="1" customFormat="1" ht="15" hidden="1" customHeight="1" outlineLevel="1" x14ac:dyDescent="0.3">
      <c r="A269" s="727"/>
      <c r="B269" s="1379"/>
      <c r="C269" s="1379"/>
      <c r="D269" s="1379"/>
      <c r="E269" s="1379"/>
      <c r="F269" s="1379"/>
      <c r="G269" s="1379"/>
      <c r="H269" s="1380"/>
      <c r="I269" s="382" t="s">
        <v>326</v>
      </c>
      <c r="J269" s="383">
        <f>IFERROR(K269/K255,0)</f>
        <v>0</v>
      </c>
      <c r="K269" s="447">
        <f>SUM(K256:K257,K259:K262,K265)</f>
        <v>0</v>
      </c>
      <c r="L269" s="434">
        <f>IFERROR(M269/M255,0)</f>
        <v>0</v>
      </c>
      <c r="M269" s="453">
        <f t="shared" ref="M269" si="1148">SUM(M256:M257,M259:M262,M265)</f>
        <v>0</v>
      </c>
      <c r="N269" s="383">
        <f t="shared" ref="N269" si="1149">IFERROR(O269/O255,0)</f>
        <v>0</v>
      </c>
      <c r="O269" s="447">
        <f t="shared" ref="O269" si="1150">SUM(O256:O257,O259:O262,O265)</f>
        <v>0</v>
      </c>
      <c r="P269" s="434">
        <f t="shared" ref="P269" si="1151">IFERROR(Q269/Q255,0)</f>
        <v>0</v>
      </c>
      <c r="Q269" s="453">
        <f t="shared" ref="Q269" si="1152">SUM(Q256:Q257,Q259:Q262,Q265)</f>
        <v>0</v>
      </c>
      <c r="R269" s="383">
        <f t="shared" ref="R269" si="1153">IFERROR(S269/S255,0)</f>
        <v>0</v>
      </c>
      <c r="S269" s="447">
        <f t="shared" ref="S269" si="1154">SUM(S256:S257,S259:S262,S265)</f>
        <v>0</v>
      </c>
      <c r="T269" s="434">
        <f t="shared" ref="T269" si="1155">IFERROR(U269/U255,0)</f>
        <v>0</v>
      </c>
      <c r="U269" s="453">
        <f t="shared" ref="U269" si="1156">SUM(U256:U257,U259:U262,U265)</f>
        <v>0</v>
      </c>
      <c r="V269" s="383">
        <f t="shared" ref="V269" si="1157">IFERROR(W269/W255,0)</f>
        <v>0</v>
      </c>
      <c r="W269" s="447">
        <f t="shared" ref="W269" si="1158">SUM(W256:W257,W259:W262,W265)</f>
        <v>0</v>
      </c>
      <c r="X269" s="434">
        <f t="shared" ref="X269" si="1159">IFERROR(Y269/Y255,0)</f>
        <v>0</v>
      </c>
      <c r="Y269" s="453">
        <f t="shared" ref="Y269" si="1160">SUM(Y256:Y257,Y259:Y262,Y265)</f>
        <v>0</v>
      </c>
      <c r="Z269" s="383">
        <f t="shared" ref="Z269" si="1161">IFERROR(AA269/AA255,0)</f>
        <v>0</v>
      </c>
      <c r="AA269" s="447">
        <f t="shared" ref="AA269" si="1162">SUM(AA256:AA257,AA259:AA262,AA265)</f>
        <v>0</v>
      </c>
      <c r="AB269" s="434">
        <f t="shared" ref="AB269" si="1163">IFERROR(AC269/AC255,0)</f>
        <v>0</v>
      </c>
      <c r="AC269" s="453">
        <f t="shared" ref="AC269" si="1164">SUM(AC256:AC257,AC259:AC262,AC265)</f>
        <v>0</v>
      </c>
      <c r="AD269" s="377">
        <f t="shared" si="1095"/>
        <v>0</v>
      </c>
      <c r="AE269" s="14"/>
      <c r="AF269" s="14"/>
      <c r="AG269" s="14"/>
      <c r="AH269" s="14"/>
      <c r="AI269" s="14"/>
      <c r="AJ269" s="14"/>
      <c r="AK269" s="14"/>
      <c r="AL269" s="14"/>
      <c r="AM269" s="14"/>
      <c r="AN269" s="14"/>
      <c r="AO269" s="14"/>
      <c r="AP269" s="14"/>
      <c r="AQ269" s="14"/>
      <c r="AR269" s="14"/>
      <c r="AS269" s="14"/>
      <c r="AT269" s="14"/>
      <c r="AU269" s="14"/>
      <c r="AV269" s="14"/>
      <c r="AW269" s="14"/>
      <c r="AX269" s="14"/>
      <c r="AY269" s="14"/>
      <c r="AZ269" s="14"/>
      <c r="BA269" s="14"/>
      <c r="BB269" s="14"/>
      <c r="BC269" s="14"/>
      <c r="BD269" s="14"/>
    </row>
    <row r="270" spans="1:56" hidden="1" outlineLevel="1" x14ac:dyDescent="0.3">
      <c r="A270" s="1182"/>
      <c r="B270" s="1379"/>
      <c r="C270" s="1379"/>
      <c r="D270" s="1379"/>
      <c r="E270" s="1379"/>
      <c r="F270" s="1379"/>
      <c r="G270" s="1379"/>
      <c r="H270" s="1380"/>
      <c r="I270" s="382" t="s">
        <v>327</v>
      </c>
      <c r="J270" s="384">
        <f>pCRSalaries</f>
        <v>2.5</v>
      </c>
      <c r="K270" s="447"/>
      <c r="L270" s="435">
        <f>pCRSalaries</f>
        <v>2.5</v>
      </c>
      <c r="M270" s="453"/>
      <c r="N270" s="384">
        <f>pCRSalaries</f>
        <v>2.5</v>
      </c>
      <c r="O270" s="447"/>
      <c r="P270" s="435">
        <f>pCRSalaries</f>
        <v>2.5</v>
      </c>
      <c r="Q270" s="453"/>
      <c r="R270" s="384">
        <f>pCRSalaries</f>
        <v>2.5</v>
      </c>
      <c r="S270" s="447"/>
      <c r="T270" s="435">
        <f>pCRSalaries</f>
        <v>2.5</v>
      </c>
      <c r="U270" s="453"/>
      <c r="V270" s="384">
        <f>pCRSalaries</f>
        <v>2.5</v>
      </c>
      <c r="W270" s="447"/>
      <c r="X270" s="435">
        <f>pCRSalaries</f>
        <v>2.5</v>
      </c>
      <c r="Y270" s="453"/>
      <c r="Z270" s="384">
        <f>pCRSalaries</f>
        <v>2.5</v>
      </c>
      <c r="AA270" s="447"/>
      <c r="AB270" s="435">
        <f>pCRSalaries</f>
        <v>2.5</v>
      </c>
      <c r="AC270" s="453"/>
      <c r="AD270" s="335"/>
      <c r="AE270" s="1152"/>
      <c r="AF270" s="1152"/>
      <c r="AG270" s="1152"/>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row>
    <row r="271" spans="1:56" ht="16.2" hidden="1" outlineLevel="1" thickBot="1" x14ac:dyDescent="0.35">
      <c r="A271" s="1182"/>
      <c r="B271" s="710"/>
      <c r="C271" s="347"/>
      <c r="D271" s="347"/>
      <c r="E271" s="347"/>
      <c r="F271" s="347"/>
      <c r="G271" s="347"/>
      <c r="H271" s="347"/>
      <c r="I271" s="436" t="s">
        <v>329</v>
      </c>
      <c r="J271" s="348"/>
      <c r="K271" s="448">
        <f>J270*K266</f>
        <v>0</v>
      </c>
      <c r="L271" s="348"/>
      <c r="M271" s="448">
        <f t="shared" ref="M271" si="1165">L270*M266</f>
        <v>0</v>
      </c>
      <c r="N271" s="348"/>
      <c r="O271" s="448">
        <f>N270*O266</f>
        <v>0</v>
      </c>
      <c r="P271" s="348"/>
      <c r="Q271" s="448">
        <f t="shared" ref="Q271" si="1166">P270*Q266</f>
        <v>0</v>
      </c>
      <c r="R271" s="348"/>
      <c r="S271" s="448">
        <f>R270*S266</f>
        <v>0</v>
      </c>
      <c r="T271" s="348"/>
      <c r="U271" s="448">
        <f t="shared" ref="U271" si="1167">T270*U266</f>
        <v>0</v>
      </c>
      <c r="V271" s="348"/>
      <c r="W271" s="448">
        <f>V270*W266</f>
        <v>0</v>
      </c>
      <c r="X271" s="348"/>
      <c r="Y271" s="448">
        <f t="shared" ref="Y271" si="1168">X270*Y266</f>
        <v>0</v>
      </c>
      <c r="Z271" s="348"/>
      <c r="AA271" s="448">
        <f>Z270*AA266</f>
        <v>0</v>
      </c>
      <c r="AB271" s="348"/>
      <c r="AC271" s="448">
        <f t="shared" ref="AC271" si="1169">AB270*AC266</f>
        <v>0</v>
      </c>
      <c r="AD271" s="335">
        <f t="shared" si="1095"/>
        <v>0</v>
      </c>
      <c r="AE271" s="1152"/>
      <c r="AF271" s="1152"/>
      <c r="AG271" s="1152"/>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row>
    <row r="272" spans="1:56" ht="15" hidden="1" outlineLevel="1" thickBot="1" x14ac:dyDescent="0.35">
      <c r="A272" s="1182"/>
      <c r="B272" s="1181"/>
      <c r="C272" s="1181"/>
      <c r="D272" s="1181"/>
      <c r="E272" s="1181"/>
      <c r="F272" s="1181"/>
      <c r="G272" s="1181"/>
      <c r="H272" s="1181"/>
      <c r="I272" s="350"/>
      <c r="J272" s="351"/>
      <c r="K272" s="351"/>
      <c r="L272" s="351"/>
      <c r="M272" s="352"/>
      <c r="N272" s="351"/>
      <c r="O272" s="352"/>
      <c r="P272" s="351"/>
      <c r="Q272" s="352"/>
      <c r="R272" s="351"/>
      <c r="S272" s="352"/>
      <c r="T272" s="351"/>
      <c r="U272" s="352"/>
      <c r="V272" s="351"/>
      <c r="W272" s="352"/>
      <c r="X272" s="351"/>
      <c r="Y272" s="352"/>
      <c r="Z272" s="351"/>
      <c r="AA272" s="352"/>
      <c r="AB272" s="351"/>
      <c r="AC272" s="352"/>
      <c r="AD272" s="353" t="str">
        <f>IF(tbBudgetCurrency="AUD - Australian Dollar","",IFERROR(K272+M272+O272+Q272+S272+U272+W272+Y272+AA272+AC272,0))</f>
        <v/>
      </c>
      <c r="AE272" s="1152"/>
      <c r="AF272" s="1152"/>
      <c r="AG272" s="1152"/>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row>
    <row r="273" spans="1:56" hidden="1" outlineLevel="1" x14ac:dyDescent="0.3">
      <c r="A273" s="1182"/>
      <c r="B273" s="356" t="str">
        <f>IF('PART B Staff Costs'!B35="","",'PART B Staff Costs'!B35)</f>
        <v/>
      </c>
      <c r="C273" s="355" t="str">
        <f>IF('PART B Staff Costs'!C35="","",'PART B Staff Costs'!C35)</f>
        <v xml:space="preserve"> </v>
      </c>
      <c r="D273" s="355" t="str">
        <f>IF('PART B Staff Costs'!D35="","",'PART B Staff Costs'!D35)</f>
        <v/>
      </c>
      <c r="E273" s="355" t="str">
        <f>IF('PART B Staff Costs'!E35="","",'PART B Staff Costs'!E35)</f>
        <v/>
      </c>
      <c r="F273" s="355" t="str">
        <f>IF('PART B Staff Costs'!F35="","",'PART B Staff Costs'!F35)</f>
        <v/>
      </c>
      <c r="G273" s="355" t="str">
        <f>IF('PART B Staff Costs'!G35="","",'PART B Staff Costs'!G35)</f>
        <v/>
      </c>
      <c r="H273" s="332" t="str">
        <f t="shared" ref="H273" si="1170">CONCATENATE(IF(D273=0,"",D273)," ",IF(E273=0,"",E273)," ",IF(F273=0,"",F273),,IF(OR(G273=0,G273=""),"",CONCATENATE(" (",G273,")")))</f>
        <v xml:space="preserve">  </v>
      </c>
      <c r="I273" s="332" t="s">
        <v>313</v>
      </c>
      <c r="J273" s="333">
        <f>_xlfn.IFNA('PART B Staff Costs'!H35*'PART B Staff Costs'!J$10,0)*new_xrate</f>
        <v>0</v>
      </c>
      <c r="K273" s="441"/>
      <c r="L273" s="334">
        <f>_xlfn.IFNA(IF(pStartYear+1&gt;pEndYear,0,VLOOKUP(CONCATENATE(
IF(OR($D273="Continuing",$D273="Fixed-Term"),"Fortnight",IF($D273="Casual","Casual",)),
$E273,
IF(OR($D273="Continuing",$D273="Fixed-Term"),
IF(LEFT($F273,6)="UOM 10","UOM 10",(LEFT($F273,LEN($F273)-1)&amp;MIN(RIGHT($F273,1)+COUNTIFS($J274:K274,"&gt;0")/2,VLOOKUP(LEFT($F273,LEN($F273)-2),tSalaryMax,2,FALSE)))),
IF($D273="Casual",
$F273,))
),tSalaryRate,5,FALSE)*VLOOKUP($G273,tSalaryRateMultiplier,2,FALSE)*'PART B Staff Costs'!L$10),0)*new_xrate</f>
        <v>0</v>
      </c>
      <c r="M273" s="449"/>
      <c r="N273" s="333">
        <f>_xlfn.IFNA(IF(pStartYear+2&gt;pEndYear,0,VLOOKUP(CONCATENATE(
IF(OR($D273="Continuing",$D273="Fixed-Term"),"Fortnight",IF($D273="Casual","Casual",)),
$E273,
IF(OR($D273="Continuing",$D273="Fixed-Term"),
IF(LEFT($F273,6)="UOM 10","UOM 10",(LEFT($F273,LEN($F273)-1)&amp;MIN(RIGHT($F273,1)+COUNTIFS($J274:M274,"&gt;0")/2,VLOOKUP(LEFT($F273,LEN($F273)-2),tSalaryMax,2,FALSE)))),
IF($D273="Casual",
$F273,))
),tSalaryRate,5,FALSE)*VLOOKUP($G273,tSalaryRateMultiplier,2,FALSE)*'PART B Staff Costs'!N$10),0)*new_xrate</f>
        <v>0</v>
      </c>
      <c r="O273" s="441"/>
      <c r="P273" s="334">
        <f>_xlfn.IFNA(IF(pStartYear+3&gt;pEndYear,0,VLOOKUP(CONCATENATE(
IF(OR($D273="Continuing",$D273="Fixed-Term"),"Fortnight",IF($D273="Casual","Casual",)),
$E273,
IF(OR($D273="Continuing",$D273="Fixed-Term"),
IF(LEFT($F273,6)="UOM 10","UOM 10",(LEFT($F273,LEN($F273)-1)&amp;MIN(RIGHT($F273,1)+COUNTIFS($J274:O274,"&gt;0")/2,VLOOKUP(LEFT($F273,LEN($F273)-2),tSalaryMax,2,FALSE)))),
IF($D273="Casual",
$F273,))
),tSalaryRate,5,FALSE)*VLOOKUP($G273,tSalaryRateMultiplier,2,FALSE)*'PART B Staff Costs'!P$10),0)*new_xrate</f>
        <v>0</v>
      </c>
      <c r="Q273" s="449"/>
      <c r="R273" s="333">
        <f>_xlfn.IFNA(IF(pStartYear+4&gt;pEndYear,0,VLOOKUP(CONCATENATE(
IF(OR($D273="Continuing",$D273="Fixed-Term"),"Fortnight",IF($D273="Casual","Casual",)),
$E273,
IF(OR($D273="Continuing",$D273="Fixed-Term"),
IF(LEFT($F273,6)="UOM 10","UOM 10",(LEFT($F273,LEN($F273)-1)&amp;MIN(RIGHT($F273,1)+COUNTIFS($J274:Q274,"&gt;0")/2,VLOOKUP(LEFT($F273,LEN($F273)-2),tSalaryMax,2,FALSE)))),
IF($D273="Casual",
$F273,))
),tSalaryRate,5,FALSE)*VLOOKUP($G273,tSalaryRateMultiplier,2,FALSE)*'PART B Staff Costs'!R$10),0)*new_xrate</f>
        <v>0</v>
      </c>
      <c r="S273" s="441"/>
      <c r="T273" s="334">
        <f>_xlfn.IFNA(IF(pStartYear+5&gt;pEndYear,0,VLOOKUP(CONCATENATE(
IF(OR($D273="Continuing",$D273="Fixed-Term"),"Fortnight",IF($D273="Casual","Casual",)),
$E273,
IF(OR($D273="Continuing",$D273="Fixed-Term"),
IF(LEFT($F273,6)="UOM 10","UOM 10",(LEFT($F273,LEN($F273)-1)&amp;MIN(RIGHT($F273,1)+COUNTIFS($J274:S274,"&gt;0")/2,VLOOKUP(LEFT($F273,LEN($F273)-2),tSalaryMax,2,FALSE)))),
IF($D273="Casual",
$F273,))
),tSalaryRate,5,FALSE)*VLOOKUP($G273,tSalaryRateMultiplier,2,FALSE)*'PART B Staff Costs'!T$10),0)*new_xrate</f>
        <v>0</v>
      </c>
      <c r="U273" s="449"/>
      <c r="V273" s="333">
        <f>_xlfn.IFNA(IF(pStartYear+6&gt;pEndYear,0,VLOOKUP(CONCATENATE(
IF(OR($D273="Continuing",$D273="Fixed-Term"),"Fortnight",IF($D273="Casual","Casual",)),
$E273,
IF(OR($D273="Continuing",$D273="Fixed-Term"),
IF(LEFT($F273,6)="UOM 10","UOM 10",(LEFT($F273,LEN($F273)-1)&amp;MIN(RIGHT($F273,1)+COUNTIFS($J274:U274,"&gt;0")/2,VLOOKUP(LEFT($F273,LEN($F273)-2),tSalaryMax,2,FALSE)))),
IF($D273="Casual",
$F273,))
),tSalaryRate,5,FALSE)*VLOOKUP($G273,tSalaryRateMultiplier,2,FALSE)*'PART B Staff Costs'!V$10),0)*new_xrate</f>
        <v>0</v>
      </c>
      <c r="W273" s="441"/>
      <c r="X273" s="334">
        <f>_xlfn.IFNA(IF(pStartYear+7&gt;pEndYear,0,VLOOKUP(CONCATENATE(
IF(OR($D273="Continuing",$D273="Fixed-Term"),"Fortnight",IF($D273="Casual","Casual",)),
$E273,
IF(OR($D273="Continuing",$D273="Fixed-Term"),
IF(LEFT($F273,6)="UOM 10","UOM 10",(LEFT($F273,LEN($F273)-1)&amp;MIN(RIGHT($F273,1)+COUNTIFS($J274:W274,"&gt;0")/2,VLOOKUP(LEFT($F273,LEN($F273)-2),tSalaryMax,2,FALSE)))),
IF($D273="Casual",
$F273,))
),tSalaryRate,5,FALSE)*VLOOKUP($G273,tSalaryRateMultiplier,2,FALSE)*'PART B Staff Costs'!X$10),0)*new_xrate</f>
        <v>0</v>
      </c>
      <c r="Y273" s="449"/>
      <c r="Z273" s="333">
        <f>_xlfn.IFNA(IF(pStartYear+8&gt;pEndYear,0,VLOOKUP(CONCATENATE(
IF(OR($D273="Continuing",$D273="Fixed-Term"),"Fortnight",IF($D273="Casual","Casual",)),
$E273,
IF(OR($D273="Continuing",$D273="Fixed-Term"),
IF(LEFT($F273,6)="UOM 10","UOM 10",(LEFT($F273,LEN($F273)-1)&amp;MIN(RIGHT($F273,1)+COUNTIFS($J274:Y274,"&gt;0")/2,VLOOKUP(LEFT($F273,LEN($F273)-2),tSalaryMax,2,FALSE)))),
IF($D273="Casual",
$F273,))
),tSalaryRate,5,FALSE)*VLOOKUP($G273,tSalaryRateMultiplier,2,FALSE)*'PART B Staff Costs'!Z$10),0)*new_xrate</f>
        <v>0</v>
      </c>
      <c r="AA273" s="441"/>
      <c r="AB273" s="334">
        <f>_xlfn.IFNA(IF(pStartYear+9&gt;pEndYear,0,VLOOKUP(CONCATENATE(
IF(OR($D273="Continuing",$D273="Fixed-Term"),"Fortnight",IF($D273="Casual","Casual",)),
$E273,
IF(OR($D273="Continuing",$D273="Fixed-Term"),
IF(LEFT($F273,6)="UOM 10","UOM 10",(LEFT($F273,LEN($F273)-1)&amp;MIN(RIGHT($F273,1)+COUNTIFS($J274:AA274,"&gt;0")/2,VLOOKUP(LEFT($F273,LEN($F273)-2),tSalaryMax,2,FALSE)))),
IF($D273="Casual",
$F273,))
),tSalaryRate,5,FALSE)*VLOOKUP($G273,tSalaryRateMultiplier,2,FALSE)*'PART B Staff Costs'!AB$10),0)*new_xrate</f>
        <v>0</v>
      </c>
      <c r="AC273" s="449"/>
      <c r="AD273" s="335"/>
      <c r="AE273" s="1152"/>
      <c r="AF273" s="1152"/>
      <c r="AG273" s="1152"/>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row>
    <row r="274" spans="1:56" hidden="1" outlineLevel="1" x14ac:dyDescent="0.3">
      <c r="A274" s="1182"/>
      <c r="B274" s="1377"/>
      <c r="C274" s="1377"/>
      <c r="D274" s="1377"/>
      <c r="E274" s="1377"/>
      <c r="F274" s="1377"/>
      <c r="G274" s="1377"/>
      <c r="H274" s="1378"/>
      <c r="I274" s="336" t="str">
        <f>IF('PART B Staff Costs'!G269&lt;&gt;"",CONCATENATE("Time/Requested salary"," (",'PART B Staff Costs'!G269,")"),"Time/Requested salary")</f>
        <v>Time/Requested salary</v>
      </c>
      <c r="J274" s="337">
        <f>_xlfn.IFNA('PART B Staff Costs'!I35,0)</f>
        <v>0</v>
      </c>
      <c r="K274" s="442">
        <f>IF('PART B Staff Costs'!$G$35="FTE",J274*J273*(First_year_fraction/12),J274*J273)</f>
        <v>0</v>
      </c>
      <c r="L274" s="338">
        <f>_xlfn.IFNA('PART B Staff Costs'!K35,0)</f>
        <v>0</v>
      </c>
      <c r="M274" s="450">
        <f>IF(pStartYear+1=pEndYear,IF('PART B Staff Costs'!$G$35="FTE",(L274*L273)*Last_Year_Fraction/12,L274*L273),L274*L273)</f>
        <v>0</v>
      </c>
      <c r="N274" s="337">
        <f>_xlfn.IFNA('PART B Staff Costs'!M35,0)</f>
        <v>0</v>
      </c>
      <c r="O274" s="442">
        <f>IF(pStartYear+2=pEndYear,IF('PART B Staff Costs'!$G$35="FTE",(N274*N273)*Last_Year_Fraction/12,N274*N273),N274*N273)</f>
        <v>0</v>
      </c>
      <c r="P274" s="338">
        <f>_xlfn.IFNA('PART B Staff Costs'!O35,0)</f>
        <v>0</v>
      </c>
      <c r="Q274" s="450">
        <f>IF(pStartYear+3=pEndYear,IF('PART B Staff Costs'!$G$35="FTE",(P274*P273)*Last_Year_Fraction/12,P274*P273),P274*P273)</f>
        <v>0</v>
      </c>
      <c r="R274" s="337">
        <f>_xlfn.IFNA('PART B Staff Costs'!Q35,0)</f>
        <v>0</v>
      </c>
      <c r="S274" s="442">
        <f>IF(pStartYear+4=pEndYear,IF('PART B Staff Costs'!$G$35="FTE",(R274*R273)*Last_Year_Fraction/12,R274*R273),R274*R273)</f>
        <v>0</v>
      </c>
      <c r="T274" s="338">
        <f>_xlfn.IFNA('PART B Staff Costs'!S35,0)</f>
        <v>0</v>
      </c>
      <c r="U274" s="450">
        <f>IF(pStartYear+5=pEndYear,IF('PART B Staff Costs'!$G$35="FTE",(T274*T273)*Last_Year_Fraction/12,T274*T273),T274*T273)</f>
        <v>0</v>
      </c>
      <c r="V274" s="337">
        <f>_xlfn.IFNA('PART B Staff Costs'!U35,0)</f>
        <v>0</v>
      </c>
      <c r="W274" s="442">
        <f>IF(pStartYear+6=pEndYear,IF('PART B Staff Costs'!$G$35="FTE",(V274*V273)*Last_Year_Fraction/12,V274*V273),V274*V273)</f>
        <v>0</v>
      </c>
      <c r="X274" s="338">
        <f>_xlfn.IFNA('PART B Staff Costs'!W35,0)</f>
        <v>0</v>
      </c>
      <c r="Y274" s="450">
        <f>IF(pStartYear+7=pEndYear,IF('PART B Staff Costs'!$G$35="FTE",(X274*X273)*Last_Year_Fraction/12,X274*X273),X274*X273)</f>
        <v>0</v>
      </c>
      <c r="Z274" s="337">
        <f>_xlfn.IFNA('PART B Staff Costs'!Y35,0)</f>
        <v>0</v>
      </c>
      <c r="AA274" s="442">
        <f>IF(pStartYear+8=pEndYear,IF('PART B Staff Costs'!$G$35="FTE",(Z274*Z273)*Last_Year_Fraction/12,Z274*Z273),Z274*Z273)</f>
        <v>0</v>
      </c>
      <c r="AB274" s="338">
        <f>_xlfn.IFNA('PART B Staff Costs'!AA35,0)</f>
        <v>0</v>
      </c>
      <c r="AC274" s="450">
        <f>IF(pStartYear+9=pEndYear,IF('PART B Staff Costs'!$G$35="FTE",(AB274*AB273)*Last_Year_Fraction/12,AB274*AB273),AB274*AB273)</f>
        <v>0</v>
      </c>
      <c r="AD274" s="335"/>
      <c r="AE274" s="1152"/>
      <c r="AF274" s="1152"/>
      <c r="AG274" s="1152"/>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row>
    <row r="275" spans="1:56" hidden="1" outlineLevel="1" x14ac:dyDescent="0.3">
      <c r="A275" s="1182"/>
      <c r="B275" s="1379"/>
      <c r="C275" s="1379"/>
      <c r="D275" s="1379"/>
      <c r="E275" s="1379"/>
      <c r="F275" s="1379"/>
      <c r="G275" s="1379"/>
      <c r="H275" s="1380"/>
      <c r="I275" s="336" t="str">
        <f>IF(tbBudgetCurrency="AUD - Australian Dollar",CONCATENATE("Leave Loading (max of AU$",vl_Max_Leave_Loading,")"),CONCATENATE("Leave Loading (max of ",ROUND(vl_Max_Leave_Loading*new_xrate,2)," ",LEFT(tbBudgetCurrency,3),")"))</f>
        <v>Leave Loading (max of AU$1611.3)</v>
      </c>
      <c r="J275" s="339">
        <f>_xlfn.IFNA(VLOOKUP($D273,tbLeaveLoading,2,FALSE),0)</f>
        <v>0</v>
      </c>
      <c r="K275" s="443">
        <f>IF(K274*J275&gt;vl_Max_Leave_Loading*new_xrate,vl_Max_Leave_Loading*new_xrate,K274*J275)</f>
        <v>0</v>
      </c>
      <c r="L275" s="340">
        <f>_xlfn.IFNA(VLOOKUP($D273,tbLeaveLoading,2,FALSE),0)</f>
        <v>0</v>
      </c>
      <c r="M275" s="451">
        <f>IF(M274*L275&gt;vl_Max_Leave_Loading*new_xrate,vl_Max_Leave_Loading*new_xrate,M274*L275)</f>
        <v>0</v>
      </c>
      <c r="N275" s="339">
        <f>_xlfn.IFNA(VLOOKUP($D273,tbLeaveLoading,2,FALSE),0)</f>
        <v>0</v>
      </c>
      <c r="O275" s="443">
        <f>IF(O274*N275&gt;vl_Max_Leave_Loading*new_xrate,vl_Max_Leave_Loading*new_xrate,O274*N275)</f>
        <v>0</v>
      </c>
      <c r="P275" s="340">
        <f>_xlfn.IFNA(VLOOKUP($D273,tbLeaveLoading,2,FALSE),0)</f>
        <v>0</v>
      </c>
      <c r="Q275" s="451">
        <f>IF(Q274*P275&gt;vl_Max_Leave_Loading*new_xrate,vl_Max_Leave_Loading*new_xrate,Q274*P275)</f>
        <v>0</v>
      </c>
      <c r="R275" s="339">
        <f>_xlfn.IFNA(VLOOKUP($D273,tbLeaveLoading,2,FALSE),0)</f>
        <v>0</v>
      </c>
      <c r="S275" s="443">
        <f>IF(S274*R275&gt;vl_Max_Leave_Loading*new_xrate,vl_Max_Leave_Loading*new_xrate,S274*R275)</f>
        <v>0</v>
      </c>
      <c r="T275" s="340">
        <f>_xlfn.IFNA(VLOOKUP($D273,tbLeaveLoading,2,FALSE),0)</f>
        <v>0</v>
      </c>
      <c r="U275" s="451">
        <f>IF(U274*T275&gt;vl_Max_Leave_Loading*new_xrate,vl_Max_Leave_Loading*new_xrate,U274*T275)</f>
        <v>0</v>
      </c>
      <c r="V275" s="339">
        <f>_xlfn.IFNA(VLOOKUP($D273,tbLeaveLoading,2,FALSE),0)</f>
        <v>0</v>
      </c>
      <c r="W275" s="443">
        <f>IF(W274*V275&gt;vl_Max_Leave_Loading*new_xrate,vl_Max_Leave_Loading*new_xrate,W274*V275)</f>
        <v>0</v>
      </c>
      <c r="X275" s="340">
        <f>_xlfn.IFNA(VLOOKUP($D273,tbLeaveLoading,2,FALSE),0)</f>
        <v>0</v>
      </c>
      <c r="Y275" s="451">
        <f>IF(Y274*X275&gt;vl_Max_Leave_Loading*new_xrate,vl_Max_Leave_Loading*new_xrate,Y274*X275)</f>
        <v>0</v>
      </c>
      <c r="Z275" s="339">
        <f>_xlfn.IFNA(VLOOKUP($D273,tbLeaveLoading,2,FALSE),0)</f>
        <v>0</v>
      </c>
      <c r="AA275" s="443">
        <f>IF(AA274*Z275&gt;vl_Max_Leave_Loading*new_xrate,vl_Max_Leave_Loading*new_xrate,AA274*Z275)</f>
        <v>0</v>
      </c>
      <c r="AB275" s="340">
        <f>_xlfn.IFNA(VLOOKUP($D273,tbLeaveLoading,2,FALSE),0)</f>
        <v>0</v>
      </c>
      <c r="AC275" s="451">
        <f>IF(AC274*AB275&gt;vl_Max_Leave_Loading*new_xrate,vl_Max_Leave_Loading*new_xrate,AC274*AB275)</f>
        <v>0</v>
      </c>
      <c r="AD275" s="335"/>
      <c r="AE275" s="1152"/>
      <c r="AF275" s="1152"/>
      <c r="AG275" s="1152"/>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row>
    <row r="276" spans="1:56" hidden="1" outlineLevel="1" x14ac:dyDescent="0.3">
      <c r="A276" s="1182"/>
      <c r="B276" s="1379"/>
      <c r="C276" s="1379"/>
      <c r="D276" s="1379"/>
      <c r="E276" s="1379"/>
      <c r="F276" s="1379"/>
      <c r="G276" s="1379"/>
      <c r="H276" s="1380"/>
      <c r="I276" s="336" t="s">
        <v>314</v>
      </c>
      <c r="J276" s="339">
        <f>_xlfn.IFNA(_xlfn.IFNA(VLOOKUP(CONCATENATE(pStartYear,$D273),tbSuperannuation,4,FALSE),VLOOKUP($D273,tbSuperannuation2026onwards,2,FALSE)),0)</f>
        <v>0</v>
      </c>
      <c r="K276" s="443">
        <f>K274*J276</f>
        <v>0</v>
      </c>
      <c r="L276" s="340">
        <f>_xlfn.IFNA(_xlfn.IFNA(VLOOKUP(CONCATENATE(pStartYear+1,$D273),tbSuperannuation,4,FALSE),VLOOKUP($D273,tbSuperannuation2026onwards,2,FALSE)),0)</f>
        <v>0</v>
      </c>
      <c r="M276" s="451">
        <f t="shared" ref="M276" si="1171">M274*L276</f>
        <v>0</v>
      </c>
      <c r="N276" s="339">
        <f>_xlfn.IFNA(_xlfn.IFNA(VLOOKUP(CONCATENATE(pStartYear+2,$D273),tbSuperannuation,4,FALSE),VLOOKUP($D273,tbSuperannuation2026onwards,2,FALSE)),0)</f>
        <v>0</v>
      </c>
      <c r="O276" s="443">
        <f>O274*N276</f>
        <v>0</v>
      </c>
      <c r="P276" s="340">
        <f>_xlfn.IFNA(_xlfn.IFNA(VLOOKUP(CONCATENATE(pStartYear+3,$D273),tbSuperannuation,4,FALSE),VLOOKUP($D273,tbSuperannuation2026onwards,2,FALSE)),0)</f>
        <v>0</v>
      </c>
      <c r="Q276" s="451">
        <f t="shared" ref="Q276" si="1172">Q274*P276</f>
        <v>0</v>
      </c>
      <c r="R276" s="339">
        <f>_xlfn.IFNA(_xlfn.IFNA(VLOOKUP(CONCATENATE(pStartYear+4,$D273),tbSuperannuation,4,FALSE),VLOOKUP($D273,tbSuperannuation2026onwards,2,FALSE)),0)</f>
        <v>0</v>
      </c>
      <c r="S276" s="443">
        <f>S274*R276</f>
        <v>0</v>
      </c>
      <c r="T276" s="340">
        <f>_xlfn.IFNA(_xlfn.IFNA(VLOOKUP(CONCATENATE(pStartYear+5,$D273),tbSuperannuation,4,FALSE),VLOOKUP($D273,tbSuperannuation2026onwards,2,FALSE)),0)</f>
        <v>0</v>
      </c>
      <c r="U276" s="451">
        <f t="shared" ref="U276" si="1173">U274*T276</f>
        <v>0</v>
      </c>
      <c r="V276" s="339">
        <f>_xlfn.IFNA(_xlfn.IFNA(VLOOKUP(CONCATENATE(pStartYear+6,$D273),tbSuperannuation,4,FALSE),VLOOKUP($D273,tbSuperannuation2026onwards,2,FALSE)),0)</f>
        <v>0</v>
      </c>
      <c r="W276" s="443">
        <f>W274*V276</f>
        <v>0</v>
      </c>
      <c r="X276" s="340">
        <f>_xlfn.IFNA(_xlfn.IFNA(VLOOKUP(CONCATENATE(pStartYear+7,$D273),tbSuperannuation,4,FALSE),VLOOKUP($D273,tbSuperannuation2026onwards,2,FALSE)),0)</f>
        <v>0</v>
      </c>
      <c r="Y276" s="451">
        <f t="shared" ref="Y276" si="1174">Y274*X276</f>
        <v>0</v>
      </c>
      <c r="Z276" s="339">
        <f>_xlfn.IFNA(_xlfn.IFNA(VLOOKUP(CONCATENATE(pStartYear+8,$D273),tbSuperannuation,4,FALSE),VLOOKUP($D273,tbSuperannuation2026onwards,2,FALSE)),0)</f>
        <v>0</v>
      </c>
      <c r="AA276" s="443">
        <f>AA274*Z276</f>
        <v>0</v>
      </c>
      <c r="AB276" s="340">
        <f>_xlfn.IFNA(_xlfn.IFNA(VLOOKUP(CONCATENATE(pStartYear+9,$D273),tbSuperannuation,4,FALSE),VLOOKUP($D273,tbSuperannuation2026onwards,2,FALSE)),0)</f>
        <v>0</v>
      </c>
      <c r="AC276" s="451">
        <f t="shared" ref="AC276" si="1175">AC274*AB276</f>
        <v>0</v>
      </c>
      <c r="AD276" s="335"/>
      <c r="AE276" s="1152"/>
      <c r="AF276" s="1152"/>
      <c r="AG276" s="1152"/>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row>
    <row r="277" spans="1:56" hidden="1" outlineLevel="1" x14ac:dyDescent="0.3">
      <c r="A277" s="1182"/>
      <c r="B277" s="1379"/>
      <c r="C277" s="1379"/>
      <c r="D277" s="1379"/>
      <c r="E277" s="1379"/>
      <c r="F277" s="1379"/>
      <c r="G277" s="1379"/>
      <c r="H277" s="1380"/>
      <c r="I277" s="341" t="s">
        <v>315</v>
      </c>
      <c r="J277" s="342"/>
      <c r="K277" s="444">
        <f>K275+K276+K274</f>
        <v>0</v>
      </c>
      <c r="L277" s="342"/>
      <c r="M277" s="444">
        <f t="shared" ref="M277" si="1176">M275+M276+M274</f>
        <v>0</v>
      </c>
      <c r="N277" s="342"/>
      <c r="O277" s="444">
        <f>O275+O276+O274</f>
        <v>0</v>
      </c>
      <c r="P277" s="342"/>
      <c r="Q277" s="444">
        <f t="shared" ref="Q277" si="1177">Q275+Q276+Q274</f>
        <v>0</v>
      </c>
      <c r="R277" s="342"/>
      <c r="S277" s="444">
        <f>S275+S276+S274</f>
        <v>0</v>
      </c>
      <c r="T277" s="342"/>
      <c r="U277" s="444">
        <f t="shared" ref="U277" si="1178">U275+U276+U274</f>
        <v>0</v>
      </c>
      <c r="V277" s="342"/>
      <c r="W277" s="444">
        <f>W275+W276+W274</f>
        <v>0</v>
      </c>
      <c r="X277" s="342"/>
      <c r="Y277" s="444">
        <f t="shared" ref="Y277" si="1179">Y275+Y276+Y274</f>
        <v>0</v>
      </c>
      <c r="Z277" s="342"/>
      <c r="AA277" s="444">
        <f>AA275+AA276+AA274</f>
        <v>0</v>
      </c>
      <c r="AB277" s="342"/>
      <c r="AC277" s="444">
        <f t="shared" ref="AC277" si="1180">AC275+AC276+AC274</f>
        <v>0</v>
      </c>
      <c r="AD277" s="335">
        <f t="shared" si="1095"/>
        <v>0</v>
      </c>
      <c r="AE277" s="1152"/>
      <c r="AF277" s="1152"/>
      <c r="AG277" s="1152"/>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row>
    <row r="278" spans="1:56" hidden="1" outlineLevel="1" x14ac:dyDescent="0.3">
      <c r="A278" s="1182"/>
      <c r="B278" s="1379"/>
      <c r="C278" s="1379"/>
      <c r="D278" s="1379"/>
      <c r="E278" s="1379"/>
      <c r="F278" s="1379"/>
      <c r="G278" s="1379"/>
      <c r="H278" s="1380"/>
      <c r="I278" s="336" t="s">
        <v>316</v>
      </c>
      <c r="J278" s="339">
        <f>_xlfn.IFNA(_xlfn.IFNA(VLOOKUP(pStartYear,tbPayrollTax,2,FALSE),vl_MaxPayrollTax),0)</f>
        <v>5.8500000000000003E-2</v>
      </c>
      <c r="K278" s="443">
        <f>J278*K277</f>
        <v>0</v>
      </c>
      <c r="L278" s="340">
        <f>_xlfn.IFNA(_xlfn.IFNA(VLOOKUP(pStartYear+1,tbPayrollTax,2,FALSE),vl_MaxPayrollTax),0)</f>
        <v>5.8500000000000003E-2</v>
      </c>
      <c r="M278" s="451">
        <f t="shared" ref="M278" si="1181">L278*M277</f>
        <v>0</v>
      </c>
      <c r="N278" s="339">
        <f>_xlfn.IFNA(_xlfn.IFNA(VLOOKUP(pStartYear+2,tbPayrollTax,2,FALSE),vl_MaxPayrollTax),0)</f>
        <v>5.8500000000000003E-2</v>
      </c>
      <c r="O278" s="443">
        <f>N278*O277</f>
        <v>0</v>
      </c>
      <c r="P278" s="340">
        <f>_xlfn.IFNA(_xlfn.IFNA(VLOOKUP(pStartYear+3,tbPayrollTax,2,FALSE),vl_MaxPayrollTax),0)</f>
        <v>5.8500000000000003E-2</v>
      </c>
      <c r="Q278" s="451">
        <f t="shared" ref="Q278" si="1182">P278*Q277</f>
        <v>0</v>
      </c>
      <c r="R278" s="339">
        <f>_xlfn.IFNA(_xlfn.IFNA(VLOOKUP(pStartYear+4,tbPayrollTax,2,FALSE),vl_MaxPayrollTax),0)</f>
        <v>5.8500000000000003E-2</v>
      </c>
      <c r="S278" s="443">
        <f>R278*S277</f>
        <v>0</v>
      </c>
      <c r="T278" s="340">
        <f>_xlfn.IFNA(_xlfn.IFNA(VLOOKUP(pStartYear+5,tbPayrollTax,2,FALSE),vl_MaxPayrollTax),0)</f>
        <v>5.8500000000000003E-2</v>
      </c>
      <c r="U278" s="451">
        <f t="shared" ref="U278" si="1183">T278*U277</f>
        <v>0</v>
      </c>
      <c r="V278" s="339">
        <f>_xlfn.IFNA(_xlfn.IFNA(VLOOKUP(pStartYear+6,tbPayrollTax,2,FALSE),vl_MaxPayrollTax),0)</f>
        <v>5.8500000000000003E-2</v>
      </c>
      <c r="W278" s="443">
        <f>V278*W277</f>
        <v>0</v>
      </c>
      <c r="X278" s="340">
        <f>_xlfn.IFNA(_xlfn.IFNA(VLOOKUP(pStartYear+7,tbPayrollTax,2,FALSE),vl_MaxPayrollTax),0)</f>
        <v>5.8500000000000003E-2</v>
      </c>
      <c r="Y278" s="451">
        <f t="shared" ref="Y278" si="1184">X278*Y277</f>
        <v>0</v>
      </c>
      <c r="Z278" s="339">
        <f>_xlfn.IFNA(_xlfn.IFNA(VLOOKUP(pStartYear+8,tbPayrollTax,2,FALSE),vl_MaxPayrollTax),0)</f>
        <v>5.8500000000000003E-2</v>
      </c>
      <c r="AA278" s="443">
        <f>Z278*AA277</f>
        <v>0</v>
      </c>
      <c r="AB278" s="340">
        <f>_xlfn.IFNA(_xlfn.IFNA(VLOOKUP(pStartYear+9,tbPayrollTax,2,FALSE),vl_MaxPayrollTax),0)</f>
        <v>5.8500000000000003E-2</v>
      </c>
      <c r="AC278" s="451">
        <f t="shared" ref="AC278" si="1185">AB278*AC277</f>
        <v>0</v>
      </c>
      <c r="AD278" s="335"/>
      <c r="AE278" s="1152"/>
      <c r="AF278" s="1152"/>
      <c r="AG278" s="1152"/>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row>
    <row r="279" spans="1:56" hidden="1" outlineLevel="1" x14ac:dyDescent="0.3">
      <c r="A279" s="1182"/>
      <c r="B279" s="1379"/>
      <c r="C279" s="1379"/>
      <c r="D279" s="1379"/>
      <c r="E279" s="1379"/>
      <c r="F279" s="1379"/>
      <c r="G279" s="1379"/>
      <c r="H279" s="1380"/>
      <c r="I279" s="336" t="s">
        <v>317</v>
      </c>
      <c r="J279" s="339">
        <f>_xlfn.IFNA(VLOOKUP($D273,tbWorkCover,2,FALSE),0)</f>
        <v>0</v>
      </c>
      <c r="K279" s="443">
        <f>J279*K277</f>
        <v>0</v>
      </c>
      <c r="L279" s="340">
        <f>_xlfn.IFNA(VLOOKUP($D273,tbWorkCover,2,FALSE),0)</f>
        <v>0</v>
      </c>
      <c r="M279" s="451">
        <f t="shared" ref="M279" si="1186">L279*M277</f>
        <v>0</v>
      </c>
      <c r="N279" s="339">
        <f>_xlfn.IFNA(VLOOKUP($D273,tbWorkCover,2,FALSE),0)</f>
        <v>0</v>
      </c>
      <c r="O279" s="443">
        <f>N279*O277</f>
        <v>0</v>
      </c>
      <c r="P279" s="340">
        <f>_xlfn.IFNA(VLOOKUP($D273,tbWorkCover,2,FALSE),0)</f>
        <v>0</v>
      </c>
      <c r="Q279" s="451">
        <f t="shared" ref="Q279" si="1187">P279*Q277</f>
        <v>0</v>
      </c>
      <c r="R279" s="339">
        <f>_xlfn.IFNA(VLOOKUP($D273,tbWorkCover,2,FALSE),0)</f>
        <v>0</v>
      </c>
      <c r="S279" s="443">
        <f>R279*S277</f>
        <v>0</v>
      </c>
      <c r="T279" s="340">
        <f>_xlfn.IFNA(VLOOKUP($D273,tbWorkCover,2,FALSE),0)</f>
        <v>0</v>
      </c>
      <c r="U279" s="451">
        <f t="shared" ref="U279" si="1188">T279*U277</f>
        <v>0</v>
      </c>
      <c r="V279" s="339">
        <f>_xlfn.IFNA(VLOOKUP($D273,tbWorkCover,2,FALSE),0)</f>
        <v>0</v>
      </c>
      <c r="W279" s="443">
        <f>V279*W277</f>
        <v>0</v>
      </c>
      <c r="X279" s="340">
        <f>_xlfn.IFNA(VLOOKUP($D273,tbWorkCover,2,FALSE),0)</f>
        <v>0</v>
      </c>
      <c r="Y279" s="451">
        <f t="shared" ref="Y279" si="1189">X279*Y277</f>
        <v>0</v>
      </c>
      <c r="Z279" s="339">
        <f>_xlfn.IFNA(VLOOKUP($D273,tbWorkCover,2,FALSE),0)</f>
        <v>0</v>
      </c>
      <c r="AA279" s="443">
        <f>Z279*AA277</f>
        <v>0</v>
      </c>
      <c r="AB279" s="340">
        <f>_xlfn.IFNA(VLOOKUP($D273,tbWorkCover,2,FALSE),0)</f>
        <v>0</v>
      </c>
      <c r="AC279" s="451">
        <f t="shared" ref="AC279" si="1190">AB279*AC277</f>
        <v>0</v>
      </c>
      <c r="AD279" s="335"/>
      <c r="AE279" s="1152"/>
      <c r="AF279" s="1152"/>
      <c r="AG279" s="1152"/>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row>
    <row r="280" spans="1:56" hidden="1" outlineLevel="1" x14ac:dyDescent="0.3">
      <c r="A280" s="1182"/>
      <c r="B280" s="1379"/>
      <c r="C280" s="1379"/>
      <c r="D280" s="1379"/>
      <c r="E280" s="1379"/>
      <c r="F280" s="1379"/>
      <c r="G280" s="1379"/>
      <c r="H280" s="1380"/>
      <c r="I280" s="336" t="s">
        <v>318</v>
      </c>
      <c r="J280" s="339">
        <f>_xlfn.IFNA(VLOOKUP($D273,tbLongServiceLeave,2,FALSE),0)</f>
        <v>0</v>
      </c>
      <c r="K280" s="443">
        <f>J280*K274</f>
        <v>0</v>
      </c>
      <c r="L280" s="340">
        <f>_xlfn.IFNA(VLOOKUP($D273,tbLongServiceLeave,2,FALSE),0)</f>
        <v>0</v>
      </c>
      <c r="M280" s="451">
        <f t="shared" ref="M280" si="1191">L280*M274</f>
        <v>0</v>
      </c>
      <c r="N280" s="339">
        <f>_xlfn.IFNA(VLOOKUP($D273,tbLongServiceLeave,2,FALSE),0)</f>
        <v>0</v>
      </c>
      <c r="O280" s="443">
        <f>N280*O274</f>
        <v>0</v>
      </c>
      <c r="P280" s="340">
        <f>_xlfn.IFNA(VLOOKUP($D273,tbLongServiceLeave,2,FALSE),0)</f>
        <v>0</v>
      </c>
      <c r="Q280" s="451">
        <f t="shared" ref="Q280" si="1192">P280*Q274</f>
        <v>0</v>
      </c>
      <c r="R280" s="339">
        <f>_xlfn.IFNA(VLOOKUP($D273,tbLongServiceLeave,2,FALSE),0)</f>
        <v>0</v>
      </c>
      <c r="S280" s="443">
        <f>R280*S274</f>
        <v>0</v>
      </c>
      <c r="T280" s="340">
        <f>_xlfn.IFNA(VLOOKUP($D273,tbLongServiceLeave,2,FALSE),0)</f>
        <v>0</v>
      </c>
      <c r="U280" s="451">
        <f t="shared" ref="U280" si="1193">T280*U274</f>
        <v>0</v>
      </c>
      <c r="V280" s="339">
        <f>_xlfn.IFNA(VLOOKUP($D273,tbLongServiceLeave,2,FALSE),0)</f>
        <v>0</v>
      </c>
      <c r="W280" s="443">
        <f>V280*W274</f>
        <v>0</v>
      </c>
      <c r="X280" s="340">
        <f>_xlfn.IFNA(VLOOKUP($D273,tbLongServiceLeave,2,FALSE),0)</f>
        <v>0</v>
      </c>
      <c r="Y280" s="451">
        <f t="shared" ref="Y280" si="1194">X280*Y274</f>
        <v>0</v>
      </c>
      <c r="Z280" s="339">
        <f>_xlfn.IFNA(VLOOKUP($D273,tbLongServiceLeave,2,FALSE),0)</f>
        <v>0</v>
      </c>
      <c r="AA280" s="443">
        <f>Z280*AA274</f>
        <v>0</v>
      </c>
      <c r="AB280" s="340">
        <f>_xlfn.IFNA(VLOOKUP($D273,tbLongServiceLeave,2,FALSE),0)</f>
        <v>0</v>
      </c>
      <c r="AC280" s="451">
        <f t="shared" ref="AC280" si="1195">AB280*AC274</f>
        <v>0</v>
      </c>
      <c r="AD280" s="335"/>
      <c r="AE280" s="1152"/>
      <c r="AF280" s="1152"/>
      <c r="AG280" s="1152"/>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row>
    <row r="281" spans="1:56" hidden="1" outlineLevel="1" x14ac:dyDescent="0.3">
      <c r="A281" s="1182"/>
      <c r="B281" s="1379"/>
      <c r="C281" s="1379"/>
      <c r="D281" s="1379"/>
      <c r="E281" s="1379"/>
      <c r="F281" s="1379"/>
      <c r="G281" s="1379"/>
      <c r="H281" s="1380"/>
      <c r="I281" s="336" t="s">
        <v>319</v>
      </c>
      <c r="J281" s="339">
        <f>_xlfn.IFNA(VLOOKUP($D273,tbParentalLeave,2,FALSE),0)</f>
        <v>0</v>
      </c>
      <c r="K281" s="443">
        <f>J281*K274</f>
        <v>0</v>
      </c>
      <c r="L281" s="340">
        <f>_xlfn.IFNA(VLOOKUP($D273,tbParentalLeave,2,FALSE),0)</f>
        <v>0</v>
      </c>
      <c r="M281" s="451">
        <f t="shared" ref="M281" si="1196">L281*M274</f>
        <v>0</v>
      </c>
      <c r="N281" s="339">
        <f>_xlfn.IFNA(VLOOKUP($D273,tbParentalLeave,2,FALSE),0)</f>
        <v>0</v>
      </c>
      <c r="O281" s="443">
        <f>N281*O274</f>
        <v>0</v>
      </c>
      <c r="P281" s="340">
        <f>_xlfn.IFNA(VLOOKUP($D273,tbParentalLeave,2,FALSE),0)</f>
        <v>0</v>
      </c>
      <c r="Q281" s="451">
        <f t="shared" ref="Q281" si="1197">P281*Q274</f>
        <v>0</v>
      </c>
      <c r="R281" s="339">
        <f>_xlfn.IFNA(VLOOKUP($D273,tbParentalLeave,2,FALSE),0)</f>
        <v>0</v>
      </c>
      <c r="S281" s="443">
        <f>R281*S274</f>
        <v>0</v>
      </c>
      <c r="T281" s="340">
        <f>_xlfn.IFNA(VLOOKUP($D273,tbParentalLeave,2,FALSE),0)</f>
        <v>0</v>
      </c>
      <c r="U281" s="451">
        <f t="shared" ref="U281" si="1198">T281*U274</f>
        <v>0</v>
      </c>
      <c r="V281" s="339">
        <f>_xlfn.IFNA(VLOOKUP($D273,tbParentalLeave,2,FALSE),0)</f>
        <v>0</v>
      </c>
      <c r="W281" s="443">
        <f>V281*W274</f>
        <v>0</v>
      </c>
      <c r="X281" s="340">
        <f>_xlfn.IFNA(VLOOKUP($D273,tbParentalLeave,2,FALSE),0)</f>
        <v>0</v>
      </c>
      <c r="Y281" s="451">
        <f t="shared" ref="Y281" si="1199">X281*Y274</f>
        <v>0</v>
      </c>
      <c r="Z281" s="339">
        <f>_xlfn.IFNA(VLOOKUP($D273,tbParentalLeave,2,FALSE),0)</f>
        <v>0</v>
      </c>
      <c r="AA281" s="443">
        <f>Z281*AA274</f>
        <v>0</v>
      </c>
      <c r="AB281" s="340">
        <f>_xlfn.IFNA(VLOOKUP($D273,tbParentalLeave,2,FALSE),0)</f>
        <v>0</v>
      </c>
      <c r="AC281" s="451">
        <f t="shared" ref="AC281" si="1200">AB281*AC274</f>
        <v>0</v>
      </c>
      <c r="AD281" s="335"/>
      <c r="AE281" s="1152"/>
      <c r="AF281" s="1152"/>
      <c r="AG281" s="1152"/>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row>
    <row r="282" spans="1:56" hidden="1" outlineLevel="1" x14ac:dyDescent="0.3">
      <c r="A282" s="1182"/>
      <c r="B282" s="1379"/>
      <c r="C282" s="1379"/>
      <c r="D282" s="1379"/>
      <c r="E282" s="1379"/>
      <c r="F282" s="1379"/>
      <c r="G282" s="1379"/>
      <c r="H282" s="1380"/>
      <c r="I282" s="437" t="s">
        <v>320</v>
      </c>
      <c r="J282" s="438">
        <f>vl_overridden_uom_oncosts_per</f>
        <v>0</v>
      </c>
      <c r="K282" s="445">
        <f>J282*K274</f>
        <v>0</v>
      </c>
      <c r="L282" s="438">
        <f>vl_overridden_uom_oncosts_per</f>
        <v>0</v>
      </c>
      <c r="M282" s="445">
        <f>L282*M274</f>
        <v>0</v>
      </c>
      <c r="N282" s="438">
        <f>vl_overridden_uom_oncosts_per</f>
        <v>0</v>
      </c>
      <c r="O282" s="445">
        <f t="shared" ref="O282" si="1201">N282*O274</f>
        <v>0</v>
      </c>
      <c r="P282" s="438">
        <f>vl_overridden_uom_oncosts_per</f>
        <v>0</v>
      </c>
      <c r="Q282" s="445">
        <f t="shared" ref="Q282" si="1202">P282*Q274</f>
        <v>0</v>
      </c>
      <c r="R282" s="438">
        <f>vl_overridden_uom_oncosts_per</f>
        <v>0</v>
      </c>
      <c r="S282" s="445">
        <f t="shared" ref="S282" si="1203">R282*S274</f>
        <v>0</v>
      </c>
      <c r="T282" s="438">
        <f>vl_overridden_uom_oncosts_per</f>
        <v>0</v>
      </c>
      <c r="U282" s="445">
        <f t="shared" ref="U282" si="1204">T282*U274</f>
        <v>0</v>
      </c>
      <c r="V282" s="438">
        <f>vl_overridden_uom_oncosts_per</f>
        <v>0</v>
      </c>
      <c r="W282" s="445">
        <f t="shared" ref="W282" si="1205">V282*W274</f>
        <v>0</v>
      </c>
      <c r="X282" s="438">
        <f>vl_overridden_uom_oncosts_per</f>
        <v>0</v>
      </c>
      <c r="Y282" s="445">
        <f t="shared" ref="Y282" si="1206">X282*Y274</f>
        <v>0</v>
      </c>
      <c r="Z282" s="438">
        <f>vl_overridden_uom_oncosts_per</f>
        <v>0</v>
      </c>
      <c r="AA282" s="445">
        <f t="shared" ref="AA282" si="1207">Z282*AA274</f>
        <v>0</v>
      </c>
      <c r="AB282" s="438">
        <f>vl_overridden_uom_oncosts_per</f>
        <v>0</v>
      </c>
      <c r="AC282" s="445">
        <f t="shared" ref="AC282" si="1208">AB282*AC274</f>
        <v>0</v>
      </c>
      <c r="AD282" s="335"/>
      <c r="AE282" s="1152"/>
      <c r="AF282" s="1152"/>
      <c r="AG282" s="1152"/>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row>
    <row r="283" spans="1:56" hidden="1" outlineLevel="1" x14ac:dyDescent="0.3">
      <c r="A283" s="1182"/>
      <c r="B283" s="1379"/>
      <c r="C283" s="1379"/>
      <c r="D283" s="1379"/>
      <c r="E283" s="1379"/>
      <c r="F283" s="1379"/>
      <c r="G283" s="1379"/>
      <c r="H283" s="1380"/>
      <c r="I283" s="341" t="s">
        <v>321</v>
      </c>
      <c r="J283" s="342"/>
      <c r="K283" s="444">
        <f>SUM(K277:K282)</f>
        <v>0</v>
      </c>
      <c r="L283" s="342"/>
      <c r="M283" s="444">
        <f t="shared" ref="M283" si="1209">SUM(M277:M282)</f>
        <v>0</v>
      </c>
      <c r="N283" s="342"/>
      <c r="O283" s="444">
        <f t="shared" ref="O283" si="1210">SUM(O277:O282)</f>
        <v>0</v>
      </c>
      <c r="P283" s="342"/>
      <c r="Q283" s="444">
        <f t="shared" ref="Q283" si="1211">SUM(Q277:Q282)</f>
        <v>0</v>
      </c>
      <c r="R283" s="342"/>
      <c r="S283" s="444">
        <f t="shared" ref="S283" si="1212">SUM(S277:S282)</f>
        <v>0</v>
      </c>
      <c r="T283" s="342"/>
      <c r="U283" s="444">
        <f t="shared" ref="U283" si="1213">SUM(U277:U282)</f>
        <v>0</v>
      </c>
      <c r="V283" s="342"/>
      <c r="W283" s="444">
        <f t="shared" ref="W283" si="1214">SUM(W277:W282)</f>
        <v>0</v>
      </c>
      <c r="X283" s="342"/>
      <c r="Y283" s="444">
        <f t="shared" ref="Y283" si="1215">SUM(Y277:Y282)</f>
        <v>0</v>
      </c>
      <c r="Z283" s="342"/>
      <c r="AA283" s="444">
        <f t="shared" ref="AA283" si="1216">SUM(AA277:AA282)</f>
        <v>0</v>
      </c>
      <c r="AB283" s="342"/>
      <c r="AC283" s="444">
        <f t="shared" ref="AC283" si="1217">SUM(AC277:AC282)</f>
        <v>0</v>
      </c>
      <c r="AD283" s="335">
        <f t="shared" si="1095"/>
        <v>0</v>
      </c>
      <c r="AE283" s="1152"/>
      <c r="AF283" s="1152"/>
      <c r="AG283" s="1152"/>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row>
    <row r="284" spans="1:56" hidden="1" outlineLevel="1" x14ac:dyDescent="0.3">
      <c r="A284" s="1182"/>
      <c r="B284" s="1379"/>
      <c r="C284" s="1379"/>
      <c r="D284" s="1379"/>
      <c r="E284" s="1379"/>
      <c r="F284" s="1379"/>
      <c r="G284" s="1379"/>
      <c r="H284" s="1380"/>
      <c r="I284" s="336" t="s">
        <v>322</v>
      </c>
      <c r="J284" s="339">
        <f>_xlfn.IFNA(VLOOKUP($D273,tbAnnualLeaveProvision,2,FALSE),0)</f>
        <v>0</v>
      </c>
      <c r="K284" s="443">
        <f>J284*K274</f>
        <v>0</v>
      </c>
      <c r="L284" s="340">
        <f>_xlfn.IFNA(VLOOKUP($D273,tbAnnualLeaveProvision,2,FALSE),0)</f>
        <v>0</v>
      </c>
      <c r="M284" s="451">
        <f t="shared" ref="M284" si="1218">L284*M274</f>
        <v>0</v>
      </c>
      <c r="N284" s="339">
        <f>_xlfn.IFNA(VLOOKUP($D273,tbAnnualLeaveProvision,2,FALSE),0)</f>
        <v>0</v>
      </c>
      <c r="O284" s="443">
        <f>N284*O274</f>
        <v>0</v>
      </c>
      <c r="P284" s="340">
        <f>_xlfn.IFNA(VLOOKUP($D273,tbAnnualLeaveProvision,2,FALSE),0)</f>
        <v>0</v>
      </c>
      <c r="Q284" s="451">
        <f t="shared" ref="Q284" si="1219">P284*Q274</f>
        <v>0</v>
      </c>
      <c r="R284" s="339">
        <f>_xlfn.IFNA(VLOOKUP($D273,tbAnnualLeaveProvision,2,FALSE),0)</f>
        <v>0</v>
      </c>
      <c r="S284" s="443">
        <f>R284*S274</f>
        <v>0</v>
      </c>
      <c r="T284" s="340">
        <f>_xlfn.IFNA(VLOOKUP($D273,tbAnnualLeaveProvision,2,FALSE),0)</f>
        <v>0</v>
      </c>
      <c r="U284" s="451">
        <f t="shared" ref="U284" si="1220">T284*U274</f>
        <v>0</v>
      </c>
      <c r="V284" s="339">
        <f>_xlfn.IFNA(VLOOKUP($D273,tbAnnualLeaveProvision,2,FALSE),0)</f>
        <v>0</v>
      </c>
      <c r="W284" s="443">
        <f>V284*W274</f>
        <v>0</v>
      </c>
      <c r="X284" s="340">
        <f>_xlfn.IFNA(VLOOKUP($D273,tbAnnualLeaveProvision,2,FALSE),0)</f>
        <v>0</v>
      </c>
      <c r="Y284" s="451">
        <f t="shared" ref="Y284" si="1221">X284*Y274</f>
        <v>0</v>
      </c>
      <c r="Z284" s="339">
        <f>_xlfn.IFNA(VLOOKUP($D273,tbAnnualLeaveProvision,2,FALSE),0)</f>
        <v>0</v>
      </c>
      <c r="AA284" s="443">
        <f>Z284*AA274</f>
        <v>0</v>
      </c>
      <c r="AB284" s="340">
        <f>_xlfn.IFNA(VLOOKUP($D273,tbAnnualLeaveProvision,2,FALSE),0)</f>
        <v>0</v>
      </c>
      <c r="AC284" s="451">
        <f t="shared" ref="AC284" si="1222">AB284*AC274</f>
        <v>0</v>
      </c>
      <c r="AD284" s="335"/>
      <c r="AE284" s="1152"/>
      <c r="AF284" s="1152"/>
      <c r="AG284" s="1152"/>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row>
    <row r="285" spans="1:56" hidden="1" outlineLevel="1" x14ac:dyDescent="0.3">
      <c r="A285" s="1182"/>
      <c r="B285" s="1379"/>
      <c r="C285" s="1379"/>
      <c r="D285" s="1379"/>
      <c r="E285" s="1379"/>
      <c r="F285" s="1379"/>
      <c r="G285" s="1379"/>
      <c r="H285" s="1380"/>
      <c r="I285" s="336" t="s">
        <v>330</v>
      </c>
      <c r="J285" s="339"/>
      <c r="K285" s="446">
        <f>K283+K284</f>
        <v>0</v>
      </c>
      <c r="L285" s="340"/>
      <c r="M285" s="452">
        <f t="shared" ref="M285" si="1223">M283+M284</f>
        <v>0</v>
      </c>
      <c r="N285" s="339"/>
      <c r="O285" s="446">
        <f>O283+O284</f>
        <v>0</v>
      </c>
      <c r="P285" s="340"/>
      <c r="Q285" s="452">
        <f t="shared" ref="Q285" si="1224">Q283+Q284</f>
        <v>0</v>
      </c>
      <c r="R285" s="339"/>
      <c r="S285" s="446">
        <f>S283+S284</f>
        <v>0</v>
      </c>
      <c r="T285" s="340"/>
      <c r="U285" s="452">
        <f t="shared" ref="U285" si="1225">U283+U284</f>
        <v>0</v>
      </c>
      <c r="V285" s="339"/>
      <c r="W285" s="446">
        <f>W283+W284</f>
        <v>0</v>
      </c>
      <c r="X285" s="340"/>
      <c r="Y285" s="452">
        <f t="shared" ref="Y285" si="1226">Y283+Y284</f>
        <v>0</v>
      </c>
      <c r="Z285" s="339"/>
      <c r="AA285" s="446">
        <f>AA283+AA284</f>
        <v>0</v>
      </c>
      <c r="AB285" s="340"/>
      <c r="AC285" s="452">
        <f t="shared" ref="AC285" si="1227">AC283+AC284</f>
        <v>0</v>
      </c>
      <c r="AD285" s="335"/>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row>
    <row r="286" spans="1:56" hidden="1" outlineLevel="1" x14ac:dyDescent="0.3">
      <c r="A286" s="1182"/>
      <c r="B286" s="1379"/>
      <c r="C286" s="1379"/>
      <c r="D286" s="1379"/>
      <c r="E286" s="1379"/>
      <c r="F286" s="1379"/>
      <c r="G286" s="1379"/>
      <c r="H286" s="1380"/>
      <c r="I286" s="343" t="s">
        <v>324</v>
      </c>
      <c r="J286" s="344"/>
      <c r="K286" s="443">
        <f>IFERROR(-(K283/vl_working_days_per_year)*J286,0)</f>
        <v>0</v>
      </c>
      <c r="L286" s="345"/>
      <c r="M286" s="451">
        <f>IFERROR(-(M283/vl_working_days_per_year)*L286,0)</f>
        <v>0</v>
      </c>
      <c r="N286" s="344"/>
      <c r="O286" s="443">
        <f>-(O283/vl_working_days_per_year)*N286</f>
        <v>0</v>
      </c>
      <c r="P286" s="345"/>
      <c r="Q286" s="451">
        <f>-(Q283/vl_working_days_per_year)*P286</f>
        <v>0</v>
      </c>
      <c r="R286" s="344"/>
      <c r="S286" s="443">
        <f>-(S283/vl_working_days_per_year)*R286</f>
        <v>0</v>
      </c>
      <c r="T286" s="345"/>
      <c r="U286" s="451">
        <f>-(U283/vl_working_days_per_year)*T286</f>
        <v>0</v>
      </c>
      <c r="V286" s="344"/>
      <c r="W286" s="443">
        <f>-(W283/vl_working_days_per_year)*V286</f>
        <v>0</v>
      </c>
      <c r="X286" s="345"/>
      <c r="Y286" s="451">
        <f>-(Y283/vl_working_days_per_year)*X286</f>
        <v>0</v>
      </c>
      <c r="Z286" s="344"/>
      <c r="AA286" s="443">
        <f>-(AA283/vl_working_days_per_year)*Z286</f>
        <v>0</v>
      </c>
      <c r="AB286" s="345"/>
      <c r="AC286" s="451">
        <f>-(AC283/vl_working_days_per_year)*AB286</f>
        <v>0</v>
      </c>
      <c r="AD286" s="335">
        <f t="shared" si="1095"/>
        <v>0</v>
      </c>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row>
    <row r="287" spans="1:56" hidden="1" outlineLevel="1" x14ac:dyDescent="0.3">
      <c r="A287" s="1182"/>
      <c r="B287" s="1379"/>
      <c r="C287" s="1379"/>
      <c r="D287" s="1379"/>
      <c r="E287" s="1379"/>
      <c r="F287" s="1379"/>
      <c r="G287" s="1379"/>
      <c r="H287" s="1380"/>
      <c r="I287" s="341" t="s">
        <v>325</v>
      </c>
      <c r="J287" s="346"/>
      <c r="K287" s="444">
        <f>K285+K286</f>
        <v>0</v>
      </c>
      <c r="L287" s="346"/>
      <c r="M287" s="444">
        <f t="shared" ref="M287" si="1228">M285+M286</f>
        <v>0</v>
      </c>
      <c r="N287" s="346"/>
      <c r="O287" s="444">
        <f>O285+O286</f>
        <v>0</v>
      </c>
      <c r="P287" s="346"/>
      <c r="Q287" s="444">
        <f t="shared" ref="Q287" si="1229">Q285+Q286</f>
        <v>0</v>
      </c>
      <c r="R287" s="346"/>
      <c r="S287" s="444">
        <f>S285+S286</f>
        <v>0</v>
      </c>
      <c r="T287" s="346"/>
      <c r="U287" s="444">
        <f t="shared" ref="U287" si="1230">U285+U286</f>
        <v>0</v>
      </c>
      <c r="V287" s="346"/>
      <c r="W287" s="444">
        <f>W285+W286</f>
        <v>0</v>
      </c>
      <c r="X287" s="346"/>
      <c r="Y287" s="444">
        <f t="shared" ref="Y287" si="1231">Y285+Y286</f>
        <v>0</v>
      </c>
      <c r="Z287" s="346"/>
      <c r="AA287" s="444">
        <f>AA285+AA286</f>
        <v>0</v>
      </c>
      <c r="AB287" s="346"/>
      <c r="AC287" s="444">
        <f t="shared" ref="AC287" si="1232">AC285+AC286</f>
        <v>0</v>
      </c>
      <c r="AD287" s="335">
        <f t="shared" si="1095"/>
        <v>0</v>
      </c>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row>
    <row r="288" spans="1:56" s="1" customFormat="1" ht="15" hidden="1" customHeight="1" outlineLevel="1" x14ac:dyDescent="0.3">
      <c r="A288" s="727"/>
      <c r="B288" s="1379"/>
      <c r="C288" s="1379"/>
      <c r="D288" s="1379"/>
      <c r="E288" s="1379"/>
      <c r="F288" s="1379"/>
      <c r="G288" s="1379"/>
      <c r="H288" s="1380"/>
      <c r="I288" s="382" t="s">
        <v>326</v>
      </c>
      <c r="J288" s="383">
        <f>IFERROR(K288/K274,0)</f>
        <v>0</v>
      </c>
      <c r="K288" s="447">
        <f>SUM(K275:K276,K278:K281,K284)</f>
        <v>0</v>
      </c>
      <c r="L288" s="434">
        <f>IFERROR(M288/M274,0)</f>
        <v>0</v>
      </c>
      <c r="M288" s="453">
        <f t="shared" ref="M288" si="1233">SUM(M275:M276,M278:M281,M284)</f>
        <v>0</v>
      </c>
      <c r="N288" s="383">
        <f t="shared" ref="N288" si="1234">IFERROR(O288/O274,0)</f>
        <v>0</v>
      </c>
      <c r="O288" s="447">
        <f t="shared" ref="O288" si="1235">SUM(O275:O276,O278:O281,O284)</f>
        <v>0</v>
      </c>
      <c r="P288" s="434">
        <f t="shared" ref="P288" si="1236">IFERROR(Q288/Q274,0)</f>
        <v>0</v>
      </c>
      <c r="Q288" s="453">
        <f t="shared" ref="Q288" si="1237">SUM(Q275:Q276,Q278:Q281,Q284)</f>
        <v>0</v>
      </c>
      <c r="R288" s="383">
        <f t="shared" ref="R288" si="1238">IFERROR(S288/S274,0)</f>
        <v>0</v>
      </c>
      <c r="S288" s="447">
        <f t="shared" ref="S288" si="1239">SUM(S275:S276,S278:S281,S284)</f>
        <v>0</v>
      </c>
      <c r="T288" s="434">
        <f t="shared" ref="T288" si="1240">IFERROR(U288/U274,0)</f>
        <v>0</v>
      </c>
      <c r="U288" s="453">
        <f t="shared" ref="U288" si="1241">SUM(U275:U276,U278:U281,U284)</f>
        <v>0</v>
      </c>
      <c r="V288" s="383">
        <f t="shared" ref="V288" si="1242">IFERROR(W288/W274,0)</f>
        <v>0</v>
      </c>
      <c r="W288" s="447">
        <f t="shared" ref="W288" si="1243">SUM(W275:W276,W278:W281,W284)</f>
        <v>0</v>
      </c>
      <c r="X288" s="434">
        <f t="shared" ref="X288" si="1244">IFERROR(Y288/Y274,0)</f>
        <v>0</v>
      </c>
      <c r="Y288" s="453">
        <f t="shared" ref="Y288" si="1245">SUM(Y275:Y276,Y278:Y281,Y284)</f>
        <v>0</v>
      </c>
      <c r="Z288" s="383">
        <f t="shared" ref="Z288" si="1246">IFERROR(AA288/AA274,0)</f>
        <v>0</v>
      </c>
      <c r="AA288" s="447">
        <f t="shared" ref="AA288" si="1247">SUM(AA275:AA276,AA278:AA281,AA284)</f>
        <v>0</v>
      </c>
      <c r="AB288" s="434">
        <f t="shared" ref="AB288" si="1248">IFERROR(AC288/AC274,0)</f>
        <v>0</v>
      </c>
      <c r="AC288" s="453">
        <f t="shared" ref="AC288" si="1249">SUM(AC275:AC276,AC278:AC281,AC284)</f>
        <v>0</v>
      </c>
      <c r="AD288" s="377">
        <f t="shared" si="1095"/>
        <v>0</v>
      </c>
      <c r="AE288" s="14"/>
      <c r="AF288" s="14"/>
      <c r="AG288" s="14"/>
      <c r="AH288" s="14"/>
      <c r="AI288" s="14"/>
      <c r="AJ288" s="14"/>
      <c r="AK288" s="14"/>
      <c r="AL288" s="14"/>
      <c r="AM288" s="14"/>
      <c r="AN288" s="14"/>
      <c r="AO288" s="14"/>
      <c r="AP288" s="14"/>
      <c r="AQ288" s="14"/>
      <c r="AR288" s="14"/>
      <c r="AS288" s="14"/>
      <c r="AT288" s="14"/>
      <c r="AU288" s="14"/>
      <c r="AV288" s="14"/>
      <c r="AW288" s="14"/>
      <c r="AX288" s="14"/>
      <c r="AY288" s="14"/>
      <c r="AZ288" s="14"/>
      <c r="BA288" s="14"/>
      <c r="BB288" s="14"/>
      <c r="BC288" s="14"/>
      <c r="BD288" s="14"/>
    </row>
    <row r="289" spans="1:30" hidden="1" outlineLevel="1" x14ac:dyDescent="0.3">
      <c r="A289" s="1182"/>
      <c r="B289" s="1379"/>
      <c r="C289" s="1379"/>
      <c r="D289" s="1379"/>
      <c r="E289" s="1379"/>
      <c r="F289" s="1379"/>
      <c r="G289" s="1379"/>
      <c r="H289" s="1380"/>
      <c r="I289" s="382" t="s">
        <v>327</v>
      </c>
      <c r="J289" s="384">
        <f>pCRSalaries</f>
        <v>2.5</v>
      </c>
      <c r="K289" s="447"/>
      <c r="L289" s="435">
        <f>pCRSalaries</f>
        <v>2.5</v>
      </c>
      <c r="M289" s="453"/>
      <c r="N289" s="384">
        <f>pCRSalaries</f>
        <v>2.5</v>
      </c>
      <c r="O289" s="447"/>
      <c r="P289" s="435">
        <f>pCRSalaries</f>
        <v>2.5</v>
      </c>
      <c r="Q289" s="453"/>
      <c r="R289" s="384">
        <f>pCRSalaries</f>
        <v>2.5</v>
      </c>
      <c r="S289" s="447"/>
      <c r="T289" s="435">
        <f>pCRSalaries</f>
        <v>2.5</v>
      </c>
      <c r="U289" s="453"/>
      <c r="V289" s="384">
        <f>pCRSalaries</f>
        <v>2.5</v>
      </c>
      <c r="W289" s="447"/>
      <c r="X289" s="435">
        <f>pCRSalaries</f>
        <v>2.5</v>
      </c>
      <c r="Y289" s="453"/>
      <c r="Z289" s="384">
        <f>pCRSalaries</f>
        <v>2.5</v>
      </c>
      <c r="AA289" s="447"/>
      <c r="AB289" s="435">
        <f>pCRSalaries</f>
        <v>2.5</v>
      </c>
      <c r="AC289" s="453"/>
      <c r="AD289" s="335"/>
    </row>
    <row r="290" spans="1:30" ht="16.2" hidden="1" outlineLevel="1" thickBot="1" x14ac:dyDescent="0.35">
      <c r="A290" s="1182"/>
      <c r="B290" s="710"/>
      <c r="C290" s="347"/>
      <c r="D290" s="347"/>
      <c r="E290" s="347"/>
      <c r="F290" s="347"/>
      <c r="G290" s="347"/>
      <c r="H290" s="347"/>
      <c r="I290" s="436" t="s">
        <v>329</v>
      </c>
      <c r="J290" s="348"/>
      <c r="K290" s="448">
        <f>J289*K285</f>
        <v>0</v>
      </c>
      <c r="L290" s="348"/>
      <c r="M290" s="448">
        <f t="shared" ref="M290" si="1250">L289*M285</f>
        <v>0</v>
      </c>
      <c r="N290" s="348"/>
      <c r="O290" s="448">
        <f>N289*O285</f>
        <v>0</v>
      </c>
      <c r="P290" s="348"/>
      <c r="Q290" s="448">
        <f t="shared" ref="Q290" si="1251">P289*Q285</f>
        <v>0</v>
      </c>
      <c r="R290" s="348"/>
      <c r="S290" s="448">
        <f>R289*S285</f>
        <v>0</v>
      </c>
      <c r="T290" s="348"/>
      <c r="U290" s="448">
        <f t="shared" ref="U290" si="1252">T289*U285</f>
        <v>0</v>
      </c>
      <c r="V290" s="348"/>
      <c r="W290" s="448">
        <f>V289*W285</f>
        <v>0</v>
      </c>
      <c r="X290" s="348"/>
      <c r="Y290" s="448">
        <f t="shared" ref="Y290" si="1253">X289*Y285</f>
        <v>0</v>
      </c>
      <c r="Z290" s="348"/>
      <c r="AA290" s="448">
        <f>Z289*AA285</f>
        <v>0</v>
      </c>
      <c r="AB290" s="348"/>
      <c r="AC290" s="448">
        <f t="shared" ref="AC290" si="1254">AB289*AC285</f>
        <v>0</v>
      </c>
      <c r="AD290" s="335">
        <f t="shared" si="1095"/>
        <v>0</v>
      </c>
    </row>
    <row r="291" spans="1:30" ht="15" hidden="1" outlineLevel="1" thickBot="1" x14ac:dyDescent="0.35">
      <c r="A291" s="1182"/>
      <c r="B291" s="1181"/>
      <c r="C291" s="1181"/>
      <c r="D291" s="1181"/>
      <c r="E291" s="1181"/>
      <c r="F291" s="1181"/>
      <c r="G291" s="1181"/>
      <c r="H291" s="1181"/>
      <c r="I291" s="350"/>
      <c r="J291" s="351"/>
      <c r="K291" s="351"/>
      <c r="L291" s="351"/>
      <c r="M291" s="352"/>
      <c r="N291" s="351"/>
      <c r="O291" s="352"/>
      <c r="P291" s="351"/>
      <c r="Q291" s="352"/>
      <c r="R291" s="351"/>
      <c r="S291" s="352"/>
      <c r="T291" s="351"/>
      <c r="U291" s="352"/>
      <c r="V291" s="351"/>
      <c r="W291" s="352"/>
      <c r="X291" s="351"/>
      <c r="Y291" s="352"/>
      <c r="Z291" s="351"/>
      <c r="AA291" s="352"/>
      <c r="AB291" s="351"/>
      <c r="AC291" s="352"/>
      <c r="AD291" s="353" t="str">
        <f>IF(tbBudgetCurrency="AUD - Australian Dollar","",IFERROR(K291+M291+O291+Q291+S291+U291+W291+Y291+AA291+AC291,0))</f>
        <v/>
      </c>
    </row>
    <row r="292" spans="1:30" hidden="1" outlineLevel="1" x14ac:dyDescent="0.3">
      <c r="A292" s="1182"/>
      <c r="B292" s="356" t="str">
        <f>IF('PART B Staff Costs'!B36="","",'PART B Staff Costs'!B36)</f>
        <v/>
      </c>
      <c r="C292" s="355" t="str">
        <f>IF('PART B Staff Costs'!C36="","",'PART B Staff Costs'!C36)</f>
        <v xml:space="preserve"> </v>
      </c>
      <c r="D292" s="355" t="str">
        <f>IF('PART B Staff Costs'!D36="","",'PART B Staff Costs'!D36)</f>
        <v/>
      </c>
      <c r="E292" s="355" t="str">
        <f>IF('PART B Staff Costs'!E36="","",'PART B Staff Costs'!E36)</f>
        <v/>
      </c>
      <c r="F292" s="355" t="str">
        <f>IF('PART B Staff Costs'!F36="","",'PART B Staff Costs'!F36)</f>
        <v/>
      </c>
      <c r="G292" s="355" t="str">
        <f>IF('PART B Staff Costs'!G36="","",'PART B Staff Costs'!G36)</f>
        <v/>
      </c>
      <c r="H292" s="332" t="str">
        <f t="shared" ref="H292" si="1255">CONCATENATE(IF(D292=0,"",D292)," ",IF(E292=0,"",E292)," ",IF(F292=0,"",F292),,IF(OR(G292=0,G292=""),"",CONCATENATE(" (",G292,")")))</f>
        <v xml:space="preserve">  </v>
      </c>
      <c r="I292" s="332" t="s">
        <v>313</v>
      </c>
      <c r="J292" s="333">
        <f>_xlfn.IFNA('PART B Staff Costs'!H36*'PART B Staff Costs'!J$10,0)*new_xrate</f>
        <v>0</v>
      </c>
      <c r="K292" s="441"/>
      <c r="L292" s="334">
        <f>_xlfn.IFNA(IF(pStartYear+1&gt;pEndYear,0,VLOOKUP(CONCATENATE(
IF(OR($D292="Continuing",$D292="Fixed-Term"),"Fortnight",IF($D292="Casual","Casual",)),
$E292,
IF(OR($D292="Continuing",$D292="Fixed-Term"),
IF(LEFT($F292,6)="UOM 10","UOM 10",(LEFT($F292,LEN($F292)-1)&amp;MIN(RIGHT($F292,1)+COUNTIFS($J293:K293,"&gt;0")/2,VLOOKUP(LEFT($F292,LEN($F292)-2),tSalaryMax,2,FALSE)))),
IF($D292="Casual",
$F292,))
),tSalaryRate,5,FALSE)*VLOOKUP($G292,tSalaryRateMultiplier,2,FALSE)*'PART B Staff Costs'!L$10),0)*new_xrate</f>
        <v>0</v>
      </c>
      <c r="M292" s="449"/>
      <c r="N292" s="333">
        <f>_xlfn.IFNA(IF(pStartYear+2&gt;pEndYear,0,VLOOKUP(CONCATENATE(
IF(OR($D292="Continuing",$D292="Fixed-Term"),"Fortnight",IF($D292="Casual","Casual",)),
$E292,
IF(OR($D292="Continuing",$D292="Fixed-Term"),
IF(LEFT($F292,6)="UOM 10","UOM 10",(LEFT($F292,LEN($F292)-1)&amp;MIN(RIGHT($F292,1)+COUNTIFS($J293:M293,"&gt;0")/2,VLOOKUP(LEFT($F292,LEN($F292)-2),tSalaryMax,2,FALSE)))),
IF($D292="Casual",
$F292,))
),tSalaryRate,5,FALSE)*VLOOKUP($G292,tSalaryRateMultiplier,2,FALSE)*'PART B Staff Costs'!N$10),0)*new_xrate</f>
        <v>0</v>
      </c>
      <c r="O292" s="441"/>
      <c r="P292" s="334">
        <f>_xlfn.IFNA(IF(pStartYear+3&gt;pEndYear,0,VLOOKUP(CONCATENATE(
IF(OR($D292="Continuing",$D292="Fixed-Term"),"Fortnight",IF($D292="Casual","Casual",)),
$E292,
IF(OR($D292="Continuing",$D292="Fixed-Term"),
IF(LEFT($F292,6)="UOM 10","UOM 10",(LEFT($F292,LEN($F292)-1)&amp;MIN(RIGHT($F292,1)+COUNTIFS($J293:O293,"&gt;0")/2,VLOOKUP(LEFT($F292,LEN($F292)-2),tSalaryMax,2,FALSE)))),
IF($D292="Casual",
$F292,))
),tSalaryRate,5,FALSE)*VLOOKUP($G292,tSalaryRateMultiplier,2,FALSE)*'PART B Staff Costs'!P$10),0)*new_xrate</f>
        <v>0</v>
      </c>
      <c r="Q292" s="449"/>
      <c r="R292" s="333">
        <f>_xlfn.IFNA(IF(pStartYear+4&gt;pEndYear,0,VLOOKUP(CONCATENATE(
IF(OR($D292="Continuing",$D292="Fixed-Term"),"Fortnight",IF($D292="Casual","Casual",)),
$E292,
IF(OR($D292="Continuing",$D292="Fixed-Term"),
IF(LEFT($F292,6)="UOM 10","UOM 10",(LEFT($F292,LEN($F292)-1)&amp;MIN(RIGHT($F292,1)+COUNTIFS($J293:Q293,"&gt;0")/2,VLOOKUP(LEFT($F292,LEN($F292)-2),tSalaryMax,2,FALSE)))),
IF($D292="Casual",
$F292,))
),tSalaryRate,5,FALSE)*VLOOKUP($G292,tSalaryRateMultiplier,2,FALSE)*'PART B Staff Costs'!R$10),0)*new_xrate</f>
        <v>0</v>
      </c>
      <c r="S292" s="441"/>
      <c r="T292" s="334">
        <f>_xlfn.IFNA(IF(pStartYear+5&gt;pEndYear,0,VLOOKUP(CONCATENATE(
IF(OR($D292="Continuing",$D292="Fixed-Term"),"Fortnight",IF($D292="Casual","Casual",)),
$E292,
IF(OR($D292="Continuing",$D292="Fixed-Term"),
IF(LEFT($F292,6)="UOM 10","UOM 10",(LEFT($F292,LEN($F292)-1)&amp;MIN(RIGHT($F292,1)+COUNTIFS($J293:S293,"&gt;0")/2,VLOOKUP(LEFT($F292,LEN($F292)-2),tSalaryMax,2,FALSE)))),
IF($D292="Casual",
$F292,))
),tSalaryRate,5,FALSE)*VLOOKUP($G292,tSalaryRateMultiplier,2,FALSE)*'PART B Staff Costs'!T$10),0)*new_xrate</f>
        <v>0</v>
      </c>
      <c r="U292" s="449"/>
      <c r="V292" s="333">
        <f>_xlfn.IFNA(IF(pStartYear+6&gt;pEndYear,0,VLOOKUP(CONCATENATE(
IF(OR($D292="Continuing",$D292="Fixed-Term"),"Fortnight",IF($D292="Casual","Casual",)),
$E292,
IF(OR($D292="Continuing",$D292="Fixed-Term"),
IF(LEFT($F292,6)="UOM 10","UOM 10",(LEFT($F292,LEN($F292)-1)&amp;MIN(RIGHT($F292,1)+COUNTIFS($J293:U293,"&gt;0")/2,VLOOKUP(LEFT($F292,LEN($F292)-2),tSalaryMax,2,FALSE)))),
IF($D292="Casual",
$F292,))
),tSalaryRate,5,FALSE)*VLOOKUP($G292,tSalaryRateMultiplier,2,FALSE)*'PART B Staff Costs'!V$10),0)*new_xrate</f>
        <v>0</v>
      </c>
      <c r="W292" s="441"/>
      <c r="X292" s="334">
        <f>_xlfn.IFNA(IF(pStartYear+7&gt;pEndYear,0,VLOOKUP(CONCATENATE(
IF(OR($D292="Continuing",$D292="Fixed-Term"),"Fortnight",IF($D292="Casual","Casual",)),
$E292,
IF(OR($D292="Continuing",$D292="Fixed-Term"),
IF(LEFT($F292,6)="UOM 10","UOM 10",(LEFT($F292,LEN($F292)-1)&amp;MIN(RIGHT($F292,1)+COUNTIFS($J293:W293,"&gt;0")/2,VLOOKUP(LEFT($F292,LEN($F292)-2),tSalaryMax,2,FALSE)))),
IF($D292="Casual",
$F292,))
),tSalaryRate,5,FALSE)*VLOOKUP($G292,tSalaryRateMultiplier,2,FALSE)*'PART B Staff Costs'!X$10),0)*new_xrate</f>
        <v>0</v>
      </c>
      <c r="Y292" s="449"/>
      <c r="Z292" s="333">
        <f>_xlfn.IFNA(IF(pStartYear+8&gt;pEndYear,0,VLOOKUP(CONCATENATE(
IF(OR($D292="Continuing",$D292="Fixed-Term"),"Fortnight",IF($D292="Casual","Casual",)),
$E292,
IF(OR($D292="Continuing",$D292="Fixed-Term"),
IF(LEFT($F292,6)="UOM 10","UOM 10",(LEFT($F292,LEN($F292)-1)&amp;MIN(RIGHT($F292,1)+COUNTIFS($J293:Y293,"&gt;0")/2,VLOOKUP(LEFT($F292,LEN($F292)-2),tSalaryMax,2,FALSE)))),
IF($D292="Casual",
$F292,))
),tSalaryRate,5,FALSE)*VLOOKUP($G292,tSalaryRateMultiplier,2,FALSE)*'PART B Staff Costs'!Z$10),0)*new_xrate</f>
        <v>0</v>
      </c>
      <c r="AA292" s="441"/>
      <c r="AB292" s="334">
        <f>_xlfn.IFNA(IF(pStartYear+9&gt;pEndYear,0,VLOOKUP(CONCATENATE(
IF(OR($D292="Continuing",$D292="Fixed-Term"),"Fortnight",IF($D292="Casual","Casual",)),
$E292,
IF(OR($D292="Continuing",$D292="Fixed-Term"),
IF(LEFT($F292,6)="UOM 10","UOM 10",(LEFT($F292,LEN($F292)-1)&amp;MIN(RIGHT($F292,1)+COUNTIFS($J293:AA293,"&gt;0")/2,VLOOKUP(LEFT($F292,LEN($F292)-2),tSalaryMax,2,FALSE)))),
IF($D292="Casual",
$F292,))
),tSalaryRate,5,FALSE)*VLOOKUP($G292,tSalaryRateMultiplier,2,FALSE)*'PART B Staff Costs'!AB$10),0)*new_xrate</f>
        <v>0</v>
      </c>
      <c r="AC292" s="449"/>
      <c r="AD292" s="335"/>
    </row>
    <row r="293" spans="1:30" hidden="1" outlineLevel="1" x14ac:dyDescent="0.3">
      <c r="A293" s="1182"/>
      <c r="B293" s="1377"/>
      <c r="C293" s="1377"/>
      <c r="D293" s="1377"/>
      <c r="E293" s="1377"/>
      <c r="F293" s="1377"/>
      <c r="G293" s="1377"/>
      <c r="H293" s="1378"/>
      <c r="I293" s="336" t="str">
        <f>IF('PART B Staff Costs'!G288&lt;&gt;"",CONCATENATE("Time/Requested salary"," (",'PART B Staff Costs'!G288,")"),"Time/Requested salary")</f>
        <v>Time/Requested salary</v>
      </c>
      <c r="J293" s="337">
        <f>_xlfn.IFNA('PART B Staff Costs'!I36,0)</f>
        <v>0</v>
      </c>
      <c r="K293" s="442">
        <f>IF('PART B Staff Costs'!$G$36="FTE",J293*J292*(First_year_fraction/12),J293*J292)</f>
        <v>0</v>
      </c>
      <c r="L293" s="338">
        <f>_xlfn.IFNA('PART B Staff Costs'!K36,0)</f>
        <v>0</v>
      </c>
      <c r="M293" s="450">
        <f>IF(pStartYear+1=pEndYear,IF('PART B Staff Costs'!$G$36="FTE",(L293*L292)*Last_Year_Fraction/12,L293*L292),L293*L292)</f>
        <v>0</v>
      </c>
      <c r="N293" s="337">
        <f>_xlfn.IFNA('PART B Staff Costs'!M36,0)</f>
        <v>0</v>
      </c>
      <c r="O293" s="442">
        <f>IF(pStartYear+2=pEndYear,IF('PART B Staff Costs'!$G$36="FTE",(N293*N292)*Last_Year_Fraction/12,N293*N292),N293*N292)</f>
        <v>0</v>
      </c>
      <c r="P293" s="338">
        <f>_xlfn.IFNA('PART B Staff Costs'!O36,0)</f>
        <v>0</v>
      </c>
      <c r="Q293" s="450">
        <f>IF(pStartYear+3=pEndYear,IF('PART B Staff Costs'!$G$36="FTE",(P293*P292)*Last_Year_Fraction/12,P293*P292),P293*P292)</f>
        <v>0</v>
      </c>
      <c r="R293" s="337">
        <f>_xlfn.IFNA('PART B Staff Costs'!Q36,0)</f>
        <v>0</v>
      </c>
      <c r="S293" s="442">
        <f>IF(pStartYear+4=pEndYear,IF('PART B Staff Costs'!$G$36="FTE",(R293*R292)*Last_Year_Fraction/12,R293*R292),R293*R292)</f>
        <v>0</v>
      </c>
      <c r="T293" s="338">
        <f>_xlfn.IFNA('PART B Staff Costs'!S36,0)</f>
        <v>0</v>
      </c>
      <c r="U293" s="450">
        <f>IF(pStartYear+5=pEndYear,IF('PART B Staff Costs'!$G$36="FTE",(T293*T292)*Last_Year_Fraction/12,T293*T292),T293*T292)</f>
        <v>0</v>
      </c>
      <c r="V293" s="337">
        <f>_xlfn.IFNA('PART B Staff Costs'!U36,0)</f>
        <v>0</v>
      </c>
      <c r="W293" s="442">
        <f>IF(pStartYear+6=pEndYear,IF('PART B Staff Costs'!$G$36="FTE",(V293*V292)*Last_Year_Fraction/12,V293*V292),V293*V292)</f>
        <v>0</v>
      </c>
      <c r="X293" s="338">
        <f>_xlfn.IFNA('PART B Staff Costs'!W36,0)</f>
        <v>0</v>
      </c>
      <c r="Y293" s="450">
        <f>IF(pStartYear+7=pEndYear,IF('PART B Staff Costs'!$G$36="FTE",(X293*X292)*Last_Year_Fraction/12,X293*X292),X293*X292)</f>
        <v>0</v>
      </c>
      <c r="Z293" s="337">
        <f>_xlfn.IFNA('PART B Staff Costs'!Y36,0)</f>
        <v>0</v>
      </c>
      <c r="AA293" s="442">
        <f>IF(pStartYear+8=pEndYear,IF('PART B Staff Costs'!$G$36="FTE",(Z293*Z292)*Last_Year_Fraction/12,Z293*Z292),Z293*Z292)</f>
        <v>0</v>
      </c>
      <c r="AB293" s="338">
        <f>_xlfn.IFNA('PART B Staff Costs'!AA36,0)</f>
        <v>0</v>
      </c>
      <c r="AC293" s="450">
        <f>IF(pStartYear+9=pEndYear,IF('PART B Staff Costs'!$G$36="FTE",(AB293*AB292)*Last_Year_Fraction/12,AB293*AB292),AB293*AB292)</f>
        <v>0</v>
      </c>
      <c r="AD293" s="335"/>
    </row>
    <row r="294" spans="1:30" hidden="1" outlineLevel="1" x14ac:dyDescent="0.3">
      <c r="A294" s="1182"/>
      <c r="B294" s="1379"/>
      <c r="C294" s="1379"/>
      <c r="D294" s="1379"/>
      <c r="E294" s="1379"/>
      <c r="F294" s="1379"/>
      <c r="G294" s="1379"/>
      <c r="H294" s="1380"/>
      <c r="I294" s="336" t="str">
        <f>IF(tbBudgetCurrency="AUD - Australian Dollar",CONCATENATE("Leave Loading (max of AU$",vl_Max_Leave_Loading,")"),CONCATENATE("Leave Loading (max of ",ROUND(vl_Max_Leave_Loading*new_xrate,2)," ",LEFT(tbBudgetCurrency,3),")"))</f>
        <v>Leave Loading (max of AU$1611.3)</v>
      </c>
      <c r="J294" s="339">
        <f>_xlfn.IFNA(VLOOKUP($D292,tbLeaveLoading,2,FALSE),0)</f>
        <v>0</v>
      </c>
      <c r="K294" s="443">
        <f>IF(K293*J294&gt;vl_Max_Leave_Loading*new_xrate,vl_Max_Leave_Loading*new_xrate,K293*J294)</f>
        <v>0</v>
      </c>
      <c r="L294" s="340">
        <f>_xlfn.IFNA(VLOOKUP($D292,tbLeaveLoading,2,FALSE),0)</f>
        <v>0</v>
      </c>
      <c r="M294" s="451">
        <f>IF(M293*L294&gt;vl_Max_Leave_Loading*new_xrate,vl_Max_Leave_Loading*new_xrate,M293*L294)</f>
        <v>0</v>
      </c>
      <c r="N294" s="339">
        <f>_xlfn.IFNA(VLOOKUP($D292,tbLeaveLoading,2,FALSE),0)</f>
        <v>0</v>
      </c>
      <c r="O294" s="443">
        <f>IF(O293*N294&gt;vl_Max_Leave_Loading*new_xrate,vl_Max_Leave_Loading*new_xrate,O293*N294)</f>
        <v>0</v>
      </c>
      <c r="P294" s="340">
        <f>_xlfn.IFNA(VLOOKUP($D292,tbLeaveLoading,2,FALSE),0)</f>
        <v>0</v>
      </c>
      <c r="Q294" s="451">
        <f>IF(Q293*P294&gt;vl_Max_Leave_Loading*new_xrate,vl_Max_Leave_Loading*new_xrate,Q293*P294)</f>
        <v>0</v>
      </c>
      <c r="R294" s="339">
        <f>_xlfn.IFNA(VLOOKUP($D292,tbLeaveLoading,2,FALSE),0)</f>
        <v>0</v>
      </c>
      <c r="S294" s="443">
        <f>IF(S293*R294&gt;vl_Max_Leave_Loading*new_xrate,vl_Max_Leave_Loading*new_xrate,S293*R294)</f>
        <v>0</v>
      </c>
      <c r="T294" s="340">
        <f>_xlfn.IFNA(VLOOKUP($D292,tbLeaveLoading,2,FALSE),0)</f>
        <v>0</v>
      </c>
      <c r="U294" s="451">
        <f>IF(U293*T294&gt;vl_Max_Leave_Loading*new_xrate,vl_Max_Leave_Loading*new_xrate,U293*T294)</f>
        <v>0</v>
      </c>
      <c r="V294" s="339">
        <f>_xlfn.IFNA(VLOOKUP($D292,tbLeaveLoading,2,FALSE),0)</f>
        <v>0</v>
      </c>
      <c r="W294" s="443">
        <f>IF(W293*V294&gt;vl_Max_Leave_Loading*new_xrate,vl_Max_Leave_Loading*new_xrate,W293*V294)</f>
        <v>0</v>
      </c>
      <c r="X294" s="340">
        <f>_xlfn.IFNA(VLOOKUP($D292,tbLeaveLoading,2,FALSE),0)</f>
        <v>0</v>
      </c>
      <c r="Y294" s="451">
        <f>IF(Y293*X294&gt;vl_Max_Leave_Loading*new_xrate,vl_Max_Leave_Loading*new_xrate,Y293*X294)</f>
        <v>0</v>
      </c>
      <c r="Z294" s="339">
        <f>_xlfn.IFNA(VLOOKUP($D292,tbLeaveLoading,2,FALSE),0)</f>
        <v>0</v>
      </c>
      <c r="AA294" s="443">
        <f>IF(AA293*Z294&gt;vl_Max_Leave_Loading*new_xrate,vl_Max_Leave_Loading*new_xrate,AA293*Z294)</f>
        <v>0</v>
      </c>
      <c r="AB294" s="340">
        <f>_xlfn.IFNA(VLOOKUP($D292,tbLeaveLoading,2,FALSE),0)</f>
        <v>0</v>
      </c>
      <c r="AC294" s="451">
        <f>IF(AC293*AB294&gt;vl_Max_Leave_Loading*new_xrate,vl_Max_Leave_Loading*new_xrate,AC293*AB294)</f>
        <v>0</v>
      </c>
      <c r="AD294" s="335"/>
    </row>
    <row r="295" spans="1:30" hidden="1" outlineLevel="1" x14ac:dyDescent="0.3">
      <c r="A295" s="1182"/>
      <c r="B295" s="1379"/>
      <c r="C295" s="1379"/>
      <c r="D295" s="1379"/>
      <c r="E295" s="1379"/>
      <c r="F295" s="1379"/>
      <c r="G295" s="1379"/>
      <c r="H295" s="1380"/>
      <c r="I295" s="336" t="s">
        <v>314</v>
      </c>
      <c r="J295" s="339">
        <f>_xlfn.IFNA(_xlfn.IFNA(VLOOKUP(CONCATENATE(pStartYear,$D292),tbSuperannuation,4,FALSE),VLOOKUP($D292,tbSuperannuation2026onwards,2,FALSE)),0)</f>
        <v>0</v>
      </c>
      <c r="K295" s="443">
        <f>K293*J295</f>
        <v>0</v>
      </c>
      <c r="L295" s="340">
        <f>_xlfn.IFNA(_xlfn.IFNA(VLOOKUP(CONCATENATE(pStartYear+1,$D292),tbSuperannuation,4,FALSE),VLOOKUP($D292,tbSuperannuation2026onwards,2,FALSE)),0)</f>
        <v>0</v>
      </c>
      <c r="M295" s="451">
        <f t="shared" ref="M295" si="1256">M293*L295</f>
        <v>0</v>
      </c>
      <c r="N295" s="339">
        <f>_xlfn.IFNA(_xlfn.IFNA(VLOOKUP(CONCATENATE(pStartYear+2,$D292),tbSuperannuation,4,FALSE),VLOOKUP($D292,tbSuperannuation2026onwards,2,FALSE)),0)</f>
        <v>0</v>
      </c>
      <c r="O295" s="443">
        <f>O293*N295</f>
        <v>0</v>
      </c>
      <c r="P295" s="340">
        <f>_xlfn.IFNA(_xlfn.IFNA(VLOOKUP(CONCATENATE(pStartYear+3,$D292),tbSuperannuation,4,FALSE),VLOOKUP($D292,tbSuperannuation2026onwards,2,FALSE)),0)</f>
        <v>0</v>
      </c>
      <c r="Q295" s="451">
        <f t="shared" ref="Q295" si="1257">Q293*P295</f>
        <v>0</v>
      </c>
      <c r="R295" s="339">
        <f>_xlfn.IFNA(_xlfn.IFNA(VLOOKUP(CONCATENATE(pStartYear+4,$D292),tbSuperannuation,4,FALSE),VLOOKUP($D292,tbSuperannuation2026onwards,2,FALSE)),0)</f>
        <v>0</v>
      </c>
      <c r="S295" s="443">
        <f>S293*R295</f>
        <v>0</v>
      </c>
      <c r="T295" s="340">
        <f>_xlfn.IFNA(_xlfn.IFNA(VLOOKUP(CONCATENATE(pStartYear+5,$D292),tbSuperannuation,4,FALSE),VLOOKUP($D292,tbSuperannuation2026onwards,2,FALSE)),0)</f>
        <v>0</v>
      </c>
      <c r="U295" s="451">
        <f t="shared" ref="U295" si="1258">U293*T295</f>
        <v>0</v>
      </c>
      <c r="V295" s="339">
        <f>_xlfn.IFNA(_xlfn.IFNA(VLOOKUP(CONCATENATE(pStartYear+6,$D292),tbSuperannuation,4,FALSE),VLOOKUP($D292,tbSuperannuation2026onwards,2,FALSE)),0)</f>
        <v>0</v>
      </c>
      <c r="W295" s="443">
        <f>W293*V295</f>
        <v>0</v>
      </c>
      <c r="X295" s="340">
        <f>_xlfn.IFNA(_xlfn.IFNA(VLOOKUP(CONCATENATE(pStartYear+7,$D292),tbSuperannuation,4,FALSE),VLOOKUP($D292,tbSuperannuation2026onwards,2,FALSE)),0)</f>
        <v>0</v>
      </c>
      <c r="Y295" s="451">
        <f t="shared" ref="Y295" si="1259">Y293*X295</f>
        <v>0</v>
      </c>
      <c r="Z295" s="339">
        <f>_xlfn.IFNA(_xlfn.IFNA(VLOOKUP(CONCATENATE(pStartYear+8,$D292),tbSuperannuation,4,FALSE),VLOOKUP($D292,tbSuperannuation2026onwards,2,FALSE)),0)</f>
        <v>0</v>
      </c>
      <c r="AA295" s="443">
        <f>AA293*Z295</f>
        <v>0</v>
      </c>
      <c r="AB295" s="340">
        <f>_xlfn.IFNA(_xlfn.IFNA(VLOOKUP(CONCATENATE(pStartYear+9,$D292),tbSuperannuation,4,FALSE),VLOOKUP($D292,tbSuperannuation2026onwards,2,FALSE)),0)</f>
        <v>0</v>
      </c>
      <c r="AC295" s="451">
        <f t="shared" ref="AC295" si="1260">AC293*AB295</f>
        <v>0</v>
      </c>
      <c r="AD295" s="335"/>
    </row>
    <row r="296" spans="1:30" hidden="1" outlineLevel="1" x14ac:dyDescent="0.3">
      <c r="A296" s="1182"/>
      <c r="B296" s="1379"/>
      <c r="C296" s="1379"/>
      <c r="D296" s="1379"/>
      <c r="E296" s="1379"/>
      <c r="F296" s="1379"/>
      <c r="G296" s="1379"/>
      <c r="H296" s="1380"/>
      <c r="I296" s="341" t="s">
        <v>315</v>
      </c>
      <c r="J296" s="342"/>
      <c r="K296" s="444">
        <f>K294+K295+K293</f>
        <v>0</v>
      </c>
      <c r="L296" s="342"/>
      <c r="M296" s="444">
        <f t="shared" ref="M296" si="1261">M294+M295+M293</f>
        <v>0</v>
      </c>
      <c r="N296" s="342"/>
      <c r="O296" s="444">
        <f>O294+O295+O293</f>
        <v>0</v>
      </c>
      <c r="P296" s="342"/>
      <c r="Q296" s="444">
        <f t="shared" ref="Q296" si="1262">Q294+Q295+Q293</f>
        <v>0</v>
      </c>
      <c r="R296" s="342"/>
      <c r="S296" s="444">
        <f>S294+S295+S293</f>
        <v>0</v>
      </c>
      <c r="T296" s="342"/>
      <c r="U296" s="444">
        <f t="shared" ref="U296" si="1263">U294+U295+U293</f>
        <v>0</v>
      </c>
      <c r="V296" s="342"/>
      <c r="W296" s="444">
        <f>W294+W295+W293</f>
        <v>0</v>
      </c>
      <c r="X296" s="342"/>
      <c r="Y296" s="444">
        <f t="shared" ref="Y296" si="1264">Y294+Y295+Y293</f>
        <v>0</v>
      </c>
      <c r="Z296" s="342"/>
      <c r="AA296" s="444">
        <f>AA294+AA295+AA293</f>
        <v>0</v>
      </c>
      <c r="AB296" s="342"/>
      <c r="AC296" s="444">
        <f t="shared" ref="AC296" si="1265">AC294+AC295+AC293</f>
        <v>0</v>
      </c>
      <c r="AD296" s="335">
        <f t="shared" si="1095"/>
        <v>0</v>
      </c>
    </row>
    <row r="297" spans="1:30" hidden="1" outlineLevel="1" x14ac:dyDescent="0.3">
      <c r="A297" s="1182"/>
      <c r="B297" s="1379"/>
      <c r="C297" s="1379"/>
      <c r="D297" s="1379"/>
      <c r="E297" s="1379"/>
      <c r="F297" s="1379"/>
      <c r="G297" s="1379"/>
      <c r="H297" s="1380"/>
      <c r="I297" s="336" t="s">
        <v>316</v>
      </c>
      <c r="J297" s="339">
        <f>_xlfn.IFNA(_xlfn.IFNA(VLOOKUP(pStartYear,tbPayrollTax,2,FALSE),vl_MaxPayrollTax),0)</f>
        <v>5.8500000000000003E-2</v>
      </c>
      <c r="K297" s="443">
        <f>J297*K296</f>
        <v>0</v>
      </c>
      <c r="L297" s="340">
        <f>_xlfn.IFNA(_xlfn.IFNA(VLOOKUP(pStartYear+1,tbPayrollTax,2,FALSE),vl_MaxPayrollTax),0)</f>
        <v>5.8500000000000003E-2</v>
      </c>
      <c r="M297" s="451">
        <f t="shared" ref="M297" si="1266">L297*M296</f>
        <v>0</v>
      </c>
      <c r="N297" s="339">
        <f>_xlfn.IFNA(_xlfn.IFNA(VLOOKUP(pStartYear+2,tbPayrollTax,2,FALSE),vl_MaxPayrollTax),0)</f>
        <v>5.8500000000000003E-2</v>
      </c>
      <c r="O297" s="443">
        <f>N297*O296</f>
        <v>0</v>
      </c>
      <c r="P297" s="340">
        <f>_xlfn.IFNA(_xlfn.IFNA(VLOOKUP(pStartYear+3,tbPayrollTax,2,FALSE),vl_MaxPayrollTax),0)</f>
        <v>5.8500000000000003E-2</v>
      </c>
      <c r="Q297" s="451">
        <f t="shared" ref="Q297" si="1267">P297*Q296</f>
        <v>0</v>
      </c>
      <c r="R297" s="339">
        <f>_xlfn.IFNA(_xlfn.IFNA(VLOOKUP(pStartYear+4,tbPayrollTax,2,FALSE),vl_MaxPayrollTax),0)</f>
        <v>5.8500000000000003E-2</v>
      </c>
      <c r="S297" s="443">
        <f>R297*S296</f>
        <v>0</v>
      </c>
      <c r="T297" s="340">
        <f>_xlfn.IFNA(_xlfn.IFNA(VLOOKUP(pStartYear+5,tbPayrollTax,2,FALSE),vl_MaxPayrollTax),0)</f>
        <v>5.8500000000000003E-2</v>
      </c>
      <c r="U297" s="451">
        <f t="shared" ref="U297" si="1268">T297*U296</f>
        <v>0</v>
      </c>
      <c r="V297" s="339">
        <f>_xlfn.IFNA(_xlfn.IFNA(VLOOKUP(pStartYear+6,tbPayrollTax,2,FALSE),vl_MaxPayrollTax),0)</f>
        <v>5.8500000000000003E-2</v>
      </c>
      <c r="W297" s="443">
        <f>V297*W296</f>
        <v>0</v>
      </c>
      <c r="X297" s="340">
        <f>_xlfn.IFNA(_xlfn.IFNA(VLOOKUP(pStartYear+7,tbPayrollTax,2,FALSE),vl_MaxPayrollTax),0)</f>
        <v>5.8500000000000003E-2</v>
      </c>
      <c r="Y297" s="451">
        <f t="shared" ref="Y297" si="1269">X297*Y296</f>
        <v>0</v>
      </c>
      <c r="Z297" s="339">
        <f>_xlfn.IFNA(_xlfn.IFNA(VLOOKUP(pStartYear+8,tbPayrollTax,2,FALSE),vl_MaxPayrollTax),0)</f>
        <v>5.8500000000000003E-2</v>
      </c>
      <c r="AA297" s="443">
        <f>Z297*AA296</f>
        <v>0</v>
      </c>
      <c r="AB297" s="340">
        <f>_xlfn.IFNA(_xlfn.IFNA(VLOOKUP(pStartYear+9,tbPayrollTax,2,FALSE),vl_MaxPayrollTax),0)</f>
        <v>5.8500000000000003E-2</v>
      </c>
      <c r="AC297" s="451">
        <f t="shared" ref="AC297" si="1270">AB297*AC296</f>
        <v>0</v>
      </c>
      <c r="AD297" s="335"/>
    </row>
    <row r="298" spans="1:30" hidden="1" outlineLevel="1" x14ac:dyDescent="0.3">
      <c r="A298" s="1182"/>
      <c r="B298" s="1379"/>
      <c r="C298" s="1379"/>
      <c r="D298" s="1379"/>
      <c r="E298" s="1379"/>
      <c r="F298" s="1379"/>
      <c r="G298" s="1379"/>
      <c r="H298" s="1380"/>
      <c r="I298" s="336" t="s">
        <v>317</v>
      </c>
      <c r="J298" s="339">
        <f>_xlfn.IFNA(VLOOKUP($D292,tbWorkCover,2,FALSE),0)</f>
        <v>0</v>
      </c>
      <c r="K298" s="443">
        <f>J298*K296</f>
        <v>0</v>
      </c>
      <c r="L298" s="340">
        <f>_xlfn.IFNA(VLOOKUP($D292,tbWorkCover,2,FALSE),0)</f>
        <v>0</v>
      </c>
      <c r="M298" s="451">
        <f t="shared" ref="M298" si="1271">L298*M296</f>
        <v>0</v>
      </c>
      <c r="N298" s="339">
        <f>_xlfn.IFNA(VLOOKUP($D292,tbWorkCover,2,FALSE),0)</f>
        <v>0</v>
      </c>
      <c r="O298" s="443">
        <f>N298*O296</f>
        <v>0</v>
      </c>
      <c r="P298" s="340">
        <f>_xlfn.IFNA(VLOOKUP($D292,tbWorkCover,2,FALSE),0)</f>
        <v>0</v>
      </c>
      <c r="Q298" s="451">
        <f t="shared" ref="Q298" si="1272">P298*Q296</f>
        <v>0</v>
      </c>
      <c r="R298" s="339">
        <f>_xlfn.IFNA(VLOOKUP($D292,tbWorkCover,2,FALSE),0)</f>
        <v>0</v>
      </c>
      <c r="S298" s="443">
        <f>R298*S296</f>
        <v>0</v>
      </c>
      <c r="T298" s="340">
        <f>_xlfn.IFNA(VLOOKUP($D292,tbWorkCover,2,FALSE),0)</f>
        <v>0</v>
      </c>
      <c r="U298" s="451">
        <f t="shared" ref="U298" si="1273">T298*U296</f>
        <v>0</v>
      </c>
      <c r="V298" s="339">
        <f>_xlfn.IFNA(VLOOKUP($D292,tbWorkCover,2,FALSE),0)</f>
        <v>0</v>
      </c>
      <c r="W298" s="443">
        <f>V298*W296</f>
        <v>0</v>
      </c>
      <c r="X298" s="340">
        <f>_xlfn.IFNA(VLOOKUP($D292,tbWorkCover,2,FALSE),0)</f>
        <v>0</v>
      </c>
      <c r="Y298" s="451">
        <f t="shared" ref="Y298" si="1274">X298*Y296</f>
        <v>0</v>
      </c>
      <c r="Z298" s="339">
        <f>_xlfn.IFNA(VLOOKUP($D292,tbWorkCover,2,FALSE),0)</f>
        <v>0</v>
      </c>
      <c r="AA298" s="443">
        <f>Z298*AA296</f>
        <v>0</v>
      </c>
      <c r="AB298" s="340">
        <f>_xlfn.IFNA(VLOOKUP($D292,tbWorkCover,2,FALSE),0)</f>
        <v>0</v>
      </c>
      <c r="AC298" s="451">
        <f t="shared" ref="AC298" si="1275">AB298*AC296</f>
        <v>0</v>
      </c>
      <c r="AD298" s="335"/>
    </row>
    <row r="299" spans="1:30" hidden="1" outlineLevel="1" x14ac:dyDescent="0.3">
      <c r="A299" s="1182"/>
      <c r="B299" s="1379"/>
      <c r="C299" s="1379"/>
      <c r="D299" s="1379"/>
      <c r="E299" s="1379"/>
      <c r="F299" s="1379"/>
      <c r="G299" s="1379"/>
      <c r="H299" s="1380"/>
      <c r="I299" s="336" t="s">
        <v>318</v>
      </c>
      <c r="J299" s="339">
        <f>_xlfn.IFNA(VLOOKUP($D292,tbLongServiceLeave,2,FALSE),0)</f>
        <v>0</v>
      </c>
      <c r="K299" s="443">
        <f>J299*K293</f>
        <v>0</v>
      </c>
      <c r="L299" s="340">
        <f>_xlfn.IFNA(VLOOKUP($D292,tbLongServiceLeave,2,FALSE),0)</f>
        <v>0</v>
      </c>
      <c r="M299" s="451">
        <f t="shared" ref="M299" si="1276">L299*M293</f>
        <v>0</v>
      </c>
      <c r="N299" s="339">
        <f>_xlfn.IFNA(VLOOKUP($D292,tbLongServiceLeave,2,FALSE),0)</f>
        <v>0</v>
      </c>
      <c r="O299" s="443">
        <f>N299*O293</f>
        <v>0</v>
      </c>
      <c r="P299" s="340">
        <f>_xlfn.IFNA(VLOOKUP($D292,tbLongServiceLeave,2,FALSE),0)</f>
        <v>0</v>
      </c>
      <c r="Q299" s="451">
        <f t="shared" ref="Q299" si="1277">P299*Q293</f>
        <v>0</v>
      </c>
      <c r="R299" s="339">
        <f>_xlfn.IFNA(VLOOKUP($D292,tbLongServiceLeave,2,FALSE),0)</f>
        <v>0</v>
      </c>
      <c r="S299" s="443">
        <f>R299*S293</f>
        <v>0</v>
      </c>
      <c r="T299" s="340">
        <f>_xlfn.IFNA(VLOOKUP($D292,tbLongServiceLeave,2,FALSE),0)</f>
        <v>0</v>
      </c>
      <c r="U299" s="451">
        <f t="shared" ref="U299" si="1278">T299*U293</f>
        <v>0</v>
      </c>
      <c r="V299" s="339">
        <f>_xlfn.IFNA(VLOOKUP($D292,tbLongServiceLeave,2,FALSE),0)</f>
        <v>0</v>
      </c>
      <c r="W299" s="443">
        <f>V299*W293</f>
        <v>0</v>
      </c>
      <c r="X299" s="340">
        <f>_xlfn.IFNA(VLOOKUP($D292,tbLongServiceLeave,2,FALSE),0)</f>
        <v>0</v>
      </c>
      <c r="Y299" s="451">
        <f t="shared" ref="Y299" si="1279">X299*Y293</f>
        <v>0</v>
      </c>
      <c r="Z299" s="339">
        <f>_xlfn.IFNA(VLOOKUP($D292,tbLongServiceLeave,2,FALSE),0)</f>
        <v>0</v>
      </c>
      <c r="AA299" s="443">
        <f>Z299*AA293</f>
        <v>0</v>
      </c>
      <c r="AB299" s="340">
        <f>_xlfn.IFNA(VLOOKUP($D292,tbLongServiceLeave,2,FALSE),0)</f>
        <v>0</v>
      </c>
      <c r="AC299" s="451">
        <f t="shared" ref="AC299" si="1280">AB299*AC293</f>
        <v>0</v>
      </c>
      <c r="AD299" s="335"/>
    </row>
    <row r="300" spans="1:30" hidden="1" outlineLevel="1" x14ac:dyDescent="0.3">
      <c r="A300" s="1182"/>
      <c r="B300" s="1379"/>
      <c r="C300" s="1379"/>
      <c r="D300" s="1379"/>
      <c r="E300" s="1379"/>
      <c r="F300" s="1379"/>
      <c r="G300" s="1379"/>
      <c r="H300" s="1380"/>
      <c r="I300" s="336" t="s">
        <v>319</v>
      </c>
      <c r="J300" s="339">
        <f>_xlfn.IFNA(VLOOKUP($D292,tbParentalLeave,2,FALSE),0)</f>
        <v>0</v>
      </c>
      <c r="K300" s="443">
        <f>J300*K293</f>
        <v>0</v>
      </c>
      <c r="L300" s="340">
        <f>_xlfn.IFNA(VLOOKUP($D292,tbParentalLeave,2,FALSE),0)</f>
        <v>0</v>
      </c>
      <c r="M300" s="451">
        <f t="shared" ref="M300" si="1281">L300*M293</f>
        <v>0</v>
      </c>
      <c r="N300" s="339">
        <f>_xlfn.IFNA(VLOOKUP($D292,tbParentalLeave,2,FALSE),0)</f>
        <v>0</v>
      </c>
      <c r="O300" s="443">
        <f>N300*O293</f>
        <v>0</v>
      </c>
      <c r="P300" s="340">
        <f>_xlfn.IFNA(VLOOKUP($D292,tbParentalLeave,2,FALSE),0)</f>
        <v>0</v>
      </c>
      <c r="Q300" s="451">
        <f t="shared" ref="Q300" si="1282">P300*Q293</f>
        <v>0</v>
      </c>
      <c r="R300" s="339">
        <f>_xlfn.IFNA(VLOOKUP($D292,tbParentalLeave,2,FALSE),0)</f>
        <v>0</v>
      </c>
      <c r="S300" s="443">
        <f>R300*S293</f>
        <v>0</v>
      </c>
      <c r="T300" s="340">
        <f>_xlfn.IFNA(VLOOKUP($D292,tbParentalLeave,2,FALSE),0)</f>
        <v>0</v>
      </c>
      <c r="U300" s="451">
        <f t="shared" ref="U300" si="1283">T300*U293</f>
        <v>0</v>
      </c>
      <c r="V300" s="339">
        <f>_xlfn.IFNA(VLOOKUP($D292,tbParentalLeave,2,FALSE),0)</f>
        <v>0</v>
      </c>
      <c r="W300" s="443">
        <f>V300*W293</f>
        <v>0</v>
      </c>
      <c r="X300" s="340">
        <f>_xlfn.IFNA(VLOOKUP($D292,tbParentalLeave,2,FALSE),0)</f>
        <v>0</v>
      </c>
      <c r="Y300" s="451">
        <f t="shared" ref="Y300" si="1284">X300*Y293</f>
        <v>0</v>
      </c>
      <c r="Z300" s="339">
        <f>_xlfn.IFNA(VLOOKUP($D292,tbParentalLeave,2,FALSE),0)</f>
        <v>0</v>
      </c>
      <c r="AA300" s="443">
        <f>Z300*AA293</f>
        <v>0</v>
      </c>
      <c r="AB300" s="340">
        <f>_xlfn.IFNA(VLOOKUP($D292,tbParentalLeave,2,FALSE),0)</f>
        <v>0</v>
      </c>
      <c r="AC300" s="451">
        <f t="shared" ref="AC300" si="1285">AB300*AC293</f>
        <v>0</v>
      </c>
      <c r="AD300" s="335"/>
    </row>
    <row r="301" spans="1:30" hidden="1" outlineLevel="1" x14ac:dyDescent="0.3">
      <c r="A301" s="1182"/>
      <c r="B301" s="1379"/>
      <c r="C301" s="1379"/>
      <c r="D301" s="1379"/>
      <c r="E301" s="1379"/>
      <c r="F301" s="1379"/>
      <c r="G301" s="1379"/>
      <c r="H301" s="1380"/>
      <c r="I301" s="437" t="s">
        <v>320</v>
      </c>
      <c r="J301" s="438">
        <f>vl_overridden_uom_oncosts_per</f>
        <v>0</v>
      </c>
      <c r="K301" s="445">
        <f>J301*K293</f>
        <v>0</v>
      </c>
      <c r="L301" s="438">
        <f>vl_overridden_uom_oncosts_per</f>
        <v>0</v>
      </c>
      <c r="M301" s="445">
        <f>L301*M293</f>
        <v>0</v>
      </c>
      <c r="N301" s="438">
        <f>vl_overridden_uom_oncosts_per</f>
        <v>0</v>
      </c>
      <c r="O301" s="445">
        <f t="shared" ref="O301" si="1286">N301*O293</f>
        <v>0</v>
      </c>
      <c r="P301" s="438">
        <f>vl_overridden_uom_oncosts_per</f>
        <v>0</v>
      </c>
      <c r="Q301" s="445">
        <f t="shared" ref="Q301" si="1287">P301*Q293</f>
        <v>0</v>
      </c>
      <c r="R301" s="438">
        <f>vl_overridden_uom_oncosts_per</f>
        <v>0</v>
      </c>
      <c r="S301" s="445">
        <f t="shared" ref="S301" si="1288">R301*S293</f>
        <v>0</v>
      </c>
      <c r="T301" s="438">
        <f>vl_overridden_uom_oncosts_per</f>
        <v>0</v>
      </c>
      <c r="U301" s="445">
        <f t="shared" ref="U301" si="1289">T301*U293</f>
        <v>0</v>
      </c>
      <c r="V301" s="438">
        <f>vl_overridden_uom_oncosts_per</f>
        <v>0</v>
      </c>
      <c r="W301" s="445">
        <f t="shared" ref="W301" si="1290">V301*W293</f>
        <v>0</v>
      </c>
      <c r="X301" s="438">
        <f>vl_overridden_uom_oncosts_per</f>
        <v>0</v>
      </c>
      <c r="Y301" s="445">
        <f t="shared" ref="Y301" si="1291">X301*Y293</f>
        <v>0</v>
      </c>
      <c r="Z301" s="438">
        <f>vl_overridden_uom_oncosts_per</f>
        <v>0</v>
      </c>
      <c r="AA301" s="445">
        <f t="shared" ref="AA301" si="1292">Z301*AA293</f>
        <v>0</v>
      </c>
      <c r="AB301" s="438">
        <f>vl_overridden_uom_oncosts_per</f>
        <v>0</v>
      </c>
      <c r="AC301" s="445">
        <f t="shared" ref="AC301" si="1293">AB301*AC293</f>
        <v>0</v>
      </c>
      <c r="AD301" s="335"/>
    </row>
    <row r="302" spans="1:30" hidden="1" outlineLevel="1" x14ac:dyDescent="0.3">
      <c r="A302" s="1182"/>
      <c r="B302" s="1379"/>
      <c r="C302" s="1379"/>
      <c r="D302" s="1379"/>
      <c r="E302" s="1379"/>
      <c r="F302" s="1379"/>
      <c r="G302" s="1379"/>
      <c r="H302" s="1380"/>
      <c r="I302" s="341" t="s">
        <v>321</v>
      </c>
      <c r="J302" s="342"/>
      <c r="K302" s="444">
        <f>SUM(K296:K301)</f>
        <v>0</v>
      </c>
      <c r="L302" s="342"/>
      <c r="M302" s="444">
        <f t="shared" ref="M302" si="1294">SUM(M296:M301)</f>
        <v>0</v>
      </c>
      <c r="N302" s="342"/>
      <c r="O302" s="444">
        <f t="shared" ref="O302" si="1295">SUM(O296:O301)</f>
        <v>0</v>
      </c>
      <c r="P302" s="342"/>
      <c r="Q302" s="444">
        <f t="shared" ref="Q302" si="1296">SUM(Q296:Q301)</f>
        <v>0</v>
      </c>
      <c r="R302" s="342"/>
      <c r="S302" s="444">
        <f t="shared" ref="S302" si="1297">SUM(S296:S301)</f>
        <v>0</v>
      </c>
      <c r="T302" s="342"/>
      <c r="U302" s="444">
        <f t="shared" ref="U302" si="1298">SUM(U296:U301)</f>
        <v>0</v>
      </c>
      <c r="V302" s="342"/>
      <c r="W302" s="444">
        <f t="shared" ref="W302" si="1299">SUM(W296:W301)</f>
        <v>0</v>
      </c>
      <c r="X302" s="342"/>
      <c r="Y302" s="444">
        <f t="shared" ref="Y302" si="1300">SUM(Y296:Y301)</f>
        <v>0</v>
      </c>
      <c r="Z302" s="342"/>
      <c r="AA302" s="444">
        <f t="shared" ref="AA302" si="1301">SUM(AA296:AA301)</f>
        <v>0</v>
      </c>
      <c r="AB302" s="342"/>
      <c r="AC302" s="444">
        <f t="shared" ref="AC302" si="1302">SUM(AC296:AC301)</f>
        <v>0</v>
      </c>
      <c r="AD302" s="335">
        <f t="shared" si="1095"/>
        <v>0</v>
      </c>
    </row>
    <row r="303" spans="1:30" hidden="1" outlineLevel="1" x14ac:dyDescent="0.3">
      <c r="A303" s="1182"/>
      <c r="B303" s="1379"/>
      <c r="C303" s="1379"/>
      <c r="D303" s="1379"/>
      <c r="E303" s="1379"/>
      <c r="F303" s="1379"/>
      <c r="G303" s="1379"/>
      <c r="H303" s="1380"/>
      <c r="I303" s="336" t="s">
        <v>322</v>
      </c>
      <c r="J303" s="339">
        <f>_xlfn.IFNA(VLOOKUP($D292,tbAnnualLeaveProvision,2,FALSE),0)</f>
        <v>0</v>
      </c>
      <c r="K303" s="443">
        <f>J303*K293</f>
        <v>0</v>
      </c>
      <c r="L303" s="340">
        <f>_xlfn.IFNA(VLOOKUP($D292,tbAnnualLeaveProvision,2,FALSE),0)</f>
        <v>0</v>
      </c>
      <c r="M303" s="451">
        <f t="shared" ref="M303" si="1303">L303*M293</f>
        <v>0</v>
      </c>
      <c r="N303" s="339">
        <f>_xlfn.IFNA(VLOOKUP($D292,tbAnnualLeaveProvision,2,FALSE),0)</f>
        <v>0</v>
      </c>
      <c r="O303" s="443">
        <f>N303*O293</f>
        <v>0</v>
      </c>
      <c r="P303" s="340">
        <f>_xlfn.IFNA(VLOOKUP($D292,tbAnnualLeaveProvision,2,FALSE),0)</f>
        <v>0</v>
      </c>
      <c r="Q303" s="451">
        <f t="shared" ref="Q303" si="1304">P303*Q293</f>
        <v>0</v>
      </c>
      <c r="R303" s="339">
        <f>_xlfn.IFNA(VLOOKUP($D292,tbAnnualLeaveProvision,2,FALSE),0)</f>
        <v>0</v>
      </c>
      <c r="S303" s="443">
        <f>R303*S293</f>
        <v>0</v>
      </c>
      <c r="T303" s="340">
        <f>_xlfn.IFNA(VLOOKUP($D292,tbAnnualLeaveProvision,2,FALSE),0)</f>
        <v>0</v>
      </c>
      <c r="U303" s="451">
        <f t="shared" ref="U303" si="1305">T303*U293</f>
        <v>0</v>
      </c>
      <c r="V303" s="339">
        <f>_xlfn.IFNA(VLOOKUP($D292,tbAnnualLeaveProvision,2,FALSE),0)</f>
        <v>0</v>
      </c>
      <c r="W303" s="443">
        <f>V303*W293</f>
        <v>0</v>
      </c>
      <c r="X303" s="340">
        <f>_xlfn.IFNA(VLOOKUP($D292,tbAnnualLeaveProvision,2,FALSE),0)</f>
        <v>0</v>
      </c>
      <c r="Y303" s="451">
        <f t="shared" ref="Y303" si="1306">X303*Y293</f>
        <v>0</v>
      </c>
      <c r="Z303" s="339">
        <f>_xlfn.IFNA(VLOOKUP($D292,tbAnnualLeaveProvision,2,FALSE),0)</f>
        <v>0</v>
      </c>
      <c r="AA303" s="443">
        <f>Z303*AA293</f>
        <v>0</v>
      </c>
      <c r="AB303" s="340">
        <f>_xlfn.IFNA(VLOOKUP($D292,tbAnnualLeaveProvision,2,FALSE),0)</f>
        <v>0</v>
      </c>
      <c r="AC303" s="451">
        <f t="shared" ref="AC303" si="1307">AB303*AC293</f>
        <v>0</v>
      </c>
      <c r="AD303" s="335"/>
    </row>
    <row r="304" spans="1:30" hidden="1" outlineLevel="1" x14ac:dyDescent="0.3">
      <c r="A304" s="1182"/>
      <c r="B304" s="1379"/>
      <c r="C304" s="1379"/>
      <c r="D304" s="1379"/>
      <c r="E304" s="1379"/>
      <c r="F304" s="1379"/>
      <c r="G304" s="1379"/>
      <c r="H304" s="1380"/>
      <c r="I304" s="336" t="s">
        <v>330</v>
      </c>
      <c r="J304" s="339"/>
      <c r="K304" s="446">
        <f>K302+K303</f>
        <v>0</v>
      </c>
      <c r="L304" s="340"/>
      <c r="M304" s="452">
        <f t="shared" ref="M304" si="1308">M302+M303</f>
        <v>0</v>
      </c>
      <c r="N304" s="339"/>
      <c r="O304" s="446">
        <f>O302+O303</f>
        <v>0</v>
      </c>
      <c r="P304" s="340"/>
      <c r="Q304" s="452">
        <f t="shared" ref="Q304" si="1309">Q302+Q303</f>
        <v>0</v>
      </c>
      <c r="R304" s="339"/>
      <c r="S304" s="446">
        <f>S302+S303</f>
        <v>0</v>
      </c>
      <c r="T304" s="340"/>
      <c r="U304" s="452">
        <f t="shared" ref="U304" si="1310">U302+U303</f>
        <v>0</v>
      </c>
      <c r="V304" s="339"/>
      <c r="W304" s="446">
        <f>W302+W303</f>
        <v>0</v>
      </c>
      <c r="X304" s="340"/>
      <c r="Y304" s="452">
        <f t="shared" ref="Y304" si="1311">Y302+Y303</f>
        <v>0</v>
      </c>
      <c r="Z304" s="339"/>
      <c r="AA304" s="446">
        <f>AA302+AA303</f>
        <v>0</v>
      </c>
      <c r="AB304" s="340"/>
      <c r="AC304" s="452">
        <f t="shared" ref="AC304" si="1312">AC302+AC303</f>
        <v>0</v>
      </c>
      <c r="AD304" s="335"/>
    </row>
    <row r="305" spans="1:56" hidden="1" outlineLevel="1" x14ac:dyDescent="0.3">
      <c r="A305" s="1182"/>
      <c r="B305" s="1379"/>
      <c r="C305" s="1379"/>
      <c r="D305" s="1379"/>
      <c r="E305" s="1379"/>
      <c r="F305" s="1379"/>
      <c r="G305" s="1379"/>
      <c r="H305" s="1380"/>
      <c r="I305" s="343" t="s">
        <v>324</v>
      </c>
      <c r="J305" s="344"/>
      <c r="K305" s="443">
        <f>IFERROR(-(K302/vl_working_days_per_year)*J305,0)</f>
        <v>0</v>
      </c>
      <c r="L305" s="345"/>
      <c r="M305" s="451">
        <f>IFERROR(-(M302/vl_working_days_per_year)*L305,0)</f>
        <v>0</v>
      </c>
      <c r="N305" s="344"/>
      <c r="O305" s="443">
        <f>-(O302/vl_working_days_per_year)*N305</f>
        <v>0</v>
      </c>
      <c r="P305" s="345"/>
      <c r="Q305" s="451">
        <f>-(Q302/vl_working_days_per_year)*P305</f>
        <v>0</v>
      </c>
      <c r="R305" s="344"/>
      <c r="S305" s="443">
        <f>-(S302/vl_working_days_per_year)*R305</f>
        <v>0</v>
      </c>
      <c r="T305" s="345"/>
      <c r="U305" s="451">
        <f>-(U302/vl_working_days_per_year)*T305</f>
        <v>0</v>
      </c>
      <c r="V305" s="344"/>
      <c r="W305" s="443">
        <f>-(W302/vl_working_days_per_year)*V305</f>
        <v>0</v>
      </c>
      <c r="X305" s="345"/>
      <c r="Y305" s="451">
        <f>-(Y302/vl_working_days_per_year)*X305</f>
        <v>0</v>
      </c>
      <c r="Z305" s="344"/>
      <c r="AA305" s="443">
        <f>-(AA302/vl_working_days_per_year)*Z305</f>
        <v>0</v>
      </c>
      <c r="AB305" s="345"/>
      <c r="AC305" s="451">
        <f>-(AC302/vl_working_days_per_year)*AB305</f>
        <v>0</v>
      </c>
      <c r="AD305" s="335">
        <f t="shared" si="1095"/>
        <v>0</v>
      </c>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row>
    <row r="306" spans="1:56" hidden="1" outlineLevel="1" x14ac:dyDescent="0.3">
      <c r="A306" s="1182"/>
      <c r="B306" s="1379"/>
      <c r="C306" s="1379"/>
      <c r="D306" s="1379"/>
      <c r="E306" s="1379"/>
      <c r="F306" s="1379"/>
      <c r="G306" s="1379"/>
      <c r="H306" s="1380"/>
      <c r="I306" s="341" t="s">
        <v>325</v>
      </c>
      <c r="J306" s="346"/>
      <c r="K306" s="444">
        <f>K304+K305</f>
        <v>0</v>
      </c>
      <c r="L306" s="346"/>
      <c r="M306" s="444">
        <f t="shared" ref="M306" si="1313">M304+M305</f>
        <v>0</v>
      </c>
      <c r="N306" s="346"/>
      <c r="O306" s="444">
        <f>O304+O305</f>
        <v>0</v>
      </c>
      <c r="P306" s="346"/>
      <c r="Q306" s="444">
        <f t="shared" ref="Q306" si="1314">Q304+Q305</f>
        <v>0</v>
      </c>
      <c r="R306" s="346"/>
      <c r="S306" s="444">
        <f>S304+S305</f>
        <v>0</v>
      </c>
      <c r="T306" s="346"/>
      <c r="U306" s="444">
        <f t="shared" ref="U306" si="1315">U304+U305</f>
        <v>0</v>
      </c>
      <c r="V306" s="346"/>
      <c r="W306" s="444">
        <f>W304+W305</f>
        <v>0</v>
      </c>
      <c r="X306" s="346"/>
      <c r="Y306" s="444">
        <f t="shared" ref="Y306" si="1316">Y304+Y305</f>
        <v>0</v>
      </c>
      <c r="Z306" s="346"/>
      <c r="AA306" s="444">
        <f>AA304+AA305</f>
        <v>0</v>
      </c>
      <c r="AB306" s="346"/>
      <c r="AC306" s="444">
        <f t="shared" ref="AC306" si="1317">AC304+AC305</f>
        <v>0</v>
      </c>
      <c r="AD306" s="335">
        <f t="shared" si="1095"/>
        <v>0</v>
      </c>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row>
    <row r="307" spans="1:56" s="1" customFormat="1" ht="15" hidden="1" customHeight="1" outlineLevel="1" x14ac:dyDescent="0.3">
      <c r="A307" s="727"/>
      <c r="B307" s="1379"/>
      <c r="C307" s="1379"/>
      <c r="D307" s="1379"/>
      <c r="E307" s="1379"/>
      <c r="F307" s="1379"/>
      <c r="G307" s="1379"/>
      <c r="H307" s="1380"/>
      <c r="I307" s="382" t="s">
        <v>326</v>
      </c>
      <c r="J307" s="383">
        <f>IFERROR(K307/K293,0)</f>
        <v>0</v>
      </c>
      <c r="K307" s="447">
        <f>SUM(K294:K295,K297:K300,K303)</f>
        <v>0</v>
      </c>
      <c r="L307" s="434">
        <f>IFERROR(M307/M293,0)</f>
        <v>0</v>
      </c>
      <c r="M307" s="453">
        <f t="shared" ref="M307" si="1318">SUM(M294:M295,M297:M300,M303)</f>
        <v>0</v>
      </c>
      <c r="N307" s="383">
        <f t="shared" ref="N307" si="1319">IFERROR(O307/O293,0)</f>
        <v>0</v>
      </c>
      <c r="O307" s="447">
        <f t="shared" ref="O307" si="1320">SUM(O294:O295,O297:O300,O303)</f>
        <v>0</v>
      </c>
      <c r="P307" s="434">
        <f t="shared" ref="P307" si="1321">IFERROR(Q307/Q293,0)</f>
        <v>0</v>
      </c>
      <c r="Q307" s="453">
        <f t="shared" ref="Q307" si="1322">SUM(Q294:Q295,Q297:Q300,Q303)</f>
        <v>0</v>
      </c>
      <c r="R307" s="383">
        <f t="shared" ref="R307" si="1323">IFERROR(S307/S293,0)</f>
        <v>0</v>
      </c>
      <c r="S307" s="447">
        <f t="shared" ref="S307" si="1324">SUM(S294:S295,S297:S300,S303)</f>
        <v>0</v>
      </c>
      <c r="T307" s="434">
        <f t="shared" ref="T307" si="1325">IFERROR(U307/U293,0)</f>
        <v>0</v>
      </c>
      <c r="U307" s="453">
        <f t="shared" ref="U307" si="1326">SUM(U294:U295,U297:U300,U303)</f>
        <v>0</v>
      </c>
      <c r="V307" s="383">
        <f t="shared" ref="V307" si="1327">IFERROR(W307/W293,0)</f>
        <v>0</v>
      </c>
      <c r="W307" s="447">
        <f t="shared" ref="W307" si="1328">SUM(W294:W295,W297:W300,W303)</f>
        <v>0</v>
      </c>
      <c r="X307" s="434">
        <f t="shared" ref="X307" si="1329">IFERROR(Y307/Y293,0)</f>
        <v>0</v>
      </c>
      <c r="Y307" s="453">
        <f t="shared" ref="Y307" si="1330">SUM(Y294:Y295,Y297:Y300,Y303)</f>
        <v>0</v>
      </c>
      <c r="Z307" s="383">
        <f t="shared" ref="Z307" si="1331">IFERROR(AA307/AA293,0)</f>
        <v>0</v>
      </c>
      <c r="AA307" s="447">
        <f t="shared" ref="AA307" si="1332">SUM(AA294:AA295,AA297:AA300,AA303)</f>
        <v>0</v>
      </c>
      <c r="AB307" s="434">
        <f t="shared" ref="AB307" si="1333">IFERROR(AC307/AC293,0)</f>
        <v>0</v>
      </c>
      <c r="AC307" s="453">
        <f t="shared" ref="AC307" si="1334">SUM(AC294:AC295,AC297:AC300,AC303)</f>
        <v>0</v>
      </c>
      <c r="AD307" s="377">
        <f t="shared" si="1095"/>
        <v>0</v>
      </c>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row>
    <row r="308" spans="1:56" hidden="1" outlineLevel="1" x14ac:dyDescent="0.3">
      <c r="A308" s="1182"/>
      <c r="B308" s="1379"/>
      <c r="C308" s="1379"/>
      <c r="D308" s="1379"/>
      <c r="E308" s="1379"/>
      <c r="F308" s="1379"/>
      <c r="G308" s="1379"/>
      <c r="H308" s="1380"/>
      <c r="I308" s="382" t="s">
        <v>327</v>
      </c>
      <c r="J308" s="384">
        <f>pCRSalaries</f>
        <v>2.5</v>
      </c>
      <c r="K308" s="447"/>
      <c r="L308" s="435">
        <f>pCRSalaries</f>
        <v>2.5</v>
      </c>
      <c r="M308" s="453"/>
      <c r="N308" s="384">
        <f>pCRSalaries</f>
        <v>2.5</v>
      </c>
      <c r="O308" s="447"/>
      <c r="P308" s="435">
        <f>pCRSalaries</f>
        <v>2.5</v>
      </c>
      <c r="Q308" s="453"/>
      <c r="R308" s="384">
        <f>pCRSalaries</f>
        <v>2.5</v>
      </c>
      <c r="S308" s="447"/>
      <c r="T308" s="435">
        <f>pCRSalaries</f>
        <v>2.5</v>
      </c>
      <c r="U308" s="453"/>
      <c r="V308" s="384">
        <f>pCRSalaries</f>
        <v>2.5</v>
      </c>
      <c r="W308" s="447"/>
      <c r="X308" s="435">
        <f>pCRSalaries</f>
        <v>2.5</v>
      </c>
      <c r="Y308" s="453"/>
      <c r="Z308" s="384">
        <f>pCRSalaries</f>
        <v>2.5</v>
      </c>
      <c r="AA308" s="447"/>
      <c r="AB308" s="435">
        <f>pCRSalaries</f>
        <v>2.5</v>
      </c>
      <c r="AC308" s="453"/>
      <c r="AD308" s="335"/>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row>
    <row r="309" spans="1:56" ht="16.2" hidden="1" outlineLevel="1" thickBot="1" x14ac:dyDescent="0.35">
      <c r="A309" s="1182"/>
      <c r="B309" s="710"/>
      <c r="C309" s="347"/>
      <c r="D309" s="347"/>
      <c r="E309" s="347"/>
      <c r="F309" s="347"/>
      <c r="G309" s="347"/>
      <c r="H309" s="347"/>
      <c r="I309" s="436" t="s">
        <v>329</v>
      </c>
      <c r="J309" s="348"/>
      <c r="K309" s="448">
        <f>J308*K304</f>
        <v>0</v>
      </c>
      <c r="L309" s="348"/>
      <c r="M309" s="448">
        <f t="shared" ref="M309" si="1335">L308*M304</f>
        <v>0</v>
      </c>
      <c r="N309" s="348"/>
      <c r="O309" s="448">
        <f>N308*O304</f>
        <v>0</v>
      </c>
      <c r="P309" s="348"/>
      <c r="Q309" s="448">
        <f t="shared" ref="Q309" si="1336">P308*Q304</f>
        <v>0</v>
      </c>
      <c r="R309" s="348"/>
      <c r="S309" s="448">
        <f>R308*S304</f>
        <v>0</v>
      </c>
      <c r="T309" s="348"/>
      <c r="U309" s="448">
        <f t="shared" ref="U309" si="1337">T308*U304</f>
        <v>0</v>
      </c>
      <c r="V309" s="348"/>
      <c r="W309" s="448">
        <f>V308*W304</f>
        <v>0</v>
      </c>
      <c r="X309" s="348"/>
      <c r="Y309" s="448">
        <f t="shared" ref="Y309" si="1338">X308*Y304</f>
        <v>0</v>
      </c>
      <c r="Z309" s="348"/>
      <c r="AA309" s="448">
        <f>Z308*AA304</f>
        <v>0</v>
      </c>
      <c r="AB309" s="348"/>
      <c r="AC309" s="448">
        <f t="shared" ref="AC309" si="1339">AB308*AC304</f>
        <v>0</v>
      </c>
      <c r="AD309" s="335">
        <f t="shared" si="1095"/>
        <v>0</v>
      </c>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row>
    <row r="310" spans="1:56" ht="15" hidden="1" outlineLevel="1" thickBot="1" x14ac:dyDescent="0.35">
      <c r="A310" s="1182"/>
      <c r="B310" s="1181"/>
      <c r="C310" s="1181"/>
      <c r="D310" s="1181"/>
      <c r="E310" s="1181"/>
      <c r="F310" s="1181"/>
      <c r="G310" s="1181"/>
      <c r="H310" s="1181"/>
      <c r="I310" s="350"/>
      <c r="J310" s="351"/>
      <c r="K310" s="351"/>
      <c r="L310" s="351"/>
      <c r="M310" s="352"/>
      <c r="N310" s="351"/>
      <c r="O310" s="352"/>
      <c r="P310" s="351"/>
      <c r="Q310" s="352"/>
      <c r="R310" s="351"/>
      <c r="S310" s="352"/>
      <c r="T310" s="351"/>
      <c r="U310" s="352"/>
      <c r="V310" s="351"/>
      <c r="W310" s="352"/>
      <c r="X310" s="351"/>
      <c r="Y310" s="352"/>
      <c r="Z310" s="351"/>
      <c r="AA310" s="352"/>
      <c r="AB310" s="351"/>
      <c r="AC310" s="352"/>
      <c r="AD310" s="353" t="str">
        <f>IF(tbBudgetCurrency="AUD - Australian Dollar","",IFERROR(K310+M310+O310+Q310+S310+U310+W310+Y310+AA310+AC310,0))</f>
        <v/>
      </c>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row>
    <row r="311" spans="1:56" hidden="1" outlineLevel="1" x14ac:dyDescent="0.3">
      <c r="A311" s="1182"/>
      <c r="B311" s="356" t="str">
        <f>IF('PART B Staff Costs'!B37="","",'PART B Staff Costs'!B37)</f>
        <v/>
      </c>
      <c r="C311" s="355" t="str">
        <f>IF('PART B Staff Costs'!C37="","",'PART B Staff Costs'!C37)</f>
        <v xml:space="preserve"> </v>
      </c>
      <c r="D311" s="355" t="str">
        <f>IF('PART B Staff Costs'!D37="","",'PART B Staff Costs'!D37)</f>
        <v/>
      </c>
      <c r="E311" s="355" t="str">
        <f>IF('PART B Staff Costs'!E37="","",'PART B Staff Costs'!E37)</f>
        <v/>
      </c>
      <c r="F311" s="355" t="str">
        <f>IF('PART B Staff Costs'!F37="","",'PART B Staff Costs'!F37)</f>
        <v/>
      </c>
      <c r="G311" s="355" t="str">
        <f>IF('PART B Staff Costs'!G37="","",'PART B Staff Costs'!G37)</f>
        <v/>
      </c>
      <c r="H311" s="332" t="str">
        <f t="shared" ref="H311" si="1340">CONCATENATE(IF(D311=0,"",D311)," ",IF(E311=0,"",E311)," ",IF(F311=0,"",F311),,IF(OR(G311=0,G311=""),"",CONCATENATE(" (",G311,")")))</f>
        <v xml:space="preserve">  </v>
      </c>
      <c r="I311" s="332" t="s">
        <v>313</v>
      </c>
      <c r="J311" s="333">
        <f>_xlfn.IFNA('PART B Staff Costs'!H37*'PART B Staff Costs'!J$10,0)*new_xrate</f>
        <v>0</v>
      </c>
      <c r="K311" s="441"/>
      <c r="L311" s="334">
        <f>_xlfn.IFNA(IF(pStartYear+1&gt;pEndYear,0,VLOOKUP(CONCATENATE(
IF(OR($D311="Continuing",$D311="Fixed-Term"),"Fortnight",IF($D311="Casual","Casual",)),
$E311,
IF(OR($D311="Continuing",$D311="Fixed-Term"),
IF(LEFT($F311,6)="UOM 10","UOM 10",(LEFT($F311,LEN($F311)-1)&amp;MIN(RIGHT($F311,1)+COUNTIFS($J312:K312,"&gt;0")/2,VLOOKUP(LEFT($F311,LEN($F311)-2),tSalaryMax,2,FALSE)))),
IF($D311="Casual",
$F311,))
),tSalaryRate,5,FALSE)*VLOOKUP($G311,tSalaryRateMultiplier,2,FALSE)*'PART B Staff Costs'!L$10),0)*new_xrate</f>
        <v>0</v>
      </c>
      <c r="M311" s="449"/>
      <c r="N311" s="333">
        <f>_xlfn.IFNA(IF(pStartYear+2&gt;pEndYear,0,VLOOKUP(CONCATENATE(
IF(OR($D311="Continuing",$D311="Fixed-Term"),"Fortnight",IF($D311="Casual","Casual",)),
$E311,
IF(OR($D311="Continuing",$D311="Fixed-Term"),
IF(LEFT($F311,6)="UOM 10","UOM 10",(LEFT($F311,LEN($F311)-1)&amp;MIN(RIGHT($F311,1)+COUNTIFS($J312:M312,"&gt;0")/2,VLOOKUP(LEFT($F311,LEN($F311)-2),tSalaryMax,2,FALSE)))),
IF($D311="Casual",
$F311,))
),tSalaryRate,5,FALSE)*VLOOKUP($G311,tSalaryRateMultiplier,2,FALSE)*'PART B Staff Costs'!N$10),0)*new_xrate</f>
        <v>0</v>
      </c>
      <c r="O311" s="441"/>
      <c r="P311" s="334">
        <f>_xlfn.IFNA(IF(pStartYear+3&gt;pEndYear,0,VLOOKUP(CONCATENATE(
IF(OR($D311="Continuing",$D311="Fixed-Term"),"Fortnight",IF($D311="Casual","Casual",)),
$E311,
IF(OR($D311="Continuing",$D311="Fixed-Term"),
IF(LEFT($F311,6)="UOM 10","UOM 10",(LEFT($F311,LEN($F311)-1)&amp;MIN(RIGHT($F311,1)+COUNTIFS($J312:O312,"&gt;0")/2,VLOOKUP(LEFT($F311,LEN($F311)-2),tSalaryMax,2,FALSE)))),
IF($D311="Casual",
$F311,))
),tSalaryRate,5,FALSE)*VLOOKUP($G311,tSalaryRateMultiplier,2,FALSE)*'PART B Staff Costs'!P$10),0)*new_xrate</f>
        <v>0</v>
      </c>
      <c r="Q311" s="449"/>
      <c r="R311" s="333">
        <f>_xlfn.IFNA(IF(pStartYear+4&gt;pEndYear,0,VLOOKUP(CONCATENATE(
IF(OR($D311="Continuing",$D311="Fixed-Term"),"Fortnight",IF($D311="Casual","Casual",)),
$E311,
IF(OR($D311="Continuing",$D311="Fixed-Term"),
IF(LEFT($F311,6)="UOM 10","UOM 10",(LEFT($F311,LEN($F311)-1)&amp;MIN(RIGHT($F311,1)+COUNTIFS($J312:Q312,"&gt;0")/2,VLOOKUP(LEFT($F311,LEN($F311)-2),tSalaryMax,2,FALSE)))),
IF($D311="Casual",
$F311,))
),tSalaryRate,5,FALSE)*VLOOKUP($G311,tSalaryRateMultiplier,2,FALSE)*'PART B Staff Costs'!R$10),0)*new_xrate</f>
        <v>0</v>
      </c>
      <c r="S311" s="441"/>
      <c r="T311" s="334">
        <f>_xlfn.IFNA(IF(pStartYear+5&gt;pEndYear,0,VLOOKUP(CONCATENATE(
IF(OR($D311="Continuing",$D311="Fixed-Term"),"Fortnight",IF($D311="Casual","Casual",)),
$E311,
IF(OR($D311="Continuing",$D311="Fixed-Term"),
IF(LEFT($F311,6)="UOM 10","UOM 10",(LEFT($F311,LEN($F311)-1)&amp;MIN(RIGHT($F311,1)+COUNTIFS($J312:S312,"&gt;0")/2,VLOOKUP(LEFT($F311,LEN($F311)-2),tSalaryMax,2,FALSE)))),
IF($D311="Casual",
$F311,))
),tSalaryRate,5,FALSE)*VLOOKUP($G311,tSalaryRateMultiplier,2,FALSE)*'PART B Staff Costs'!T$10),0)*new_xrate</f>
        <v>0</v>
      </c>
      <c r="U311" s="449"/>
      <c r="V311" s="333">
        <f>_xlfn.IFNA(IF(pStartYear+6&gt;pEndYear,0,VLOOKUP(CONCATENATE(
IF(OR($D311="Continuing",$D311="Fixed-Term"),"Fortnight",IF($D311="Casual","Casual",)),
$E311,
IF(OR($D311="Continuing",$D311="Fixed-Term"),
IF(LEFT($F311,6)="UOM 10","UOM 10",(LEFT($F311,LEN($F311)-1)&amp;MIN(RIGHT($F311,1)+COUNTIFS($J312:U312,"&gt;0")/2,VLOOKUP(LEFT($F311,LEN($F311)-2),tSalaryMax,2,FALSE)))),
IF($D311="Casual",
$F311,))
),tSalaryRate,5,FALSE)*VLOOKUP($G311,tSalaryRateMultiplier,2,FALSE)*'PART B Staff Costs'!V$10),0)*new_xrate</f>
        <v>0</v>
      </c>
      <c r="W311" s="441"/>
      <c r="X311" s="334">
        <f>_xlfn.IFNA(IF(pStartYear+7&gt;pEndYear,0,VLOOKUP(CONCATENATE(
IF(OR($D311="Continuing",$D311="Fixed-Term"),"Fortnight",IF($D311="Casual","Casual",)),
$E311,
IF(OR($D311="Continuing",$D311="Fixed-Term"),
IF(LEFT($F311,6)="UOM 10","UOM 10",(LEFT($F311,LEN($F311)-1)&amp;MIN(RIGHT($F311,1)+COUNTIFS($J312:W312,"&gt;0")/2,VLOOKUP(LEFT($F311,LEN($F311)-2),tSalaryMax,2,FALSE)))),
IF($D311="Casual",
$F311,))
),tSalaryRate,5,FALSE)*VLOOKUP($G311,tSalaryRateMultiplier,2,FALSE)*'PART B Staff Costs'!X$10),0)*new_xrate</f>
        <v>0</v>
      </c>
      <c r="Y311" s="449"/>
      <c r="Z311" s="333">
        <f>_xlfn.IFNA(IF(pStartYear+8&gt;pEndYear,0,VLOOKUP(CONCATENATE(
IF(OR($D311="Continuing",$D311="Fixed-Term"),"Fortnight",IF($D311="Casual","Casual",)),
$E311,
IF(OR($D311="Continuing",$D311="Fixed-Term"),
IF(LEFT($F311,6)="UOM 10","UOM 10",(LEFT($F311,LEN($F311)-1)&amp;MIN(RIGHT($F311,1)+COUNTIFS($J312:Y312,"&gt;0")/2,VLOOKUP(LEFT($F311,LEN($F311)-2),tSalaryMax,2,FALSE)))),
IF($D311="Casual",
$F311,))
),tSalaryRate,5,FALSE)*VLOOKUP($G311,tSalaryRateMultiplier,2,FALSE)*'PART B Staff Costs'!Z$10),0)*new_xrate</f>
        <v>0</v>
      </c>
      <c r="AA311" s="441"/>
      <c r="AB311" s="334">
        <f>_xlfn.IFNA(IF(pStartYear+9&gt;pEndYear,0,VLOOKUP(CONCATENATE(
IF(OR($D311="Continuing",$D311="Fixed-Term"),"Fortnight",IF($D311="Casual","Casual",)),
$E311,
IF(OR($D311="Continuing",$D311="Fixed-Term"),
IF(LEFT($F311,6)="UOM 10","UOM 10",(LEFT($F311,LEN($F311)-1)&amp;MIN(RIGHT($F311,1)+COUNTIFS($J312:AA312,"&gt;0")/2,VLOOKUP(LEFT($F311,LEN($F311)-2),tSalaryMax,2,FALSE)))),
IF($D311="Casual",
$F311,))
),tSalaryRate,5,FALSE)*VLOOKUP($G311,tSalaryRateMultiplier,2,FALSE)*'PART B Staff Costs'!AB$10),0)*new_xrate</f>
        <v>0</v>
      </c>
      <c r="AC311" s="449"/>
      <c r="AD311" s="335"/>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row>
    <row r="312" spans="1:56" hidden="1" outlineLevel="1" x14ac:dyDescent="0.3">
      <c r="A312" s="1182"/>
      <c r="B312" s="1377"/>
      <c r="C312" s="1377"/>
      <c r="D312" s="1377"/>
      <c r="E312" s="1377"/>
      <c r="F312" s="1377"/>
      <c r="G312" s="1377"/>
      <c r="H312" s="1378"/>
      <c r="I312" s="336" t="str">
        <f>IF('PART B Staff Costs'!G307&lt;&gt;"",CONCATENATE("Time/Requested salary"," (",'PART B Staff Costs'!G307,")"),"Time/Requested salary")</f>
        <v>Time/Requested salary</v>
      </c>
      <c r="J312" s="337">
        <f>_xlfn.IFNA('PART B Staff Costs'!I37,0)</f>
        <v>0</v>
      </c>
      <c r="K312" s="442">
        <f>IF('PART B Staff Costs'!$G$37="FTE",J312*J311*(First_year_fraction/12),J312*J311)</f>
        <v>0</v>
      </c>
      <c r="L312" s="338">
        <f>_xlfn.IFNA('PART B Staff Costs'!K37,0)</f>
        <v>0</v>
      </c>
      <c r="M312" s="450">
        <f>IF(pStartYear+1=pEndYear,IF('PART B Staff Costs'!$G$37="FTE",(L312*L311)*Last_Year_Fraction/12,L312*L311),L312*L311)</f>
        <v>0</v>
      </c>
      <c r="N312" s="337">
        <f>_xlfn.IFNA('PART B Staff Costs'!M37,0)</f>
        <v>0</v>
      </c>
      <c r="O312" s="442">
        <f>IF(pStartYear+2=pEndYear,IF('PART B Staff Costs'!$G$37="FTE",(N312*N311)*Last_Year_Fraction/12,N312*N311),N312*N311)</f>
        <v>0</v>
      </c>
      <c r="P312" s="338">
        <f>_xlfn.IFNA('PART B Staff Costs'!O37,0)</f>
        <v>0</v>
      </c>
      <c r="Q312" s="450">
        <f>IF(pStartYear+3=pEndYear,IF('PART B Staff Costs'!$G$37="FTE",(P312*P311)*Last_Year_Fraction/12,P312*P311),P312*P311)</f>
        <v>0</v>
      </c>
      <c r="R312" s="337">
        <f>_xlfn.IFNA('PART B Staff Costs'!Q37,0)</f>
        <v>0</v>
      </c>
      <c r="S312" s="442">
        <f>IF(pStartYear+4=pEndYear,IF('PART B Staff Costs'!$G$37="FTE",(R312*R311)*Last_Year_Fraction/12,R312*R311),R312*R311)</f>
        <v>0</v>
      </c>
      <c r="T312" s="338">
        <f>_xlfn.IFNA('PART B Staff Costs'!S37,0)</f>
        <v>0</v>
      </c>
      <c r="U312" s="450">
        <f>IF(pStartYear+5=pEndYear,IF('PART B Staff Costs'!$G$37="FTE",(T312*T311)*Last_Year_Fraction/12,T312*T311),T312*T311)</f>
        <v>0</v>
      </c>
      <c r="V312" s="337">
        <f>_xlfn.IFNA('PART B Staff Costs'!U37,0)</f>
        <v>0</v>
      </c>
      <c r="W312" s="442">
        <f>IF(pStartYear+6=pEndYear,IF('PART B Staff Costs'!$G$37="FTE",(V312*V311)*Last_Year_Fraction/12,V312*V311),V312*V311)</f>
        <v>0</v>
      </c>
      <c r="X312" s="338">
        <f>_xlfn.IFNA('PART B Staff Costs'!W37,0)</f>
        <v>0</v>
      </c>
      <c r="Y312" s="450">
        <f>IF(pStartYear+7=pEndYear,IF('PART B Staff Costs'!$G$37="FTE",(X312*X311)*Last_Year_Fraction/12,X312*X311),X312*X311)</f>
        <v>0</v>
      </c>
      <c r="Z312" s="337">
        <f>_xlfn.IFNA('PART B Staff Costs'!Y37,0)</f>
        <v>0</v>
      </c>
      <c r="AA312" s="442">
        <f>IF(pStartYear+8=pEndYear,IF('PART B Staff Costs'!$G$37="FTE",(Z312*Z311)*Last_Year_Fraction/12,Z312*Z311),Z312*Z311)</f>
        <v>0</v>
      </c>
      <c r="AB312" s="338">
        <f>_xlfn.IFNA('PART B Staff Costs'!AA37,0)</f>
        <v>0</v>
      </c>
      <c r="AC312" s="450">
        <f>IF(pStartYear+9=pEndYear,IF('PART B Staff Costs'!$G$37="FTE",(AB312*AB311)*Last_Year_Fraction/12,AB312*AB311),AB312*AB311)</f>
        <v>0</v>
      </c>
      <c r="AD312" s="335"/>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row>
    <row r="313" spans="1:56" hidden="1" outlineLevel="1" x14ac:dyDescent="0.3">
      <c r="A313" s="1182"/>
      <c r="B313" s="1379"/>
      <c r="C313" s="1379"/>
      <c r="D313" s="1379"/>
      <c r="E313" s="1379"/>
      <c r="F313" s="1379"/>
      <c r="G313" s="1379"/>
      <c r="H313" s="1380"/>
      <c r="I313" s="336" t="str">
        <f>IF(tbBudgetCurrency="AUD - Australian Dollar",CONCATENATE("Leave Loading (max of AU$",vl_Max_Leave_Loading,")"),CONCATENATE("Leave Loading (max of ",ROUND(vl_Max_Leave_Loading*new_xrate,2)," ",LEFT(tbBudgetCurrency,3),")"))</f>
        <v>Leave Loading (max of AU$1611.3)</v>
      </c>
      <c r="J313" s="339">
        <f>_xlfn.IFNA(VLOOKUP($D311,tbLeaveLoading,2,FALSE),0)</f>
        <v>0</v>
      </c>
      <c r="K313" s="443">
        <f>IF(K312*J313&gt;vl_Max_Leave_Loading*new_xrate,vl_Max_Leave_Loading*new_xrate,K312*J313)</f>
        <v>0</v>
      </c>
      <c r="L313" s="340">
        <f>_xlfn.IFNA(VLOOKUP($D311,tbLeaveLoading,2,FALSE),0)</f>
        <v>0</v>
      </c>
      <c r="M313" s="451">
        <f>IF(M312*L313&gt;vl_Max_Leave_Loading*new_xrate,vl_Max_Leave_Loading*new_xrate,M312*L313)</f>
        <v>0</v>
      </c>
      <c r="N313" s="339">
        <f>_xlfn.IFNA(VLOOKUP($D311,tbLeaveLoading,2,FALSE),0)</f>
        <v>0</v>
      </c>
      <c r="O313" s="443">
        <f>IF(O312*N313&gt;vl_Max_Leave_Loading*new_xrate,vl_Max_Leave_Loading*new_xrate,O312*N313)</f>
        <v>0</v>
      </c>
      <c r="P313" s="340">
        <f>_xlfn.IFNA(VLOOKUP($D311,tbLeaveLoading,2,FALSE),0)</f>
        <v>0</v>
      </c>
      <c r="Q313" s="451">
        <f>IF(Q312*P313&gt;vl_Max_Leave_Loading*new_xrate,vl_Max_Leave_Loading*new_xrate,Q312*P313)</f>
        <v>0</v>
      </c>
      <c r="R313" s="339">
        <f>_xlfn.IFNA(VLOOKUP($D311,tbLeaveLoading,2,FALSE),0)</f>
        <v>0</v>
      </c>
      <c r="S313" s="443">
        <f>IF(S312*R313&gt;vl_Max_Leave_Loading*new_xrate,vl_Max_Leave_Loading*new_xrate,S312*R313)</f>
        <v>0</v>
      </c>
      <c r="T313" s="340">
        <f>_xlfn.IFNA(VLOOKUP($D311,tbLeaveLoading,2,FALSE),0)</f>
        <v>0</v>
      </c>
      <c r="U313" s="451">
        <f>IF(U312*T313&gt;vl_Max_Leave_Loading*new_xrate,vl_Max_Leave_Loading*new_xrate,U312*T313)</f>
        <v>0</v>
      </c>
      <c r="V313" s="339">
        <f>_xlfn.IFNA(VLOOKUP($D311,tbLeaveLoading,2,FALSE),0)</f>
        <v>0</v>
      </c>
      <c r="W313" s="443">
        <f>IF(W312*V313&gt;vl_Max_Leave_Loading*new_xrate,vl_Max_Leave_Loading*new_xrate,W312*V313)</f>
        <v>0</v>
      </c>
      <c r="X313" s="340">
        <f>_xlfn.IFNA(VLOOKUP($D311,tbLeaveLoading,2,FALSE),0)</f>
        <v>0</v>
      </c>
      <c r="Y313" s="451">
        <f>IF(Y312*X313&gt;vl_Max_Leave_Loading*new_xrate,vl_Max_Leave_Loading*new_xrate,Y312*X313)</f>
        <v>0</v>
      </c>
      <c r="Z313" s="339">
        <f>_xlfn.IFNA(VLOOKUP($D311,tbLeaveLoading,2,FALSE),0)</f>
        <v>0</v>
      </c>
      <c r="AA313" s="443">
        <f>IF(AA312*Z313&gt;vl_Max_Leave_Loading*new_xrate,vl_Max_Leave_Loading*new_xrate,AA312*Z313)</f>
        <v>0</v>
      </c>
      <c r="AB313" s="340">
        <f>_xlfn.IFNA(VLOOKUP($D311,tbLeaveLoading,2,FALSE),0)</f>
        <v>0</v>
      </c>
      <c r="AC313" s="451">
        <f>IF(AC312*AB313&gt;vl_Max_Leave_Loading*new_xrate,vl_Max_Leave_Loading*new_xrate,AC312*AB313)</f>
        <v>0</v>
      </c>
      <c r="AD313" s="335"/>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row>
    <row r="314" spans="1:56" hidden="1" outlineLevel="1" x14ac:dyDescent="0.3">
      <c r="A314" s="1182"/>
      <c r="B314" s="1379"/>
      <c r="C314" s="1379"/>
      <c r="D314" s="1379"/>
      <c r="E314" s="1379"/>
      <c r="F314" s="1379"/>
      <c r="G314" s="1379"/>
      <c r="H314" s="1380"/>
      <c r="I314" s="336" t="s">
        <v>314</v>
      </c>
      <c r="J314" s="339">
        <f>_xlfn.IFNA(_xlfn.IFNA(VLOOKUP(CONCATENATE(pStartYear,$D311),tbSuperannuation,4,FALSE),VLOOKUP($D311,tbSuperannuation2026onwards,2,FALSE)),0)</f>
        <v>0</v>
      </c>
      <c r="K314" s="443">
        <f>K312*J314</f>
        <v>0</v>
      </c>
      <c r="L314" s="340">
        <f>_xlfn.IFNA(_xlfn.IFNA(VLOOKUP(CONCATENATE(pStartYear+1,$D311),tbSuperannuation,4,FALSE),VLOOKUP($D311,tbSuperannuation2026onwards,2,FALSE)),0)</f>
        <v>0</v>
      </c>
      <c r="M314" s="451">
        <f t="shared" ref="M314" si="1341">M312*L314</f>
        <v>0</v>
      </c>
      <c r="N314" s="339">
        <f>_xlfn.IFNA(_xlfn.IFNA(VLOOKUP(CONCATENATE(pStartYear+2,$D311),tbSuperannuation,4,FALSE),VLOOKUP($D311,tbSuperannuation2026onwards,2,FALSE)),0)</f>
        <v>0</v>
      </c>
      <c r="O314" s="443">
        <f>O312*N314</f>
        <v>0</v>
      </c>
      <c r="P314" s="340">
        <f>_xlfn.IFNA(_xlfn.IFNA(VLOOKUP(CONCATENATE(pStartYear+3,$D311),tbSuperannuation,4,FALSE),VLOOKUP($D311,tbSuperannuation2026onwards,2,FALSE)),0)</f>
        <v>0</v>
      </c>
      <c r="Q314" s="451">
        <f t="shared" ref="Q314" si="1342">Q312*P314</f>
        <v>0</v>
      </c>
      <c r="R314" s="339">
        <f>_xlfn.IFNA(_xlfn.IFNA(VLOOKUP(CONCATENATE(pStartYear+4,$D311),tbSuperannuation,4,FALSE),VLOOKUP($D311,tbSuperannuation2026onwards,2,FALSE)),0)</f>
        <v>0</v>
      </c>
      <c r="S314" s="443">
        <f>S312*R314</f>
        <v>0</v>
      </c>
      <c r="T314" s="340">
        <f>_xlfn.IFNA(_xlfn.IFNA(VLOOKUP(CONCATENATE(pStartYear+5,$D311),tbSuperannuation,4,FALSE),VLOOKUP($D311,tbSuperannuation2026onwards,2,FALSE)),0)</f>
        <v>0</v>
      </c>
      <c r="U314" s="451">
        <f t="shared" ref="U314" si="1343">U312*T314</f>
        <v>0</v>
      </c>
      <c r="V314" s="339">
        <f>_xlfn.IFNA(_xlfn.IFNA(VLOOKUP(CONCATENATE(pStartYear+6,$D311),tbSuperannuation,4,FALSE),VLOOKUP($D311,tbSuperannuation2026onwards,2,FALSE)),0)</f>
        <v>0</v>
      </c>
      <c r="W314" s="443">
        <f>W312*V314</f>
        <v>0</v>
      </c>
      <c r="X314" s="340">
        <f>_xlfn.IFNA(_xlfn.IFNA(VLOOKUP(CONCATENATE(pStartYear+7,$D311),tbSuperannuation,4,FALSE),VLOOKUP($D311,tbSuperannuation2026onwards,2,FALSE)),0)</f>
        <v>0</v>
      </c>
      <c r="Y314" s="451">
        <f t="shared" ref="Y314" si="1344">Y312*X314</f>
        <v>0</v>
      </c>
      <c r="Z314" s="339">
        <f>_xlfn.IFNA(_xlfn.IFNA(VLOOKUP(CONCATENATE(pStartYear+8,$D311),tbSuperannuation,4,FALSE),VLOOKUP($D311,tbSuperannuation2026onwards,2,FALSE)),0)</f>
        <v>0</v>
      </c>
      <c r="AA314" s="443">
        <f>AA312*Z314</f>
        <v>0</v>
      </c>
      <c r="AB314" s="340">
        <f>_xlfn.IFNA(_xlfn.IFNA(VLOOKUP(CONCATENATE(pStartYear+9,$D311),tbSuperannuation,4,FALSE),VLOOKUP($D311,tbSuperannuation2026onwards,2,FALSE)),0)</f>
        <v>0</v>
      </c>
      <c r="AC314" s="451">
        <f t="shared" ref="AC314" si="1345">AC312*AB314</f>
        <v>0</v>
      </c>
      <c r="AD314" s="335"/>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row>
    <row r="315" spans="1:56" hidden="1" outlineLevel="1" x14ac:dyDescent="0.3">
      <c r="A315" s="1182"/>
      <c r="B315" s="1379"/>
      <c r="C315" s="1379"/>
      <c r="D315" s="1379"/>
      <c r="E315" s="1379"/>
      <c r="F315" s="1379"/>
      <c r="G315" s="1379"/>
      <c r="H315" s="1380"/>
      <c r="I315" s="341" t="s">
        <v>315</v>
      </c>
      <c r="J315" s="342"/>
      <c r="K315" s="444">
        <f>K313+K314+K312</f>
        <v>0</v>
      </c>
      <c r="L315" s="342"/>
      <c r="M315" s="444">
        <f t="shared" ref="M315" si="1346">M313+M314+M312</f>
        <v>0</v>
      </c>
      <c r="N315" s="342"/>
      <c r="O315" s="444">
        <f>O313+O314+O312</f>
        <v>0</v>
      </c>
      <c r="P315" s="342"/>
      <c r="Q315" s="444">
        <f t="shared" ref="Q315" si="1347">Q313+Q314+Q312</f>
        <v>0</v>
      </c>
      <c r="R315" s="342"/>
      <c r="S315" s="444">
        <f>S313+S314+S312</f>
        <v>0</v>
      </c>
      <c r="T315" s="342"/>
      <c r="U315" s="444">
        <f t="shared" ref="U315" si="1348">U313+U314+U312</f>
        <v>0</v>
      </c>
      <c r="V315" s="342"/>
      <c r="W315" s="444">
        <f>W313+W314+W312</f>
        <v>0</v>
      </c>
      <c r="X315" s="342"/>
      <c r="Y315" s="444">
        <f t="shared" ref="Y315" si="1349">Y313+Y314+Y312</f>
        <v>0</v>
      </c>
      <c r="Z315" s="342"/>
      <c r="AA315" s="444">
        <f>AA313+AA314+AA312</f>
        <v>0</v>
      </c>
      <c r="AB315" s="342"/>
      <c r="AC315" s="444">
        <f t="shared" ref="AC315" si="1350">AC313+AC314+AC312</f>
        <v>0</v>
      </c>
      <c r="AD315" s="335">
        <f t="shared" si="1095"/>
        <v>0</v>
      </c>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row>
    <row r="316" spans="1:56" hidden="1" outlineLevel="1" x14ac:dyDescent="0.3">
      <c r="A316" s="1182"/>
      <c r="B316" s="1379"/>
      <c r="C316" s="1379"/>
      <c r="D316" s="1379"/>
      <c r="E316" s="1379"/>
      <c r="F316" s="1379"/>
      <c r="G316" s="1379"/>
      <c r="H316" s="1380"/>
      <c r="I316" s="336" t="s">
        <v>316</v>
      </c>
      <c r="J316" s="339">
        <f>_xlfn.IFNA(_xlfn.IFNA(VLOOKUP(pStartYear,tbPayrollTax,2,FALSE),vl_MaxPayrollTax),0)</f>
        <v>5.8500000000000003E-2</v>
      </c>
      <c r="K316" s="443">
        <f>J316*K315</f>
        <v>0</v>
      </c>
      <c r="L316" s="340">
        <f>_xlfn.IFNA(_xlfn.IFNA(VLOOKUP(pStartYear+1,tbPayrollTax,2,FALSE),vl_MaxPayrollTax),0)</f>
        <v>5.8500000000000003E-2</v>
      </c>
      <c r="M316" s="451">
        <f t="shared" ref="M316" si="1351">L316*M315</f>
        <v>0</v>
      </c>
      <c r="N316" s="339">
        <f>_xlfn.IFNA(_xlfn.IFNA(VLOOKUP(pStartYear+2,tbPayrollTax,2,FALSE),vl_MaxPayrollTax),0)</f>
        <v>5.8500000000000003E-2</v>
      </c>
      <c r="O316" s="443">
        <f>N316*O315</f>
        <v>0</v>
      </c>
      <c r="P316" s="340">
        <f>_xlfn.IFNA(_xlfn.IFNA(VLOOKUP(pStartYear+3,tbPayrollTax,2,FALSE),vl_MaxPayrollTax),0)</f>
        <v>5.8500000000000003E-2</v>
      </c>
      <c r="Q316" s="451">
        <f t="shared" ref="Q316" si="1352">P316*Q315</f>
        <v>0</v>
      </c>
      <c r="R316" s="339">
        <f>_xlfn.IFNA(_xlfn.IFNA(VLOOKUP(pStartYear+4,tbPayrollTax,2,FALSE),vl_MaxPayrollTax),0)</f>
        <v>5.8500000000000003E-2</v>
      </c>
      <c r="S316" s="443">
        <f>R316*S315</f>
        <v>0</v>
      </c>
      <c r="T316" s="340">
        <f>_xlfn.IFNA(_xlfn.IFNA(VLOOKUP(pStartYear+5,tbPayrollTax,2,FALSE),vl_MaxPayrollTax),0)</f>
        <v>5.8500000000000003E-2</v>
      </c>
      <c r="U316" s="451">
        <f t="shared" ref="U316" si="1353">T316*U315</f>
        <v>0</v>
      </c>
      <c r="V316" s="339">
        <f>_xlfn.IFNA(_xlfn.IFNA(VLOOKUP(pStartYear+6,tbPayrollTax,2,FALSE),vl_MaxPayrollTax),0)</f>
        <v>5.8500000000000003E-2</v>
      </c>
      <c r="W316" s="443">
        <f>V316*W315</f>
        <v>0</v>
      </c>
      <c r="X316" s="340">
        <f>_xlfn.IFNA(_xlfn.IFNA(VLOOKUP(pStartYear+7,tbPayrollTax,2,FALSE),vl_MaxPayrollTax),0)</f>
        <v>5.8500000000000003E-2</v>
      </c>
      <c r="Y316" s="451">
        <f t="shared" ref="Y316" si="1354">X316*Y315</f>
        <v>0</v>
      </c>
      <c r="Z316" s="339">
        <f>_xlfn.IFNA(_xlfn.IFNA(VLOOKUP(pStartYear+8,tbPayrollTax,2,FALSE),vl_MaxPayrollTax),0)</f>
        <v>5.8500000000000003E-2</v>
      </c>
      <c r="AA316" s="443">
        <f>Z316*AA315</f>
        <v>0</v>
      </c>
      <c r="AB316" s="340">
        <f>_xlfn.IFNA(_xlfn.IFNA(VLOOKUP(pStartYear+9,tbPayrollTax,2,FALSE),vl_MaxPayrollTax),0)</f>
        <v>5.8500000000000003E-2</v>
      </c>
      <c r="AC316" s="451">
        <f t="shared" ref="AC316" si="1355">AB316*AC315</f>
        <v>0</v>
      </c>
      <c r="AD316" s="335"/>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row>
    <row r="317" spans="1:56" hidden="1" outlineLevel="1" x14ac:dyDescent="0.3">
      <c r="A317" s="1182"/>
      <c r="B317" s="1379"/>
      <c r="C317" s="1379"/>
      <c r="D317" s="1379"/>
      <c r="E317" s="1379"/>
      <c r="F317" s="1379"/>
      <c r="G317" s="1379"/>
      <c r="H317" s="1380"/>
      <c r="I317" s="336" t="s">
        <v>317</v>
      </c>
      <c r="J317" s="339">
        <f>_xlfn.IFNA(VLOOKUP($D311,tbWorkCover,2,FALSE),0)</f>
        <v>0</v>
      </c>
      <c r="K317" s="443">
        <f>J317*K315</f>
        <v>0</v>
      </c>
      <c r="L317" s="340">
        <f>_xlfn.IFNA(VLOOKUP($D311,tbWorkCover,2,FALSE),0)</f>
        <v>0</v>
      </c>
      <c r="M317" s="451">
        <f t="shared" ref="M317" si="1356">L317*M315</f>
        <v>0</v>
      </c>
      <c r="N317" s="339">
        <f>_xlfn.IFNA(VLOOKUP($D311,tbWorkCover,2,FALSE),0)</f>
        <v>0</v>
      </c>
      <c r="O317" s="443">
        <f>N317*O315</f>
        <v>0</v>
      </c>
      <c r="P317" s="340">
        <f>_xlfn.IFNA(VLOOKUP($D311,tbWorkCover,2,FALSE),0)</f>
        <v>0</v>
      </c>
      <c r="Q317" s="451">
        <f t="shared" ref="Q317" si="1357">P317*Q315</f>
        <v>0</v>
      </c>
      <c r="R317" s="339">
        <f>_xlfn.IFNA(VLOOKUP($D311,tbWorkCover,2,FALSE),0)</f>
        <v>0</v>
      </c>
      <c r="S317" s="443">
        <f>R317*S315</f>
        <v>0</v>
      </c>
      <c r="T317" s="340">
        <f>_xlfn.IFNA(VLOOKUP($D311,tbWorkCover,2,FALSE),0)</f>
        <v>0</v>
      </c>
      <c r="U317" s="451">
        <f t="shared" ref="U317" si="1358">T317*U315</f>
        <v>0</v>
      </c>
      <c r="V317" s="339">
        <f>_xlfn.IFNA(VLOOKUP($D311,tbWorkCover,2,FALSE),0)</f>
        <v>0</v>
      </c>
      <c r="W317" s="443">
        <f>V317*W315</f>
        <v>0</v>
      </c>
      <c r="X317" s="340">
        <f>_xlfn.IFNA(VLOOKUP($D311,tbWorkCover,2,FALSE),0)</f>
        <v>0</v>
      </c>
      <c r="Y317" s="451">
        <f t="shared" ref="Y317" si="1359">X317*Y315</f>
        <v>0</v>
      </c>
      <c r="Z317" s="339">
        <f>_xlfn.IFNA(VLOOKUP($D311,tbWorkCover,2,FALSE),0)</f>
        <v>0</v>
      </c>
      <c r="AA317" s="443">
        <f>Z317*AA315</f>
        <v>0</v>
      </c>
      <c r="AB317" s="340">
        <f>_xlfn.IFNA(VLOOKUP($D311,tbWorkCover,2,FALSE),0)</f>
        <v>0</v>
      </c>
      <c r="AC317" s="451">
        <f t="shared" ref="AC317" si="1360">AB317*AC315</f>
        <v>0</v>
      </c>
      <c r="AD317" s="335"/>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row>
    <row r="318" spans="1:56" hidden="1" outlineLevel="1" x14ac:dyDescent="0.3">
      <c r="A318" s="1182"/>
      <c r="B318" s="1379"/>
      <c r="C318" s="1379"/>
      <c r="D318" s="1379"/>
      <c r="E318" s="1379"/>
      <c r="F318" s="1379"/>
      <c r="G318" s="1379"/>
      <c r="H318" s="1380"/>
      <c r="I318" s="336" t="s">
        <v>318</v>
      </c>
      <c r="J318" s="339">
        <f>_xlfn.IFNA(VLOOKUP($D311,tbLongServiceLeave,2,FALSE),0)</f>
        <v>0</v>
      </c>
      <c r="K318" s="443">
        <f>J318*K312</f>
        <v>0</v>
      </c>
      <c r="L318" s="340">
        <f>_xlfn.IFNA(VLOOKUP($D311,tbLongServiceLeave,2,FALSE),0)</f>
        <v>0</v>
      </c>
      <c r="M318" s="451">
        <f t="shared" ref="M318" si="1361">L318*M312</f>
        <v>0</v>
      </c>
      <c r="N318" s="339">
        <f>_xlfn.IFNA(VLOOKUP($D311,tbLongServiceLeave,2,FALSE),0)</f>
        <v>0</v>
      </c>
      <c r="O318" s="443">
        <f>N318*O312</f>
        <v>0</v>
      </c>
      <c r="P318" s="340">
        <f>_xlfn.IFNA(VLOOKUP($D311,tbLongServiceLeave,2,FALSE),0)</f>
        <v>0</v>
      </c>
      <c r="Q318" s="451">
        <f t="shared" ref="Q318" si="1362">P318*Q312</f>
        <v>0</v>
      </c>
      <c r="R318" s="339">
        <f>_xlfn.IFNA(VLOOKUP($D311,tbLongServiceLeave,2,FALSE),0)</f>
        <v>0</v>
      </c>
      <c r="S318" s="443">
        <f>R318*S312</f>
        <v>0</v>
      </c>
      <c r="T318" s="340">
        <f>_xlfn.IFNA(VLOOKUP($D311,tbLongServiceLeave,2,FALSE),0)</f>
        <v>0</v>
      </c>
      <c r="U318" s="451">
        <f t="shared" ref="U318" si="1363">T318*U312</f>
        <v>0</v>
      </c>
      <c r="V318" s="339">
        <f>_xlfn.IFNA(VLOOKUP($D311,tbLongServiceLeave,2,FALSE),0)</f>
        <v>0</v>
      </c>
      <c r="W318" s="443">
        <f>V318*W312</f>
        <v>0</v>
      </c>
      <c r="X318" s="340">
        <f>_xlfn.IFNA(VLOOKUP($D311,tbLongServiceLeave,2,FALSE),0)</f>
        <v>0</v>
      </c>
      <c r="Y318" s="451">
        <f t="shared" ref="Y318" si="1364">X318*Y312</f>
        <v>0</v>
      </c>
      <c r="Z318" s="339">
        <f>_xlfn.IFNA(VLOOKUP($D311,tbLongServiceLeave,2,FALSE),0)</f>
        <v>0</v>
      </c>
      <c r="AA318" s="443">
        <f>Z318*AA312</f>
        <v>0</v>
      </c>
      <c r="AB318" s="340">
        <f>_xlfn.IFNA(VLOOKUP($D311,tbLongServiceLeave,2,FALSE),0)</f>
        <v>0</v>
      </c>
      <c r="AC318" s="451">
        <f t="shared" ref="AC318" si="1365">AB318*AC312</f>
        <v>0</v>
      </c>
      <c r="AD318" s="335"/>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row>
    <row r="319" spans="1:56" hidden="1" outlineLevel="1" x14ac:dyDescent="0.3">
      <c r="A319" s="1182"/>
      <c r="B319" s="1379"/>
      <c r="C319" s="1379"/>
      <c r="D319" s="1379"/>
      <c r="E319" s="1379"/>
      <c r="F319" s="1379"/>
      <c r="G319" s="1379"/>
      <c r="H319" s="1380"/>
      <c r="I319" s="336" t="s">
        <v>319</v>
      </c>
      <c r="J319" s="339">
        <f>_xlfn.IFNA(VLOOKUP($D311,tbParentalLeave,2,FALSE),0)</f>
        <v>0</v>
      </c>
      <c r="K319" s="443">
        <f>J319*K312</f>
        <v>0</v>
      </c>
      <c r="L319" s="340">
        <f>_xlfn.IFNA(VLOOKUP($D311,tbParentalLeave,2,FALSE),0)</f>
        <v>0</v>
      </c>
      <c r="M319" s="451">
        <f t="shared" ref="M319" si="1366">L319*M312</f>
        <v>0</v>
      </c>
      <c r="N319" s="339">
        <f>_xlfn.IFNA(VLOOKUP($D311,tbParentalLeave,2,FALSE),0)</f>
        <v>0</v>
      </c>
      <c r="O319" s="443">
        <f>N319*O312</f>
        <v>0</v>
      </c>
      <c r="P319" s="340">
        <f>_xlfn.IFNA(VLOOKUP($D311,tbParentalLeave,2,FALSE),0)</f>
        <v>0</v>
      </c>
      <c r="Q319" s="451">
        <f t="shared" ref="Q319" si="1367">P319*Q312</f>
        <v>0</v>
      </c>
      <c r="R319" s="339">
        <f>_xlfn.IFNA(VLOOKUP($D311,tbParentalLeave,2,FALSE),0)</f>
        <v>0</v>
      </c>
      <c r="S319" s="443">
        <f>R319*S312</f>
        <v>0</v>
      </c>
      <c r="T319" s="340">
        <f>_xlfn.IFNA(VLOOKUP($D311,tbParentalLeave,2,FALSE),0)</f>
        <v>0</v>
      </c>
      <c r="U319" s="451">
        <f t="shared" ref="U319" si="1368">T319*U312</f>
        <v>0</v>
      </c>
      <c r="V319" s="339">
        <f>_xlfn.IFNA(VLOOKUP($D311,tbParentalLeave,2,FALSE),0)</f>
        <v>0</v>
      </c>
      <c r="W319" s="443">
        <f>V319*W312</f>
        <v>0</v>
      </c>
      <c r="X319" s="340">
        <f>_xlfn.IFNA(VLOOKUP($D311,tbParentalLeave,2,FALSE),0)</f>
        <v>0</v>
      </c>
      <c r="Y319" s="451">
        <f t="shared" ref="Y319" si="1369">X319*Y312</f>
        <v>0</v>
      </c>
      <c r="Z319" s="339">
        <f>_xlfn.IFNA(VLOOKUP($D311,tbParentalLeave,2,FALSE),0)</f>
        <v>0</v>
      </c>
      <c r="AA319" s="443">
        <f>Z319*AA312</f>
        <v>0</v>
      </c>
      <c r="AB319" s="340">
        <f>_xlfn.IFNA(VLOOKUP($D311,tbParentalLeave,2,FALSE),0)</f>
        <v>0</v>
      </c>
      <c r="AC319" s="451">
        <f t="shared" ref="AC319" si="1370">AB319*AC312</f>
        <v>0</v>
      </c>
      <c r="AD319" s="335"/>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row>
    <row r="320" spans="1:56" hidden="1" outlineLevel="1" x14ac:dyDescent="0.3">
      <c r="A320" s="1182"/>
      <c r="B320" s="1379"/>
      <c r="C320" s="1379"/>
      <c r="D320" s="1379"/>
      <c r="E320" s="1379"/>
      <c r="F320" s="1379"/>
      <c r="G320" s="1379"/>
      <c r="H320" s="1380"/>
      <c r="I320" s="437" t="s">
        <v>320</v>
      </c>
      <c r="J320" s="438">
        <f>vl_overridden_uom_oncosts_per</f>
        <v>0</v>
      </c>
      <c r="K320" s="445">
        <f>J320*K312</f>
        <v>0</v>
      </c>
      <c r="L320" s="438">
        <f>vl_overridden_uom_oncosts_per</f>
        <v>0</v>
      </c>
      <c r="M320" s="445">
        <f>L320*M312</f>
        <v>0</v>
      </c>
      <c r="N320" s="438">
        <f>vl_overridden_uom_oncosts_per</f>
        <v>0</v>
      </c>
      <c r="O320" s="445">
        <f t="shared" ref="O320" si="1371">N320*O312</f>
        <v>0</v>
      </c>
      <c r="P320" s="438">
        <f>vl_overridden_uom_oncosts_per</f>
        <v>0</v>
      </c>
      <c r="Q320" s="445">
        <f t="shared" ref="Q320" si="1372">P320*Q312</f>
        <v>0</v>
      </c>
      <c r="R320" s="438">
        <f>vl_overridden_uom_oncosts_per</f>
        <v>0</v>
      </c>
      <c r="S320" s="445">
        <f t="shared" ref="S320" si="1373">R320*S312</f>
        <v>0</v>
      </c>
      <c r="T320" s="438">
        <f>vl_overridden_uom_oncosts_per</f>
        <v>0</v>
      </c>
      <c r="U320" s="445">
        <f t="shared" ref="U320" si="1374">T320*U312</f>
        <v>0</v>
      </c>
      <c r="V320" s="438">
        <f>vl_overridden_uom_oncosts_per</f>
        <v>0</v>
      </c>
      <c r="W320" s="445">
        <f t="shared" ref="W320" si="1375">V320*W312</f>
        <v>0</v>
      </c>
      <c r="X320" s="438">
        <f>vl_overridden_uom_oncosts_per</f>
        <v>0</v>
      </c>
      <c r="Y320" s="445">
        <f t="shared" ref="Y320" si="1376">X320*Y312</f>
        <v>0</v>
      </c>
      <c r="Z320" s="438">
        <f>vl_overridden_uom_oncosts_per</f>
        <v>0</v>
      </c>
      <c r="AA320" s="445">
        <f t="shared" ref="AA320" si="1377">Z320*AA312</f>
        <v>0</v>
      </c>
      <c r="AB320" s="438">
        <f>vl_overridden_uom_oncosts_per</f>
        <v>0</v>
      </c>
      <c r="AC320" s="445">
        <f t="shared" ref="AC320" si="1378">AB320*AC312</f>
        <v>0</v>
      </c>
      <c r="AD320" s="335"/>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row>
    <row r="321" spans="1:56" hidden="1" outlineLevel="1" x14ac:dyDescent="0.3">
      <c r="A321" s="1182"/>
      <c r="B321" s="1379"/>
      <c r="C321" s="1379"/>
      <c r="D321" s="1379"/>
      <c r="E321" s="1379"/>
      <c r="F321" s="1379"/>
      <c r="G321" s="1379"/>
      <c r="H321" s="1380"/>
      <c r="I321" s="341" t="s">
        <v>321</v>
      </c>
      <c r="J321" s="342"/>
      <c r="K321" s="444">
        <f>SUM(K315:K320)</f>
        <v>0</v>
      </c>
      <c r="L321" s="342"/>
      <c r="M321" s="444">
        <f t="shared" ref="M321" si="1379">SUM(M315:M320)</f>
        <v>0</v>
      </c>
      <c r="N321" s="342"/>
      <c r="O321" s="444">
        <f t="shared" ref="O321" si="1380">SUM(O315:O320)</f>
        <v>0</v>
      </c>
      <c r="P321" s="342"/>
      <c r="Q321" s="444">
        <f t="shared" ref="Q321" si="1381">SUM(Q315:Q320)</f>
        <v>0</v>
      </c>
      <c r="R321" s="342"/>
      <c r="S321" s="444">
        <f t="shared" ref="S321" si="1382">SUM(S315:S320)</f>
        <v>0</v>
      </c>
      <c r="T321" s="342"/>
      <c r="U321" s="444">
        <f t="shared" ref="U321" si="1383">SUM(U315:U320)</f>
        <v>0</v>
      </c>
      <c r="V321" s="342"/>
      <c r="W321" s="444">
        <f t="shared" ref="W321" si="1384">SUM(W315:W320)</f>
        <v>0</v>
      </c>
      <c r="X321" s="342"/>
      <c r="Y321" s="444">
        <f t="shared" ref="Y321" si="1385">SUM(Y315:Y320)</f>
        <v>0</v>
      </c>
      <c r="Z321" s="342"/>
      <c r="AA321" s="444">
        <f t="shared" ref="AA321" si="1386">SUM(AA315:AA320)</f>
        <v>0</v>
      </c>
      <c r="AB321" s="342"/>
      <c r="AC321" s="444">
        <f t="shared" ref="AC321" si="1387">SUM(AC315:AC320)</f>
        <v>0</v>
      </c>
      <c r="AD321" s="335">
        <f t="shared" si="1095"/>
        <v>0</v>
      </c>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row>
    <row r="322" spans="1:56" hidden="1" outlineLevel="1" x14ac:dyDescent="0.3">
      <c r="A322" s="1182"/>
      <c r="B322" s="1379"/>
      <c r="C322" s="1379"/>
      <c r="D322" s="1379"/>
      <c r="E322" s="1379"/>
      <c r="F322" s="1379"/>
      <c r="G322" s="1379"/>
      <c r="H322" s="1380"/>
      <c r="I322" s="336" t="s">
        <v>322</v>
      </c>
      <c r="J322" s="339">
        <f>_xlfn.IFNA(VLOOKUP($D311,tbAnnualLeaveProvision,2,FALSE),0)</f>
        <v>0</v>
      </c>
      <c r="K322" s="443">
        <f>J322*K312</f>
        <v>0</v>
      </c>
      <c r="L322" s="340">
        <f>_xlfn.IFNA(VLOOKUP($D311,tbAnnualLeaveProvision,2,FALSE),0)</f>
        <v>0</v>
      </c>
      <c r="M322" s="451">
        <f t="shared" ref="M322" si="1388">L322*M312</f>
        <v>0</v>
      </c>
      <c r="N322" s="339">
        <f>_xlfn.IFNA(VLOOKUP($D311,tbAnnualLeaveProvision,2,FALSE),0)</f>
        <v>0</v>
      </c>
      <c r="O322" s="443">
        <f>N322*O312</f>
        <v>0</v>
      </c>
      <c r="P322" s="340">
        <f>_xlfn.IFNA(VLOOKUP($D311,tbAnnualLeaveProvision,2,FALSE),0)</f>
        <v>0</v>
      </c>
      <c r="Q322" s="451">
        <f t="shared" ref="Q322" si="1389">P322*Q312</f>
        <v>0</v>
      </c>
      <c r="R322" s="339">
        <f>_xlfn.IFNA(VLOOKUP($D311,tbAnnualLeaveProvision,2,FALSE),0)</f>
        <v>0</v>
      </c>
      <c r="S322" s="443">
        <f>R322*S312</f>
        <v>0</v>
      </c>
      <c r="T322" s="340">
        <f>_xlfn.IFNA(VLOOKUP($D311,tbAnnualLeaveProvision,2,FALSE),0)</f>
        <v>0</v>
      </c>
      <c r="U322" s="451">
        <f t="shared" ref="U322" si="1390">T322*U312</f>
        <v>0</v>
      </c>
      <c r="V322" s="339">
        <f>_xlfn.IFNA(VLOOKUP($D311,tbAnnualLeaveProvision,2,FALSE),0)</f>
        <v>0</v>
      </c>
      <c r="W322" s="443">
        <f>V322*W312</f>
        <v>0</v>
      </c>
      <c r="X322" s="340">
        <f>_xlfn.IFNA(VLOOKUP($D311,tbAnnualLeaveProvision,2,FALSE),0)</f>
        <v>0</v>
      </c>
      <c r="Y322" s="451">
        <f t="shared" ref="Y322" si="1391">X322*Y312</f>
        <v>0</v>
      </c>
      <c r="Z322" s="339">
        <f>_xlfn.IFNA(VLOOKUP($D311,tbAnnualLeaveProvision,2,FALSE),0)</f>
        <v>0</v>
      </c>
      <c r="AA322" s="443">
        <f>Z322*AA312</f>
        <v>0</v>
      </c>
      <c r="AB322" s="340">
        <f>_xlfn.IFNA(VLOOKUP($D311,tbAnnualLeaveProvision,2,FALSE),0)</f>
        <v>0</v>
      </c>
      <c r="AC322" s="451">
        <f t="shared" ref="AC322" si="1392">AB322*AC312</f>
        <v>0</v>
      </c>
      <c r="AD322" s="335"/>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row>
    <row r="323" spans="1:56" hidden="1" outlineLevel="1" x14ac:dyDescent="0.3">
      <c r="A323" s="1182"/>
      <c r="B323" s="1379"/>
      <c r="C323" s="1379"/>
      <c r="D323" s="1379"/>
      <c r="E323" s="1379"/>
      <c r="F323" s="1379"/>
      <c r="G323" s="1379"/>
      <c r="H323" s="1380"/>
      <c r="I323" s="336" t="s">
        <v>330</v>
      </c>
      <c r="J323" s="339"/>
      <c r="K323" s="446">
        <f>K321+K322</f>
        <v>0</v>
      </c>
      <c r="L323" s="340"/>
      <c r="M323" s="452">
        <f t="shared" ref="M323" si="1393">M321+M322</f>
        <v>0</v>
      </c>
      <c r="N323" s="339"/>
      <c r="O323" s="446">
        <f>O321+O322</f>
        <v>0</v>
      </c>
      <c r="P323" s="340"/>
      <c r="Q323" s="452">
        <f t="shared" ref="Q323" si="1394">Q321+Q322</f>
        <v>0</v>
      </c>
      <c r="R323" s="339"/>
      <c r="S323" s="446">
        <f>S321+S322</f>
        <v>0</v>
      </c>
      <c r="T323" s="340"/>
      <c r="U323" s="452">
        <f t="shared" ref="U323" si="1395">U321+U322</f>
        <v>0</v>
      </c>
      <c r="V323" s="339"/>
      <c r="W323" s="446">
        <f>W321+W322</f>
        <v>0</v>
      </c>
      <c r="X323" s="340"/>
      <c r="Y323" s="452">
        <f t="shared" ref="Y323" si="1396">Y321+Y322</f>
        <v>0</v>
      </c>
      <c r="Z323" s="339"/>
      <c r="AA323" s="446">
        <f>AA321+AA322</f>
        <v>0</v>
      </c>
      <c r="AB323" s="340"/>
      <c r="AC323" s="452">
        <f t="shared" ref="AC323" si="1397">AC321+AC322</f>
        <v>0</v>
      </c>
      <c r="AD323" s="335"/>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row>
    <row r="324" spans="1:56" hidden="1" outlineLevel="1" x14ac:dyDescent="0.3">
      <c r="A324" s="1182"/>
      <c r="B324" s="1379"/>
      <c r="C324" s="1379"/>
      <c r="D324" s="1379"/>
      <c r="E324" s="1379"/>
      <c r="F324" s="1379"/>
      <c r="G324" s="1379"/>
      <c r="H324" s="1380"/>
      <c r="I324" s="343" t="s">
        <v>324</v>
      </c>
      <c r="J324" s="344"/>
      <c r="K324" s="443">
        <f>IFERROR(-(K321/vl_working_days_per_year)*J324,0)</f>
        <v>0</v>
      </c>
      <c r="L324" s="345"/>
      <c r="M324" s="451">
        <f>IFERROR(-(M321/vl_working_days_per_year)*L324,0)</f>
        <v>0</v>
      </c>
      <c r="N324" s="344"/>
      <c r="O324" s="443">
        <f>-(O321/vl_working_days_per_year)*N324</f>
        <v>0</v>
      </c>
      <c r="P324" s="345"/>
      <c r="Q324" s="451">
        <f>-(Q321/vl_working_days_per_year)*P324</f>
        <v>0</v>
      </c>
      <c r="R324" s="344"/>
      <c r="S324" s="443">
        <f>-(S321/vl_working_days_per_year)*R324</f>
        <v>0</v>
      </c>
      <c r="T324" s="345"/>
      <c r="U324" s="451">
        <f>-(U321/vl_working_days_per_year)*T324</f>
        <v>0</v>
      </c>
      <c r="V324" s="344"/>
      <c r="W324" s="443">
        <f>-(W321/vl_working_days_per_year)*V324</f>
        <v>0</v>
      </c>
      <c r="X324" s="345"/>
      <c r="Y324" s="451">
        <f>-(Y321/vl_working_days_per_year)*X324</f>
        <v>0</v>
      </c>
      <c r="Z324" s="344"/>
      <c r="AA324" s="443">
        <f>-(AA321/vl_working_days_per_year)*Z324</f>
        <v>0</v>
      </c>
      <c r="AB324" s="345"/>
      <c r="AC324" s="451">
        <f>-(AC321/vl_working_days_per_year)*AB324</f>
        <v>0</v>
      </c>
      <c r="AD324" s="335">
        <f t="shared" si="1095"/>
        <v>0</v>
      </c>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row>
    <row r="325" spans="1:56" hidden="1" outlineLevel="1" x14ac:dyDescent="0.3">
      <c r="A325" s="1182"/>
      <c r="B325" s="1379"/>
      <c r="C325" s="1379"/>
      <c r="D325" s="1379"/>
      <c r="E325" s="1379"/>
      <c r="F325" s="1379"/>
      <c r="G325" s="1379"/>
      <c r="H325" s="1380"/>
      <c r="I325" s="341" t="s">
        <v>325</v>
      </c>
      <c r="J325" s="346"/>
      <c r="K325" s="444">
        <f>K323+K324</f>
        <v>0</v>
      </c>
      <c r="L325" s="346"/>
      <c r="M325" s="444">
        <f t="shared" ref="M325" si="1398">M323+M324</f>
        <v>0</v>
      </c>
      <c r="N325" s="346"/>
      <c r="O325" s="444">
        <f>O323+O324</f>
        <v>0</v>
      </c>
      <c r="P325" s="346"/>
      <c r="Q325" s="444">
        <f t="shared" ref="Q325" si="1399">Q323+Q324</f>
        <v>0</v>
      </c>
      <c r="R325" s="346"/>
      <c r="S325" s="444">
        <f>S323+S324</f>
        <v>0</v>
      </c>
      <c r="T325" s="346"/>
      <c r="U325" s="444">
        <f t="shared" ref="U325" si="1400">U323+U324</f>
        <v>0</v>
      </c>
      <c r="V325" s="346"/>
      <c r="W325" s="444">
        <f>W323+W324</f>
        <v>0</v>
      </c>
      <c r="X325" s="346"/>
      <c r="Y325" s="444">
        <f t="shared" ref="Y325" si="1401">Y323+Y324</f>
        <v>0</v>
      </c>
      <c r="Z325" s="346"/>
      <c r="AA325" s="444">
        <f>AA323+AA324</f>
        <v>0</v>
      </c>
      <c r="AB325" s="346"/>
      <c r="AC325" s="444">
        <f t="shared" ref="AC325" si="1402">AC323+AC324</f>
        <v>0</v>
      </c>
      <c r="AD325" s="335">
        <f t="shared" si="1095"/>
        <v>0</v>
      </c>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row>
    <row r="326" spans="1:56" s="1" customFormat="1" ht="15" hidden="1" customHeight="1" outlineLevel="1" x14ac:dyDescent="0.3">
      <c r="A326" s="727"/>
      <c r="B326" s="1379"/>
      <c r="C326" s="1379"/>
      <c r="D326" s="1379"/>
      <c r="E326" s="1379"/>
      <c r="F326" s="1379"/>
      <c r="G326" s="1379"/>
      <c r="H326" s="1380"/>
      <c r="I326" s="382" t="s">
        <v>326</v>
      </c>
      <c r="J326" s="383">
        <f>IFERROR(K326/K312,0)</f>
        <v>0</v>
      </c>
      <c r="K326" s="447">
        <f>SUM(K313:K314,K316:K319,K322)</f>
        <v>0</v>
      </c>
      <c r="L326" s="434">
        <f>IFERROR(M326/M312,0)</f>
        <v>0</v>
      </c>
      <c r="M326" s="453">
        <f t="shared" ref="M326" si="1403">SUM(M313:M314,M316:M319,M322)</f>
        <v>0</v>
      </c>
      <c r="N326" s="383">
        <f t="shared" ref="N326" si="1404">IFERROR(O326/O312,0)</f>
        <v>0</v>
      </c>
      <c r="O326" s="447">
        <f t="shared" ref="O326" si="1405">SUM(O313:O314,O316:O319,O322)</f>
        <v>0</v>
      </c>
      <c r="P326" s="434">
        <f t="shared" ref="P326" si="1406">IFERROR(Q326/Q312,0)</f>
        <v>0</v>
      </c>
      <c r="Q326" s="453">
        <f t="shared" ref="Q326" si="1407">SUM(Q313:Q314,Q316:Q319,Q322)</f>
        <v>0</v>
      </c>
      <c r="R326" s="383">
        <f t="shared" ref="R326" si="1408">IFERROR(S326/S312,0)</f>
        <v>0</v>
      </c>
      <c r="S326" s="447">
        <f t="shared" ref="S326" si="1409">SUM(S313:S314,S316:S319,S322)</f>
        <v>0</v>
      </c>
      <c r="T326" s="434">
        <f t="shared" ref="T326" si="1410">IFERROR(U326/U312,0)</f>
        <v>0</v>
      </c>
      <c r="U326" s="453">
        <f t="shared" ref="U326" si="1411">SUM(U313:U314,U316:U319,U322)</f>
        <v>0</v>
      </c>
      <c r="V326" s="383">
        <f t="shared" ref="V326" si="1412">IFERROR(W326/W312,0)</f>
        <v>0</v>
      </c>
      <c r="W326" s="447">
        <f t="shared" ref="W326" si="1413">SUM(W313:W314,W316:W319,W322)</f>
        <v>0</v>
      </c>
      <c r="X326" s="434">
        <f t="shared" ref="X326" si="1414">IFERROR(Y326/Y312,0)</f>
        <v>0</v>
      </c>
      <c r="Y326" s="453">
        <f t="shared" ref="Y326" si="1415">SUM(Y313:Y314,Y316:Y319,Y322)</f>
        <v>0</v>
      </c>
      <c r="Z326" s="383">
        <f t="shared" ref="Z326" si="1416">IFERROR(AA326/AA312,0)</f>
        <v>0</v>
      </c>
      <c r="AA326" s="447">
        <f t="shared" ref="AA326" si="1417">SUM(AA313:AA314,AA316:AA319,AA322)</f>
        <v>0</v>
      </c>
      <c r="AB326" s="434">
        <f t="shared" ref="AB326" si="1418">IFERROR(AC326/AC312,0)</f>
        <v>0</v>
      </c>
      <c r="AC326" s="453">
        <f t="shared" ref="AC326" si="1419">SUM(AC313:AC314,AC316:AC319,AC322)</f>
        <v>0</v>
      </c>
      <c r="AD326" s="377">
        <f t="shared" si="1095"/>
        <v>0</v>
      </c>
      <c r="AE326" s="14"/>
      <c r="AF326" s="14"/>
      <c r="AG326" s="14"/>
      <c r="AH326" s="14"/>
      <c r="AI326" s="14"/>
      <c r="AJ326" s="14"/>
      <c r="AK326" s="14"/>
      <c r="AL326" s="14"/>
      <c r="AM326" s="14"/>
      <c r="AN326" s="14"/>
      <c r="AO326" s="14"/>
      <c r="AP326" s="14"/>
      <c r="AQ326" s="14"/>
      <c r="AR326" s="14"/>
      <c r="AS326" s="14"/>
      <c r="AT326" s="14"/>
      <c r="AU326" s="14"/>
      <c r="AV326" s="14"/>
      <c r="AW326" s="14"/>
      <c r="AX326" s="14"/>
      <c r="AY326" s="14"/>
      <c r="AZ326" s="14"/>
      <c r="BA326" s="14"/>
      <c r="BB326" s="14"/>
      <c r="BC326" s="14"/>
      <c r="BD326" s="14"/>
    </row>
    <row r="327" spans="1:56" hidden="1" outlineLevel="1" x14ac:dyDescent="0.3">
      <c r="A327" s="1182"/>
      <c r="B327" s="1379"/>
      <c r="C327" s="1379"/>
      <c r="D327" s="1379"/>
      <c r="E327" s="1379"/>
      <c r="F327" s="1379"/>
      <c r="G327" s="1379"/>
      <c r="H327" s="1380"/>
      <c r="I327" s="382" t="s">
        <v>327</v>
      </c>
      <c r="J327" s="384">
        <f>pCRSalaries</f>
        <v>2.5</v>
      </c>
      <c r="K327" s="447"/>
      <c r="L327" s="435">
        <f>pCRSalaries</f>
        <v>2.5</v>
      </c>
      <c r="M327" s="453"/>
      <c r="N327" s="384">
        <f>pCRSalaries</f>
        <v>2.5</v>
      </c>
      <c r="O327" s="447"/>
      <c r="P327" s="435">
        <f>pCRSalaries</f>
        <v>2.5</v>
      </c>
      <c r="Q327" s="453"/>
      <c r="R327" s="384">
        <f>pCRSalaries</f>
        <v>2.5</v>
      </c>
      <c r="S327" s="447"/>
      <c r="T327" s="435">
        <f>pCRSalaries</f>
        <v>2.5</v>
      </c>
      <c r="U327" s="453"/>
      <c r="V327" s="384">
        <f>pCRSalaries</f>
        <v>2.5</v>
      </c>
      <c r="W327" s="447"/>
      <c r="X327" s="435">
        <f>pCRSalaries</f>
        <v>2.5</v>
      </c>
      <c r="Y327" s="453"/>
      <c r="Z327" s="384">
        <f>pCRSalaries</f>
        <v>2.5</v>
      </c>
      <c r="AA327" s="447"/>
      <c r="AB327" s="435">
        <f>pCRSalaries</f>
        <v>2.5</v>
      </c>
      <c r="AC327" s="453"/>
      <c r="AD327" s="335"/>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row>
    <row r="328" spans="1:56" ht="16.2" hidden="1" outlineLevel="1" thickBot="1" x14ac:dyDescent="0.35">
      <c r="A328" s="1182"/>
      <c r="B328" s="710"/>
      <c r="C328" s="347"/>
      <c r="D328" s="347"/>
      <c r="E328" s="347"/>
      <c r="F328" s="347"/>
      <c r="G328" s="347"/>
      <c r="H328" s="347"/>
      <c r="I328" s="436" t="s">
        <v>329</v>
      </c>
      <c r="J328" s="348"/>
      <c r="K328" s="448">
        <f>J327*K323</f>
        <v>0</v>
      </c>
      <c r="L328" s="348"/>
      <c r="M328" s="448">
        <f t="shared" ref="M328" si="1420">L327*M323</f>
        <v>0</v>
      </c>
      <c r="N328" s="348"/>
      <c r="O328" s="448">
        <f>N327*O323</f>
        <v>0</v>
      </c>
      <c r="P328" s="348"/>
      <c r="Q328" s="448">
        <f t="shared" ref="Q328" si="1421">P327*Q323</f>
        <v>0</v>
      </c>
      <c r="R328" s="348"/>
      <c r="S328" s="448">
        <f>R327*S323</f>
        <v>0</v>
      </c>
      <c r="T328" s="348"/>
      <c r="U328" s="448">
        <f t="shared" ref="U328" si="1422">T327*U323</f>
        <v>0</v>
      </c>
      <c r="V328" s="348"/>
      <c r="W328" s="448">
        <f>V327*W323</f>
        <v>0</v>
      </c>
      <c r="X328" s="348"/>
      <c r="Y328" s="448">
        <f t="shared" ref="Y328" si="1423">X327*Y323</f>
        <v>0</v>
      </c>
      <c r="Z328" s="348"/>
      <c r="AA328" s="448">
        <f>Z327*AA323</f>
        <v>0</v>
      </c>
      <c r="AB328" s="348"/>
      <c r="AC328" s="448">
        <f t="shared" ref="AC328" si="1424">AB327*AC323</f>
        <v>0</v>
      </c>
      <c r="AD328" s="335">
        <f t="shared" si="1095"/>
        <v>0</v>
      </c>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row>
    <row r="329" spans="1:56" ht="15" hidden="1" outlineLevel="1" thickBot="1" x14ac:dyDescent="0.35">
      <c r="A329" s="1182"/>
      <c r="B329" s="1181"/>
      <c r="C329" s="1181"/>
      <c r="D329" s="1181"/>
      <c r="E329" s="1181"/>
      <c r="F329" s="1181"/>
      <c r="G329" s="1181"/>
      <c r="H329" s="1181"/>
      <c r="I329" s="350"/>
      <c r="J329" s="351"/>
      <c r="K329" s="351"/>
      <c r="L329" s="351"/>
      <c r="M329" s="352"/>
      <c r="N329" s="351"/>
      <c r="O329" s="352"/>
      <c r="P329" s="351"/>
      <c r="Q329" s="352"/>
      <c r="R329" s="351"/>
      <c r="S329" s="352"/>
      <c r="T329" s="351"/>
      <c r="U329" s="352"/>
      <c r="V329" s="351"/>
      <c r="W329" s="352"/>
      <c r="X329" s="351"/>
      <c r="Y329" s="352"/>
      <c r="Z329" s="351"/>
      <c r="AA329" s="352"/>
      <c r="AB329" s="351"/>
      <c r="AC329" s="352"/>
      <c r="AD329" s="353" t="str">
        <f>IF(tbBudgetCurrency="AUD - Australian Dollar","",IFERROR(K329+M329+O329+Q329+S329+U329+W329+Y329+AA329+AC329,0))</f>
        <v/>
      </c>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row>
    <row r="330" spans="1:56" hidden="1" outlineLevel="1" x14ac:dyDescent="0.3">
      <c r="A330" s="1182"/>
      <c r="B330" s="356" t="str">
        <f>IF('PART B Staff Costs'!B38="","",'PART B Staff Costs'!B38)</f>
        <v/>
      </c>
      <c r="C330" s="356" t="str">
        <f>IF('PART B Staff Costs'!C38="","",'PART B Staff Costs'!C38)</f>
        <v xml:space="preserve"> </v>
      </c>
      <c r="D330" s="332" t="str">
        <f>IF('PART B Staff Costs'!D38="","",'PART B Staff Costs'!D38)</f>
        <v/>
      </c>
      <c r="E330" s="332" t="str">
        <f>IF('PART B Staff Costs'!E38="","",'PART B Staff Costs'!E38)</f>
        <v/>
      </c>
      <c r="F330" s="332" t="str">
        <f>IF('PART B Staff Costs'!F38="","",'PART B Staff Costs'!F38)</f>
        <v/>
      </c>
      <c r="G330" s="332" t="str">
        <f>IF('PART B Staff Costs'!G38="","",'PART B Staff Costs'!G38)</f>
        <v/>
      </c>
      <c r="H330" s="332" t="str">
        <f t="shared" ref="H330" si="1425">CONCATENATE(IF(D330=0,"",D330)," ",IF(E330=0,"",E330)," ",IF(F330=0,"",F330),,IF(OR(G330=0,G330=""),"",CONCATENATE(" (",G330,")")))</f>
        <v xml:space="preserve">  </v>
      </c>
      <c r="I330" s="332" t="s">
        <v>313</v>
      </c>
      <c r="J330" s="333">
        <f>_xlfn.IFNA('PART B Staff Costs'!H38*'PART B Staff Costs'!J$10,0)*new_xrate</f>
        <v>0</v>
      </c>
      <c r="K330" s="441"/>
      <c r="L330" s="334">
        <f>_xlfn.IFNA(IF(pStartYear+1&gt;pEndYear,0,VLOOKUP(CONCATENATE(
IF(OR($D330="Continuing",$D330="Fixed-Term"),"Fortnight",IF($D330="Casual","Casual",)),
$E330,
IF(OR($D330="Continuing",$D330="Fixed-Term"),
IF(LEFT($F330,6)="UOM 10","UOM 10",(LEFT($F330,LEN($F330)-1)&amp;MIN(RIGHT($F330,1)+COUNTIFS($J331:K331,"&gt;0")/2,VLOOKUP(LEFT($F330,LEN($F330)-2),tSalaryMax,2,FALSE)))),
IF($D330="Casual",
$F330,))
),tSalaryRate,5,FALSE)*VLOOKUP($G330,tSalaryRateMultiplier,2,FALSE)*'PART B Staff Costs'!L$10),0)*new_xrate</f>
        <v>0</v>
      </c>
      <c r="M330" s="449"/>
      <c r="N330" s="333">
        <f>_xlfn.IFNA(IF(pStartYear+2&gt;pEndYear,0,VLOOKUP(CONCATENATE(
IF(OR($D330="Continuing",$D330="Fixed-Term"),"Fortnight",IF($D330="Casual","Casual",)),
$E330,
IF(OR($D330="Continuing",$D330="Fixed-Term"),
IF(LEFT($F330,6)="UOM 10","UOM 10",(LEFT($F330,LEN($F330)-1)&amp;MIN(RIGHT($F330,1)+COUNTIFS($J331:M331,"&gt;0")/2,VLOOKUP(LEFT($F330,LEN($F330)-2),tSalaryMax,2,FALSE)))),
IF($D330="Casual",
$F330,))
),tSalaryRate,5,FALSE)*VLOOKUP($G330,tSalaryRateMultiplier,2,FALSE)*'PART B Staff Costs'!N$10),0)*new_xrate</f>
        <v>0</v>
      </c>
      <c r="O330" s="441"/>
      <c r="P330" s="334">
        <f>_xlfn.IFNA(IF(pStartYear+3&gt;pEndYear,0,VLOOKUP(CONCATENATE(
IF(OR($D330="Continuing",$D330="Fixed-Term"),"Fortnight",IF($D330="Casual","Casual",)),
$E330,
IF(OR($D330="Continuing",$D330="Fixed-Term"),
IF(LEFT($F330,6)="UOM 10","UOM 10",(LEFT($F330,LEN($F330)-1)&amp;MIN(RIGHT($F330,1)+COUNTIFS($J331:O331,"&gt;0")/2,VLOOKUP(LEFT($F330,LEN($F330)-2),tSalaryMax,2,FALSE)))),
IF($D330="Casual",
$F330,))
),tSalaryRate,5,FALSE)*VLOOKUP($G330,tSalaryRateMultiplier,2,FALSE)*'PART B Staff Costs'!P$10),0)*new_xrate</f>
        <v>0</v>
      </c>
      <c r="Q330" s="449"/>
      <c r="R330" s="333">
        <f>_xlfn.IFNA(IF(pStartYear+4&gt;pEndYear,0,VLOOKUP(CONCATENATE(
IF(OR($D330="Continuing",$D330="Fixed-Term"),"Fortnight",IF($D330="Casual","Casual",)),
$E330,
IF(OR($D330="Continuing",$D330="Fixed-Term"),
IF(LEFT($F330,6)="UOM 10","UOM 10",(LEFT($F330,LEN($F330)-1)&amp;MIN(RIGHT($F330,1)+COUNTIFS($J331:Q331,"&gt;0")/2,VLOOKUP(LEFT($F330,LEN($F330)-2),tSalaryMax,2,FALSE)))),
IF($D330="Casual",
$F330,))
),tSalaryRate,5,FALSE)*VLOOKUP($G330,tSalaryRateMultiplier,2,FALSE)*'PART B Staff Costs'!R$10),0)*new_xrate</f>
        <v>0</v>
      </c>
      <c r="S330" s="441"/>
      <c r="T330" s="334">
        <f>_xlfn.IFNA(IF(pStartYear+5&gt;pEndYear,0,VLOOKUP(CONCATENATE(
IF(OR($D330="Continuing",$D330="Fixed-Term"),"Fortnight",IF($D330="Casual","Casual",)),
$E330,
IF(OR($D330="Continuing",$D330="Fixed-Term"),
IF(LEFT($F330,6)="UOM 10","UOM 10",(LEFT($F330,LEN($F330)-1)&amp;MIN(RIGHT($F330,1)+COUNTIFS($J331:S331,"&gt;0")/2,VLOOKUP(LEFT($F330,LEN($F330)-2),tSalaryMax,2,FALSE)))),
IF($D330="Casual",
$F330,))
),tSalaryRate,5,FALSE)*VLOOKUP($G330,tSalaryRateMultiplier,2,FALSE)*'PART B Staff Costs'!T$10),0)*new_xrate</f>
        <v>0</v>
      </c>
      <c r="U330" s="449"/>
      <c r="V330" s="333">
        <f>_xlfn.IFNA(IF(pStartYear+6&gt;pEndYear,0,VLOOKUP(CONCATENATE(
IF(OR($D330="Continuing",$D330="Fixed-Term"),"Fortnight",IF($D330="Casual","Casual",)),
$E330,
IF(OR($D330="Continuing",$D330="Fixed-Term"),
IF(LEFT($F330,6)="UOM 10","UOM 10",(LEFT($F330,LEN($F330)-1)&amp;MIN(RIGHT($F330,1)+COUNTIFS($J331:U331,"&gt;0")/2,VLOOKUP(LEFT($F330,LEN($F330)-2),tSalaryMax,2,FALSE)))),
IF($D330="Casual",
$F330,))
),tSalaryRate,5,FALSE)*VLOOKUP($G330,tSalaryRateMultiplier,2,FALSE)*'PART B Staff Costs'!V$10),0)*new_xrate</f>
        <v>0</v>
      </c>
      <c r="W330" s="441"/>
      <c r="X330" s="334">
        <f>_xlfn.IFNA(IF(pStartYear+7&gt;pEndYear,0,VLOOKUP(CONCATENATE(
IF(OR($D330="Continuing",$D330="Fixed-Term"),"Fortnight",IF($D330="Casual","Casual",)),
$E330,
IF(OR($D330="Continuing",$D330="Fixed-Term"),
IF(LEFT($F330,6)="UOM 10","UOM 10",(LEFT($F330,LEN($F330)-1)&amp;MIN(RIGHT($F330,1)+COUNTIFS($J331:W331,"&gt;0")/2,VLOOKUP(LEFT($F330,LEN($F330)-2),tSalaryMax,2,FALSE)))),
IF($D330="Casual",
$F330,))
),tSalaryRate,5,FALSE)*VLOOKUP($G330,tSalaryRateMultiplier,2,FALSE)*'PART B Staff Costs'!X$10),0)*new_xrate</f>
        <v>0</v>
      </c>
      <c r="Y330" s="449"/>
      <c r="Z330" s="333">
        <f>_xlfn.IFNA(IF(pStartYear+8&gt;pEndYear,0,VLOOKUP(CONCATENATE(
IF(OR($D330="Continuing",$D330="Fixed-Term"),"Fortnight",IF($D330="Casual","Casual",)),
$E330,
IF(OR($D330="Continuing",$D330="Fixed-Term"),
IF(LEFT($F330,6)="UOM 10","UOM 10",(LEFT($F330,LEN($F330)-1)&amp;MIN(RIGHT($F330,1)+COUNTIFS($J331:Y331,"&gt;0")/2,VLOOKUP(LEFT($F330,LEN($F330)-2),tSalaryMax,2,FALSE)))),
IF($D330="Casual",
$F330,))
),tSalaryRate,5,FALSE)*VLOOKUP($G330,tSalaryRateMultiplier,2,FALSE)*'PART B Staff Costs'!Z$10),0)*new_xrate</f>
        <v>0</v>
      </c>
      <c r="AA330" s="441"/>
      <c r="AB330" s="334">
        <f>_xlfn.IFNA(IF(pStartYear+9&gt;pEndYear,0,VLOOKUP(CONCATENATE(
IF(OR($D330="Continuing",$D330="Fixed-Term"),"Fortnight",IF($D330="Casual","Casual",)),
$E330,
IF(OR($D330="Continuing",$D330="Fixed-Term"),
IF(LEFT($F330,6)="UOM 10","UOM 10",(LEFT($F330,LEN($F330)-1)&amp;MIN(RIGHT($F330,1)+COUNTIFS($J331:AA331,"&gt;0")/2,VLOOKUP(LEFT($F330,LEN($F330)-2),tSalaryMax,2,FALSE)))),
IF($D330="Casual",
$F330,))
),tSalaryRate,5,FALSE)*VLOOKUP($G330,tSalaryRateMultiplier,2,FALSE)*'PART B Staff Costs'!AB$10),0)*new_xrate</f>
        <v>0</v>
      </c>
      <c r="AC330" s="449"/>
      <c r="AD330" s="335"/>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row>
    <row r="331" spans="1:56" hidden="1" outlineLevel="1" x14ac:dyDescent="0.3">
      <c r="A331" s="1182"/>
      <c r="B331" s="1377"/>
      <c r="C331" s="1377"/>
      <c r="D331" s="1377"/>
      <c r="E331" s="1377"/>
      <c r="F331" s="1377"/>
      <c r="G331" s="1377"/>
      <c r="H331" s="1378"/>
      <c r="I331" s="336" t="str">
        <f>IF('PART B Staff Costs'!G326&lt;&gt;"",CONCATENATE("Time/Requested salary"," (",'PART B Staff Costs'!G326,")"),"Time/Requested salary")</f>
        <v>Time/Requested salary</v>
      </c>
      <c r="J331" s="337">
        <f>_xlfn.IFNA('PART B Staff Costs'!I38,0)</f>
        <v>0</v>
      </c>
      <c r="K331" s="442">
        <f>IF('PART B Staff Costs'!$G$38="FTE",J331*J330*(First_year_fraction/12),J331*J330)</f>
        <v>0</v>
      </c>
      <c r="L331" s="338">
        <f>_xlfn.IFNA('PART B Staff Costs'!K38,0)</f>
        <v>0</v>
      </c>
      <c r="M331" s="450">
        <f>IF(pStartYear+1=pEndYear,IF('PART B Staff Costs'!$G$38="FTE",(L331*L330)*Last_Year_Fraction/12,L331*L330),L331*L330)</f>
        <v>0</v>
      </c>
      <c r="N331" s="337">
        <f>_xlfn.IFNA('PART B Staff Costs'!M38,0)</f>
        <v>0</v>
      </c>
      <c r="O331" s="442">
        <f>IF(pStartYear+2=pEndYear,IF('PART B Staff Costs'!$G$38="FTE",(N331*N330)*Last_Year_Fraction/12,N331*N330),N331*N330)</f>
        <v>0</v>
      </c>
      <c r="P331" s="338">
        <f>_xlfn.IFNA('PART B Staff Costs'!O38,0)</f>
        <v>0</v>
      </c>
      <c r="Q331" s="450">
        <f>IF(pStartYear+3=pEndYear,IF('PART B Staff Costs'!$G$38="FTE",(P331*P330)*Last_Year_Fraction/12,P331*P330),P331*P330)</f>
        <v>0</v>
      </c>
      <c r="R331" s="337">
        <f>_xlfn.IFNA('PART B Staff Costs'!Q38,0)</f>
        <v>0</v>
      </c>
      <c r="S331" s="442">
        <f>IF(pStartYear+4=pEndYear,IF('PART B Staff Costs'!$G$38="FTE",(R331*R330)*Last_Year_Fraction/12,R331*R330),R331*R330)</f>
        <v>0</v>
      </c>
      <c r="T331" s="338">
        <f>_xlfn.IFNA('PART B Staff Costs'!S38,0)</f>
        <v>0</v>
      </c>
      <c r="U331" s="450">
        <f>IF(pStartYear+5=pEndYear,IF('PART B Staff Costs'!$G$38="FTE",(T331*T330)*Last_Year_Fraction/12,T331*T330),T331*T330)</f>
        <v>0</v>
      </c>
      <c r="V331" s="337">
        <f>_xlfn.IFNA('PART B Staff Costs'!U38,0)</f>
        <v>0</v>
      </c>
      <c r="W331" s="442">
        <f>IF(pStartYear+6=pEndYear,IF('PART B Staff Costs'!$G$38="FTE",(V331*V330)*Last_Year_Fraction/12,V331*V330),V331*V330)</f>
        <v>0</v>
      </c>
      <c r="X331" s="338">
        <f>_xlfn.IFNA('PART B Staff Costs'!W38,0)</f>
        <v>0</v>
      </c>
      <c r="Y331" s="450">
        <f>IF(pStartYear+7=pEndYear,IF('PART B Staff Costs'!$G$38="FTE",(X331*X330)*Last_Year_Fraction/12,X331*X330),X331*X330)</f>
        <v>0</v>
      </c>
      <c r="Z331" s="337">
        <f>_xlfn.IFNA('PART B Staff Costs'!Y38,0)</f>
        <v>0</v>
      </c>
      <c r="AA331" s="442">
        <f>IF(pStartYear+8=pEndYear,IF('PART B Staff Costs'!$G$38="FTE",(Z331*Z330)*Last_Year_Fraction/12,Z331*Z330),Z331*Z330)</f>
        <v>0</v>
      </c>
      <c r="AB331" s="338">
        <f>_xlfn.IFNA('PART B Staff Costs'!AA38,0)</f>
        <v>0</v>
      </c>
      <c r="AC331" s="450">
        <f>IF(pStartYear+9=pEndYear,IF('PART B Staff Costs'!$G$38="FTE",(AB331*AB330)*Last_Year_Fraction/12,AB331*AB330),AB331*AB330)</f>
        <v>0</v>
      </c>
      <c r="AD331" s="335"/>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row>
    <row r="332" spans="1:56" hidden="1" outlineLevel="1" x14ac:dyDescent="0.3">
      <c r="A332" s="1182"/>
      <c r="B332" s="1379"/>
      <c r="C332" s="1379"/>
      <c r="D332" s="1379"/>
      <c r="E332" s="1379"/>
      <c r="F332" s="1379"/>
      <c r="G332" s="1379"/>
      <c r="H332" s="1380"/>
      <c r="I332" s="336" t="str">
        <f>IF(tbBudgetCurrency="AUD - Australian Dollar",CONCATENATE("Leave Loading (max of AU$",vl_Max_Leave_Loading,")"),CONCATENATE("Leave Loading (max of ",ROUND(vl_Max_Leave_Loading*new_xrate,2)," ",LEFT(tbBudgetCurrency,3),")"))</f>
        <v>Leave Loading (max of AU$1611.3)</v>
      </c>
      <c r="J332" s="339">
        <f>_xlfn.IFNA(VLOOKUP($D330,tbLeaveLoading,2,FALSE),0)</f>
        <v>0</v>
      </c>
      <c r="K332" s="443">
        <f>IF(K331*J332&gt;vl_Max_Leave_Loading*new_xrate,vl_Max_Leave_Loading*new_xrate,K331*J332)</f>
        <v>0</v>
      </c>
      <c r="L332" s="340">
        <f>_xlfn.IFNA(VLOOKUP($D330,tbLeaveLoading,2,FALSE),0)</f>
        <v>0</v>
      </c>
      <c r="M332" s="451">
        <f>IF(M331*L332&gt;vl_Max_Leave_Loading*new_xrate,vl_Max_Leave_Loading*new_xrate,M331*L332)</f>
        <v>0</v>
      </c>
      <c r="N332" s="339">
        <f>_xlfn.IFNA(VLOOKUP($D330,tbLeaveLoading,2,FALSE),0)</f>
        <v>0</v>
      </c>
      <c r="O332" s="443">
        <f>IF(O331*N332&gt;vl_Max_Leave_Loading*new_xrate,vl_Max_Leave_Loading*new_xrate,O331*N332)</f>
        <v>0</v>
      </c>
      <c r="P332" s="340">
        <f>_xlfn.IFNA(VLOOKUP($D330,tbLeaveLoading,2,FALSE),0)</f>
        <v>0</v>
      </c>
      <c r="Q332" s="451">
        <f>IF(Q331*P332&gt;vl_Max_Leave_Loading*new_xrate,vl_Max_Leave_Loading*new_xrate,Q331*P332)</f>
        <v>0</v>
      </c>
      <c r="R332" s="339">
        <f>_xlfn.IFNA(VLOOKUP($D330,tbLeaveLoading,2,FALSE),0)</f>
        <v>0</v>
      </c>
      <c r="S332" s="443">
        <f>IF(S331*R332&gt;vl_Max_Leave_Loading*new_xrate,vl_Max_Leave_Loading*new_xrate,S331*R332)</f>
        <v>0</v>
      </c>
      <c r="T332" s="340">
        <f>_xlfn.IFNA(VLOOKUP($D330,tbLeaveLoading,2,FALSE),0)</f>
        <v>0</v>
      </c>
      <c r="U332" s="451">
        <f>IF(U331*T332&gt;vl_Max_Leave_Loading*new_xrate,vl_Max_Leave_Loading*new_xrate,U331*T332)</f>
        <v>0</v>
      </c>
      <c r="V332" s="339">
        <f>_xlfn.IFNA(VLOOKUP($D330,tbLeaveLoading,2,FALSE),0)</f>
        <v>0</v>
      </c>
      <c r="W332" s="443">
        <f>IF(W331*V332&gt;vl_Max_Leave_Loading*new_xrate,vl_Max_Leave_Loading*new_xrate,W331*V332)</f>
        <v>0</v>
      </c>
      <c r="X332" s="340">
        <f>_xlfn.IFNA(VLOOKUP($D330,tbLeaveLoading,2,FALSE),0)</f>
        <v>0</v>
      </c>
      <c r="Y332" s="451">
        <f>IF(Y331*X332&gt;vl_Max_Leave_Loading*new_xrate,vl_Max_Leave_Loading*new_xrate,Y331*X332)</f>
        <v>0</v>
      </c>
      <c r="Z332" s="339">
        <f>_xlfn.IFNA(VLOOKUP($D330,tbLeaveLoading,2,FALSE),0)</f>
        <v>0</v>
      </c>
      <c r="AA332" s="443">
        <f>IF(AA331*Z332&gt;vl_Max_Leave_Loading*new_xrate,vl_Max_Leave_Loading*new_xrate,AA331*Z332)</f>
        <v>0</v>
      </c>
      <c r="AB332" s="340">
        <f>_xlfn.IFNA(VLOOKUP($D330,tbLeaveLoading,2,FALSE),0)</f>
        <v>0</v>
      </c>
      <c r="AC332" s="451">
        <f>IF(AC331*AB332&gt;vl_Max_Leave_Loading*new_xrate,vl_Max_Leave_Loading*new_xrate,AC331*AB332)</f>
        <v>0</v>
      </c>
      <c r="AD332" s="335"/>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row>
    <row r="333" spans="1:56" hidden="1" outlineLevel="1" x14ac:dyDescent="0.3">
      <c r="A333" s="1182"/>
      <c r="B333" s="1379"/>
      <c r="C333" s="1379"/>
      <c r="D333" s="1379"/>
      <c r="E333" s="1379"/>
      <c r="F333" s="1379"/>
      <c r="G333" s="1379"/>
      <c r="H333" s="1380"/>
      <c r="I333" s="336" t="s">
        <v>314</v>
      </c>
      <c r="J333" s="339">
        <f>_xlfn.IFNA(_xlfn.IFNA(VLOOKUP(CONCATENATE(pStartYear,$D330),tbSuperannuation,4,FALSE),VLOOKUP($D330,tbSuperannuation2026onwards,2,FALSE)),0)</f>
        <v>0</v>
      </c>
      <c r="K333" s="443">
        <f>K331*J333</f>
        <v>0</v>
      </c>
      <c r="L333" s="340">
        <f>_xlfn.IFNA(_xlfn.IFNA(VLOOKUP(CONCATENATE(pStartYear+1,$D330),tbSuperannuation,4,FALSE),VLOOKUP($D330,tbSuperannuation2026onwards,2,FALSE)),0)</f>
        <v>0</v>
      </c>
      <c r="M333" s="451">
        <f t="shared" ref="M333" si="1426">M331*L333</f>
        <v>0</v>
      </c>
      <c r="N333" s="339">
        <f>_xlfn.IFNA(_xlfn.IFNA(VLOOKUP(CONCATENATE(pStartYear+2,$D330),tbSuperannuation,4,FALSE),VLOOKUP($D330,tbSuperannuation2026onwards,2,FALSE)),0)</f>
        <v>0</v>
      </c>
      <c r="O333" s="443">
        <f>O331*N333</f>
        <v>0</v>
      </c>
      <c r="P333" s="340">
        <f>_xlfn.IFNA(_xlfn.IFNA(VLOOKUP(CONCATENATE(pStartYear+3,$D330),tbSuperannuation,4,FALSE),VLOOKUP($D330,tbSuperannuation2026onwards,2,FALSE)),0)</f>
        <v>0</v>
      </c>
      <c r="Q333" s="451">
        <f t="shared" ref="Q333" si="1427">Q331*P333</f>
        <v>0</v>
      </c>
      <c r="R333" s="339">
        <f>_xlfn.IFNA(_xlfn.IFNA(VLOOKUP(CONCATENATE(pStartYear+4,$D330),tbSuperannuation,4,FALSE),VLOOKUP($D330,tbSuperannuation2026onwards,2,FALSE)),0)</f>
        <v>0</v>
      </c>
      <c r="S333" s="443">
        <f>S331*R333</f>
        <v>0</v>
      </c>
      <c r="T333" s="340">
        <f>_xlfn.IFNA(_xlfn.IFNA(VLOOKUP(CONCATENATE(pStartYear+5,$D330),tbSuperannuation,4,FALSE),VLOOKUP($D330,tbSuperannuation2026onwards,2,FALSE)),0)</f>
        <v>0</v>
      </c>
      <c r="U333" s="451">
        <f t="shared" ref="U333" si="1428">U331*T333</f>
        <v>0</v>
      </c>
      <c r="V333" s="339">
        <f>_xlfn.IFNA(_xlfn.IFNA(VLOOKUP(CONCATENATE(pStartYear+6,$D330),tbSuperannuation,4,FALSE),VLOOKUP($D330,tbSuperannuation2026onwards,2,FALSE)),0)</f>
        <v>0</v>
      </c>
      <c r="W333" s="443">
        <f>W331*V333</f>
        <v>0</v>
      </c>
      <c r="X333" s="340">
        <f>_xlfn.IFNA(_xlfn.IFNA(VLOOKUP(CONCATENATE(pStartYear+7,$D330),tbSuperannuation,4,FALSE),VLOOKUP($D330,tbSuperannuation2026onwards,2,FALSE)),0)</f>
        <v>0</v>
      </c>
      <c r="Y333" s="451">
        <f t="shared" ref="Y333" si="1429">Y331*X333</f>
        <v>0</v>
      </c>
      <c r="Z333" s="339">
        <f>_xlfn.IFNA(_xlfn.IFNA(VLOOKUP(CONCATENATE(pStartYear+8,$D330),tbSuperannuation,4,FALSE),VLOOKUP($D330,tbSuperannuation2026onwards,2,FALSE)),0)</f>
        <v>0</v>
      </c>
      <c r="AA333" s="443">
        <f>AA331*Z333</f>
        <v>0</v>
      </c>
      <c r="AB333" s="340">
        <f>_xlfn.IFNA(_xlfn.IFNA(VLOOKUP(CONCATENATE(pStartYear+9,$D330),tbSuperannuation,4,FALSE),VLOOKUP($D330,tbSuperannuation2026onwards,2,FALSE)),0)</f>
        <v>0</v>
      </c>
      <c r="AC333" s="451">
        <f t="shared" ref="AC333" si="1430">AC331*AB333</f>
        <v>0</v>
      </c>
      <c r="AD333" s="335"/>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row>
    <row r="334" spans="1:56" hidden="1" outlineLevel="1" x14ac:dyDescent="0.3">
      <c r="A334" s="1182"/>
      <c r="B334" s="1379"/>
      <c r="C334" s="1379"/>
      <c r="D334" s="1379"/>
      <c r="E334" s="1379"/>
      <c r="F334" s="1379"/>
      <c r="G334" s="1379"/>
      <c r="H334" s="1380"/>
      <c r="I334" s="341" t="s">
        <v>315</v>
      </c>
      <c r="J334" s="342"/>
      <c r="K334" s="444">
        <f>K332+K333+K331</f>
        <v>0</v>
      </c>
      <c r="L334" s="342"/>
      <c r="M334" s="444">
        <f t="shared" ref="M334" si="1431">M332+M333+M331</f>
        <v>0</v>
      </c>
      <c r="N334" s="342"/>
      <c r="O334" s="444">
        <f>O332+O333+O331</f>
        <v>0</v>
      </c>
      <c r="P334" s="342"/>
      <c r="Q334" s="444">
        <f t="shared" ref="Q334" si="1432">Q332+Q333+Q331</f>
        <v>0</v>
      </c>
      <c r="R334" s="342"/>
      <c r="S334" s="444">
        <f>S332+S333+S331</f>
        <v>0</v>
      </c>
      <c r="T334" s="342"/>
      <c r="U334" s="444">
        <f t="shared" ref="U334" si="1433">U332+U333+U331</f>
        <v>0</v>
      </c>
      <c r="V334" s="342"/>
      <c r="W334" s="444">
        <f>W332+W333+W331</f>
        <v>0</v>
      </c>
      <c r="X334" s="342"/>
      <c r="Y334" s="444">
        <f t="shared" ref="Y334" si="1434">Y332+Y333+Y331</f>
        <v>0</v>
      </c>
      <c r="Z334" s="342"/>
      <c r="AA334" s="444">
        <f>AA332+AA333+AA331</f>
        <v>0</v>
      </c>
      <c r="AB334" s="342"/>
      <c r="AC334" s="444">
        <f t="shared" ref="AC334" si="1435">AC332+AC333+AC331</f>
        <v>0</v>
      </c>
      <c r="AD334" s="335">
        <f>IFERROR($K334+$M334+$O334+$Q334+$S334+$U334+$W334+$Y334+$AA334+$AC334,0)</f>
        <v>0</v>
      </c>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row>
    <row r="335" spans="1:56" hidden="1" outlineLevel="1" x14ac:dyDescent="0.3">
      <c r="A335" s="1182"/>
      <c r="B335" s="1379"/>
      <c r="C335" s="1379"/>
      <c r="D335" s="1379"/>
      <c r="E335" s="1379"/>
      <c r="F335" s="1379"/>
      <c r="G335" s="1379"/>
      <c r="H335" s="1380"/>
      <c r="I335" s="336" t="s">
        <v>316</v>
      </c>
      <c r="J335" s="339">
        <f>_xlfn.IFNA(_xlfn.IFNA(VLOOKUP(pStartYear,tbPayrollTax,2,FALSE),vl_MaxPayrollTax),0)</f>
        <v>5.8500000000000003E-2</v>
      </c>
      <c r="K335" s="443">
        <f>J335*K334</f>
        <v>0</v>
      </c>
      <c r="L335" s="340">
        <f>_xlfn.IFNA(_xlfn.IFNA(VLOOKUP(pStartYear+1,tbPayrollTax,2,FALSE),vl_MaxPayrollTax),0)</f>
        <v>5.8500000000000003E-2</v>
      </c>
      <c r="M335" s="451">
        <f t="shared" ref="M335" si="1436">L335*M334</f>
        <v>0</v>
      </c>
      <c r="N335" s="339">
        <f>_xlfn.IFNA(_xlfn.IFNA(VLOOKUP(pStartYear+2,tbPayrollTax,2,FALSE),vl_MaxPayrollTax),0)</f>
        <v>5.8500000000000003E-2</v>
      </c>
      <c r="O335" s="443">
        <f>N335*O334</f>
        <v>0</v>
      </c>
      <c r="P335" s="340">
        <f>_xlfn.IFNA(_xlfn.IFNA(VLOOKUP(pStartYear+3,tbPayrollTax,2,FALSE),vl_MaxPayrollTax),0)</f>
        <v>5.8500000000000003E-2</v>
      </c>
      <c r="Q335" s="451">
        <f t="shared" ref="Q335" si="1437">P335*Q334</f>
        <v>0</v>
      </c>
      <c r="R335" s="339">
        <f>_xlfn.IFNA(_xlfn.IFNA(VLOOKUP(pStartYear+4,tbPayrollTax,2,FALSE),vl_MaxPayrollTax),0)</f>
        <v>5.8500000000000003E-2</v>
      </c>
      <c r="S335" s="443">
        <f>R335*S334</f>
        <v>0</v>
      </c>
      <c r="T335" s="340">
        <f>_xlfn.IFNA(_xlfn.IFNA(VLOOKUP(pStartYear+5,tbPayrollTax,2,FALSE),vl_MaxPayrollTax),0)</f>
        <v>5.8500000000000003E-2</v>
      </c>
      <c r="U335" s="451">
        <f t="shared" ref="U335" si="1438">T335*U334</f>
        <v>0</v>
      </c>
      <c r="V335" s="339">
        <f>_xlfn.IFNA(_xlfn.IFNA(VLOOKUP(pStartYear+6,tbPayrollTax,2,FALSE),vl_MaxPayrollTax),0)</f>
        <v>5.8500000000000003E-2</v>
      </c>
      <c r="W335" s="443">
        <f>V335*W334</f>
        <v>0</v>
      </c>
      <c r="X335" s="340">
        <f>_xlfn.IFNA(_xlfn.IFNA(VLOOKUP(pStartYear+7,tbPayrollTax,2,FALSE),vl_MaxPayrollTax),0)</f>
        <v>5.8500000000000003E-2</v>
      </c>
      <c r="Y335" s="451">
        <f t="shared" ref="Y335" si="1439">X335*Y334</f>
        <v>0</v>
      </c>
      <c r="Z335" s="339">
        <f>_xlfn.IFNA(_xlfn.IFNA(VLOOKUP(pStartYear+8,tbPayrollTax,2,FALSE),vl_MaxPayrollTax),0)</f>
        <v>5.8500000000000003E-2</v>
      </c>
      <c r="AA335" s="443">
        <f>Z335*AA334</f>
        <v>0</v>
      </c>
      <c r="AB335" s="340">
        <f>_xlfn.IFNA(_xlfn.IFNA(VLOOKUP(pStartYear+9,tbPayrollTax,2,FALSE),vl_MaxPayrollTax),0)</f>
        <v>5.8500000000000003E-2</v>
      </c>
      <c r="AC335" s="451">
        <f t="shared" ref="AC335" si="1440">AB335*AC334</f>
        <v>0</v>
      </c>
      <c r="AD335" s="335"/>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row>
    <row r="336" spans="1:56" hidden="1" outlineLevel="1" x14ac:dyDescent="0.3">
      <c r="A336" s="1182"/>
      <c r="B336" s="1379"/>
      <c r="C336" s="1379"/>
      <c r="D336" s="1379"/>
      <c r="E336" s="1379"/>
      <c r="F336" s="1379"/>
      <c r="G336" s="1379"/>
      <c r="H336" s="1380"/>
      <c r="I336" s="336" t="s">
        <v>317</v>
      </c>
      <c r="J336" s="339">
        <f>_xlfn.IFNA(VLOOKUP($D330,tbWorkCover,2,FALSE),0)</f>
        <v>0</v>
      </c>
      <c r="K336" s="443">
        <f>J336*K334</f>
        <v>0</v>
      </c>
      <c r="L336" s="340">
        <f>_xlfn.IFNA(VLOOKUP($D330,tbWorkCover,2,FALSE),0)</f>
        <v>0</v>
      </c>
      <c r="M336" s="451">
        <f t="shared" ref="M336" si="1441">L336*M334</f>
        <v>0</v>
      </c>
      <c r="N336" s="339">
        <f>_xlfn.IFNA(VLOOKUP($D330,tbWorkCover,2,FALSE),0)</f>
        <v>0</v>
      </c>
      <c r="O336" s="443">
        <f>N336*O334</f>
        <v>0</v>
      </c>
      <c r="P336" s="340">
        <f>_xlfn.IFNA(VLOOKUP($D330,tbWorkCover,2,FALSE),0)</f>
        <v>0</v>
      </c>
      <c r="Q336" s="451">
        <f t="shared" ref="Q336" si="1442">P336*Q334</f>
        <v>0</v>
      </c>
      <c r="R336" s="339">
        <f>_xlfn.IFNA(VLOOKUP($D330,tbWorkCover,2,FALSE),0)</f>
        <v>0</v>
      </c>
      <c r="S336" s="443">
        <f>R336*S334</f>
        <v>0</v>
      </c>
      <c r="T336" s="340">
        <f>_xlfn.IFNA(VLOOKUP($D330,tbWorkCover,2,FALSE),0)</f>
        <v>0</v>
      </c>
      <c r="U336" s="451">
        <f t="shared" ref="U336" si="1443">T336*U334</f>
        <v>0</v>
      </c>
      <c r="V336" s="339">
        <f>_xlfn.IFNA(VLOOKUP($D330,tbWorkCover,2,FALSE),0)</f>
        <v>0</v>
      </c>
      <c r="W336" s="443">
        <f>V336*W334</f>
        <v>0</v>
      </c>
      <c r="X336" s="340">
        <f>_xlfn.IFNA(VLOOKUP($D330,tbWorkCover,2,FALSE),0)</f>
        <v>0</v>
      </c>
      <c r="Y336" s="451">
        <f t="shared" ref="Y336" si="1444">X336*Y334</f>
        <v>0</v>
      </c>
      <c r="Z336" s="339">
        <f>_xlfn.IFNA(VLOOKUP($D330,tbWorkCover,2,FALSE),0)</f>
        <v>0</v>
      </c>
      <c r="AA336" s="443">
        <f>Z336*AA334</f>
        <v>0</v>
      </c>
      <c r="AB336" s="340">
        <f>_xlfn.IFNA(VLOOKUP($D330,tbWorkCover,2,FALSE),0)</f>
        <v>0</v>
      </c>
      <c r="AC336" s="451">
        <f t="shared" ref="AC336" si="1445">AB336*AC334</f>
        <v>0</v>
      </c>
      <c r="AD336" s="335"/>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row>
    <row r="337" spans="1:56" hidden="1" outlineLevel="1" x14ac:dyDescent="0.3">
      <c r="A337" s="1182"/>
      <c r="B337" s="1379"/>
      <c r="C337" s="1379"/>
      <c r="D337" s="1379"/>
      <c r="E337" s="1379"/>
      <c r="F337" s="1379"/>
      <c r="G337" s="1379"/>
      <c r="H337" s="1380"/>
      <c r="I337" s="336" t="s">
        <v>318</v>
      </c>
      <c r="J337" s="339">
        <f>_xlfn.IFNA(VLOOKUP($D330,tbLongServiceLeave,2,FALSE),0)</f>
        <v>0</v>
      </c>
      <c r="K337" s="443">
        <f>J337*K331</f>
        <v>0</v>
      </c>
      <c r="L337" s="340">
        <f>_xlfn.IFNA(VLOOKUP($D330,tbLongServiceLeave,2,FALSE),0)</f>
        <v>0</v>
      </c>
      <c r="M337" s="451">
        <f t="shared" ref="M337" si="1446">L337*M331</f>
        <v>0</v>
      </c>
      <c r="N337" s="339">
        <f>_xlfn.IFNA(VLOOKUP($D330,tbLongServiceLeave,2,FALSE),0)</f>
        <v>0</v>
      </c>
      <c r="O337" s="443">
        <f>N337*O331</f>
        <v>0</v>
      </c>
      <c r="P337" s="340">
        <f>_xlfn.IFNA(VLOOKUP($D330,tbLongServiceLeave,2,FALSE),0)</f>
        <v>0</v>
      </c>
      <c r="Q337" s="451">
        <f t="shared" ref="Q337" si="1447">P337*Q331</f>
        <v>0</v>
      </c>
      <c r="R337" s="339">
        <f>_xlfn.IFNA(VLOOKUP($D330,tbLongServiceLeave,2,FALSE),0)</f>
        <v>0</v>
      </c>
      <c r="S337" s="443">
        <f>R337*S331</f>
        <v>0</v>
      </c>
      <c r="T337" s="340">
        <f>_xlfn.IFNA(VLOOKUP($D330,tbLongServiceLeave,2,FALSE),0)</f>
        <v>0</v>
      </c>
      <c r="U337" s="451">
        <f t="shared" ref="U337" si="1448">T337*U331</f>
        <v>0</v>
      </c>
      <c r="V337" s="339">
        <f>_xlfn.IFNA(VLOOKUP($D330,tbLongServiceLeave,2,FALSE),0)</f>
        <v>0</v>
      </c>
      <c r="W337" s="443">
        <f>V337*W331</f>
        <v>0</v>
      </c>
      <c r="X337" s="340">
        <f>_xlfn.IFNA(VLOOKUP($D330,tbLongServiceLeave,2,FALSE),0)</f>
        <v>0</v>
      </c>
      <c r="Y337" s="451">
        <f t="shared" ref="Y337" si="1449">X337*Y331</f>
        <v>0</v>
      </c>
      <c r="Z337" s="339">
        <f>_xlfn.IFNA(VLOOKUP($D330,tbLongServiceLeave,2,FALSE),0)</f>
        <v>0</v>
      </c>
      <c r="AA337" s="443">
        <f>Z337*AA331</f>
        <v>0</v>
      </c>
      <c r="AB337" s="340">
        <f>_xlfn.IFNA(VLOOKUP($D330,tbLongServiceLeave,2,FALSE),0)</f>
        <v>0</v>
      </c>
      <c r="AC337" s="451">
        <f t="shared" ref="AC337" si="1450">AB337*AC331</f>
        <v>0</v>
      </c>
      <c r="AD337" s="335"/>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row>
    <row r="338" spans="1:56" hidden="1" outlineLevel="1" x14ac:dyDescent="0.3">
      <c r="A338" s="1182"/>
      <c r="B338" s="1379"/>
      <c r="C338" s="1379"/>
      <c r="D338" s="1379"/>
      <c r="E338" s="1379"/>
      <c r="F338" s="1379"/>
      <c r="G338" s="1379"/>
      <c r="H338" s="1380"/>
      <c r="I338" s="336" t="s">
        <v>319</v>
      </c>
      <c r="J338" s="339">
        <f>_xlfn.IFNA(VLOOKUP($D330,tbParentalLeave,2,FALSE),0)</f>
        <v>0</v>
      </c>
      <c r="K338" s="443">
        <f>J338*K331</f>
        <v>0</v>
      </c>
      <c r="L338" s="340">
        <f>_xlfn.IFNA(VLOOKUP($D330,tbParentalLeave,2,FALSE),0)</f>
        <v>0</v>
      </c>
      <c r="M338" s="451">
        <f t="shared" ref="M338" si="1451">L338*M331</f>
        <v>0</v>
      </c>
      <c r="N338" s="339">
        <f>_xlfn.IFNA(VLOOKUP($D330,tbParentalLeave,2,FALSE),0)</f>
        <v>0</v>
      </c>
      <c r="O338" s="443">
        <f>N338*O331</f>
        <v>0</v>
      </c>
      <c r="P338" s="340">
        <f>_xlfn.IFNA(VLOOKUP($D330,tbParentalLeave,2,FALSE),0)</f>
        <v>0</v>
      </c>
      <c r="Q338" s="451">
        <f t="shared" ref="Q338" si="1452">P338*Q331</f>
        <v>0</v>
      </c>
      <c r="R338" s="339">
        <f>_xlfn.IFNA(VLOOKUP($D330,tbParentalLeave,2,FALSE),0)</f>
        <v>0</v>
      </c>
      <c r="S338" s="443">
        <f>R338*S331</f>
        <v>0</v>
      </c>
      <c r="T338" s="340">
        <f>_xlfn.IFNA(VLOOKUP($D330,tbParentalLeave,2,FALSE),0)</f>
        <v>0</v>
      </c>
      <c r="U338" s="451">
        <f t="shared" ref="U338" si="1453">T338*U331</f>
        <v>0</v>
      </c>
      <c r="V338" s="339">
        <f>_xlfn.IFNA(VLOOKUP($D330,tbParentalLeave,2,FALSE),0)</f>
        <v>0</v>
      </c>
      <c r="W338" s="443">
        <f>V338*W331</f>
        <v>0</v>
      </c>
      <c r="X338" s="340">
        <f>_xlfn.IFNA(VLOOKUP($D330,tbParentalLeave,2,FALSE),0)</f>
        <v>0</v>
      </c>
      <c r="Y338" s="451">
        <f t="shared" ref="Y338" si="1454">X338*Y331</f>
        <v>0</v>
      </c>
      <c r="Z338" s="339">
        <f>_xlfn.IFNA(VLOOKUP($D330,tbParentalLeave,2,FALSE),0)</f>
        <v>0</v>
      </c>
      <c r="AA338" s="443">
        <f>Z338*AA331</f>
        <v>0</v>
      </c>
      <c r="AB338" s="340">
        <f>_xlfn.IFNA(VLOOKUP($D330,tbParentalLeave,2,FALSE),0)</f>
        <v>0</v>
      </c>
      <c r="AC338" s="451">
        <f t="shared" ref="AC338" si="1455">AB338*AC331</f>
        <v>0</v>
      </c>
      <c r="AD338" s="335"/>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row>
    <row r="339" spans="1:56" hidden="1" outlineLevel="1" x14ac:dyDescent="0.3">
      <c r="A339" s="1182"/>
      <c r="B339" s="1379"/>
      <c r="C339" s="1379"/>
      <c r="D339" s="1379"/>
      <c r="E339" s="1379"/>
      <c r="F339" s="1379"/>
      <c r="G339" s="1379"/>
      <c r="H339" s="1380"/>
      <c r="I339" s="437" t="s">
        <v>320</v>
      </c>
      <c r="J339" s="438">
        <f>vl_overridden_uom_oncosts_per</f>
        <v>0</v>
      </c>
      <c r="K339" s="445">
        <f>J339*K331</f>
        <v>0</v>
      </c>
      <c r="L339" s="438">
        <f>vl_overridden_uom_oncosts_per</f>
        <v>0</v>
      </c>
      <c r="M339" s="445">
        <f>L339*M331</f>
        <v>0</v>
      </c>
      <c r="N339" s="438">
        <f>vl_overridden_uom_oncosts_per</f>
        <v>0</v>
      </c>
      <c r="O339" s="445">
        <f t="shared" ref="O339" si="1456">N339*O331</f>
        <v>0</v>
      </c>
      <c r="P339" s="438">
        <f>vl_overridden_uom_oncosts_per</f>
        <v>0</v>
      </c>
      <c r="Q339" s="445">
        <f t="shared" ref="Q339" si="1457">P339*Q331</f>
        <v>0</v>
      </c>
      <c r="R339" s="438">
        <f>vl_overridden_uom_oncosts_per</f>
        <v>0</v>
      </c>
      <c r="S339" s="445">
        <f t="shared" ref="S339" si="1458">R339*S331</f>
        <v>0</v>
      </c>
      <c r="T339" s="438">
        <f>vl_overridden_uom_oncosts_per</f>
        <v>0</v>
      </c>
      <c r="U339" s="445">
        <f t="shared" ref="U339" si="1459">T339*U331</f>
        <v>0</v>
      </c>
      <c r="V339" s="438">
        <f>vl_overridden_uom_oncosts_per</f>
        <v>0</v>
      </c>
      <c r="W339" s="445">
        <f t="shared" ref="W339" si="1460">V339*W331</f>
        <v>0</v>
      </c>
      <c r="X339" s="438">
        <f>vl_overridden_uom_oncosts_per</f>
        <v>0</v>
      </c>
      <c r="Y339" s="445">
        <f t="shared" ref="Y339" si="1461">X339*Y331</f>
        <v>0</v>
      </c>
      <c r="Z339" s="438">
        <f>vl_overridden_uom_oncosts_per</f>
        <v>0</v>
      </c>
      <c r="AA339" s="445">
        <f t="shared" ref="AA339" si="1462">Z339*AA331</f>
        <v>0</v>
      </c>
      <c r="AB339" s="438">
        <f>vl_overridden_uom_oncosts_per</f>
        <v>0</v>
      </c>
      <c r="AC339" s="445">
        <f t="shared" ref="AC339" si="1463">AB339*AC331</f>
        <v>0</v>
      </c>
      <c r="AD339" s="335"/>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row>
    <row r="340" spans="1:56" hidden="1" outlineLevel="1" x14ac:dyDescent="0.3">
      <c r="A340" s="1182"/>
      <c r="B340" s="1379"/>
      <c r="C340" s="1379"/>
      <c r="D340" s="1379"/>
      <c r="E340" s="1379"/>
      <c r="F340" s="1379"/>
      <c r="G340" s="1379"/>
      <c r="H340" s="1380"/>
      <c r="I340" s="341" t="s">
        <v>321</v>
      </c>
      <c r="J340" s="342"/>
      <c r="K340" s="444">
        <f>SUM(K334:K339)</f>
        <v>0</v>
      </c>
      <c r="L340" s="342"/>
      <c r="M340" s="444">
        <f t="shared" ref="M340" si="1464">SUM(M334:M339)</f>
        <v>0</v>
      </c>
      <c r="N340" s="342"/>
      <c r="O340" s="444">
        <f t="shared" ref="O340" si="1465">SUM(O334:O339)</f>
        <v>0</v>
      </c>
      <c r="P340" s="342"/>
      <c r="Q340" s="444">
        <f t="shared" ref="Q340" si="1466">SUM(Q334:Q339)</f>
        <v>0</v>
      </c>
      <c r="R340" s="342"/>
      <c r="S340" s="444">
        <f t="shared" ref="S340" si="1467">SUM(S334:S339)</f>
        <v>0</v>
      </c>
      <c r="T340" s="342"/>
      <c r="U340" s="444">
        <f t="shared" ref="U340" si="1468">SUM(U334:U339)</f>
        <v>0</v>
      </c>
      <c r="V340" s="342"/>
      <c r="W340" s="444">
        <f t="shared" ref="W340" si="1469">SUM(W334:W339)</f>
        <v>0</v>
      </c>
      <c r="X340" s="342"/>
      <c r="Y340" s="444">
        <f t="shared" ref="Y340" si="1470">SUM(Y334:Y339)</f>
        <v>0</v>
      </c>
      <c r="Z340" s="342"/>
      <c r="AA340" s="444">
        <f t="shared" ref="AA340" si="1471">SUM(AA334:AA339)</f>
        <v>0</v>
      </c>
      <c r="AB340" s="342"/>
      <c r="AC340" s="444">
        <f t="shared" ref="AC340" si="1472">SUM(AC334:AC339)</f>
        <v>0</v>
      </c>
      <c r="AD340" s="335">
        <f t="shared" ref="AD340:AD385" si="1473">IFERROR($K340+$M340+$O340+$Q340+$S340+$U340+$W340+$Y340+$AA340+$AC340,0)</f>
        <v>0</v>
      </c>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row>
    <row r="341" spans="1:56" hidden="1" outlineLevel="1" x14ac:dyDescent="0.3">
      <c r="A341" s="1182"/>
      <c r="B341" s="1379"/>
      <c r="C341" s="1379"/>
      <c r="D341" s="1379"/>
      <c r="E341" s="1379"/>
      <c r="F341" s="1379"/>
      <c r="G341" s="1379"/>
      <c r="H341" s="1380"/>
      <c r="I341" s="336" t="s">
        <v>322</v>
      </c>
      <c r="J341" s="339">
        <f>_xlfn.IFNA(VLOOKUP($D330,tbAnnualLeaveProvision,2,FALSE),0)</f>
        <v>0</v>
      </c>
      <c r="K341" s="443">
        <f>J341*K331</f>
        <v>0</v>
      </c>
      <c r="L341" s="340">
        <f>_xlfn.IFNA(VLOOKUP($D330,tbAnnualLeaveProvision,2,FALSE),0)</f>
        <v>0</v>
      </c>
      <c r="M341" s="451">
        <f t="shared" ref="M341" si="1474">L341*M331</f>
        <v>0</v>
      </c>
      <c r="N341" s="339">
        <f>_xlfn.IFNA(VLOOKUP($D330,tbAnnualLeaveProvision,2,FALSE),0)</f>
        <v>0</v>
      </c>
      <c r="O341" s="443">
        <f>N341*O331</f>
        <v>0</v>
      </c>
      <c r="P341" s="340">
        <f>_xlfn.IFNA(VLOOKUP($D330,tbAnnualLeaveProvision,2,FALSE),0)</f>
        <v>0</v>
      </c>
      <c r="Q341" s="451">
        <f t="shared" ref="Q341" si="1475">P341*Q331</f>
        <v>0</v>
      </c>
      <c r="R341" s="339">
        <f>_xlfn.IFNA(VLOOKUP($D330,tbAnnualLeaveProvision,2,FALSE),0)</f>
        <v>0</v>
      </c>
      <c r="S341" s="443">
        <f>R341*S331</f>
        <v>0</v>
      </c>
      <c r="T341" s="340">
        <f>_xlfn.IFNA(VLOOKUP($D330,tbAnnualLeaveProvision,2,FALSE),0)</f>
        <v>0</v>
      </c>
      <c r="U341" s="451">
        <f t="shared" ref="U341" si="1476">T341*U331</f>
        <v>0</v>
      </c>
      <c r="V341" s="339">
        <f>_xlfn.IFNA(VLOOKUP($D330,tbAnnualLeaveProvision,2,FALSE),0)</f>
        <v>0</v>
      </c>
      <c r="W341" s="443">
        <f>V341*W331</f>
        <v>0</v>
      </c>
      <c r="X341" s="340">
        <f>_xlfn.IFNA(VLOOKUP($D330,tbAnnualLeaveProvision,2,FALSE),0)</f>
        <v>0</v>
      </c>
      <c r="Y341" s="451">
        <f t="shared" ref="Y341" si="1477">X341*Y331</f>
        <v>0</v>
      </c>
      <c r="Z341" s="339">
        <f>_xlfn.IFNA(VLOOKUP($D330,tbAnnualLeaveProvision,2,FALSE),0)</f>
        <v>0</v>
      </c>
      <c r="AA341" s="443">
        <f>Z341*AA331</f>
        <v>0</v>
      </c>
      <c r="AB341" s="340">
        <f>_xlfn.IFNA(VLOOKUP($D330,tbAnnualLeaveProvision,2,FALSE),0)</f>
        <v>0</v>
      </c>
      <c r="AC341" s="451">
        <f t="shared" ref="AC341" si="1478">AB341*AC331</f>
        <v>0</v>
      </c>
      <c r="AD341" s="335"/>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row>
    <row r="342" spans="1:56" hidden="1" outlineLevel="1" x14ac:dyDescent="0.3">
      <c r="A342" s="1182"/>
      <c r="B342" s="1379"/>
      <c r="C342" s="1379"/>
      <c r="D342" s="1379"/>
      <c r="E342" s="1379"/>
      <c r="F342" s="1379"/>
      <c r="G342" s="1379"/>
      <c r="H342" s="1380"/>
      <c r="I342" s="336" t="s">
        <v>330</v>
      </c>
      <c r="J342" s="339"/>
      <c r="K342" s="446">
        <f>K340+K341</f>
        <v>0</v>
      </c>
      <c r="L342" s="340"/>
      <c r="M342" s="452">
        <f t="shared" ref="M342" si="1479">M340+M341</f>
        <v>0</v>
      </c>
      <c r="N342" s="339"/>
      <c r="O342" s="446">
        <f>O340+O341</f>
        <v>0</v>
      </c>
      <c r="P342" s="340"/>
      <c r="Q342" s="452">
        <f t="shared" ref="Q342" si="1480">Q340+Q341</f>
        <v>0</v>
      </c>
      <c r="R342" s="339"/>
      <c r="S342" s="446">
        <f>S340+S341</f>
        <v>0</v>
      </c>
      <c r="T342" s="340"/>
      <c r="U342" s="452">
        <f t="shared" ref="U342" si="1481">U340+U341</f>
        <v>0</v>
      </c>
      <c r="V342" s="339"/>
      <c r="W342" s="446">
        <f>W340+W341</f>
        <v>0</v>
      </c>
      <c r="X342" s="340"/>
      <c r="Y342" s="452">
        <f t="shared" ref="Y342" si="1482">Y340+Y341</f>
        <v>0</v>
      </c>
      <c r="Z342" s="339"/>
      <c r="AA342" s="446">
        <f>AA340+AA341</f>
        <v>0</v>
      </c>
      <c r="AB342" s="340"/>
      <c r="AC342" s="452">
        <f t="shared" ref="AC342" si="1483">AC340+AC341</f>
        <v>0</v>
      </c>
      <c r="AD342" s="335"/>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row>
    <row r="343" spans="1:56" hidden="1" outlineLevel="1" x14ac:dyDescent="0.3">
      <c r="A343" s="1182"/>
      <c r="B343" s="1379"/>
      <c r="C343" s="1379"/>
      <c r="D343" s="1379"/>
      <c r="E343" s="1379"/>
      <c r="F343" s="1379"/>
      <c r="G343" s="1379"/>
      <c r="H343" s="1380"/>
      <c r="I343" s="343" t="s">
        <v>324</v>
      </c>
      <c r="J343" s="344"/>
      <c r="K343" s="443">
        <f>IFERROR(-(K340/vl_working_days_per_year)*J343,0)</f>
        <v>0</v>
      </c>
      <c r="L343" s="345"/>
      <c r="M343" s="451">
        <f>IFERROR(-(M340/vl_working_days_per_year)*L343,0)</f>
        <v>0</v>
      </c>
      <c r="N343" s="344"/>
      <c r="O343" s="443">
        <f>-(O340/vl_working_days_per_year)*N343</f>
        <v>0</v>
      </c>
      <c r="P343" s="345"/>
      <c r="Q343" s="451">
        <f>-(Q340/vl_working_days_per_year)*P343</f>
        <v>0</v>
      </c>
      <c r="R343" s="344"/>
      <c r="S343" s="443">
        <f>-(S340/vl_working_days_per_year)*R343</f>
        <v>0</v>
      </c>
      <c r="T343" s="345"/>
      <c r="U343" s="451">
        <f>-(U340/vl_working_days_per_year)*T343</f>
        <v>0</v>
      </c>
      <c r="V343" s="344"/>
      <c r="W343" s="443">
        <f>-(W340/vl_working_days_per_year)*V343</f>
        <v>0</v>
      </c>
      <c r="X343" s="345"/>
      <c r="Y343" s="451">
        <f>-(Y340/vl_working_days_per_year)*X343</f>
        <v>0</v>
      </c>
      <c r="Z343" s="344"/>
      <c r="AA343" s="443">
        <f>-(AA340/vl_working_days_per_year)*Z343</f>
        <v>0</v>
      </c>
      <c r="AB343" s="345"/>
      <c r="AC343" s="451">
        <f>-(AC340/vl_working_days_per_year)*AB343</f>
        <v>0</v>
      </c>
      <c r="AD343" s="335">
        <f t="shared" si="1473"/>
        <v>0</v>
      </c>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row>
    <row r="344" spans="1:56" hidden="1" outlineLevel="1" x14ac:dyDescent="0.3">
      <c r="A344" s="1182"/>
      <c r="B344" s="1379"/>
      <c r="C344" s="1379"/>
      <c r="D344" s="1379"/>
      <c r="E344" s="1379"/>
      <c r="F344" s="1379"/>
      <c r="G344" s="1379"/>
      <c r="H344" s="1380"/>
      <c r="I344" s="341" t="s">
        <v>325</v>
      </c>
      <c r="J344" s="346"/>
      <c r="K344" s="444">
        <f>K342+K343</f>
        <v>0</v>
      </c>
      <c r="L344" s="346"/>
      <c r="M344" s="444">
        <f t="shared" ref="M344" si="1484">M342+M343</f>
        <v>0</v>
      </c>
      <c r="N344" s="346"/>
      <c r="O344" s="444">
        <f>O342+O343</f>
        <v>0</v>
      </c>
      <c r="P344" s="346"/>
      <c r="Q344" s="444">
        <f t="shared" ref="Q344" si="1485">Q342+Q343</f>
        <v>0</v>
      </c>
      <c r="R344" s="346"/>
      <c r="S344" s="444">
        <f>S342+S343</f>
        <v>0</v>
      </c>
      <c r="T344" s="346"/>
      <c r="U344" s="444">
        <f t="shared" ref="U344" si="1486">U342+U343</f>
        <v>0</v>
      </c>
      <c r="V344" s="346"/>
      <c r="W344" s="444">
        <f>W342+W343</f>
        <v>0</v>
      </c>
      <c r="X344" s="346"/>
      <c r="Y344" s="444">
        <f t="shared" ref="Y344" si="1487">Y342+Y343</f>
        <v>0</v>
      </c>
      <c r="Z344" s="346"/>
      <c r="AA344" s="444">
        <f>AA342+AA343</f>
        <v>0</v>
      </c>
      <c r="AB344" s="346"/>
      <c r="AC344" s="444">
        <f t="shared" ref="AC344" si="1488">AC342+AC343</f>
        <v>0</v>
      </c>
      <c r="AD344" s="335">
        <f t="shared" si="1473"/>
        <v>0</v>
      </c>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row>
    <row r="345" spans="1:56" s="1" customFormat="1" ht="15" hidden="1" customHeight="1" outlineLevel="1" x14ac:dyDescent="0.3">
      <c r="A345" s="727"/>
      <c r="B345" s="1379"/>
      <c r="C345" s="1379"/>
      <c r="D345" s="1379"/>
      <c r="E345" s="1379"/>
      <c r="F345" s="1379"/>
      <c r="G345" s="1379"/>
      <c r="H345" s="1380"/>
      <c r="I345" s="382" t="s">
        <v>326</v>
      </c>
      <c r="J345" s="383">
        <f>IFERROR(K345/K331,0)</f>
        <v>0</v>
      </c>
      <c r="K345" s="447">
        <f>SUM(K332:K333,K335:K338,K341)</f>
        <v>0</v>
      </c>
      <c r="L345" s="434">
        <f>IFERROR(M345/M331,0)</f>
        <v>0</v>
      </c>
      <c r="M345" s="453">
        <f t="shared" ref="M345" si="1489">SUM(M332:M333,M335:M338,M341)</f>
        <v>0</v>
      </c>
      <c r="N345" s="383">
        <f t="shared" ref="N345" si="1490">IFERROR(O345/O331,0)</f>
        <v>0</v>
      </c>
      <c r="O345" s="447">
        <f t="shared" ref="O345" si="1491">SUM(O332:O333,O335:O338,O341)</f>
        <v>0</v>
      </c>
      <c r="P345" s="434">
        <f t="shared" ref="P345" si="1492">IFERROR(Q345/Q331,0)</f>
        <v>0</v>
      </c>
      <c r="Q345" s="453">
        <f t="shared" ref="Q345" si="1493">SUM(Q332:Q333,Q335:Q338,Q341)</f>
        <v>0</v>
      </c>
      <c r="R345" s="383">
        <f t="shared" ref="R345" si="1494">IFERROR(S345/S331,0)</f>
        <v>0</v>
      </c>
      <c r="S345" s="447">
        <f t="shared" ref="S345" si="1495">SUM(S332:S333,S335:S338,S341)</f>
        <v>0</v>
      </c>
      <c r="T345" s="434">
        <f t="shared" ref="T345" si="1496">IFERROR(U345/U331,0)</f>
        <v>0</v>
      </c>
      <c r="U345" s="453">
        <f t="shared" ref="U345" si="1497">SUM(U332:U333,U335:U338,U341)</f>
        <v>0</v>
      </c>
      <c r="V345" s="383">
        <f t="shared" ref="V345" si="1498">IFERROR(W345/W331,0)</f>
        <v>0</v>
      </c>
      <c r="W345" s="447">
        <f t="shared" ref="W345" si="1499">SUM(W332:W333,W335:W338,W341)</f>
        <v>0</v>
      </c>
      <c r="X345" s="434">
        <f t="shared" ref="X345" si="1500">IFERROR(Y345/Y331,0)</f>
        <v>0</v>
      </c>
      <c r="Y345" s="453">
        <f t="shared" ref="Y345" si="1501">SUM(Y332:Y333,Y335:Y338,Y341)</f>
        <v>0</v>
      </c>
      <c r="Z345" s="383">
        <f t="shared" ref="Z345" si="1502">IFERROR(AA345/AA331,0)</f>
        <v>0</v>
      </c>
      <c r="AA345" s="447">
        <f t="shared" ref="AA345" si="1503">SUM(AA332:AA333,AA335:AA338,AA341)</f>
        <v>0</v>
      </c>
      <c r="AB345" s="434">
        <f t="shared" ref="AB345" si="1504">IFERROR(AC345/AC331,0)</f>
        <v>0</v>
      </c>
      <c r="AC345" s="453">
        <f t="shared" ref="AC345" si="1505">SUM(AC332:AC333,AC335:AC338,AC341)</f>
        <v>0</v>
      </c>
      <c r="AD345" s="377">
        <f t="shared" si="1473"/>
        <v>0</v>
      </c>
      <c r="AE345" s="14"/>
      <c r="AF345" s="14"/>
      <c r="AG345" s="14"/>
      <c r="AH345" s="14"/>
      <c r="AI345" s="14"/>
      <c r="AJ345" s="14"/>
      <c r="AK345" s="14"/>
      <c r="AL345" s="14"/>
      <c r="AM345" s="14"/>
      <c r="AN345" s="14"/>
      <c r="AO345" s="14"/>
      <c r="AP345" s="14"/>
      <c r="AQ345" s="14"/>
      <c r="AR345" s="14"/>
      <c r="AS345" s="14"/>
      <c r="AT345" s="14"/>
      <c r="AU345" s="14"/>
      <c r="AV345" s="14"/>
      <c r="AW345" s="14"/>
      <c r="AX345" s="14"/>
      <c r="AY345" s="14"/>
      <c r="AZ345" s="14"/>
      <c r="BA345" s="14"/>
      <c r="BB345" s="14"/>
      <c r="BC345" s="14"/>
      <c r="BD345" s="14"/>
    </row>
    <row r="346" spans="1:56" hidden="1" outlineLevel="1" x14ac:dyDescent="0.3">
      <c r="A346" s="1182"/>
      <c r="B346" s="1379"/>
      <c r="C346" s="1379"/>
      <c r="D346" s="1379"/>
      <c r="E346" s="1379"/>
      <c r="F346" s="1379"/>
      <c r="G346" s="1379"/>
      <c r="H346" s="1380"/>
      <c r="I346" s="382" t="s">
        <v>327</v>
      </c>
      <c r="J346" s="384">
        <f>pCRSalaries</f>
        <v>2.5</v>
      </c>
      <c r="K346" s="447"/>
      <c r="L346" s="435">
        <f>pCRSalaries</f>
        <v>2.5</v>
      </c>
      <c r="M346" s="453"/>
      <c r="N346" s="384">
        <f>pCRSalaries</f>
        <v>2.5</v>
      </c>
      <c r="O346" s="447"/>
      <c r="P346" s="435">
        <f>pCRSalaries</f>
        <v>2.5</v>
      </c>
      <c r="Q346" s="453"/>
      <c r="R346" s="384">
        <f>pCRSalaries</f>
        <v>2.5</v>
      </c>
      <c r="S346" s="447"/>
      <c r="T346" s="435">
        <f>pCRSalaries</f>
        <v>2.5</v>
      </c>
      <c r="U346" s="453"/>
      <c r="V346" s="384">
        <f>pCRSalaries</f>
        <v>2.5</v>
      </c>
      <c r="W346" s="447"/>
      <c r="X346" s="435">
        <f>pCRSalaries</f>
        <v>2.5</v>
      </c>
      <c r="Y346" s="453"/>
      <c r="Z346" s="384">
        <f>pCRSalaries</f>
        <v>2.5</v>
      </c>
      <c r="AA346" s="447"/>
      <c r="AB346" s="435">
        <f>pCRSalaries</f>
        <v>2.5</v>
      </c>
      <c r="AC346" s="453"/>
      <c r="AD346" s="335"/>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row>
    <row r="347" spans="1:56" ht="16.2" hidden="1" outlineLevel="1" thickBot="1" x14ac:dyDescent="0.35">
      <c r="A347" s="1182"/>
      <c r="B347" s="710"/>
      <c r="C347" s="347"/>
      <c r="D347" s="347"/>
      <c r="E347" s="347"/>
      <c r="F347" s="347"/>
      <c r="G347" s="347"/>
      <c r="H347" s="347"/>
      <c r="I347" s="436" t="s">
        <v>329</v>
      </c>
      <c r="J347" s="348"/>
      <c r="K347" s="448">
        <f>J346*K342</f>
        <v>0</v>
      </c>
      <c r="L347" s="348"/>
      <c r="M347" s="448">
        <f t="shared" ref="M347" si="1506">L346*M342</f>
        <v>0</v>
      </c>
      <c r="N347" s="348"/>
      <c r="O347" s="448">
        <f>N346*O342</f>
        <v>0</v>
      </c>
      <c r="P347" s="348"/>
      <c r="Q347" s="448">
        <f t="shared" ref="Q347" si="1507">P346*Q342</f>
        <v>0</v>
      </c>
      <c r="R347" s="348"/>
      <c r="S347" s="448">
        <f>R346*S342</f>
        <v>0</v>
      </c>
      <c r="T347" s="348"/>
      <c r="U347" s="448">
        <f t="shared" ref="U347" si="1508">T346*U342</f>
        <v>0</v>
      </c>
      <c r="V347" s="348"/>
      <c r="W347" s="448">
        <f>V346*W342</f>
        <v>0</v>
      </c>
      <c r="X347" s="348"/>
      <c r="Y347" s="448">
        <f t="shared" ref="Y347" si="1509">X346*Y342</f>
        <v>0</v>
      </c>
      <c r="Z347" s="348"/>
      <c r="AA347" s="448">
        <f>Z346*AA342</f>
        <v>0</v>
      </c>
      <c r="AB347" s="348"/>
      <c r="AC347" s="448">
        <f t="shared" ref="AC347" si="1510">AB346*AC342</f>
        <v>0</v>
      </c>
      <c r="AD347" s="335">
        <f t="shared" si="1473"/>
        <v>0</v>
      </c>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row>
    <row r="348" spans="1:56" ht="15" hidden="1" outlineLevel="1" thickBot="1" x14ac:dyDescent="0.35">
      <c r="A348" s="1182"/>
      <c r="B348" s="1181"/>
      <c r="C348" s="1181"/>
      <c r="D348" s="1181"/>
      <c r="E348" s="1181"/>
      <c r="F348" s="1181"/>
      <c r="G348" s="1181"/>
      <c r="H348" s="1181"/>
      <c r="I348" s="350"/>
      <c r="J348" s="351"/>
      <c r="K348" s="351"/>
      <c r="L348" s="351"/>
      <c r="M348" s="352"/>
      <c r="N348" s="351"/>
      <c r="O348" s="352"/>
      <c r="P348" s="351"/>
      <c r="Q348" s="352"/>
      <c r="R348" s="351"/>
      <c r="S348" s="352"/>
      <c r="T348" s="351"/>
      <c r="U348" s="352"/>
      <c r="V348" s="351"/>
      <c r="W348" s="352"/>
      <c r="X348" s="351"/>
      <c r="Y348" s="352"/>
      <c r="Z348" s="351"/>
      <c r="AA348" s="352"/>
      <c r="AB348" s="351"/>
      <c r="AC348" s="352"/>
      <c r="AD348" s="353" t="str">
        <f>IF(tbBudgetCurrency="AUD - Australian Dollar","",IFERROR(K348+M348+O348+Q348+S348+U348+W348+Y348+AA348+AC348,0))</f>
        <v/>
      </c>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row>
    <row r="349" spans="1:56" hidden="1" outlineLevel="1" x14ac:dyDescent="0.3">
      <c r="A349" s="1182"/>
      <c r="B349" s="356" t="str">
        <f>IF('PART B Staff Costs'!B39="","",'PART B Staff Costs'!B39)</f>
        <v/>
      </c>
      <c r="C349" s="356" t="str">
        <f>IF('PART B Staff Costs'!C39="","",'PART B Staff Costs'!C39)</f>
        <v xml:space="preserve"> </v>
      </c>
      <c r="D349" s="332" t="str">
        <f>IF('PART B Staff Costs'!D39="","",'PART B Staff Costs'!D39)</f>
        <v/>
      </c>
      <c r="E349" s="332" t="str">
        <f>IF('PART B Staff Costs'!E39="","",'PART B Staff Costs'!E39)</f>
        <v/>
      </c>
      <c r="F349" s="332" t="str">
        <f>IF('PART B Staff Costs'!F39="","",'PART B Staff Costs'!F39)</f>
        <v/>
      </c>
      <c r="G349" s="332" t="str">
        <f>IF('PART B Staff Costs'!G39="","",'PART B Staff Costs'!G39)</f>
        <v/>
      </c>
      <c r="H349" s="332" t="str">
        <f t="shared" ref="H349" si="1511">CONCATENATE(IF(D349=0,"",D349)," ",IF(E349=0,"",E349)," ",IF(F349=0,"",F349),,IF(OR(G349=0,G349=""),"",CONCATENATE(" (",G349,")")))</f>
        <v xml:space="preserve">  </v>
      </c>
      <c r="I349" s="332" t="s">
        <v>313</v>
      </c>
      <c r="J349" s="333">
        <f>_xlfn.IFNA('PART B Staff Costs'!H39*'PART B Staff Costs'!J$10,0)*new_xrate</f>
        <v>0</v>
      </c>
      <c r="K349" s="441"/>
      <c r="L349" s="334">
        <f>_xlfn.IFNA(IF(pStartYear+1&gt;pEndYear,0,VLOOKUP(CONCATENATE(
IF(OR($D349="Continuing",$D349="Fixed-Term"),"Fortnight",IF($D349="Casual","Casual",)),
$E349,
IF(OR($D349="Continuing",$D349="Fixed-Term"),
IF(LEFT($F349,6)="UOM 10","UOM 10",(LEFT($F349,LEN($F349)-1)&amp;MIN(RIGHT($F349,1)+COUNTIFS(J350:K350,"&gt;0")/2,VLOOKUP(LEFT($F349,LEN($F349)-2),tSalaryMax,2,FALSE)))),
IF($D349="Casual",
$F349,))
),tSalaryRate,5,FALSE)*VLOOKUP($G349,tSalaryRateMultiplier,2,FALSE)*'PART B Staff Costs'!L$10),0)*new_xrate</f>
        <v>0</v>
      </c>
      <c r="M349" s="449"/>
      <c r="N349" s="333">
        <f>_xlfn.IFNA(IF(pStartYear+2&gt;pEndYear,0,VLOOKUP(CONCATENATE(
IF(OR($D349="Continuing",$D349="Fixed-Term"),"Fortnight",IF($D349="Casual","Casual",)),
$E349,
IF(OR($D349="Continuing",$D349="Fixed-Term"),
IF(LEFT($F349,6)="UOM 10","UOM 10",(LEFT($F349,LEN($F349)-1)&amp;MIN(RIGHT($F349,1)+COUNTIFS($J350:M350,"&gt;0")/2,VLOOKUP(LEFT($F349,LEN($F349)-2),tSalaryMax,2,FALSE)))),
IF($D349="Casual",
$F349,))
),tSalaryRate,5,FALSE)*VLOOKUP($G349,tSalaryRateMultiplier,2,FALSE)*'PART B Staff Costs'!N$10),0)*new_xrate</f>
        <v>0</v>
      </c>
      <c r="O349" s="441"/>
      <c r="P349" s="334">
        <f>_xlfn.IFNA(IF(pStartYear+3&gt;pEndYear,0,VLOOKUP(CONCATENATE(
IF(OR($D349="Continuing",$D349="Fixed-Term"),"Fortnight",IF($D349="Casual","Casual",)),
$E349,
IF(OR($D349="Continuing",$D349="Fixed-Term"),
IF(LEFT($F349,6)="UOM 10","UOM 10",(LEFT($F349,LEN($F349)-1)&amp;MIN(RIGHT($F349,1)+COUNTIFS($J350:O350,"&gt;0")/2,VLOOKUP(LEFT($F349,LEN($F349)-2),tSalaryMax,2,FALSE)))),
IF($D349="Casual",
$F349,))
),tSalaryRate,5,FALSE)*VLOOKUP($G349,tSalaryRateMultiplier,2,FALSE)*'PART B Staff Costs'!P$10),0)*new_xrate</f>
        <v>0</v>
      </c>
      <c r="Q349" s="449"/>
      <c r="R349" s="333">
        <f>_xlfn.IFNA(IF(pStartYear+4&gt;pEndYear,0,VLOOKUP(CONCATENATE(
IF(OR($D349="Continuing",$D349="Fixed-Term"),"Fortnight",IF($D349="Casual","Casual",)),
$E349,
IF(OR($D349="Continuing",$D349="Fixed-Term"),
IF(LEFT($F349,6)="UOM 10","UOM 10",(LEFT($F349,LEN($F349)-1)&amp;MIN(RIGHT($F349,1)+COUNTIFS($J350:Q350,"&gt;0")/2,VLOOKUP(LEFT($F349,LEN($F349)-2),tSalaryMax,2,FALSE)))),
IF($D349="Casual",
$F349,))
),tSalaryRate,5,FALSE)*VLOOKUP($G349,tSalaryRateMultiplier,2,FALSE)*'PART B Staff Costs'!R$10),0)*new_xrate</f>
        <v>0</v>
      </c>
      <c r="S349" s="441"/>
      <c r="T349" s="334">
        <f>_xlfn.IFNA(IF(pStartYear+5&gt;pEndYear,0,VLOOKUP(CONCATENATE(
IF(OR($D349="Continuing",$D349="Fixed-Term"),"Fortnight",IF($D349="Casual","Casual",)),
$E349,
IF(OR($D349="Continuing",$D349="Fixed-Term"),
IF(LEFT($F349,6)="UOM 10","UOM 10",(LEFT($F349,LEN($F349)-1)&amp;MIN(RIGHT($F349,1)+COUNTIFS($J350:S350,"&gt;0")/2,VLOOKUP(LEFT($F349,LEN($F349)-2),tSalaryMax,2,FALSE)))),
IF($D349="Casual",
$F349,))
),tSalaryRate,5,FALSE)*VLOOKUP($G349,tSalaryRateMultiplier,2,FALSE)*'PART B Staff Costs'!T$10),0)*new_xrate</f>
        <v>0</v>
      </c>
      <c r="U349" s="449"/>
      <c r="V349" s="333">
        <f>_xlfn.IFNA(IF(pStartYear+6&gt;pEndYear,0,VLOOKUP(CONCATENATE(
IF(OR($D349="Continuing",$D349="Fixed-Term"),"Fortnight",IF($D349="Casual","Casual",)),
$E349,
IF(OR($D349="Continuing",$D349="Fixed-Term"),
IF(LEFT($F349,6)="UOM 10","UOM 10",(LEFT($F349,LEN($F349)-1)&amp;MIN(RIGHT($F349,1)+COUNTIFS($J350:U350,"&gt;0")/2,VLOOKUP(LEFT($F349,LEN($F349)-2),tSalaryMax,2,FALSE)))),
IF($D349="Casual",
$F349,))
),tSalaryRate,5,FALSE)*VLOOKUP($G349,tSalaryRateMultiplier,2,FALSE)*'PART B Staff Costs'!V$10),0)*new_xrate</f>
        <v>0</v>
      </c>
      <c r="W349" s="441"/>
      <c r="X349" s="334">
        <f>_xlfn.IFNA(IF(pStartYear+7&gt;pEndYear,0,VLOOKUP(CONCATENATE(
IF(OR($D349="Continuing",$D349="Fixed-Term"),"Fortnight",IF($D349="Casual","Casual",)),
$E349,
IF(OR($D349="Continuing",$D349="Fixed-Term"),
IF(LEFT($F349,6)="UOM 10","UOM 10",(LEFT($F349,LEN($F349)-1)&amp;MIN(RIGHT($F349,1)+COUNTIFS($J350:W350,"&gt;0")/2,VLOOKUP(LEFT($F349,LEN($F349)-2),tSalaryMax,2,FALSE)))),
IF($D349="Casual",
$F349,))
),tSalaryRate,5,FALSE)*VLOOKUP($G349,tSalaryRateMultiplier,2,FALSE)*'PART B Staff Costs'!X$10),0)*new_xrate</f>
        <v>0</v>
      </c>
      <c r="Y349" s="449"/>
      <c r="Z349" s="333">
        <f>_xlfn.IFNA(IF(pStartYear+8&gt;pEndYear,0,VLOOKUP(CONCATENATE(
IF(OR($D349="Continuing",$D349="Fixed-Term"),"Fortnight",IF($D349="Casual","Casual",)),
$E349,
IF(OR($D349="Continuing",$D349="Fixed-Term"),
IF(LEFT($F349,6)="UOM 10","UOM 10",(LEFT($F349,LEN($F349)-1)&amp;MIN(RIGHT($F349,1)+COUNTIFS($J350:Y350,"&gt;0")/2,VLOOKUP(LEFT($F349,LEN($F349)-2),tSalaryMax,2,FALSE)))),
IF($D349="Casual",
$F349,))
),tSalaryRate,5,FALSE)*VLOOKUP($G349,tSalaryRateMultiplier,2,FALSE)*'PART B Staff Costs'!Z$10),0)*new_xrate</f>
        <v>0</v>
      </c>
      <c r="AA349" s="441"/>
      <c r="AB349" s="334">
        <f>_xlfn.IFNA(IF(pStartYear+9&gt;pEndYear,0,VLOOKUP(CONCATENATE(
IF(OR($D349="Continuing",$D349="Fixed-Term"),"Fortnight",IF($D349="Casual","Casual",)),
$E349,
IF(OR($D349="Continuing",$D349="Fixed-Term"),
IF(LEFT($F349,6)="UOM 10","UOM 10",(LEFT($F349,LEN($F349)-1)&amp;MIN(RIGHT($F349,1)+COUNTIFS($J350:AA350,"&gt;0")/2,VLOOKUP(LEFT($F349,LEN($F349)-2),tSalaryMax,2,FALSE)))),
IF($D349="Casual",
$F349,))
),tSalaryRate,5,FALSE)*VLOOKUP($G349,tSalaryRateMultiplier,2,FALSE)*'PART B Staff Costs'!AB$10),0)*new_xrate</f>
        <v>0</v>
      </c>
      <c r="AC349" s="449"/>
      <c r="AD349" s="335"/>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row>
    <row r="350" spans="1:56" hidden="1" outlineLevel="1" x14ac:dyDescent="0.3">
      <c r="A350" s="1182"/>
      <c r="B350" s="1377"/>
      <c r="C350" s="1377"/>
      <c r="D350" s="1377"/>
      <c r="E350" s="1377"/>
      <c r="F350" s="1377"/>
      <c r="G350" s="1377"/>
      <c r="H350" s="1378"/>
      <c r="I350" s="336" t="str">
        <f>IF('PART B Staff Costs'!G345&lt;&gt;"",CONCATENATE("Time/Requested salary"," (",'PART B Staff Costs'!G345,")"),"Time/Requested salary")</f>
        <v>Time/Requested salary</v>
      </c>
      <c r="J350" s="337">
        <f>_xlfn.IFNA('PART B Staff Costs'!I39,0)</f>
        <v>0</v>
      </c>
      <c r="K350" s="442">
        <f>IF('PART B Staff Costs'!$G$39="FTE",J350*J349*(First_year_fraction/12),J350*J349)</f>
        <v>0</v>
      </c>
      <c r="L350" s="338">
        <f>_xlfn.IFNA('PART B Staff Costs'!K39,0)</f>
        <v>0</v>
      </c>
      <c r="M350" s="450">
        <f>IF(pStartYear+1=pEndYear,IF('PART B Staff Costs'!$G$39="FTE",(L350*L349)*Last_Year_Fraction/12,L350*L349),L350*L349)</f>
        <v>0</v>
      </c>
      <c r="N350" s="337">
        <f>_xlfn.IFNA('PART B Staff Costs'!M39,0)</f>
        <v>0</v>
      </c>
      <c r="O350" s="442">
        <f>IF(pStartYear+2=pEndYear,IF('PART B Staff Costs'!$G$39="FTE",(N350*N349)*Last_Year_Fraction/12,N350*N349),N350*N349)</f>
        <v>0</v>
      </c>
      <c r="P350" s="338">
        <f>_xlfn.IFNA('PART B Staff Costs'!O39,0)</f>
        <v>0</v>
      </c>
      <c r="Q350" s="450">
        <f>IF(pStartYear+3=pEndYear,IF('PART B Staff Costs'!$G$39="FTE",(P350*P349)*Last_Year_Fraction/12,P350*P349),P350*P349)</f>
        <v>0</v>
      </c>
      <c r="R350" s="337">
        <f>_xlfn.IFNA('PART B Staff Costs'!Q39,0)</f>
        <v>0</v>
      </c>
      <c r="S350" s="442">
        <f>IF(pStartYear+4=pEndYear,IF('PART B Staff Costs'!$G$39="FTE",(R350*R349)*Last_Year_Fraction/12,R350*R349),R350*R349)</f>
        <v>0</v>
      </c>
      <c r="T350" s="338">
        <f>_xlfn.IFNA('PART B Staff Costs'!S39,0)</f>
        <v>0</v>
      </c>
      <c r="U350" s="450">
        <f>IF(pStartYear+5=pEndYear,IF('PART B Staff Costs'!$G$39="FTE",(T350*T349)*Last_Year_Fraction/12,T350*T349),T350*T349)</f>
        <v>0</v>
      </c>
      <c r="V350" s="337">
        <f>_xlfn.IFNA('PART B Staff Costs'!U39,0)</f>
        <v>0</v>
      </c>
      <c r="W350" s="442">
        <f>IF(pStartYear+6=pEndYear,IF('PART B Staff Costs'!$G$39="FTE",(V350*V349)*Last_Year_Fraction/12,V350*V349),V350*V349)</f>
        <v>0</v>
      </c>
      <c r="X350" s="338">
        <f>_xlfn.IFNA('PART B Staff Costs'!W39,0)</f>
        <v>0</v>
      </c>
      <c r="Y350" s="450">
        <f>IF(pStartYear+7=pEndYear,IF('PART B Staff Costs'!$G$39="FTE",(X350*X349)*Last_Year_Fraction/12,X350*X349),X350*X349)</f>
        <v>0</v>
      </c>
      <c r="Z350" s="337">
        <f>_xlfn.IFNA('PART B Staff Costs'!Y39,0)</f>
        <v>0</v>
      </c>
      <c r="AA350" s="442">
        <f>IF(pStartYear+8=pEndYear,IF('PART B Staff Costs'!$G$39="FTE",(Z350*Z349)*Last_Year_Fraction/12,Z350*Z349),Z350*Z349)</f>
        <v>0</v>
      </c>
      <c r="AB350" s="338">
        <f>_xlfn.IFNA('PART B Staff Costs'!AA39,0)</f>
        <v>0</v>
      </c>
      <c r="AC350" s="450">
        <f>IF(pStartYear+9=pEndYear,IF('PART B Staff Costs'!$G$39="FTE",(AB350*AB349)*Last_Year_Fraction/12,AB350*AB349),AB350*AB349)</f>
        <v>0</v>
      </c>
      <c r="AD350" s="335"/>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row>
    <row r="351" spans="1:56" hidden="1" outlineLevel="1" x14ac:dyDescent="0.3">
      <c r="A351" s="1182"/>
      <c r="B351" s="1379"/>
      <c r="C351" s="1379"/>
      <c r="D351" s="1379"/>
      <c r="E351" s="1379"/>
      <c r="F351" s="1379"/>
      <c r="G351" s="1379"/>
      <c r="H351" s="1380"/>
      <c r="I351" s="336" t="str">
        <f>IF(tbBudgetCurrency="AUD - Australian Dollar",CONCATENATE("Leave Loading (max of AU$",vl_Max_Leave_Loading,")"),CONCATENATE("Leave Loading (max of ",ROUND(vl_Max_Leave_Loading*new_xrate,2)," ",LEFT(tbBudgetCurrency,3),")"))</f>
        <v>Leave Loading (max of AU$1611.3)</v>
      </c>
      <c r="J351" s="339">
        <f>_xlfn.IFNA(VLOOKUP($D349,tbLeaveLoading,2,FALSE),0)</f>
        <v>0</v>
      </c>
      <c r="K351" s="443">
        <f>IF(K350*J351&gt;vl_Max_Leave_Loading*new_xrate,vl_Max_Leave_Loading*new_xrate,K350*J351)</f>
        <v>0</v>
      </c>
      <c r="L351" s="340">
        <f>_xlfn.IFNA(VLOOKUP($D349,tbLeaveLoading,2,FALSE),0)</f>
        <v>0</v>
      </c>
      <c r="M351" s="451">
        <f>IF(M350*L351&gt;vl_Max_Leave_Loading*new_xrate,vl_Max_Leave_Loading*new_xrate,M350*L351)</f>
        <v>0</v>
      </c>
      <c r="N351" s="339">
        <f>_xlfn.IFNA(VLOOKUP($D349,tbLeaveLoading,2,FALSE),0)</f>
        <v>0</v>
      </c>
      <c r="O351" s="443">
        <f>IF(O350*N351&gt;vl_Max_Leave_Loading*new_xrate,vl_Max_Leave_Loading*new_xrate,O350*N351)</f>
        <v>0</v>
      </c>
      <c r="P351" s="340">
        <f>_xlfn.IFNA(VLOOKUP($D349,tbLeaveLoading,2,FALSE),0)</f>
        <v>0</v>
      </c>
      <c r="Q351" s="451">
        <f>IF(Q350*P351&gt;vl_Max_Leave_Loading*new_xrate,vl_Max_Leave_Loading*new_xrate,Q350*P351)</f>
        <v>0</v>
      </c>
      <c r="R351" s="339">
        <f>_xlfn.IFNA(VLOOKUP($D349,tbLeaveLoading,2,FALSE),0)</f>
        <v>0</v>
      </c>
      <c r="S351" s="443">
        <f>IF(S350*R351&gt;vl_Max_Leave_Loading*new_xrate,vl_Max_Leave_Loading*new_xrate,S350*R351)</f>
        <v>0</v>
      </c>
      <c r="T351" s="340">
        <f>_xlfn.IFNA(VLOOKUP($D349,tbLeaveLoading,2,FALSE),0)</f>
        <v>0</v>
      </c>
      <c r="U351" s="451">
        <f>IF(U350*T351&gt;vl_Max_Leave_Loading*new_xrate,vl_Max_Leave_Loading*new_xrate,U350*T351)</f>
        <v>0</v>
      </c>
      <c r="V351" s="339">
        <f>_xlfn.IFNA(VLOOKUP($D349,tbLeaveLoading,2,FALSE),0)</f>
        <v>0</v>
      </c>
      <c r="W351" s="443">
        <f>IF(W350*V351&gt;vl_Max_Leave_Loading*new_xrate,vl_Max_Leave_Loading*new_xrate,W350*V351)</f>
        <v>0</v>
      </c>
      <c r="X351" s="340">
        <f>_xlfn.IFNA(VLOOKUP($D349,tbLeaveLoading,2,FALSE),0)</f>
        <v>0</v>
      </c>
      <c r="Y351" s="451">
        <f>IF(Y350*X351&gt;vl_Max_Leave_Loading*new_xrate,vl_Max_Leave_Loading*new_xrate,Y350*X351)</f>
        <v>0</v>
      </c>
      <c r="Z351" s="339">
        <f>_xlfn.IFNA(VLOOKUP($D349,tbLeaveLoading,2,FALSE),0)</f>
        <v>0</v>
      </c>
      <c r="AA351" s="443">
        <f>IF(AA350*Z351&gt;vl_Max_Leave_Loading*new_xrate,vl_Max_Leave_Loading*new_xrate,AA350*Z351)</f>
        <v>0</v>
      </c>
      <c r="AB351" s="340">
        <f>_xlfn.IFNA(VLOOKUP($D349,tbLeaveLoading,2,FALSE),0)</f>
        <v>0</v>
      </c>
      <c r="AC351" s="451">
        <f>IF(AC350*AB351&gt;vl_Max_Leave_Loading*new_xrate,vl_Max_Leave_Loading*new_xrate,AC350*AB351)</f>
        <v>0</v>
      </c>
      <c r="AD351" s="335"/>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row>
    <row r="352" spans="1:56" hidden="1" outlineLevel="1" x14ac:dyDescent="0.3">
      <c r="A352" s="1182"/>
      <c r="B352" s="1379"/>
      <c r="C352" s="1379"/>
      <c r="D352" s="1379"/>
      <c r="E352" s="1379"/>
      <c r="F352" s="1379"/>
      <c r="G352" s="1379"/>
      <c r="H352" s="1380"/>
      <c r="I352" s="336" t="s">
        <v>314</v>
      </c>
      <c r="J352" s="339">
        <f>_xlfn.IFNA(_xlfn.IFNA(VLOOKUP(CONCATENATE(pStartYear,$D349),tbSuperannuation,4,FALSE),VLOOKUP($D349,tbSuperannuation2026onwards,2,FALSE)),0)</f>
        <v>0</v>
      </c>
      <c r="K352" s="443">
        <f>K350*J352</f>
        <v>0</v>
      </c>
      <c r="L352" s="340">
        <f>_xlfn.IFNA(_xlfn.IFNA(VLOOKUP(CONCATENATE(pStartYear+1,$D349),tbSuperannuation,4,FALSE),VLOOKUP($D349,tbSuperannuation2026onwards,2,FALSE)),0)</f>
        <v>0</v>
      </c>
      <c r="M352" s="451">
        <f t="shared" ref="M352" si="1512">M350*L352</f>
        <v>0</v>
      </c>
      <c r="N352" s="339">
        <f>_xlfn.IFNA(_xlfn.IFNA(VLOOKUP(CONCATENATE(pStartYear+2,$D349),tbSuperannuation,4,FALSE),VLOOKUP($D349,tbSuperannuation2026onwards,2,FALSE)),0)</f>
        <v>0</v>
      </c>
      <c r="O352" s="443">
        <f>O350*N352</f>
        <v>0</v>
      </c>
      <c r="P352" s="340">
        <f>_xlfn.IFNA(_xlfn.IFNA(VLOOKUP(CONCATENATE(pStartYear+3,$D349),tbSuperannuation,4,FALSE),VLOOKUP($D349,tbSuperannuation2026onwards,2,FALSE)),0)</f>
        <v>0</v>
      </c>
      <c r="Q352" s="451">
        <f t="shared" ref="Q352" si="1513">Q350*P352</f>
        <v>0</v>
      </c>
      <c r="R352" s="339">
        <f>_xlfn.IFNA(_xlfn.IFNA(VLOOKUP(CONCATENATE(pStartYear+4,$D349),tbSuperannuation,4,FALSE),VLOOKUP($D349,tbSuperannuation2026onwards,2,FALSE)),0)</f>
        <v>0</v>
      </c>
      <c r="S352" s="443">
        <f>S350*R352</f>
        <v>0</v>
      </c>
      <c r="T352" s="340">
        <f>_xlfn.IFNA(_xlfn.IFNA(VLOOKUP(CONCATENATE(pStartYear+5,$D349),tbSuperannuation,4,FALSE),VLOOKUP($D349,tbSuperannuation2026onwards,2,FALSE)),0)</f>
        <v>0</v>
      </c>
      <c r="U352" s="451">
        <f t="shared" ref="U352" si="1514">U350*T352</f>
        <v>0</v>
      </c>
      <c r="V352" s="339">
        <f>_xlfn.IFNA(_xlfn.IFNA(VLOOKUP(CONCATENATE(pStartYear+6,$D349),tbSuperannuation,4,FALSE),VLOOKUP($D349,tbSuperannuation2026onwards,2,FALSE)),0)</f>
        <v>0</v>
      </c>
      <c r="W352" s="443">
        <f>W350*V352</f>
        <v>0</v>
      </c>
      <c r="X352" s="340">
        <f>_xlfn.IFNA(_xlfn.IFNA(VLOOKUP(CONCATENATE(pStartYear+7,$D349),tbSuperannuation,4,FALSE),VLOOKUP($D349,tbSuperannuation2026onwards,2,FALSE)),0)</f>
        <v>0</v>
      </c>
      <c r="Y352" s="451">
        <f t="shared" ref="Y352" si="1515">Y350*X352</f>
        <v>0</v>
      </c>
      <c r="Z352" s="339">
        <f>_xlfn.IFNA(_xlfn.IFNA(VLOOKUP(CONCATENATE(pStartYear+8,$D349),tbSuperannuation,4,FALSE),VLOOKUP($D349,tbSuperannuation2026onwards,2,FALSE)),0)</f>
        <v>0</v>
      </c>
      <c r="AA352" s="443">
        <f>AA350*Z352</f>
        <v>0</v>
      </c>
      <c r="AB352" s="340">
        <f>_xlfn.IFNA(_xlfn.IFNA(VLOOKUP(CONCATENATE(pStartYear+9,$D349),tbSuperannuation,4,FALSE),VLOOKUP($D349,tbSuperannuation2026onwards,2,FALSE)),0)</f>
        <v>0</v>
      </c>
      <c r="AC352" s="451">
        <f t="shared" ref="AC352" si="1516">AC350*AB352</f>
        <v>0</v>
      </c>
      <c r="AD352" s="335"/>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row>
    <row r="353" spans="1:56" hidden="1" outlineLevel="1" x14ac:dyDescent="0.3">
      <c r="A353" s="1182"/>
      <c r="B353" s="1379"/>
      <c r="C353" s="1379"/>
      <c r="D353" s="1379"/>
      <c r="E353" s="1379"/>
      <c r="F353" s="1379"/>
      <c r="G353" s="1379"/>
      <c r="H353" s="1380"/>
      <c r="I353" s="341" t="s">
        <v>315</v>
      </c>
      <c r="J353" s="342"/>
      <c r="K353" s="444">
        <f>K351+K352+K350</f>
        <v>0</v>
      </c>
      <c r="L353" s="342"/>
      <c r="M353" s="444">
        <f t="shared" ref="M353" si="1517">M351+M352+M350</f>
        <v>0</v>
      </c>
      <c r="N353" s="342"/>
      <c r="O353" s="444">
        <f>O351+O352+O350</f>
        <v>0</v>
      </c>
      <c r="P353" s="342"/>
      <c r="Q353" s="444">
        <f t="shared" ref="Q353" si="1518">Q351+Q352+Q350</f>
        <v>0</v>
      </c>
      <c r="R353" s="342"/>
      <c r="S353" s="444">
        <f>S351+S352+S350</f>
        <v>0</v>
      </c>
      <c r="T353" s="342"/>
      <c r="U353" s="444">
        <f t="shared" ref="U353" si="1519">U351+U352+U350</f>
        <v>0</v>
      </c>
      <c r="V353" s="342"/>
      <c r="W353" s="444">
        <f>W351+W352+W350</f>
        <v>0</v>
      </c>
      <c r="X353" s="342"/>
      <c r="Y353" s="444">
        <f t="shared" ref="Y353" si="1520">Y351+Y352+Y350</f>
        <v>0</v>
      </c>
      <c r="Z353" s="342"/>
      <c r="AA353" s="444">
        <f>AA351+AA352+AA350</f>
        <v>0</v>
      </c>
      <c r="AB353" s="342"/>
      <c r="AC353" s="444">
        <f t="shared" ref="AC353" si="1521">AC351+AC352+AC350</f>
        <v>0</v>
      </c>
      <c r="AD353" s="335">
        <f t="shared" si="1473"/>
        <v>0</v>
      </c>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row>
    <row r="354" spans="1:56" hidden="1" outlineLevel="1" x14ac:dyDescent="0.3">
      <c r="A354" s="1182"/>
      <c r="B354" s="1379"/>
      <c r="C354" s="1379"/>
      <c r="D354" s="1379"/>
      <c r="E354" s="1379"/>
      <c r="F354" s="1379"/>
      <c r="G354" s="1379"/>
      <c r="H354" s="1380"/>
      <c r="I354" s="336" t="s">
        <v>316</v>
      </c>
      <c r="J354" s="339">
        <f>_xlfn.IFNA(_xlfn.IFNA(VLOOKUP(pStartYear,tbPayrollTax,2,FALSE),vl_MaxPayrollTax),0)</f>
        <v>5.8500000000000003E-2</v>
      </c>
      <c r="K354" s="443">
        <f>J354*K353</f>
        <v>0</v>
      </c>
      <c r="L354" s="340">
        <f>_xlfn.IFNA(_xlfn.IFNA(VLOOKUP(pStartYear+1,tbPayrollTax,2,FALSE),vl_MaxPayrollTax),0)</f>
        <v>5.8500000000000003E-2</v>
      </c>
      <c r="M354" s="451">
        <f t="shared" ref="M354" si="1522">L354*M353</f>
        <v>0</v>
      </c>
      <c r="N354" s="339">
        <f>_xlfn.IFNA(_xlfn.IFNA(VLOOKUP(pStartYear+2,tbPayrollTax,2,FALSE),vl_MaxPayrollTax),0)</f>
        <v>5.8500000000000003E-2</v>
      </c>
      <c r="O354" s="443">
        <f>N354*O353</f>
        <v>0</v>
      </c>
      <c r="P354" s="340">
        <f>_xlfn.IFNA(_xlfn.IFNA(VLOOKUP(pStartYear+3,tbPayrollTax,2,FALSE),vl_MaxPayrollTax),0)</f>
        <v>5.8500000000000003E-2</v>
      </c>
      <c r="Q354" s="451">
        <f t="shared" ref="Q354" si="1523">P354*Q353</f>
        <v>0</v>
      </c>
      <c r="R354" s="339">
        <f>_xlfn.IFNA(_xlfn.IFNA(VLOOKUP(pStartYear+4,tbPayrollTax,2,FALSE),vl_MaxPayrollTax),0)</f>
        <v>5.8500000000000003E-2</v>
      </c>
      <c r="S354" s="443">
        <f>R354*S353</f>
        <v>0</v>
      </c>
      <c r="T354" s="340">
        <f>_xlfn.IFNA(_xlfn.IFNA(VLOOKUP(pStartYear+5,tbPayrollTax,2,FALSE),vl_MaxPayrollTax),0)</f>
        <v>5.8500000000000003E-2</v>
      </c>
      <c r="U354" s="451">
        <f t="shared" ref="U354" si="1524">T354*U353</f>
        <v>0</v>
      </c>
      <c r="V354" s="339">
        <f>_xlfn.IFNA(_xlfn.IFNA(VLOOKUP(pStartYear+6,tbPayrollTax,2,FALSE),vl_MaxPayrollTax),0)</f>
        <v>5.8500000000000003E-2</v>
      </c>
      <c r="W354" s="443">
        <f>V354*W353</f>
        <v>0</v>
      </c>
      <c r="X354" s="340">
        <f>_xlfn.IFNA(_xlfn.IFNA(VLOOKUP(pStartYear+7,tbPayrollTax,2,FALSE),vl_MaxPayrollTax),0)</f>
        <v>5.8500000000000003E-2</v>
      </c>
      <c r="Y354" s="451">
        <f t="shared" ref="Y354" si="1525">X354*Y353</f>
        <v>0</v>
      </c>
      <c r="Z354" s="339">
        <f>_xlfn.IFNA(_xlfn.IFNA(VLOOKUP(pStartYear+8,tbPayrollTax,2,FALSE),vl_MaxPayrollTax),0)</f>
        <v>5.8500000000000003E-2</v>
      </c>
      <c r="AA354" s="443">
        <f>Z354*AA353</f>
        <v>0</v>
      </c>
      <c r="AB354" s="340">
        <f>_xlfn.IFNA(_xlfn.IFNA(VLOOKUP(pStartYear+9,tbPayrollTax,2,FALSE),vl_MaxPayrollTax),0)</f>
        <v>5.8500000000000003E-2</v>
      </c>
      <c r="AC354" s="451">
        <f t="shared" ref="AC354" si="1526">AB354*AC353</f>
        <v>0</v>
      </c>
      <c r="AD354" s="335"/>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row>
    <row r="355" spans="1:56" hidden="1" outlineLevel="1" x14ac:dyDescent="0.3">
      <c r="A355" s="1182"/>
      <c r="B355" s="1379"/>
      <c r="C355" s="1379"/>
      <c r="D355" s="1379"/>
      <c r="E355" s="1379"/>
      <c r="F355" s="1379"/>
      <c r="G355" s="1379"/>
      <c r="H355" s="1380"/>
      <c r="I355" s="336" t="s">
        <v>317</v>
      </c>
      <c r="J355" s="339">
        <f>_xlfn.IFNA(VLOOKUP($D349,tbWorkCover,2,FALSE),0)</f>
        <v>0</v>
      </c>
      <c r="K355" s="443">
        <f>J355*K353</f>
        <v>0</v>
      </c>
      <c r="L355" s="340">
        <f>_xlfn.IFNA(VLOOKUP($D349,tbWorkCover,2,FALSE),0)</f>
        <v>0</v>
      </c>
      <c r="M355" s="451">
        <f t="shared" ref="M355" si="1527">L355*M353</f>
        <v>0</v>
      </c>
      <c r="N355" s="339">
        <f>_xlfn.IFNA(VLOOKUP($D349,tbWorkCover,2,FALSE),0)</f>
        <v>0</v>
      </c>
      <c r="O355" s="443">
        <f>N355*O353</f>
        <v>0</v>
      </c>
      <c r="P355" s="340">
        <f>_xlfn.IFNA(VLOOKUP($D349,tbWorkCover,2,FALSE),0)</f>
        <v>0</v>
      </c>
      <c r="Q355" s="451">
        <f t="shared" ref="Q355" si="1528">P355*Q353</f>
        <v>0</v>
      </c>
      <c r="R355" s="339">
        <f>_xlfn.IFNA(VLOOKUP($D349,tbWorkCover,2,FALSE),0)</f>
        <v>0</v>
      </c>
      <c r="S355" s="443">
        <f>R355*S353</f>
        <v>0</v>
      </c>
      <c r="T355" s="340">
        <f>_xlfn.IFNA(VLOOKUP($D349,tbWorkCover,2,FALSE),0)</f>
        <v>0</v>
      </c>
      <c r="U355" s="451">
        <f t="shared" ref="U355" si="1529">T355*U353</f>
        <v>0</v>
      </c>
      <c r="V355" s="339">
        <f>_xlfn.IFNA(VLOOKUP($D349,tbWorkCover,2,FALSE),0)</f>
        <v>0</v>
      </c>
      <c r="W355" s="443">
        <f>V355*W353</f>
        <v>0</v>
      </c>
      <c r="X355" s="340">
        <f>_xlfn.IFNA(VLOOKUP($D349,tbWorkCover,2,FALSE),0)</f>
        <v>0</v>
      </c>
      <c r="Y355" s="451">
        <f t="shared" ref="Y355" si="1530">X355*Y353</f>
        <v>0</v>
      </c>
      <c r="Z355" s="339">
        <f>_xlfn.IFNA(VLOOKUP($D349,tbWorkCover,2,FALSE),0)</f>
        <v>0</v>
      </c>
      <c r="AA355" s="443">
        <f>Z355*AA353</f>
        <v>0</v>
      </c>
      <c r="AB355" s="340">
        <f>_xlfn.IFNA(VLOOKUP($D349,tbWorkCover,2,FALSE),0)</f>
        <v>0</v>
      </c>
      <c r="AC355" s="451">
        <f t="shared" ref="AC355" si="1531">AB355*AC353</f>
        <v>0</v>
      </c>
      <c r="AD355" s="335"/>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row>
    <row r="356" spans="1:56" hidden="1" outlineLevel="1" x14ac:dyDescent="0.3">
      <c r="A356" s="1182"/>
      <c r="B356" s="1379"/>
      <c r="C356" s="1379"/>
      <c r="D356" s="1379"/>
      <c r="E356" s="1379"/>
      <c r="F356" s="1379"/>
      <c r="G356" s="1379"/>
      <c r="H356" s="1380"/>
      <c r="I356" s="336" t="s">
        <v>318</v>
      </c>
      <c r="J356" s="339">
        <f>_xlfn.IFNA(VLOOKUP($D349,tbLongServiceLeave,2,FALSE),0)</f>
        <v>0</v>
      </c>
      <c r="K356" s="443">
        <f>J356*K350</f>
        <v>0</v>
      </c>
      <c r="L356" s="340">
        <f>_xlfn.IFNA(VLOOKUP($D349,tbLongServiceLeave,2,FALSE),0)</f>
        <v>0</v>
      </c>
      <c r="M356" s="451">
        <f t="shared" ref="M356" si="1532">L356*M350</f>
        <v>0</v>
      </c>
      <c r="N356" s="339">
        <f>_xlfn.IFNA(VLOOKUP($D349,tbLongServiceLeave,2,FALSE),0)</f>
        <v>0</v>
      </c>
      <c r="O356" s="443">
        <f>N356*O350</f>
        <v>0</v>
      </c>
      <c r="P356" s="340">
        <f>_xlfn.IFNA(VLOOKUP($D349,tbLongServiceLeave,2,FALSE),0)</f>
        <v>0</v>
      </c>
      <c r="Q356" s="451">
        <f t="shared" ref="Q356" si="1533">P356*Q350</f>
        <v>0</v>
      </c>
      <c r="R356" s="339">
        <f>_xlfn.IFNA(VLOOKUP($D349,tbLongServiceLeave,2,FALSE),0)</f>
        <v>0</v>
      </c>
      <c r="S356" s="443">
        <f>R356*S350</f>
        <v>0</v>
      </c>
      <c r="T356" s="340">
        <f>_xlfn.IFNA(VLOOKUP($D349,tbLongServiceLeave,2,FALSE),0)</f>
        <v>0</v>
      </c>
      <c r="U356" s="451">
        <f t="shared" ref="U356" si="1534">T356*U350</f>
        <v>0</v>
      </c>
      <c r="V356" s="339">
        <f>_xlfn.IFNA(VLOOKUP($D349,tbLongServiceLeave,2,FALSE),0)</f>
        <v>0</v>
      </c>
      <c r="W356" s="443">
        <f>V356*W350</f>
        <v>0</v>
      </c>
      <c r="X356" s="340">
        <f>_xlfn.IFNA(VLOOKUP($D349,tbLongServiceLeave,2,FALSE),0)</f>
        <v>0</v>
      </c>
      <c r="Y356" s="451">
        <f t="shared" ref="Y356" si="1535">X356*Y350</f>
        <v>0</v>
      </c>
      <c r="Z356" s="339">
        <f>_xlfn.IFNA(VLOOKUP($D349,tbLongServiceLeave,2,FALSE),0)</f>
        <v>0</v>
      </c>
      <c r="AA356" s="443">
        <f>Z356*AA350</f>
        <v>0</v>
      </c>
      <c r="AB356" s="340">
        <f>_xlfn.IFNA(VLOOKUP($D349,tbLongServiceLeave,2,FALSE),0)</f>
        <v>0</v>
      </c>
      <c r="AC356" s="451">
        <f t="shared" ref="AC356" si="1536">AB356*AC350</f>
        <v>0</v>
      </c>
      <c r="AD356" s="335"/>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row>
    <row r="357" spans="1:56" hidden="1" outlineLevel="1" x14ac:dyDescent="0.3">
      <c r="A357" s="1182"/>
      <c r="B357" s="1379"/>
      <c r="C357" s="1379"/>
      <c r="D357" s="1379"/>
      <c r="E357" s="1379"/>
      <c r="F357" s="1379"/>
      <c r="G357" s="1379"/>
      <c r="H357" s="1380"/>
      <c r="I357" s="336" t="s">
        <v>319</v>
      </c>
      <c r="J357" s="339">
        <f>_xlfn.IFNA(VLOOKUP($D349,tbParentalLeave,2,FALSE),0)</f>
        <v>0</v>
      </c>
      <c r="K357" s="443">
        <f>J357*K350</f>
        <v>0</v>
      </c>
      <c r="L357" s="340">
        <f>_xlfn.IFNA(VLOOKUP($D349,tbParentalLeave,2,FALSE),0)</f>
        <v>0</v>
      </c>
      <c r="M357" s="451">
        <f t="shared" ref="M357" si="1537">L357*M350</f>
        <v>0</v>
      </c>
      <c r="N357" s="339">
        <f>_xlfn.IFNA(VLOOKUP($D349,tbParentalLeave,2,FALSE),0)</f>
        <v>0</v>
      </c>
      <c r="O357" s="443">
        <f>N357*O350</f>
        <v>0</v>
      </c>
      <c r="P357" s="340">
        <f>_xlfn.IFNA(VLOOKUP($D349,tbParentalLeave,2,FALSE),0)</f>
        <v>0</v>
      </c>
      <c r="Q357" s="451">
        <f t="shared" ref="Q357" si="1538">P357*Q350</f>
        <v>0</v>
      </c>
      <c r="R357" s="339">
        <f>_xlfn.IFNA(VLOOKUP($D349,tbParentalLeave,2,FALSE),0)</f>
        <v>0</v>
      </c>
      <c r="S357" s="443">
        <f>R357*S350</f>
        <v>0</v>
      </c>
      <c r="T357" s="340">
        <f>_xlfn.IFNA(VLOOKUP($D349,tbParentalLeave,2,FALSE),0)</f>
        <v>0</v>
      </c>
      <c r="U357" s="451">
        <f t="shared" ref="U357" si="1539">T357*U350</f>
        <v>0</v>
      </c>
      <c r="V357" s="339">
        <f>_xlfn.IFNA(VLOOKUP($D349,tbParentalLeave,2,FALSE),0)</f>
        <v>0</v>
      </c>
      <c r="W357" s="443">
        <f>V357*W350</f>
        <v>0</v>
      </c>
      <c r="X357" s="340">
        <f>_xlfn.IFNA(VLOOKUP($D349,tbParentalLeave,2,FALSE),0)</f>
        <v>0</v>
      </c>
      <c r="Y357" s="451">
        <f t="shared" ref="Y357" si="1540">X357*Y350</f>
        <v>0</v>
      </c>
      <c r="Z357" s="339">
        <f>_xlfn.IFNA(VLOOKUP($D349,tbParentalLeave,2,FALSE),0)</f>
        <v>0</v>
      </c>
      <c r="AA357" s="443">
        <f>Z357*AA350</f>
        <v>0</v>
      </c>
      <c r="AB357" s="340">
        <f>_xlfn.IFNA(VLOOKUP($D349,tbParentalLeave,2,FALSE),0)</f>
        <v>0</v>
      </c>
      <c r="AC357" s="451">
        <f t="shared" ref="AC357" si="1541">AB357*AC350</f>
        <v>0</v>
      </c>
      <c r="AD357" s="335"/>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row>
    <row r="358" spans="1:56" hidden="1" outlineLevel="1" x14ac:dyDescent="0.3">
      <c r="A358" s="1182"/>
      <c r="B358" s="1379"/>
      <c r="C358" s="1379"/>
      <c r="D358" s="1379"/>
      <c r="E358" s="1379"/>
      <c r="F358" s="1379"/>
      <c r="G358" s="1379"/>
      <c r="H358" s="1380"/>
      <c r="I358" s="437" t="s">
        <v>320</v>
      </c>
      <c r="J358" s="438">
        <f>vl_overridden_uom_oncosts_per</f>
        <v>0</v>
      </c>
      <c r="K358" s="445">
        <f>J358*K350</f>
        <v>0</v>
      </c>
      <c r="L358" s="438">
        <f>vl_overridden_uom_oncosts_per</f>
        <v>0</v>
      </c>
      <c r="M358" s="445">
        <f>L358*M350</f>
        <v>0</v>
      </c>
      <c r="N358" s="438">
        <f>vl_overridden_uom_oncosts_per</f>
        <v>0</v>
      </c>
      <c r="O358" s="445">
        <f t="shared" ref="O358" si="1542">N358*O350</f>
        <v>0</v>
      </c>
      <c r="P358" s="438">
        <f>vl_overridden_uom_oncosts_per</f>
        <v>0</v>
      </c>
      <c r="Q358" s="445">
        <f t="shared" ref="Q358" si="1543">P358*Q350</f>
        <v>0</v>
      </c>
      <c r="R358" s="438">
        <f>vl_overridden_uom_oncosts_per</f>
        <v>0</v>
      </c>
      <c r="S358" s="445">
        <f t="shared" ref="S358" si="1544">R358*S350</f>
        <v>0</v>
      </c>
      <c r="T358" s="438">
        <f>vl_overridden_uom_oncosts_per</f>
        <v>0</v>
      </c>
      <c r="U358" s="445">
        <f t="shared" ref="U358" si="1545">T358*U350</f>
        <v>0</v>
      </c>
      <c r="V358" s="438">
        <f>vl_overridden_uom_oncosts_per</f>
        <v>0</v>
      </c>
      <c r="W358" s="445">
        <f t="shared" ref="W358" si="1546">V358*W350</f>
        <v>0</v>
      </c>
      <c r="X358" s="438">
        <f>vl_overridden_uom_oncosts_per</f>
        <v>0</v>
      </c>
      <c r="Y358" s="445">
        <f t="shared" ref="Y358" si="1547">X358*Y350</f>
        <v>0</v>
      </c>
      <c r="Z358" s="438">
        <f>vl_overridden_uom_oncosts_per</f>
        <v>0</v>
      </c>
      <c r="AA358" s="445">
        <f t="shared" ref="AA358" si="1548">Z358*AA350</f>
        <v>0</v>
      </c>
      <c r="AB358" s="438">
        <f>vl_overridden_uom_oncosts_per</f>
        <v>0</v>
      </c>
      <c r="AC358" s="445">
        <f t="shared" ref="AC358" si="1549">AB358*AC350</f>
        <v>0</v>
      </c>
      <c r="AD358" s="335"/>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row>
    <row r="359" spans="1:56" hidden="1" outlineLevel="1" x14ac:dyDescent="0.3">
      <c r="A359" s="1182"/>
      <c r="B359" s="1379"/>
      <c r="C359" s="1379"/>
      <c r="D359" s="1379"/>
      <c r="E359" s="1379"/>
      <c r="F359" s="1379"/>
      <c r="G359" s="1379"/>
      <c r="H359" s="1380"/>
      <c r="I359" s="341" t="s">
        <v>321</v>
      </c>
      <c r="J359" s="342"/>
      <c r="K359" s="444">
        <f>SUM(K353:K358)</f>
        <v>0</v>
      </c>
      <c r="L359" s="342"/>
      <c r="M359" s="444">
        <f t="shared" ref="M359" si="1550">SUM(M353:M358)</f>
        <v>0</v>
      </c>
      <c r="N359" s="342"/>
      <c r="O359" s="444">
        <f t="shared" ref="O359" si="1551">SUM(O353:O358)</f>
        <v>0</v>
      </c>
      <c r="P359" s="342"/>
      <c r="Q359" s="444">
        <f t="shared" ref="Q359" si="1552">SUM(Q353:Q358)</f>
        <v>0</v>
      </c>
      <c r="R359" s="342"/>
      <c r="S359" s="444">
        <f t="shared" ref="S359" si="1553">SUM(S353:S358)</f>
        <v>0</v>
      </c>
      <c r="T359" s="342"/>
      <c r="U359" s="444">
        <f t="shared" ref="U359" si="1554">SUM(U353:U358)</f>
        <v>0</v>
      </c>
      <c r="V359" s="342"/>
      <c r="W359" s="444">
        <f t="shared" ref="W359" si="1555">SUM(W353:W358)</f>
        <v>0</v>
      </c>
      <c r="X359" s="342"/>
      <c r="Y359" s="444">
        <f t="shared" ref="Y359" si="1556">SUM(Y353:Y358)</f>
        <v>0</v>
      </c>
      <c r="Z359" s="342"/>
      <c r="AA359" s="444">
        <f t="shared" ref="AA359" si="1557">SUM(AA353:AA358)</f>
        <v>0</v>
      </c>
      <c r="AB359" s="342"/>
      <c r="AC359" s="444">
        <f t="shared" ref="AC359" si="1558">SUM(AC353:AC358)</f>
        <v>0</v>
      </c>
      <c r="AD359" s="335">
        <f t="shared" si="1473"/>
        <v>0</v>
      </c>
      <c r="AE359" s="1152"/>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row>
    <row r="360" spans="1:56" hidden="1" outlineLevel="1" x14ac:dyDescent="0.3">
      <c r="A360" s="1182"/>
      <c r="B360" s="1379"/>
      <c r="C360" s="1379"/>
      <c r="D360" s="1379"/>
      <c r="E360" s="1379"/>
      <c r="F360" s="1379"/>
      <c r="G360" s="1379"/>
      <c r="H360" s="1380"/>
      <c r="I360" s="336" t="s">
        <v>322</v>
      </c>
      <c r="J360" s="339">
        <f>_xlfn.IFNA(VLOOKUP($D349,tbAnnualLeaveProvision,2,FALSE),0)</f>
        <v>0</v>
      </c>
      <c r="K360" s="443">
        <f>J360*K350</f>
        <v>0</v>
      </c>
      <c r="L360" s="340">
        <f>_xlfn.IFNA(VLOOKUP($D349,tbAnnualLeaveProvision,2,FALSE),0)</f>
        <v>0</v>
      </c>
      <c r="M360" s="451">
        <f t="shared" ref="M360" si="1559">L360*M350</f>
        <v>0</v>
      </c>
      <c r="N360" s="339">
        <f>_xlfn.IFNA(VLOOKUP($D349,tbAnnualLeaveProvision,2,FALSE),0)</f>
        <v>0</v>
      </c>
      <c r="O360" s="443">
        <f>N360*O350</f>
        <v>0</v>
      </c>
      <c r="P360" s="340">
        <f>_xlfn.IFNA(VLOOKUP($D349,tbAnnualLeaveProvision,2,FALSE),0)</f>
        <v>0</v>
      </c>
      <c r="Q360" s="451">
        <f t="shared" ref="Q360" si="1560">P360*Q350</f>
        <v>0</v>
      </c>
      <c r="R360" s="339">
        <f>_xlfn.IFNA(VLOOKUP($D349,tbAnnualLeaveProvision,2,FALSE),0)</f>
        <v>0</v>
      </c>
      <c r="S360" s="443">
        <f>R360*S350</f>
        <v>0</v>
      </c>
      <c r="T360" s="340">
        <f>_xlfn.IFNA(VLOOKUP($D349,tbAnnualLeaveProvision,2,FALSE),0)</f>
        <v>0</v>
      </c>
      <c r="U360" s="451">
        <f t="shared" ref="U360" si="1561">T360*U350</f>
        <v>0</v>
      </c>
      <c r="V360" s="339">
        <f>_xlfn.IFNA(VLOOKUP($D349,tbAnnualLeaveProvision,2,FALSE),0)</f>
        <v>0</v>
      </c>
      <c r="W360" s="443">
        <f>V360*W350</f>
        <v>0</v>
      </c>
      <c r="X360" s="340">
        <f>_xlfn.IFNA(VLOOKUP($D349,tbAnnualLeaveProvision,2,FALSE),0)</f>
        <v>0</v>
      </c>
      <c r="Y360" s="451">
        <f t="shared" ref="Y360" si="1562">X360*Y350</f>
        <v>0</v>
      </c>
      <c r="Z360" s="339">
        <f>_xlfn.IFNA(VLOOKUP($D349,tbAnnualLeaveProvision,2,FALSE),0)</f>
        <v>0</v>
      </c>
      <c r="AA360" s="443">
        <f>Z360*AA350</f>
        <v>0</v>
      </c>
      <c r="AB360" s="340">
        <f>_xlfn.IFNA(VLOOKUP($D349,tbAnnualLeaveProvision,2,FALSE),0)</f>
        <v>0</v>
      </c>
      <c r="AC360" s="451">
        <f t="shared" ref="AC360" si="1563">AB360*AC350</f>
        <v>0</v>
      </c>
      <c r="AD360" s="335"/>
      <c r="AE360" s="1152"/>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row>
    <row r="361" spans="1:56" hidden="1" outlineLevel="1" x14ac:dyDescent="0.3">
      <c r="A361" s="1182"/>
      <c r="B361" s="1379"/>
      <c r="C361" s="1379"/>
      <c r="D361" s="1379"/>
      <c r="E361" s="1379"/>
      <c r="F361" s="1379"/>
      <c r="G361" s="1379"/>
      <c r="H361" s="1380"/>
      <c r="I361" s="336" t="s">
        <v>330</v>
      </c>
      <c r="J361" s="339"/>
      <c r="K361" s="446">
        <f>K359+K360</f>
        <v>0</v>
      </c>
      <c r="L361" s="340"/>
      <c r="M361" s="452">
        <f t="shared" ref="M361" si="1564">M359+M360</f>
        <v>0</v>
      </c>
      <c r="N361" s="339"/>
      <c r="O361" s="446">
        <f>O359+O360</f>
        <v>0</v>
      </c>
      <c r="P361" s="340"/>
      <c r="Q361" s="452">
        <f t="shared" ref="Q361" si="1565">Q359+Q360</f>
        <v>0</v>
      </c>
      <c r="R361" s="339"/>
      <c r="S361" s="446">
        <f>S359+S360</f>
        <v>0</v>
      </c>
      <c r="T361" s="340"/>
      <c r="U361" s="452">
        <f t="shared" ref="U361" si="1566">U359+U360</f>
        <v>0</v>
      </c>
      <c r="V361" s="339"/>
      <c r="W361" s="446">
        <f>W359+W360</f>
        <v>0</v>
      </c>
      <c r="X361" s="340"/>
      <c r="Y361" s="452">
        <f t="shared" ref="Y361" si="1567">Y359+Y360</f>
        <v>0</v>
      </c>
      <c r="Z361" s="339"/>
      <c r="AA361" s="446">
        <f>AA359+AA360</f>
        <v>0</v>
      </c>
      <c r="AB361" s="340"/>
      <c r="AC361" s="452">
        <f t="shared" ref="AC361" si="1568">AC359+AC360</f>
        <v>0</v>
      </c>
      <c r="AD361" s="335"/>
      <c r="AE361" s="1152"/>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row>
    <row r="362" spans="1:56" hidden="1" outlineLevel="1" x14ac:dyDescent="0.3">
      <c r="A362" s="1182"/>
      <c r="B362" s="1379"/>
      <c r="C362" s="1379"/>
      <c r="D362" s="1379"/>
      <c r="E362" s="1379"/>
      <c r="F362" s="1379"/>
      <c r="G362" s="1379"/>
      <c r="H362" s="1380"/>
      <c r="I362" s="343" t="s">
        <v>324</v>
      </c>
      <c r="J362" s="344"/>
      <c r="K362" s="443">
        <f>IFERROR(-(K359/vl_working_days_per_year)*J362,0)</f>
        <v>0</v>
      </c>
      <c r="L362" s="345"/>
      <c r="M362" s="451">
        <f>IFERROR(-(M359/vl_working_days_per_year)*L362,0)</f>
        <v>0</v>
      </c>
      <c r="N362" s="344"/>
      <c r="O362" s="443">
        <f>-(O359/vl_working_days_per_year)*N362</f>
        <v>0</v>
      </c>
      <c r="P362" s="345"/>
      <c r="Q362" s="451">
        <f>-(Q359/vl_working_days_per_year)*P362</f>
        <v>0</v>
      </c>
      <c r="R362" s="344"/>
      <c r="S362" s="443">
        <f>-(S359/vl_working_days_per_year)*R362</f>
        <v>0</v>
      </c>
      <c r="T362" s="345"/>
      <c r="U362" s="451">
        <f>-(U359/vl_working_days_per_year)*T362</f>
        <v>0</v>
      </c>
      <c r="V362" s="344"/>
      <c r="W362" s="443">
        <f>-(W359/vl_working_days_per_year)*V362</f>
        <v>0</v>
      </c>
      <c r="X362" s="345"/>
      <c r="Y362" s="451">
        <f>-(Y359/vl_working_days_per_year)*X362</f>
        <v>0</v>
      </c>
      <c r="Z362" s="344"/>
      <c r="AA362" s="443">
        <f>-(AA359/vl_working_days_per_year)*Z362</f>
        <v>0</v>
      </c>
      <c r="AB362" s="345"/>
      <c r="AC362" s="451">
        <f>-(AC359/vl_working_days_per_year)*AB362</f>
        <v>0</v>
      </c>
      <c r="AD362" s="335">
        <f t="shared" si="1473"/>
        <v>0</v>
      </c>
      <c r="AE362" s="1152"/>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row>
    <row r="363" spans="1:56" hidden="1" outlineLevel="1" x14ac:dyDescent="0.3">
      <c r="A363" s="1182"/>
      <c r="B363" s="1379"/>
      <c r="C363" s="1379"/>
      <c r="D363" s="1379"/>
      <c r="E363" s="1379"/>
      <c r="F363" s="1379"/>
      <c r="G363" s="1379"/>
      <c r="H363" s="1380"/>
      <c r="I363" s="341" t="s">
        <v>325</v>
      </c>
      <c r="J363" s="346"/>
      <c r="K363" s="444">
        <f>K361+K362</f>
        <v>0</v>
      </c>
      <c r="L363" s="346"/>
      <c r="M363" s="444">
        <f t="shared" ref="M363" si="1569">M361+M362</f>
        <v>0</v>
      </c>
      <c r="N363" s="346"/>
      <c r="O363" s="444">
        <f>O361+O362</f>
        <v>0</v>
      </c>
      <c r="P363" s="346"/>
      <c r="Q363" s="444">
        <f t="shared" ref="Q363" si="1570">Q361+Q362</f>
        <v>0</v>
      </c>
      <c r="R363" s="346"/>
      <c r="S363" s="444">
        <f>S361+S362</f>
        <v>0</v>
      </c>
      <c r="T363" s="346"/>
      <c r="U363" s="444">
        <f t="shared" ref="U363" si="1571">U361+U362</f>
        <v>0</v>
      </c>
      <c r="V363" s="346"/>
      <c r="W363" s="444">
        <f>W361+W362</f>
        <v>0</v>
      </c>
      <c r="X363" s="346"/>
      <c r="Y363" s="444">
        <f t="shared" ref="Y363" si="1572">Y361+Y362</f>
        <v>0</v>
      </c>
      <c r="Z363" s="346"/>
      <c r="AA363" s="444">
        <f>AA361+AA362</f>
        <v>0</v>
      </c>
      <c r="AB363" s="346"/>
      <c r="AC363" s="444">
        <f t="shared" ref="AC363" si="1573">AC361+AC362</f>
        <v>0</v>
      </c>
      <c r="AD363" s="335">
        <f t="shared" si="1473"/>
        <v>0</v>
      </c>
      <c r="AE363" s="1152"/>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row>
    <row r="364" spans="1:56" s="1" customFormat="1" ht="15" hidden="1" customHeight="1" outlineLevel="1" x14ac:dyDescent="0.3">
      <c r="A364" s="727"/>
      <c r="B364" s="1379"/>
      <c r="C364" s="1379"/>
      <c r="D364" s="1379"/>
      <c r="E364" s="1379"/>
      <c r="F364" s="1379"/>
      <c r="G364" s="1379"/>
      <c r="H364" s="1380"/>
      <c r="I364" s="382" t="s">
        <v>326</v>
      </c>
      <c r="J364" s="383">
        <f>IFERROR(K364/K350,0)</f>
        <v>0</v>
      </c>
      <c r="K364" s="447">
        <f>SUM(K351:K352,K354:K357,K360)</f>
        <v>0</v>
      </c>
      <c r="L364" s="434">
        <f>IFERROR(M364/M350,0)</f>
        <v>0</v>
      </c>
      <c r="M364" s="453">
        <f t="shared" ref="M364" si="1574">SUM(M351:M352,M354:M357,M360)</f>
        <v>0</v>
      </c>
      <c r="N364" s="383">
        <f t="shared" ref="N364" si="1575">IFERROR(O364/O350,0)</f>
        <v>0</v>
      </c>
      <c r="O364" s="447">
        <f t="shared" ref="O364" si="1576">SUM(O351:O352,O354:O357,O360)</f>
        <v>0</v>
      </c>
      <c r="P364" s="434">
        <f t="shared" ref="P364" si="1577">IFERROR(Q364/Q350,0)</f>
        <v>0</v>
      </c>
      <c r="Q364" s="453">
        <f t="shared" ref="Q364" si="1578">SUM(Q351:Q352,Q354:Q357,Q360)</f>
        <v>0</v>
      </c>
      <c r="R364" s="383">
        <f t="shared" ref="R364" si="1579">IFERROR(S364/S350,0)</f>
        <v>0</v>
      </c>
      <c r="S364" s="447">
        <f t="shared" ref="S364" si="1580">SUM(S351:S352,S354:S357,S360)</f>
        <v>0</v>
      </c>
      <c r="T364" s="434">
        <f t="shared" ref="T364" si="1581">IFERROR(U364/U350,0)</f>
        <v>0</v>
      </c>
      <c r="U364" s="453">
        <f t="shared" ref="U364" si="1582">SUM(U351:U352,U354:U357,U360)</f>
        <v>0</v>
      </c>
      <c r="V364" s="383">
        <f t="shared" ref="V364" si="1583">IFERROR(W364/W350,0)</f>
        <v>0</v>
      </c>
      <c r="W364" s="447">
        <f t="shared" ref="W364" si="1584">SUM(W351:W352,W354:W357,W360)</f>
        <v>0</v>
      </c>
      <c r="X364" s="434">
        <f t="shared" ref="X364" si="1585">IFERROR(Y364/Y350,0)</f>
        <v>0</v>
      </c>
      <c r="Y364" s="453">
        <f t="shared" ref="Y364" si="1586">SUM(Y351:Y352,Y354:Y357,Y360)</f>
        <v>0</v>
      </c>
      <c r="Z364" s="383">
        <f t="shared" ref="Z364" si="1587">IFERROR(AA364/AA350,0)</f>
        <v>0</v>
      </c>
      <c r="AA364" s="447">
        <f t="shared" ref="AA364" si="1588">SUM(AA351:AA352,AA354:AA357,AA360)</f>
        <v>0</v>
      </c>
      <c r="AB364" s="434">
        <f t="shared" ref="AB364" si="1589">IFERROR(AC364/AC350,0)</f>
        <v>0</v>
      </c>
      <c r="AC364" s="453">
        <f t="shared" ref="AC364" si="1590">SUM(AC351:AC352,AC354:AC357,AC360)</f>
        <v>0</v>
      </c>
      <c r="AD364" s="377">
        <f t="shared" si="1473"/>
        <v>0</v>
      </c>
      <c r="AE364" s="14"/>
      <c r="AF364" s="14"/>
      <c r="AG364" s="14"/>
      <c r="AH364" s="14"/>
      <c r="AI364" s="14"/>
      <c r="AJ364" s="14"/>
      <c r="AK364" s="14"/>
      <c r="AL364" s="14"/>
      <c r="AM364" s="14"/>
      <c r="AN364" s="14"/>
      <c r="AO364" s="14"/>
      <c r="AP364" s="14"/>
      <c r="AQ364" s="14"/>
      <c r="AR364" s="14"/>
      <c r="AS364" s="14"/>
      <c r="AT364" s="14"/>
      <c r="AU364" s="14"/>
      <c r="AV364" s="14"/>
      <c r="AW364" s="14"/>
      <c r="AX364" s="14"/>
      <c r="AY364" s="14"/>
      <c r="AZ364" s="14"/>
      <c r="BA364" s="14"/>
      <c r="BB364" s="14"/>
      <c r="BC364" s="14"/>
      <c r="BD364" s="14"/>
    </row>
    <row r="365" spans="1:56" hidden="1" outlineLevel="1" x14ac:dyDescent="0.3">
      <c r="A365" s="1182"/>
      <c r="B365" s="1379"/>
      <c r="C365" s="1379"/>
      <c r="D365" s="1379"/>
      <c r="E365" s="1379"/>
      <c r="F365" s="1379"/>
      <c r="G365" s="1379"/>
      <c r="H365" s="1380"/>
      <c r="I365" s="382" t="s">
        <v>327</v>
      </c>
      <c r="J365" s="384">
        <f>pCRSalaries</f>
        <v>2.5</v>
      </c>
      <c r="K365" s="447"/>
      <c r="L365" s="435">
        <f>pCRSalaries</f>
        <v>2.5</v>
      </c>
      <c r="M365" s="453"/>
      <c r="N365" s="384">
        <f>pCRSalaries</f>
        <v>2.5</v>
      </c>
      <c r="O365" s="447"/>
      <c r="P365" s="435">
        <f>pCRSalaries</f>
        <v>2.5</v>
      </c>
      <c r="Q365" s="453"/>
      <c r="R365" s="384">
        <f>pCRSalaries</f>
        <v>2.5</v>
      </c>
      <c r="S365" s="447"/>
      <c r="T365" s="435">
        <f>pCRSalaries</f>
        <v>2.5</v>
      </c>
      <c r="U365" s="453"/>
      <c r="V365" s="384">
        <f>pCRSalaries</f>
        <v>2.5</v>
      </c>
      <c r="W365" s="447"/>
      <c r="X365" s="435">
        <f>pCRSalaries</f>
        <v>2.5</v>
      </c>
      <c r="Y365" s="453"/>
      <c r="Z365" s="384">
        <f>pCRSalaries</f>
        <v>2.5</v>
      </c>
      <c r="AA365" s="447"/>
      <c r="AB365" s="435">
        <f>pCRSalaries</f>
        <v>2.5</v>
      </c>
      <c r="AC365" s="453"/>
      <c r="AD365" s="335"/>
      <c r="AE365" s="1152"/>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row>
    <row r="366" spans="1:56" ht="16.2" hidden="1" outlineLevel="1" thickBot="1" x14ac:dyDescent="0.35">
      <c r="A366" s="1182"/>
      <c r="B366" s="710"/>
      <c r="C366" s="347"/>
      <c r="D366" s="347"/>
      <c r="E366" s="347"/>
      <c r="F366" s="347"/>
      <c r="G366" s="347"/>
      <c r="H366" s="347"/>
      <c r="I366" s="436" t="s">
        <v>329</v>
      </c>
      <c r="J366" s="348"/>
      <c r="K366" s="448">
        <f>J365*K361</f>
        <v>0</v>
      </c>
      <c r="L366" s="348"/>
      <c r="M366" s="448">
        <f t="shared" ref="M366" si="1591">L365*M361</f>
        <v>0</v>
      </c>
      <c r="N366" s="348"/>
      <c r="O366" s="448">
        <f>N365*O361</f>
        <v>0</v>
      </c>
      <c r="P366" s="348"/>
      <c r="Q366" s="448">
        <f t="shared" ref="Q366" si="1592">P365*Q361</f>
        <v>0</v>
      </c>
      <c r="R366" s="348"/>
      <c r="S366" s="448">
        <f>R365*S361</f>
        <v>0</v>
      </c>
      <c r="T366" s="348"/>
      <c r="U366" s="448">
        <f t="shared" ref="U366" si="1593">T365*U361</f>
        <v>0</v>
      </c>
      <c r="V366" s="348"/>
      <c r="W366" s="448">
        <f>V365*W361</f>
        <v>0</v>
      </c>
      <c r="X366" s="348"/>
      <c r="Y366" s="448">
        <f t="shared" ref="Y366" si="1594">X365*Y361</f>
        <v>0</v>
      </c>
      <c r="Z366" s="348"/>
      <c r="AA366" s="448">
        <f>Z365*AA361</f>
        <v>0</v>
      </c>
      <c r="AB366" s="348"/>
      <c r="AC366" s="448">
        <f t="shared" ref="AC366" si="1595">AB365*AC361</f>
        <v>0</v>
      </c>
      <c r="AD366" s="335">
        <f t="shared" si="1473"/>
        <v>0</v>
      </c>
      <c r="AE366" s="1152"/>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row>
    <row r="367" spans="1:56" ht="15" hidden="1" outlineLevel="1" thickBot="1" x14ac:dyDescent="0.35">
      <c r="A367" s="1182"/>
      <c r="B367" s="1181"/>
      <c r="C367" s="1181"/>
      <c r="D367" s="1181"/>
      <c r="E367" s="1181"/>
      <c r="F367" s="1181"/>
      <c r="G367" s="1181"/>
      <c r="H367" s="1181"/>
      <c r="I367" s="350"/>
      <c r="J367" s="351"/>
      <c r="K367" s="351"/>
      <c r="L367" s="351"/>
      <c r="M367" s="352"/>
      <c r="N367" s="351"/>
      <c r="O367" s="352"/>
      <c r="P367" s="351"/>
      <c r="Q367" s="352"/>
      <c r="R367" s="351"/>
      <c r="S367" s="352"/>
      <c r="T367" s="351"/>
      <c r="U367" s="352"/>
      <c r="V367" s="351"/>
      <c r="W367" s="352"/>
      <c r="X367" s="351"/>
      <c r="Y367" s="352"/>
      <c r="Z367" s="351"/>
      <c r="AA367" s="352"/>
      <c r="AB367" s="351"/>
      <c r="AC367" s="352"/>
      <c r="AD367" s="353" t="str">
        <f>IF(tbBudgetCurrency="AUD - Australian Dollar","",IFERROR(K367+M367+O367+Q367+S367+U367+W367+Y367+AA367+AC367,0))</f>
        <v/>
      </c>
      <c r="AE367" s="1152"/>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row>
    <row r="368" spans="1:56" hidden="1" outlineLevel="1" x14ac:dyDescent="0.3">
      <c r="A368" s="1182"/>
      <c r="B368" s="356" t="str">
        <f>IF('PART B Staff Costs'!B40="","",'PART B Staff Costs'!B40)</f>
        <v/>
      </c>
      <c r="C368" s="356" t="str">
        <f>IF('PART B Staff Costs'!C40="","",'PART B Staff Costs'!C40)</f>
        <v xml:space="preserve"> </v>
      </c>
      <c r="D368" s="332" t="str">
        <f>IF('PART B Staff Costs'!D40="","",'PART B Staff Costs'!D40)</f>
        <v/>
      </c>
      <c r="E368" s="332" t="str">
        <f>IF('PART B Staff Costs'!E40="","",'PART B Staff Costs'!E40)</f>
        <v/>
      </c>
      <c r="F368" s="332" t="str">
        <f>IF('PART B Staff Costs'!F40="","",'PART B Staff Costs'!F40)</f>
        <v/>
      </c>
      <c r="G368" s="332" t="str">
        <f>IF('PART B Staff Costs'!G40="","",'PART B Staff Costs'!G40)</f>
        <v/>
      </c>
      <c r="H368" s="332" t="str">
        <f t="shared" ref="H368" si="1596">CONCATENATE(IF(D368=0,"",D368)," ",IF(E368=0,"",E368)," ",IF(F368=0,"",F368),,IF(OR(G368=0,G368=""),"",CONCATENATE(" (",G368,")")))</f>
        <v xml:space="preserve">  </v>
      </c>
      <c r="I368" s="332" t="s">
        <v>313</v>
      </c>
      <c r="J368" s="333">
        <f>_xlfn.IFNA('PART B Staff Costs'!H40*'PART B Staff Costs'!J$10,0)*new_xrate</f>
        <v>0</v>
      </c>
      <c r="K368" s="441"/>
      <c r="L368" s="334">
        <f>_xlfn.IFNA(IF(pStartYear+1&gt;pEndYear,0,VLOOKUP(CONCATENATE(
IF(OR($D368="Continuing",$D368="Fixed-Term"),"Fortnight",IF($D368="Casual","Casual",)),
$E368,
IF(OR($D368="Continuing",$D368="Fixed-Term"),
IF(LEFT($F368,6)="UOM 10","UOM 10",(LEFT($F368,LEN($F368)-1)&amp;MIN(RIGHT($F368,1)+COUNTIFS($J369:K369,"&gt;0")/2,VLOOKUP(LEFT($F368,LEN($F368)-2),tSalaryMax,2,FALSE)))),
IF($D368="Casual",
$F368,))
),tSalaryRate,5,FALSE)*VLOOKUP($G368,tSalaryRateMultiplier,2,FALSE)*'PART B Staff Costs'!L$10),0)*new_xrate</f>
        <v>0</v>
      </c>
      <c r="M368" s="449"/>
      <c r="N368" s="333">
        <f>_xlfn.IFNA(IF(pStartYear+2&gt;pEndYear,0,VLOOKUP(CONCATENATE(
IF(OR($D368="Continuing",$D368="Fixed-Term"),"Fortnight",IF($D368="Casual","Casual",)),
$E368,
IF(OR($D368="Continuing",$D368="Fixed-Term"),
IF(LEFT($F368,6)="UOM 10","UOM 10",(LEFT($F368,LEN($F368)-1)&amp;MIN(RIGHT($F368,1)+COUNTIFS($J369:M369,"&gt;0")/2,VLOOKUP(LEFT($F368,LEN($F368)-2),tSalaryMax,2,FALSE)))),
IF($D368="Casual",
$F368,))
),tSalaryRate,5,FALSE)*VLOOKUP($G368,tSalaryRateMultiplier,2,FALSE)*'PART B Staff Costs'!N$10),0)*new_xrate</f>
        <v>0</v>
      </c>
      <c r="O368" s="441"/>
      <c r="P368" s="334">
        <f>_xlfn.IFNA(IF(pStartYear+3&gt;pEndYear,0,VLOOKUP(CONCATENATE(
IF(OR($D368="Continuing",$D368="Fixed-Term"),"Fortnight",IF($D368="Casual","Casual",)),
$E368,
IF(OR($D368="Continuing",$D368="Fixed-Term"),
IF(LEFT($F368,6)="UOM 10","UOM 10",(LEFT($F368,LEN($F368)-1)&amp;MIN(RIGHT($F368,1)+COUNTIFS($J369:O369,"&gt;0")/2,VLOOKUP(LEFT($F368,LEN($F368)-2),tSalaryMax,2,FALSE)))),
IF($D368="Casual",
$F368,))
),tSalaryRate,5,FALSE)*VLOOKUP($G368,tSalaryRateMultiplier,2,FALSE)*'PART B Staff Costs'!P$10),0)*new_xrate</f>
        <v>0</v>
      </c>
      <c r="Q368" s="449"/>
      <c r="R368" s="333">
        <f>_xlfn.IFNA(IF(pStartYear+4&gt;pEndYear,0,VLOOKUP(CONCATENATE(
IF(OR($D368="Continuing",$D368="Fixed-Term"),"Fortnight",IF($D368="Casual","Casual",)),
$E368,
IF(OR($D368="Continuing",$D368="Fixed-Term"),
IF(LEFT($F368,6)="UOM 10","UOM 10",(LEFT($F368,LEN($F368)-1)&amp;MIN(RIGHT($F368,1)+COUNTIFS($J369:Q369,"&gt;0")/2,VLOOKUP(LEFT($F368,LEN($F368)-2),tSalaryMax,2,FALSE)))),
IF($D368="Casual",
$F368,))
),tSalaryRate,5,FALSE)*VLOOKUP($G368,tSalaryRateMultiplier,2,FALSE)*'PART B Staff Costs'!R$10),0)*new_xrate</f>
        <v>0</v>
      </c>
      <c r="S368" s="441"/>
      <c r="T368" s="334">
        <f>_xlfn.IFNA(IF(pStartYear+5&gt;pEndYear,0,VLOOKUP(CONCATENATE(
IF(OR($D368="Continuing",$D368="Fixed-Term"),"Fortnight",IF($D368="Casual","Casual",)),
$E368,
IF(OR($D368="Continuing",$D368="Fixed-Term"),
IF(LEFT($F368,6)="UOM 10","UOM 10",(LEFT($F368,LEN($F368)-1)&amp;MIN(RIGHT($F368,1)+COUNTIFS($J369:S369,"&gt;0")/2,VLOOKUP(LEFT($F368,LEN($F368)-2),tSalaryMax,2,FALSE)))),
IF($D368="Casual",
$F368,))
),tSalaryRate,5,FALSE)*VLOOKUP($G368,tSalaryRateMultiplier,2,FALSE)*'PART B Staff Costs'!T$10),0)*new_xrate</f>
        <v>0</v>
      </c>
      <c r="U368" s="449"/>
      <c r="V368" s="333">
        <f>_xlfn.IFNA(IF(pStartYear+6&gt;pEndYear,0,VLOOKUP(CONCATENATE(
IF(OR($D368="Continuing",$D368="Fixed-Term"),"Fortnight",IF($D368="Casual","Casual",)),
$E368,
IF(OR($D368="Continuing",$D368="Fixed-Term"),
IF(LEFT($F368,6)="UOM 10","UOM 10",(LEFT($F368,LEN($F368)-1)&amp;MIN(RIGHT($F368,1)+COUNTIFS($J369:U369,"&gt;0")/2,VLOOKUP(LEFT($F368,LEN($F368)-2),tSalaryMax,2,FALSE)))),
IF($D368="Casual",
$F368,))
),tSalaryRate,5,FALSE)*VLOOKUP($G368,tSalaryRateMultiplier,2,FALSE)*'PART B Staff Costs'!V$10),0)*new_xrate</f>
        <v>0</v>
      </c>
      <c r="W368" s="441"/>
      <c r="X368" s="334">
        <f>_xlfn.IFNA(IF(pStartYear+7&gt;pEndYear,0,VLOOKUP(CONCATENATE(
IF(OR($D368="Continuing",$D368="Fixed-Term"),"Fortnight",IF($D368="Casual","Casual",)),
$E368,
IF(OR($D368="Continuing",$D368="Fixed-Term"),
IF(LEFT($F368,6)="UOM 10","UOM 10",(LEFT($F368,LEN($F368)-1)&amp;MIN(RIGHT($F368,1)+COUNTIFS($J369:W369,"&gt;0")/2,VLOOKUP(LEFT($F368,LEN($F368)-2),tSalaryMax,2,FALSE)))),
IF($D368="Casual",
$F368,))
),tSalaryRate,5,FALSE)*VLOOKUP($G368,tSalaryRateMultiplier,2,FALSE)*'PART B Staff Costs'!X$10),0)*new_xrate</f>
        <v>0</v>
      </c>
      <c r="Y368" s="449"/>
      <c r="Z368" s="333">
        <f>_xlfn.IFNA(IF(pStartYear+8&gt;pEndYear,0,VLOOKUP(CONCATENATE(
IF(OR($D368="Continuing",$D368="Fixed-Term"),"Fortnight",IF($D368="Casual","Casual",)),
$E368,
IF(OR($D368="Continuing",$D368="Fixed-Term"),
IF(LEFT($F368,6)="UOM 10","UOM 10",(LEFT($F368,LEN($F368)-1)&amp;MIN(RIGHT($F368,1)+COUNTIFS($J369:Y369,"&gt;0")/2,VLOOKUP(LEFT($F368,LEN($F368)-2),tSalaryMax,2,FALSE)))),
IF($D368="Casual",
$F368,))
),tSalaryRate,5,FALSE)*VLOOKUP($G368,tSalaryRateMultiplier,2,FALSE)*'PART B Staff Costs'!Z$10),0)*new_xrate</f>
        <v>0</v>
      </c>
      <c r="AA368" s="441"/>
      <c r="AB368" s="334">
        <f>_xlfn.IFNA(IF(pStartYear+9&gt;pEndYear,0,VLOOKUP(CONCATENATE(
IF(OR($D368="Continuing",$D368="Fixed-Term"),"Fortnight",IF($D368="Casual","Casual",)),
$E368,
IF(OR($D368="Continuing",$D368="Fixed-Term"),
IF(LEFT($F368,6)="UOM 10","UOM 10",(LEFT($F368,LEN($F368)-1)&amp;MIN(RIGHT($F368,1)+COUNTIFS($J369:AA369,"&gt;0")/2,VLOOKUP(LEFT($F368,LEN($F368)-2),tSalaryMax,2,FALSE)))),
IF($D368="Casual",
$F368,))
),tSalaryRate,5,FALSE)*VLOOKUP($G368,tSalaryRateMultiplier,2,FALSE)*'PART B Staff Costs'!AB$10),0)*new_xrate</f>
        <v>0</v>
      </c>
      <c r="AC368" s="449"/>
      <c r="AD368" s="335"/>
      <c r="AE368" s="1152"/>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row>
    <row r="369" spans="1:56" hidden="1" outlineLevel="1" x14ac:dyDescent="0.3">
      <c r="A369" s="1182"/>
      <c r="B369" s="1377"/>
      <c r="C369" s="1377"/>
      <c r="D369" s="1377"/>
      <c r="E369" s="1377"/>
      <c r="F369" s="1377"/>
      <c r="G369" s="1377"/>
      <c r="H369" s="1378"/>
      <c r="I369" s="336" t="str">
        <f>IF('PART B Staff Costs'!G364&lt;&gt;"",CONCATENATE("Time/Requested salary"," (",'PART B Staff Costs'!G364,")"),"Time/Requested salary")</f>
        <v>Time/Requested salary</v>
      </c>
      <c r="J369" s="337">
        <f>_xlfn.IFNA('PART B Staff Costs'!I40,0)</f>
        <v>0</v>
      </c>
      <c r="K369" s="442">
        <f>IF('PART B Staff Costs'!$G$40="FTE",J369*J368*(First_year_fraction/12),J369*J368)</f>
        <v>0</v>
      </c>
      <c r="L369" s="338">
        <f>_xlfn.IFNA('PART B Staff Costs'!K40,0)</f>
        <v>0</v>
      </c>
      <c r="M369" s="450">
        <f>IF(pStartYear+1=pEndYear,IF('PART B Staff Costs'!$G$40="FTE",(L369*L368)*Last_Year_Fraction/12,L369*L368),L369*L368)</f>
        <v>0</v>
      </c>
      <c r="N369" s="337">
        <f>_xlfn.IFNA('PART B Staff Costs'!M40,0)</f>
        <v>0</v>
      </c>
      <c r="O369" s="442">
        <f>IF(pStartYear+2=pEndYear,IF('PART B Staff Costs'!$G$40="FTE",(N369*N368)*Last_Year_Fraction/12,N369*N368),N369*N368)</f>
        <v>0</v>
      </c>
      <c r="P369" s="338">
        <f>_xlfn.IFNA('PART B Staff Costs'!O40,0)</f>
        <v>0</v>
      </c>
      <c r="Q369" s="450">
        <f>IF(pStartYear+3=pEndYear,IF('PART B Staff Costs'!$G$40="FTE",(P369*P368)*Last_Year_Fraction/12,P369*P368),P369*P368)</f>
        <v>0</v>
      </c>
      <c r="R369" s="337">
        <f>_xlfn.IFNA('PART B Staff Costs'!Q40,0)</f>
        <v>0</v>
      </c>
      <c r="S369" s="442">
        <f>IF(pStartYear+4=pEndYear,IF('PART B Staff Costs'!$G$40="FTE",(R369*R368)*Last_Year_Fraction/12,R369*R368),R369*R368)</f>
        <v>0</v>
      </c>
      <c r="T369" s="338">
        <f>_xlfn.IFNA('PART B Staff Costs'!S40,0)</f>
        <v>0</v>
      </c>
      <c r="U369" s="450">
        <f>IF(pStartYear+5=pEndYear,IF('PART B Staff Costs'!$G$40="FTE",(T369*T368)*Last_Year_Fraction/12,T369*T368),T369*T368)</f>
        <v>0</v>
      </c>
      <c r="V369" s="337">
        <f>_xlfn.IFNA('PART B Staff Costs'!U40,0)</f>
        <v>0</v>
      </c>
      <c r="W369" s="442">
        <f>IF(pStartYear+6=pEndYear,IF('PART B Staff Costs'!$G$40="FTE",(V369*V368)*Last_Year_Fraction/12,V369*V368),V369*V368)</f>
        <v>0</v>
      </c>
      <c r="X369" s="338">
        <f>_xlfn.IFNA('PART B Staff Costs'!W40,0)</f>
        <v>0</v>
      </c>
      <c r="Y369" s="450">
        <f>IF(pStartYear+7=pEndYear,IF('PART B Staff Costs'!$G$40="FTE",(X369*X368)*Last_Year_Fraction/12,X369*X368),X369*X368)</f>
        <v>0</v>
      </c>
      <c r="Z369" s="337">
        <f>_xlfn.IFNA('PART B Staff Costs'!Y40,0)</f>
        <v>0</v>
      </c>
      <c r="AA369" s="442">
        <f>IF(pStartYear+8=pEndYear,IF('PART B Staff Costs'!$G$40="FTE",(Z369*Z368)*Last_Year_Fraction/12,Z369*Z368),Z369*Z368)</f>
        <v>0</v>
      </c>
      <c r="AB369" s="338">
        <f>_xlfn.IFNA('PART B Staff Costs'!AA40,0)</f>
        <v>0</v>
      </c>
      <c r="AC369" s="450">
        <f>IF(pStartYear+9=pEndYear,IF('PART B Staff Costs'!$G$40="FTE",(AB369*AB368)*Last_Year_Fraction/12,AB369*AB368),AB369*AB368)</f>
        <v>0</v>
      </c>
      <c r="AD369" s="335"/>
      <c r="AE369" s="1152"/>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row>
    <row r="370" spans="1:56" hidden="1" outlineLevel="1" x14ac:dyDescent="0.3">
      <c r="A370" s="1182"/>
      <c r="B370" s="1379"/>
      <c r="C370" s="1379"/>
      <c r="D370" s="1379"/>
      <c r="E370" s="1379"/>
      <c r="F370" s="1379"/>
      <c r="G370" s="1379"/>
      <c r="H370" s="1380"/>
      <c r="I370" s="336" t="str">
        <f>IF(tbBudgetCurrency="AUD - Australian Dollar",CONCATENATE("Leave Loading (max of AU$",vl_Max_Leave_Loading,")"),CONCATENATE("Leave Loading (max of ",ROUND(vl_Max_Leave_Loading*new_xrate,2)," ",LEFT(tbBudgetCurrency,3),")"))</f>
        <v>Leave Loading (max of AU$1611.3)</v>
      </c>
      <c r="J370" s="339">
        <f>_xlfn.IFNA(VLOOKUP($D368,tbLeaveLoading,2,FALSE),0)</f>
        <v>0</v>
      </c>
      <c r="K370" s="443">
        <f>IF(K369*J370&gt;vl_Max_Leave_Loading*new_xrate,vl_Max_Leave_Loading*new_xrate,K369*J370)</f>
        <v>0</v>
      </c>
      <c r="L370" s="340">
        <f>_xlfn.IFNA(VLOOKUP($D368,tbLeaveLoading,2,FALSE),0)</f>
        <v>0</v>
      </c>
      <c r="M370" s="451">
        <f>IF(M369*L370&gt;vl_Max_Leave_Loading*new_xrate,vl_Max_Leave_Loading*new_xrate,M369*L370)</f>
        <v>0</v>
      </c>
      <c r="N370" s="339">
        <f>_xlfn.IFNA(VLOOKUP($D368,tbLeaveLoading,2,FALSE),0)</f>
        <v>0</v>
      </c>
      <c r="O370" s="443">
        <f>IF(O369*N370&gt;vl_Max_Leave_Loading*new_xrate,vl_Max_Leave_Loading*new_xrate,O369*N370)</f>
        <v>0</v>
      </c>
      <c r="P370" s="340">
        <f>_xlfn.IFNA(VLOOKUP($D368,tbLeaveLoading,2,FALSE),0)</f>
        <v>0</v>
      </c>
      <c r="Q370" s="451">
        <f>IF(Q369*P370&gt;vl_Max_Leave_Loading*new_xrate,vl_Max_Leave_Loading*new_xrate,Q369*P370)</f>
        <v>0</v>
      </c>
      <c r="R370" s="339">
        <f>_xlfn.IFNA(VLOOKUP($D368,tbLeaveLoading,2,FALSE),0)</f>
        <v>0</v>
      </c>
      <c r="S370" s="443">
        <f>IF(S369*R370&gt;vl_Max_Leave_Loading*new_xrate,vl_Max_Leave_Loading*new_xrate,S369*R370)</f>
        <v>0</v>
      </c>
      <c r="T370" s="340">
        <f>_xlfn.IFNA(VLOOKUP($D368,tbLeaveLoading,2,FALSE),0)</f>
        <v>0</v>
      </c>
      <c r="U370" s="451">
        <f>IF(U369*T370&gt;vl_Max_Leave_Loading*new_xrate,vl_Max_Leave_Loading*new_xrate,U369*T370)</f>
        <v>0</v>
      </c>
      <c r="V370" s="339">
        <f>_xlfn.IFNA(VLOOKUP($D368,tbLeaveLoading,2,FALSE),0)</f>
        <v>0</v>
      </c>
      <c r="W370" s="443">
        <f>IF(W369*V370&gt;vl_Max_Leave_Loading*new_xrate,vl_Max_Leave_Loading*new_xrate,W369*V370)</f>
        <v>0</v>
      </c>
      <c r="X370" s="340">
        <f>_xlfn.IFNA(VLOOKUP($D368,tbLeaveLoading,2,FALSE),0)</f>
        <v>0</v>
      </c>
      <c r="Y370" s="451">
        <f>IF(Y369*X370&gt;vl_Max_Leave_Loading*new_xrate,vl_Max_Leave_Loading*new_xrate,Y369*X370)</f>
        <v>0</v>
      </c>
      <c r="Z370" s="339">
        <f>_xlfn.IFNA(VLOOKUP($D368,tbLeaveLoading,2,FALSE),0)</f>
        <v>0</v>
      </c>
      <c r="AA370" s="443">
        <f>IF(AA369*Z370&gt;vl_Max_Leave_Loading*new_xrate,vl_Max_Leave_Loading*new_xrate,AA369*Z370)</f>
        <v>0</v>
      </c>
      <c r="AB370" s="340">
        <f>_xlfn.IFNA(VLOOKUP($D368,tbLeaveLoading,2,FALSE),0)</f>
        <v>0</v>
      </c>
      <c r="AC370" s="451">
        <f>IF(AC369*AB370&gt;vl_Max_Leave_Loading*new_xrate,vl_Max_Leave_Loading*new_xrate,AC369*AB370)</f>
        <v>0</v>
      </c>
      <c r="AD370" s="335"/>
      <c r="AE370" s="1152"/>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row>
    <row r="371" spans="1:56" hidden="1" outlineLevel="1" x14ac:dyDescent="0.3">
      <c r="A371" s="1182"/>
      <c r="B371" s="1379"/>
      <c r="C371" s="1379"/>
      <c r="D371" s="1379"/>
      <c r="E371" s="1379"/>
      <c r="F371" s="1379"/>
      <c r="G371" s="1379"/>
      <c r="H371" s="1380"/>
      <c r="I371" s="336" t="s">
        <v>314</v>
      </c>
      <c r="J371" s="339">
        <f>_xlfn.IFNA(_xlfn.IFNA(VLOOKUP(CONCATENATE(pStartYear,$D368),tbSuperannuation,4,FALSE),VLOOKUP($D368,tbSuperannuation2026onwards,2,FALSE)),0)</f>
        <v>0</v>
      </c>
      <c r="K371" s="443">
        <f>K369*J371</f>
        <v>0</v>
      </c>
      <c r="L371" s="340">
        <f>_xlfn.IFNA(_xlfn.IFNA(VLOOKUP(CONCATENATE(pStartYear+1,$D368),tbSuperannuation,4,FALSE),VLOOKUP($D368,tbSuperannuation2026onwards,2,FALSE)),0)</f>
        <v>0</v>
      </c>
      <c r="M371" s="451">
        <f t="shared" ref="M371" si="1597">M369*L371</f>
        <v>0</v>
      </c>
      <c r="N371" s="339">
        <f>_xlfn.IFNA(_xlfn.IFNA(VLOOKUP(CONCATENATE(pStartYear+2,$D368),tbSuperannuation,4,FALSE),VLOOKUP($D368,tbSuperannuation2026onwards,2,FALSE)),0)</f>
        <v>0</v>
      </c>
      <c r="O371" s="443">
        <f>O369*N371</f>
        <v>0</v>
      </c>
      <c r="P371" s="340">
        <f>_xlfn.IFNA(_xlfn.IFNA(VLOOKUP(CONCATENATE(pStartYear+3,$D368),tbSuperannuation,4,FALSE),VLOOKUP($D368,tbSuperannuation2026onwards,2,FALSE)),0)</f>
        <v>0</v>
      </c>
      <c r="Q371" s="451">
        <f t="shared" ref="Q371" si="1598">Q369*P371</f>
        <v>0</v>
      </c>
      <c r="R371" s="339">
        <f>_xlfn.IFNA(_xlfn.IFNA(VLOOKUP(CONCATENATE(pStartYear+4,$D368),tbSuperannuation,4,FALSE),VLOOKUP($D368,tbSuperannuation2026onwards,2,FALSE)),0)</f>
        <v>0</v>
      </c>
      <c r="S371" s="443">
        <f>S369*R371</f>
        <v>0</v>
      </c>
      <c r="T371" s="340">
        <f>_xlfn.IFNA(_xlfn.IFNA(VLOOKUP(CONCATENATE(pStartYear+5,$D368),tbSuperannuation,4,FALSE),VLOOKUP($D368,tbSuperannuation2026onwards,2,FALSE)),0)</f>
        <v>0</v>
      </c>
      <c r="U371" s="451">
        <f t="shared" ref="U371" si="1599">U369*T371</f>
        <v>0</v>
      </c>
      <c r="V371" s="339">
        <f>_xlfn.IFNA(_xlfn.IFNA(VLOOKUP(CONCATENATE(pStartYear+6,$D368),tbSuperannuation,4,FALSE),VLOOKUP($D368,tbSuperannuation2026onwards,2,FALSE)),0)</f>
        <v>0</v>
      </c>
      <c r="W371" s="443">
        <f>W369*V371</f>
        <v>0</v>
      </c>
      <c r="X371" s="340">
        <f>_xlfn.IFNA(_xlfn.IFNA(VLOOKUP(CONCATENATE(pStartYear+7,$D368),tbSuperannuation,4,FALSE),VLOOKUP($D368,tbSuperannuation2026onwards,2,FALSE)),0)</f>
        <v>0</v>
      </c>
      <c r="Y371" s="451">
        <f t="shared" ref="Y371" si="1600">Y369*X371</f>
        <v>0</v>
      </c>
      <c r="Z371" s="339">
        <f>_xlfn.IFNA(_xlfn.IFNA(VLOOKUP(CONCATENATE(pStartYear+8,$D368),tbSuperannuation,4,FALSE),VLOOKUP($D368,tbSuperannuation2026onwards,2,FALSE)),0)</f>
        <v>0</v>
      </c>
      <c r="AA371" s="443">
        <f>AA369*Z371</f>
        <v>0</v>
      </c>
      <c r="AB371" s="340">
        <f>_xlfn.IFNA(_xlfn.IFNA(VLOOKUP(CONCATENATE(pStartYear+9,$D368),tbSuperannuation,4,FALSE),VLOOKUP($D368,tbSuperannuation2026onwards,2,FALSE)),0)</f>
        <v>0</v>
      </c>
      <c r="AC371" s="451">
        <f t="shared" ref="AC371" si="1601">AC369*AB371</f>
        <v>0</v>
      </c>
      <c r="AD371" s="335"/>
      <c r="AE371" s="1152"/>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row>
    <row r="372" spans="1:56" hidden="1" outlineLevel="1" x14ac:dyDescent="0.3">
      <c r="A372" s="1182"/>
      <c r="B372" s="1379"/>
      <c r="C372" s="1379"/>
      <c r="D372" s="1379"/>
      <c r="E372" s="1379"/>
      <c r="F372" s="1379"/>
      <c r="G372" s="1379"/>
      <c r="H372" s="1380"/>
      <c r="I372" s="341" t="s">
        <v>315</v>
      </c>
      <c r="J372" s="342"/>
      <c r="K372" s="444">
        <f>K370+K371+K369</f>
        <v>0</v>
      </c>
      <c r="L372" s="342"/>
      <c r="M372" s="444">
        <f t="shared" ref="M372" si="1602">M370+M371+M369</f>
        <v>0</v>
      </c>
      <c r="N372" s="342"/>
      <c r="O372" s="444">
        <f>O370+O371+O369</f>
        <v>0</v>
      </c>
      <c r="P372" s="342"/>
      <c r="Q372" s="444">
        <f t="shared" ref="Q372" si="1603">Q370+Q371+Q369</f>
        <v>0</v>
      </c>
      <c r="R372" s="342"/>
      <c r="S372" s="444">
        <f>S370+S371+S369</f>
        <v>0</v>
      </c>
      <c r="T372" s="342"/>
      <c r="U372" s="444">
        <f t="shared" ref="U372" si="1604">U370+U371+U369</f>
        <v>0</v>
      </c>
      <c r="V372" s="342"/>
      <c r="W372" s="444">
        <f>W370+W371+W369</f>
        <v>0</v>
      </c>
      <c r="X372" s="342"/>
      <c r="Y372" s="444">
        <f t="shared" ref="Y372" si="1605">Y370+Y371+Y369</f>
        <v>0</v>
      </c>
      <c r="Z372" s="342"/>
      <c r="AA372" s="444">
        <f>AA370+AA371+AA369</f>
        <v>0</v>
      </c>
      <c r="AB372" s="342"/>
      <c r="AC372" s="444">
        <f t="shared" ref="AC372" si="1606">AC370+AC371+AC369</f>
        <v>0</v>
      </c>
      <c r="AD372" s="335">
        <f t="shared" si="1473"/>
        <v>0</v>
      </c>
      <c r="AE372" s="1152"/>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row>
    <row r="373" spans="1:56" hidden="1" outlineLevel="1" x14ac:dyDescent="0.3">
      <c r="A373" s="1182"/>
      <c r="B373" s="1379"/>
      <c r="C373" s="1379"/>
      <c r="D373" s="1379"/>
      <c r="E373" s="1379"/>
      <c r="F373" s="1379"/>
      <c r="G373" s="1379"/>
      <c r="H373" s="1380"/>
      <c r="I373" s="336" t="s">
        <v>316</v>
      </c>
      <c r="J373" s="339">
        <f>_xlfn.IFNA(_xlfn.IFNA(VLOOKUP(pStartYear,tbPayrollTax,2,FALSE),vl_MaxPayrollTax),0)</f>
        <v>5.8500000000000003E-2</v>
      </c>
      <c r="K373" s="443">
        <f>J373*K372</f>
        <v>0</v>
      </c>
      <c r="L373" s="340">
        <f>_xlfn.IFNA(_xlfn.IFNA(VLOOKUP(pStartYear+1,tbPayrollTax,2,FALSE),vl_MaxPayrollTax),0)</f>
        <v>5.8500000000000003E-2</v>
      </c>
      <c r="M373" s="451">
        <f t="shared" ref="M373" si="1607">L373*M372</f>
        <v>0</v>
      </c>
      <c r="N373" s="339">
        <f>_xlfn.IFNA(_xlfn.IFNA(VLOOKUP(pStartYear+2,tbPayrollTax,2,FALSE),vl_MaxPayrollTax),0)</f>
        <v>5.8500000000000003E-2</v>
      </c>
      <c r="O373" s="443">
        <f>N373*O372</f>
        <v>0</v>
      </c>
      <c r="P373" s="340">
        <f>_xlfn.IFNA(_xlfn.IFNA(VLOOKUP(pStartYear+3,tbPayrollTax,2,FALSE),vl_MaxPayrollTax),0)</f>
        <v>5.8500000000000003E-2</v>
      </c>
      <c r="Q373" s="451">
        <f t="shared" ref="Q373" si="1608">P373*Q372</f>
        <v>0</v>
      </c>
      <c r="R373" s="339">
        <f>_xlfn.IFNA(_xlfn.IFNA(VLOOKUP(pStartYear+4,tbPayrollTax,2,FALSE),vl_MaxPayrollTax),0)</f>
        <v>5.8500000000000003E-2</v>
      </c>
      <c r="S373" s="443">
        <f>R373*S372</f>
        <v>0</v>
      </c>
      <c r="T373" s="340">
        <f>_xlfn.IFNA(_xlfn.IFNA(VLOOKUP(pStartYear+5,tbPayrollTax,2,FALSE),vl_MaxPayrollTax),0)</f>
        <v>5.8500000000000003E-2</v>
      </c>
      <c r="U373" s="451">
        <f t="shared" ref="U373" si="1609">T373*U372</f>
        <v>0</v>
      </c>
      <c r="V373" s="339">
        <f>_xlfn.IFNA(_xlfn.IFNA(VLOOKUP(pStartYear+6,tbPayrollTax,2,FALSE),vl_MaxPayrollTax),0)</f>
        <v>5.8500000000000003E-2</v>
      </c>
      <c r="W373" s="443">
        <f>V373*W372</f>
        <v>0</v>
      </c>
      <c r="X373" s="340">
        <f>_xlfn.IFNA(_xlfn.IFNA(VLOOKUP(pStartYear+7,tbPayrollTax,2,FALSE),vl_MaxPayrollTax),0)</f>
        <v>5.8500000000000003E-2</v>
      </c>
      <c r="Y373" s="451">
        <f t="shared" ref="Y373" si="1610">X373*Y372</f>
        <v>0</v>
      </c>
      <c r="Z373" s="339">
        <f>_xlfn.IFNA(_xlfn.IFNA(VLOOKUP(pStartYear+8,tbPayrollTax,2,FALSE),vl_MaxPayrollTax),0)</f>
        <v>5.8500000000000003E-2</v>
      </c>
      <c r="AA373" s="443">
        <f>Z373*AA372</f>
        <v>0</v>
      </c>
      <c r="AB373" s="340">
        <f>_xlfn.IFNA(_xlfn.IFNA(VLOOKUP(pStartYear+9,tbPayrollTax,2,FALSE),vl_MaxPayrollTax),0)</f>
        <v>5.8500000000000003E-2</v>
      </c>
      <c r="AC373" s="451">
        <f t="shared" ref="AC373" si="1611">AB373*AC372</f>
        <v>0</v>
      </c>
      <c r="AD373" s="335"/>
      <c r="AE373" s="1152"/>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row>
    <row r="374" spans="1:56" hidden="1" outlineLevel="1" x14ac:dyDescent="0.3">
      <c r="A374" s="1182"/>
      <c r="B374" s="1379"/>
      <c r="C374" s="1379"/>
      <c r="D374" s="1379"/>
      <c r="E374" s="1379"/>
      <c r="F374" s="1379"/>
      <c r="G374" s="1379"/>
      <c r="H374" s="1380"/>
      <c r="I374" s="336" t="s">
        <v>317</v>
      </c>
      <c r="J374" s="339">
        <f>_xlfn.IFNA(VLOOKUP($D368,tbWorkCover,2,FALSE),0)</f>
        <v>0</v>
      </c>
      <c r="K374" s="443">
        <f>J374*K372</f>
        <v>0</v>
      </c>
      <c r="L374" s="340">
        <f>_xlfn.IFNA(VLOOKUP($D368,tbWorkCover,2,FALSE),0)</f>
        <v>0</v>
      </c>
      <c r="M374" s="451">
        <f t="shared" ref="M374" si="1612">L374*M372</f>
        <v>0</v>
      </c>
      <c r="N374" s="339">
        <f>_xlfn.IFNA(VLOOKUP($D368,tbWorkCover,2,FALSE),0)</f>
        <v>0</v>
      </c>
      <c r="O374" s="443">
        <f>N374*O372</f>
        <v>0</v>
      </c>
      <c r="P374" s="340">
        <f>_xlfn.IFNA(VLOOKUP($D368,tbWorkCover,2,FALSE),0)</f>
        <v>0</v>
      </c>
      <c r="Q374" s="451">
        <f t="shared" ref="Q374" si="1613">P374*Q372</f>
        <v>0</v>
      </c>
      <c r="R374" s="339">
        <f>_xlfn.IFNA(VLOOKUP($D368,tbWorkCover,2,FALSE),0)</f>
        <v>0</v>
      </c>
      <c r="S374" s="443">
        <f>R374*S372</f>
        <v>0</v>
      </c>
      <c r="T374" s="340">
        <f>_xlfn.IFNA(VLOOKUP($D368,tbWorkCover,2,FALSE),0)</f>
        <v>0</v>
      </c>
      <c r="U374" s="451">
        <f t="shared" ref="U374" si="1614">T374*U372</f>
        <v>0</v>
      </c>
      <c r="V374" s="339">
        <f>_xlfn.IFNA(VLOOKUP($D368,tbWorkCover,2,FALSE),0)</f>
        <v>0</v>
      </c>
      <c r="W374" s="443">
        <f>V374*W372</f>
        <v>0</v>
      </c>
      <c r="X374" s="340">
        <f>_xlfn.IFNA(VLOOKUP($D368,tbWorkCover,2,FALSE),0)</f>
        <v>0</v>
      </c>
      <c r="Y374" s="451">
        <f t="shared" ref="Y374" si="1615">X374*Y372</f>
        <v>0</v>
      </c>
      <c r="Z374" s="339">
        <f>_xlfn.IFNA(VLOOKUP($D368,tbWorkCover,2,FALSE),0)</f>
        <v>0</v>
      </c>
      <c r="AA374" s="443">
        <f>Z374*AA372</f>
        <v>0</v>
      </c>
      <c r="AB374" s="340">
        <f>_xlfn.IFNA(VLOOKUP($D368,tbWorkCover,2,FALSE),0)</f>
        <v>0</v>
      </c>
      <c r="AC374" s="451">
        <f t="shared" ref="AC374" si="1616">AB374*AC372</f>
        <v>0</v>
      </c>
      <c r="AD374" s="335"/>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row>
    <row r="375" spans="1:56" hidden="1" outlineLevel="1" x14ac:dyDescent="0.3">
      <c r="A375" s="1182"/>
      <c r="B375" s="1379"/>
      <c r="C375" s="1379"/>
      <c r="D375" s="1379"/>
      <c r="E375" s="1379"/>
      <c r="F375" s="1379"/>
      <c r="G375" s="1379"/>
      <c r="H375" s="1380"/>
      <c r="I375" s="336" t="s">
        <v>318</v>
      </c>
      <c r="J375" s="339">
        <f>_xlfn.IFNA(VLOOKUP($D368,tbLongServiceLeave,2,FALSE),0)</f>
        <v>0</v>
      </c>
      <c r="K375" s="443">
        <f>J375*K369</f>
        <v>0</v>
      </c>
      <c r="L375" s="340">
        <f>_xlfn.IFNA(VLOOKUP($D368,tbLongServiceLeave,2,FALSE),0)</f>
        <v>0</v>
      </c>
      <c r="M375" s="451">
        <f t="shared" ref="M375" si="1617">L375*M369</f>
        <v>0</v>
      </c>
      <c r="N375" s="339">
        <f>_xlfn.IFNA(VLOOKUP($D368,tbLongServiceLeave,2,FALSE),0)</f>
        <v>0</v>
      </c>
      <c r="O375" s="443">
        <f>N375*O369</f>
        <v>0</v>
      </c>
      <c r="P375" s="340">
        <f>_xlfn.IFNA(VLOOKUP($D368,tbLongServiceLeave,2,FALSE),0)</f>
        <v>0</v>
      </c>
      <c r="Q375" s="451">
        <f t="shared" ref="Q375" si="1618">P375*Q369</f>
        <v>0</v>
      </c>
      <c r="R375" s="339">
        <f>_xlfn.IFNA(VLOOKUP($D368,tbLongServiceLeave,2,FALSE),0)</f>
        <v>0</v>
      </c>
      <c r="S375" s="443">
        <f>R375*S369</f>
        <v>0</v>
      </c>
      <c r="T375" s="340">
        <f>_xlfn.IFNA(VLOOKUP($D368,tbLongServiceLeave,2,FALSE),0)</f>
        <v>0</v>
      </c>
      <c r="U375" s="451">
        <f t="shared" ref="U375" si="1619">T375*U369</f>
        <v>0</v>
      </c>
      <c r="V375" s="339">
        <f>_xlfn.IFNA(VLOOKUP($D368,tbLongServiceLeave,2,FALSE),0)</f>
        <v>0</v>
      </c>
      <c r="W375" s="443">
        <f>V375*W369</f>
        <v>0</v>
      </c>
      <c r="X375" s="340">
        <f>_xlfn.IFNA(VLOOKUP($D368,tbLongServiceLeave,2,FALSE),0)</f>
        <v>0</v>
      </c>
      <c r="Y375" s="451">
        <f t="shared" ref="Y375" si="1620">X375*Y369</f>
        <v>0</v>
      </c>
      <c r="Z375" s="339">
        <f>_xlfn.IFNA(VLOOKUP($D368,tbLongServiceLeave,2,FALSE),0)</f>
        <v>0</v>
      </c>
      <c r="AA375" s="443">
        <f>Z375*AA369</f>
        <v>0</v>
      </c>
      <c r="AB375" s="340">
        <f>_xlfn.IFNA(VLOOKUP($D368,tbLongServiceLeave,2,FALSE),0)</f>
        <v>0</v>
      </c>
      <c r="AC375" s="451">
        <f t="shared" ref="AC375" si="1621">AB375*AC369</f>
        <v>0</v>
      </c>
      <c r="AD375" s="335"/>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row>
    <row r="376" spans="1:56" hidden="1" outlineLevel="1" x14ac:dyDescent="0.3">
      <c r="A376" s="1182"/>
      <c r="B376" s="1379"/>
      <c r="C376" s="1379"/>
      <c r="D376" s="1379"/>
      <c r="E376" s="1379"/>
      <c r="F376" s="1379"/>
      <c r="G376" s="1379"/>
      <c r="H376" s="1380"/>
      <c r="I376" s="336" t="s">
        <v>319</v>
      </c>
      <c r="J376" s="339">
        <f>_xlfn.IFNA(VLOOKUP($D368,tbParentalLeave,2,FALSE),0)</f>
        <v>0</v>
      </c>
      <c r="K376" s="443">
        <f>J376*K369</f>
        <v>0</v>
      </c>
      <c r="L376" s="340">
        <f>_xlfn.IFNA(VLOOKUP($D368,tbParentalLeave,2,FALSE),0)</f>
        <v>0</v>
      </c>
      <c r="M376" s="451">
        <f t="shared" ref="M376" si="1622">L376*M369</f>
        <v>0</v>
      </c>
      <c r="N376" s="339">
        <f>_xlfn.IFNA(VLOOKUP($D368,tbParentalLeave,2,FALSE),0)</f>
        <v>0</v>
      </c>
      <c r="O376" s="443">
        <f>N376*O369</f>
        <v>0</v>
      </c>
      <c r="P376" s="340">
        <f>_xlfn.IFNA(VLOOKUP($D368,tbParentalLeave,2,FALSE),0)</f>
        <v>0</v>
      </c>
      <c r="Q376" s="451">
        <f t="shared" ref="Q376" si="1623">P376*Q369</f>
        <v>0</v>
      </c>
      <c r="R376" s="339">
        <f>_xlfn.IFNA(VLOOKUP($D368,tbParentalLeave,2,FALSE),0)</f>
        <v>0</v>
      </c>
      <c r="S376" s="443">
        <f>R376*S369</f>
        <v>0</v>
      </c>
      <c r="T376" s="340">
        <f>_xlfn.IFNA(VLOOKUP($D368,tbParentalLeave,2,FALSE),0)</f>
        <v>0</v>
      </c>
      <c r="U376" s="451">
        <f t="shared" ref="U376" si="1624">T376*U369</f>
        <v>0</v>
      </c>
      <c r="V376" s="339">
        <f>_xlfn.IFNA(VLOOKUP($D368,tbParentalLeave,2,FALSE),0)</f>
        <v>0</v>
      </c>
      <c r="W376" s="443">
        <f>V376*W369</f>
        <v>0</v>
      </c>
      <c r="X376" s="340">
        <f>_xlfn.IFNA(VLOOKUP($D368,tbParentalLeave,2,FALSE),0)</f>
        <v>0</v>
      </c>
      <c r="Y376" s="451">
        <f t="shared" ref="Y376" si="1625">X376*Y369</f>
        <v>0</v>
      </c>
      <c r="Z376" s="339">
        <f>_xlfn.IFNA(VLOOKUP($D368,tbParentalLeave,2,FALSE),0)</f>
        <v>0</v>
      </c>
      <c r="AA376" s="443">
        <f>Z376*AA369</f>
        <v>0</v>
      </c>
      <c r="AB376" s="340">
        <f>_xlfn.IFNA(VLOOKUP($D368,tbParentalLeave,2,FALSE),0)</f>
        <v>0</v>
      </c>
      <c r="AC376" s="451">
        <f t="shared" ref="AC376" si="1626">AB376*AC369</f>
        <v>0</v>
      </c>
      <c r="AD376" s="335"/>
      <c r="AE376" s="1152"/>
      <c r="AF376" s="1152"/>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row>
    <row r="377" spans="1:56" hidden="1" outlineLevel="1" x14ac:dyDescent="0.3">
      <c r="A377" s="1182"/>
      <c r="B377" s="1379"/>
      <c r="C377" s="1379"/>
      <c r="D377" s="1379"/>
      <c r="E377" s="1379"/>
      <c r="F377" s="1379"/>
      <c r="G377" s="1379"/>
      <c r="H377" s="1380"/>
      <c r="I377" s="437" t="s">
        <v>320</v>
      </c>
      <c r="J377" s="438">
        <f>vl_overridden_uom_oncosts_per</f>
        <v>0</v>
      </c>
      <c r="K377" s="445">
        <f>J377*K369</f>
        <v>0</v>
      </c>
      <c r="L377" s="438">
        <f>vl_overridden_uom_oncosts_per</f>
        <v>0</v>
      </c>
      <c r="M377" s="445">
        <f>L377*M369</f>
        <v>0</v>
      </c>
      <c r="N377" s="438">
        <f>vl_overridden_uom_oncosts_per</f>
        <v>0</v>
      </c>
      <c r="O377" s="445">
        <f t="shared" ref="O377" si="1627">N377*O369</f>
        <v>0</v>
      </c>
      <c r="P377" s="438">
        <f>vl_overridden_uom_oncosts_per</f>
        <v>0</v>
      </c>
      <c r="Q377" s="445">
        <f t="shared" ref="Q377" si="1628">P377*Q369</f>
        <v>0</v>
      </c>
      <c r="R377" s="438">
        <f>vl_overridden_uom_oncosts_per</f>
        <v>0</v>
      </c>
      <c r="S377" s="445">
        <f t="shared" ref="S377" si="1629">R377*S369</f>
        <v>0</v>
      </c>
      <c r="T377" s="438">
        <f>vl_overridden_uom_oncosts_per</f>
        <v>0</v>
      </c>
      <c r="U377" s="445">
        <f t="shared" ref="U377" si="1630">T377*U369</f>
        <v>0</v>
      </c>
      <c r="V377" s="438">
        <f>vl_overridden_uom_oncosts_per</f>
        <v>0</v>
      </c>
      <c r="W377" s="445">
        <f t="shared" ref="W377" si="1631">V377*W369</f>
        <v>0</v>
      </c>
      <c r="X377" s="438">
        <f>vl_overridden_uom_oncosts_per</f>
        <v>0</v>
      </c>
      <c r="Y377" s="445">
        <f t="shared" ref="Y377" si="1632">X377*Y369</f>
        <v>0</v>
      </c>
      <c r="Z377" s="438">
        <f>vl_overridden_uom_oncosts_per</f>
        <v>0</v>
      </c>
      <c r="AA377" s="445">
        <f t="shared" ref="AA377" si="1633">Z377*AA369</f>
        <v>0</v>
      </c>
      <c r="AB377" s="438">
        <f>vl_overridden_uom_oncosts_per</f>
        <v>0</v>
      </c>
      <c r="AC377" s="445">
        <f t="shared" ref="AC377" si="1634">AB377*AC369</f>
        <v>0</v>
      </c>
      <c r="AD377" s="335"/>
      <c r="AE377" s="1152"/>
      <c r="AF377" s="1152"/>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row>
    <row r="378" spans="1:56" hidden="1" outlineLevel="1" x14ac:dyDescent="0.3">
      <c r="A378" s="1182"/>
      <c r="B378" s="1379"/>
      <c r="C378" s="1379"/>
      <c r="D378" s="1379"/>
      <c r="E378" s="1379"/>
      <c r="F378" s="1379"/>
      <c r="G378" s="1379"/>
      <c r="H378" s="1380"/>
      <c r="I378" s="341" t="s">
        <v>321</v>
      </c>
      <c r="J378" s="342"/>
      <c r="K378" s="444">
        <f>SUM(K372:K377)</f>
        <v>0</v>
      </c>
      <c r="L378" s="342"/>
      <c r="M378" s="444">
        <f t="shared" ref="M378" si="1635">SUM(M372:M377)</f>
        <v>0</v>
      </c>
      <c r="N378" s="342"/>
      <c r="O378" s="444">
        <f t="shared" ref="O378" si="1636">SUM(O372:O377)</f>
        <v>0</v>
      </c>
      <c r="P378" s="342"/>
      <c r="Q378" s="444">
        <f t="shared" ref="Q378" si="1637">SUM(Q372:Q377)</f>
        <v>0</v>
      </c>
      <c r="R378" s="342"/>
      <c r="S378" s="444">
        <f t="shared" ref="S378" si="1638">SUM(S372:S377)</f>
        <v>0</v>
      </c>
      <c r="T378" s="342"/>
      <c r="U378" s="444">
        <f t="shared" ref="U378" si="1639">SUM(U372:U377)</f>
        <v>0</v>
      </c>
      <c r="V378" s="342"/>
      <c r="W378" s="444">
        <f t="shared" ref="W378" si="1640">SUM(W372:W377)</f>
        <v>0</v>
      </c>
      <c r="X378" s="342"/>
      <c r="Y378" s="444">
        <f t="shared" ref="Y378" si="1641">SUM(Y372:Y377)</f>
        <v>0</v>
      </c>
      <c r="Z378" s="342"/>
      <c r="AA378" s="444">
        <f t="shared" ref="AA378" si="1642">SUM(AA372:AA377)</f>
        <v>0</v>
      </c>
      <c r="AB378" s="342"/>
      <c r="AC378" s="444">
        <f t="shared" ref="AC378" si="1643">SUM(AC372:AC377)</f>
        <v>0</v>
      </c>
      <c r="AD378" s="335">
        <f t="shared" si="1473"/>
        <v>0</v>
      </c>
      <c r="AE378" s="1152"/>
      <c r="AF378" s="1152"/>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row>
    <row r="379" spans="1:56" hidden="1" outlineLevel="1" x14ac:dyDescent="0.3">
      <c r="A379" s="1182"/>
      <c r="B379" s="1379"/>
      <c r="C379" s="1379"/>
      <c r="D379" s="1379"/>
      <c r="E379" s="1379"/>
      <c r="F379" s="1379"/>
      <c r="G379" s="1379"/>
      <c r="H379" s="1380"/>
      <c r="I379" s="336" t="s">
        <v>322</v>
      </c>
      <c r="J379" s="339">
        <f>_xlfn.IFNA(VLOOKUP($D368,tbAnnualLeaveProvision,2,FALSE),0)</f>
        <v>0</v>
      </c>
      <c r="K379" s="443">
        <f>J379*K369</f>
        <v>0</v>
      </c>
      <c r="L379" s="340">
        <f>_xlfn.IFNA(VLOOKUP($D368,tbAnnualLeaveProvision,2,FALSE),0)</f>
        <v>0</v>
      </c>
      <c r="M379" s="451">
        <f t="shared" ref="M379" si="1644">L379*M369</f>
        <v>0</v>
      </c>
      <c r="N379" s="339">
        <f>_xlfn.IFNA(VLOOKUP($D368,tbAnnualLeaveProvision,2,FALSE),0)</f>
        <v>0</v>
      </c>
      <c r="O379" s="443">
        <f>N379*O369</f>
        <v>0</v>
      </c>
      <c r="P379" s="340">
        <f>_xlfn.IFNA(VLOOKUP($D368,tbAnnualLeaveProvision,2,FALSE),0)</f>
        <v>0</v>
      </c>
      <c r="Q379" s="451">
        <f t="shared" ref="Q379" si="1645">P379*Q369</f>
        <v>0</v>
      </c>
      <c r="R379" s="339">
        <f>_xlfn.IFNA(VLOOKUP($D368,tbAnnualLeaveProvision,2,FALSE),0)</f>
        <v>0</v>
      </c>
      <c r="S379" s="443">
        <f>R379*S369</f>
        <v>0</v>
      </c>
      <c r="T379" s="340">
        <f>_xlfn.IFNA(VLOOKUP($D368,tbAnnualLeaveProvision,2,FALSE),0)</f>
        <v>0</v>
      </c>
      <c r="U379" s="451">
        <f t="shared" ref="U379" si="1646">T379*U369</f>
        <v>0</v>
      </c>
      <c r="V379" s="339">
        <f>_xlfn.IFNA(VLOOKUP($D368,tbAnnualLeaveProvision,2,FALSE),0)</f>
        <v>0</v>
      </c>
      <c r="W379" s="443">
        <f>V379*W369</f>
        <v>0</v>
      </c>
      <c r="X379" s="340">
        <f>_xlfn.IFNA(VLOOKUP($D368,tbAnnualLeaveProvision,2,FALSE),0)</f>
        <v>0</v>
      </c>
      <c r="Y379" s="451">
        <f t="shared" ref="Y379" si="1647">X379*Y369</f>
        <v>0</v>
      </c>
      <c r="Z379" s="339">
        <f>_xlfn.IFNA(VLOOKUP($D368,tbAnnualLeaveProvision,2,FALSE),0)</f>
        <v>0</v>
      </c>
      <c r="AA379" s="443">
        <f>Z379*AA369</f>
        <v>0</v>
      </c>
      <c r="AB379" s="340">
        <f>_xlfn.IFNA(VLOOKUP($D368,tbAnnualLeaveProvision,2,FALSE),0)</f>
        <v>0</v>
      </c>
      <c r="AC379" s="451">
        <f t="shared" ref="AC379" si="1648">AB379*AC369</f>
        <v>0</v>
      </c>
      <c r="AD379" s="335"/>
      <c r="AE379" s="1152"/>
      <c r="AF379" s="1152"/>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row>
    <row r="380" spans="1:56" hidden="1" outlineLevel="1" x14ac:dyDescent="0.3">
      <c r="A380" s="1182"/>
      <c r="B380" s="1379"/>
      <c r="C380" s="1379"/>
      <c r="D380" s="1379"/>
      <c r="E380" s="1379"/>
      <c r="F380" s="1379"/>
      <c r="G380" s="1379"/>
      <c r="H380" s="1380"/>
      <c r="I380" s="336" t="s">
        <v>330</v>
      </c>
      <c r="J380" s="339"/>
      <c r="K380" s="446">
        <f>K378+K379</f>
        <v>0</v>
      </c>
      <c r="L380" s="340"/>
      <c r="M380" s="452">
        <f t="shared" ref="M380" si="1649">M378+M379</f>
        <v>0</v>
      </c>
      <c r="N380" s="339"/>
      <c r="O380" s="446">
        <f>O378+O379</f>
        <v>0</v>
      </c>
      <c r="P380" s="340"/>
      <c r="Q380" s="452">
        <f t="shared" ref="Q380" si="1650">Q378+Q379</f>
        <v>0</v>
      </c>
      <c r="R380" s="339"/>
      <c r="S380" s="446">
        <f>S378+S379</f>
        <v>0</v>
      </c>
      <c r="T380" s="340"/>
      <c r="U380" s="452">
        <f t="shared" ref="U380" si="1651">U378+U379</f>
        <v>0</v>
      </c>
      <c r="V380" s="339"/>
      <c r="W380" s="446">
        <f>W378+W379</f>
        <v>0</v>
      </c>
      <c r="X380" s="340"/>
      <c r="Y380" s="452">
        <f t="shared" ref="Y380" si="1652">Y378+Y379</f>
        <v>0</v>
      </c>
      <c r="Z380" s="339"/>
      <c r="AA380" s="446">
        <f>AA378+AA379</f>
        <v>0</v>
      </c>
      <c r="AB380" s="340"/>
      <c r="AC380" s="452">
        <f t="shared" ref="AC380" si="1653">AC378+AC379</f>
        <v>0</v>
      </c>
      <c r="AD380" s="335"/>
      <c r="AE380" s="1152"/>
      <c r="AF380" s="1152"/>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row>
    <row r="381" spans="1:56" hidden="1" outlineLevel="1" x14ac:dyDescent="0.3">
      <c r="A381" s="1182"/>
      <c r="B381" s="1379"/>
      <c r="C381" s="1379"/>
      <c r="D381" s="1379"/>
      <c r="E381" s="1379"/>
      <c r="F381" s="1379"/>
      <c r="G381" s="1379"/>
      <c r="H381" s="1380"/>
      <c r="I381" s="343" t="s">
        <v>324</v>
      </c>
      <c r="J381" s="344"/>
      <c r="K381" s="443">
        <f>IFERROR(-(K378/vl_working_days_per_year)*J381,0)</f>
        <v>0</v>
      </c>
      <c r="L381" s="345"/>
      <c r="M381" s="451">
        <f>IFERROR(-(M378/vl_working_days_per_year)*L381,0)</f>
        <v>0</v>
      </c>
      <c r="N381" s="344"/>
      <c r="O381" s="443">
        <f>-(O378/vl_working_days_per_year)*N381</f>
        <v>0</v>
      </c>
      <c r="P381" s="345"/>
      <c r="Q381" s="451">
        <f>-(Q378/vl_working_days_per_year)*P381</f>
        <v>0</v>
      </c>
      <c r="R381" s="344"/>
      <c r="S381" s="443">
        <f>-(S378/vl_working_days_per_year)*R381</f>
        <v>0</v>
      </c>
      <c r="T381" s="345"/>
      <c r="U381" s="451">
        <f>-(U378/vl_working_days_per_year)*T381</f>
        <v>0</v>
      </c>
      <c r="V381" s="344"/>
      <c r="W381" s="443">
        <f>-(W378/vl_working_days_per_year)*V381</f>
        <v>0</v>
      </c>
      <c r="X381" s="345"/>
      <c r="Y381" s="451">
        <f>-(Y378/vl_working_days_per_year)*X381</f>
        <v>0</v>
      </c>
      <c r="Z381" s="344"/>
      <c r="AA381" s="443">
        <f>-(AA378/vl_working_days_per_year)*Z381</f>
        <v>0</v>
      </c>
      <c r="AB381" s="345"/>
      <c r="AC381" s="451">
        <f>-(AC378/vl_working_days_per_year)*AB381</f>
        <v>0</v>
      </c>
      <c r="AD381" s="335">
        <f t="shared" si="1473"/>
        <v>0</v>
      </c>
      <c r="AE381" s="1152"/>
      <c r="AF381" s="1152"/>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row>
    <row r="382" spans="1:56" hidden="1" outlineLevel="1" x14ac:dyDescent="0.3">
      <c r="A382" s="1182"/>
      <c r="B382" s="1379"/>
      <c r="C382" s="1379"/>
      <c r="D382" s="1379"/>
      <c r="E382" s="1379"/>
      <c r="F382" s="1379"/>
      <c r="G382" s="1379"/>
      <c r="H382" s="1380"/>
      <c r="I382" s="341" t="s">
        <v>325</v>
      </c>
      <c r="J382" s="346"/>
      <c r="K382" s="444">
        <f>K380+K381</f>
        <v>0</v>
      </c>
      <c r="L382" s="346"/>
      <c r="M382" s="444">
        <f t="shared" ref="M382" si="1654">M380+M381</f>
        <v>0</v>
      </c>
      <c r="N382" s="346"/>
      <c r="O382" s="444">
        <f>O380+O381</f>
        <v>0</v>
      </c>
      <c r="P382" s="346"/>
      <c r="Q382" s="444">
        <f t="shared" ref="Q382" si="1655">Q380+Q381</f>
        <v>0</v>
      </c>
      <c r="R382" s="346"/>
      <c r="S382" s="444">
        <f>S380+S381</f>
        <v>0</v>
      </c>
      <c r="T382" s="346"/>
      <c r="U382" s="444">
        <f t="shared" ref="U382" si="1656">U380+U381</f>
        <v>0</v>
      </c>
      <c r="V382" s="346"/>
      <c r="W382" s="444">
        <f>W380+W381</f>
        <v>0</v>
      </c>
      <c r="X382" s="346"/>
      <c r="Y382" s="444">
        <f t="shared" ref="Y382" si="1657">Y380+Y381</f>
        <v>0</v>
      </c>
      <c r="Z382" s="346"/>
      <c r="AA382" s="444">
        <f>AA380+AA381</f>
        <v>0</v>
      </c>
      <c r="AB382" s="346"/>
      <c r="AC382" s="444">
        <f t="shared" ref="AC382" si="1658">AC380+AC381</f>
        <v>0</v>
      </c>
      <c r="AD382" s="335">
        <f t="shared" si="1473"/>
        <v>0</v>
      </c>
      <c r="AE382" s="1152"/>
      <c r="AF382" s="1152"/>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row>
    <row r="383" spans="1:56" s="1" customFormat="1" ht="15" hidden="1" customHeight="1" outlineLevel="1" x14ac:dyDescent="0.3">
      <c r="A383" s="727"/>
      <c r="B383" s="1379"/>
      <c r="C383" s="1379"/>
      <c r="D383" s="1379"/>
      <c r="E383" s="1379"/>
      <c r="F383" s="1379"/>
      <c r="G383" s="1379"/>
      <c r="H383" s="1380"/>
      <c r="I383" s="382" t="s">
        <v>326</v>
      </c>
      <c r="J383" s="383">
        <f>IFERROR(K383/K369,0)</f>
        <v>0</v>
      </c>
      <c r="K383" s="447">
        <f>SUM(K370:K371,K373:K376,K379)</f>
        <v>0</v>
      </c>
      <c r="L383" s="434">
        <f>IFERROR(M383/M369,0)</f>
        <v>0</v>
      </c>
      <c r="M383" s="453">
        <f t="shared" ref="M383" si="1659">SUM(M370:M371,M373:M376,M379)</f>
        <v>0</v>
      </c>
      <c r="N383" s="383">
        <f t="shared" ref="N383" si="1660">IFERROR(O383/O369,0)</f>
        <v>0</v>
      </c>
      <c r="O383" s="447">
        <f t="shared" ref="O383" si="1661">SUM(O370:O371,O373:O376,O379)</f>
        <v>0</v>
      </c>
      <c r="P383" s="434">
        <f t="shared" ref="P383" si="1662">IFERROR(Q383/Q369,0)</f>
        <v>0</v>
      </c>
      <c r="Q383" s="453">
        <f t="shared" ref="Q383" si="1663">SUM(Q370:Q371,Q373:Q376,Q379)</f>
        <v>0</v>
      </c>
      <c r="R383" s="383">
        <f t="shared" ref="R383" si="1664">IFERROR(S383/S369,0)</f>
        <v>0</v>
      </c>
      <c r="S383" s="447">
        <f t="shared" ref="S383" si="1665">SUM(S370:S371,S373:S376,S379)</f>
        <v>0</v>
      </c>
      <c r="T383" s="434">
        <f t="shared" ref="T383" si="1666">IFERROR(U383/U369,0)</f>
        <v>0</v>
      </c>
      <c r="U383" s="453">
        <f t="shared" ref="U383" si="1667">SUM(U370:U371,U373:U376,U379)</f>
        <v>0</v>
      </c>
      <c r="V383" s="383">
        <f t="shared" ref="V383" si="1668">IFERROR(W383/W369,0)</f>
        <v>0</v>
      </c>
      <c r="W383" s="447">
        <f t="shared" ref="W383" si="1669">SUM(W370:W371,W373:W376,W379)</f>
        <v>0</v>
      </c>
      <c r="X383" s="434">
        <f t="shared" ref="X383" si="1670">IFERROR(Y383/Y369,0)</f>
        <v>0</v>
      </c>
      <c r="Y383" s="453">
        <f t="shared" ref="Y383" si="1671">SUM(Y370:Y371,Y373:Y376,Y379)</f>
        <v>0</v>
      </c>
      <c r="Z383" s="383">
        <f t="shared" ref="Z383" si="1672">IFERROR(AA383/AA369,0)</f>
        <v>0</v>
      </c>
      <c r="AA383" s="447">
        <f t="shared" ref="AA383" si="1673">SUM(AA370:AA371,AA373:AA376,AA379)</f>
        <v>0</v>
      </c>
      <c r="AB383" s="434">
        <f t="shared" ref="AB383" si="1674">IFERROR(AC383/AC369,0)</f>
        <v>0</v>
      </c>
      <c r="AC383" s="453">
        <f t="shared" ref="AC383" si="1675">SUM(AC370:AC371,AC373:AC376,AC379)</f>
        <v>0</v>
      </c>
      <c r="AD383" s="377">
        <f t="shared" si="1473"/>
        <v>0</v>
      </c>
      <c r="AE383" s="14"/>
      <c r="AF383" s="14"/>
      <c r="AG383" s="14"/>
      <c r="AH383" s="14"/>
      <c r="AI383" s="14"/>
      <c r="AJ383" s="14"/>
      <c r="AK383" s="14"/>
      <c r="AL383" s="14"/>
      <c r="AM383" s="14"/>
      <c r="AN383" s="14"/>
      <c r="AO383" s="14"/>
      <c r="AP383" s="14"/>
      <c r="AQ383" s="14"/>
      <c r="AR383" s="14"/>
      <c r="AS383" s="14"/>
      <c r="AT383" s="14"/>
      <c r="AU383" s="14"/>
      <c r="AV383" s="14"/>
      <c r="AW383" s="14"/>
      <c r="AX383" s="14"/>
      <c r="AY383" s="14"/>
      <c r="AZ383" s="14"/>
      <c r="BA383" s="14"/>
      <c r="BB383" s="14"/>
      <c r="BC383" s="14"/>
      <c r="BD383" s="14"/>
    </row>
    <row r="384" spans="1:56" hidden="1" outlineLevel="1" x14ac:dyDescent="0.3">
      <c r="A384" s="1182"/>
      <c r="B384" s="1379"/>
      <c r="C384" s="1379"/>
      <c r="D384" s="1379"/>
      <c r="E384" s="1379"/>
      <c r="F384" s="1379"/>
      <c r="G384" s="1379"/>
      <c r="H384" s="1380"/>
      <c r="I384" s="382" t="s">
        <v>327</v>
      </c>
      <c r="J384" s="384">
        <f>pCRSalaries</f>
        <v>2.5</v>
      </c>
      <c r="K384" s="447"/>
      <c r="L384" s="435">
        <f>pCRSalaries</f>
        <v>2.5</v>
      </c>
      <c r="M384" s="453"/>
      <c r="N384" s="384">
        <f>pCRSalaries</f>
        <v>2.5</v>
      </c>
      <c r="O384" s="447"/>
      <c r="P384" s="435">
        <f>pCRSalaries</f>
        <v>2.5</v>
      </c>
      <c r="Q384" s="453"/>
      <c r="R384" s="384">
        <f>pCRSalaries</f>
        <v>2.5</v>
      </c>
      <c r="S384" s="447"/>
      <c r="T384" s="435">
        <f>pCRSalaries</f>
        <v>2.5</v>
      </c>
      <c r="U384" s="453"/>
      <c r="V384" s="384">
        <f>pCRSalaries</f>
        <v>2.5</v>
      </c>
      <c r="W384" s="447"/>
      <c r="X384" s="435">
        <f>pCRSalaries</f>
        <v>2.5</v>
      </c>
      <c r="Y384" s="453"/>
      <c r="Z384" s="384">
        <f>pCRSalaries</f>
        <v>2.5</v>
      </c>
      <c r="AA384" s="447"/>
      <c r="AB384" s="435">
        <f>pCRSalaries</f>
        <v>2.5</v>
      </c>
      <c r="AC384" s="453"/>
      <c r="AD384" s="335"/>
      <c r="AE384" s="1152"/>
      <c r="AF384" s="1152"/>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row>
    <row r="385" spans="1:30" ht="16.2" hidden="1" outlineLevel="1" thickBot="1" x14ac:dyDescent="0.35">
      <c r="A385" s="1182"/>
      <c r="B385" s="710"/>
      <c r="C385" s="347"/>
      <c r="D385" s="347"/>
      <c r="E385" s="347"/>
      <c r="F385" s="347"/>
      <c r="G385" s="347"/>
      <c r="H385" s="347"/>
      <c r="I385" s="436" t="s">
        <v>329</v>
      </c>
      <c r="J385" s="348"/>
      <c r="K385" s="448">
        <f>J384*K380</f>
        <v>0</v>
      </c>
      <c r="L385" s="348"/>
      <c r="M385" s="448">
        <f t="shared" ref="M385" si="1676">L384*M380</f>
        <v>0</v>
      </c>
      <c r="N385" s="348"/>
      <c r="O385" s="448">
        <f>N384*O380</f>
        <v>0</v>
      </c>
      <c r="P385" s="348"/>
      <c r="Q385" s="448">
        <f t="shared" ref="Q385" si="1677">P384*Q380</f>
        <v>0</v>
      </c>
      <c r="R385" s="348"/>
      <c r="S385" s="448">
        <f>R384*S380</f>
        <v>0</v>
      </c>
      <c r="T385" s="348"/>
      <c r="U385" s="448">
        <f t="shared" ref="U385" si="1678">T384*U380</f>
        <v>0</v>
      </c>
      <c r="V385" s="348"/>
      <c r="W385" s="448">
        <f>V384*W380</f>
        <v>0</v>
      </c>
      <c r="X385" s="348"/>
      <c r="Y385" s="448">
        <f t="shared" ref="Y385" si="1679">X384*Y380</f>
        <v>0</v>
      </c>
      <c r="Z385" s="348"/>
      <c r="AA385" s="448">
        <f>Z384*AA380</f>
        <v>0</v>
      </c>
      <c r="AB385" s="348"/>
      <c r="AC385" s="448">
        <f t="shared" ref="AC385" si="1680">AB384*AC380</f>
        <v>0</v>
      </c>
      <c r="AD385" s="335">
        <f t="shared" si="1473"/>
        <v>0</v>
      </c>
    </row>
    <row r="386" spans="1:30" ht="15" hidden="1" outlineLevel="1" thickBot="1" x14ac:dyDescent="0.35">
      <c r="A386" s="1182"/>
      <c r="B386" s="1181"/>
      <c r="C386" s="1181"/>
      <c r="D386" s="1181"/>
      <c r="E386" s="1181"/>
      <c r="F386" s="1181"/>
      <c r="G386" s="1181"/>
      <c r="H386" s="1181"/>
      <c r="I386" s="350"/>
      <c r="J386" s="351"/>
      <c r="K386" s="351"/>
      <c r="L386" s="351"/>
      <c r="M386" s="352"/>
      <c r="N386" s="351"/>
      <c r="O386" s="352"/>
      <c r="P386" s="351"/>
      <c r="Q386" s="352"/>
      <c r="R386" s="351"/>
      <c r="S386" s="352"/>
      <c r="T386" s="351"/>
      <c r="U386" s="352"/>
      <c r="V386" s="351"/>
      <c r="W386" s="352"/>
      <c r="X386" s="351"/>
      <c r="Y386" s="352"/>
      <c r="Z386" s="351"/>
      <c r="AA386" s="352"/>
      <c r="AB386" s="351"/>
      <c r="AC386" s="352"/>
      <c r="AD386" s="353" t="str">
        <f>IF(tbBudgetCurrency="AUD - Australian Dollar","",IFERROR(K386+M386+O386+Q386+S386+U386+W386+Y386+AA386+AC386,0))</f>
        <v/>
      </c>
    </row>
    <row r="387" spans="1:30" collapsed="1" x14ac:dyDescent="0.3">
      <c r="A387" s="1182"/>
      <c r="B387" s="1183"/>
      <c r="C387" s="1183"/>
      <c r="D387" s="1183"/>
      <c r="E387" s="1183"/>
      <c r="F387" s="1183"/>
      <c r="G387" s="1183"/>
      <c r="H387" s="1183"/>
      <c r="I387" s="1183"/>
      <c r="J387" s="1183"/>
      <c r="K387" s="1183"/>
      <c r="L387" s="1183"/>
      <c r="M387" s="1183"/>
      <c r="N387" s="1183"/>
      <c r="O387" s="1183"/>
      <c r="P387" s="1183"/>
      <c r="Q387" s="1183"/>
      <c r="R387" s="1183"/>
      <c r="S387" s="1183"/>
      <c r="T387" s="1183"/>
      <c r="U387" s="1183"/>
      <c r="V387" s="1183"/>
      <c r="W387" s="1183"/>
      <c r="X387" s="1183"/>
      <c r="Y387" s="1183"/>
      <c r="Z387" s="1183"/>
      <c r="AA387" s="1183"/>
      <c r="AB387" s="1183"/>
      <c r="AC387" s="1183"/>
      <c r="AD387" s="1183"/>
    </row>
    <row r="388" spans="1:30" ht="15" thickBot="1" x14ac:dyDescent="0.35">
      <c r="A388" s="1182"/>
      <c r="B388" s="1152"/>
      <c r="C388" s="1152"/>
      <c r="D388" s="1152"/>
      <c r="E388" s="1152"/>
      <c r="F388" s="1152"/>
      <c r="G388" s="1152"/>
      <c r="H388" s="1152"/>
      <c r="I388" s="1152"/>
      <c r="J388" s="1152"/>
      <c r="K388" s="1152"/>
      <c r="L388" s="1152"/>
      <c r="M388" s="1152"/>
      <c r="N388" s="1152"/>
      <c r="O388" s="1152"/>
      <c r="P388" s="1152"/>
      <c r="Q388" s="1152"/>
      <c r="R388" s="1152"/>
      <c r="S388" s="1152"/>
      <c r="T388" s="1152"/>
      <c r="U388" s="1152"/>
      <c r="V388" s="1152"/>
      <c r="W388" s="1152"/>
      <c r="X388" s="1152"/>
      <c r="Y388" s="1152"/>
      <c r="Z388" s="1152"/>
      <c r="AA388" s="1152"/>
      <c r="AB388" s="1152"/>
      <c r="AC388" s="1152"/>
      <c r="AD388" s="1152"/>
    </row>
    <row r="389" spans="1:30" ht="26.4" thickBot="1" x14ac:dyDescent="0.55000000000000004">
      <c r="A389" s="456"/>
      <c r="B389" s="711" t="s">
        <v>331</v>
      </c>
      <c r="C389" s="456"/>
      <c r="D389" s="456"/>
      <c r="E389" s="456"/>
      <c r="F389" s="456"/>
      <c r="G389" s="456"/>
      <c r="H389" s="457"/>
      <c r="I389" s="457"/>
      <c r="J389" s="458"/>
      <c r="K389" s="457"/>
      <c r="L389" s="457"/>
      <c r="M389" s="457"/>
      <c r="N389" s="458"/>
      <c r="O389" s="457"/>
      <c r="P389" s="457"/>
      <c r="Q389" s="457"/>
      <c r="R389" s="457"/>
      <c r="S389" s="457"/>
      <c r="T389" s="457"/>
      <c r="U389" s="457"/>
      <c r="V389" s="457"/>
      <c r="W389" s="457"/>
      <c r="X389" s="457"/>
      <c r="Y389" s="457"/>
      <c r="Z389" s="457"/>
      <c r="AA389" s="457"/>
      <c r="AB389" s="457"/>
      <c r="AC389" s="457"/>
      <c r="AD389" s="459" t="str">
        <f>IF(tbBudgetCurrency="AUD - Australian Dollar", "",tb_xrate)</f>
        <v/>
      </c>
    </row>
    <row r="390" spans="1:30" x14ac:dyDescent="0.3">
      <c r="A390" s="1182"/>
      <c r="B390" s="1391" t="s">
        <v>58</v>
      </c>
      <c r="C390" s="325"/>
      <c r="D390" s="1375" t="s">
        <v>47</v>
      </c>
      <c r="E390" s="1375" t="s">
        <v>48</v>
      </c>
      <c r="F390" s="1375" t="s">
        <v>49</v>
      </c>
      <c r="G390" s="1375" t="s">
        <v>50</v>
      </c>
      <c r="H390" s="1384" t="s">
        <v>310</v>
      </c>
      <c r="I390" s="1375" t="s">
        <v>311</v>
      </c>
      <c r="J390" s="1388" t="str">
        <f>"Year 1" &amp; IF(pStartYear&lt;&gt;"",IF(First_year_fraction=12," ("&amp;pStartYear&amp;") "," ("&amp;pStartYear&amp;") " &amp; "- " &amp;First_year_fraction&amp; " months"),"")</f>
        <v xml:space="preserve">Year 1 (2026) </v>
      </c>
      <c r="K390" s="1382"/>
      <c r="L390" s="1389" t="str">
        <f>"Year 2" &amp; IF(OR(pStartYear="",pStartYear+1&gt;pEndYear),"",(IF(pStartYear+1=pEndYear,(IF(Last_Year_Fraction=12," ("&amp;pStartYear+1&amp;") "," ("&amp;pStartYear+1&amp;") - "&amp;Last_Year_Fraction&amp;" months"))," ("&amp;pStartYear+1&amp;") ")))</f>
        <v xml:space="preserve">Year 2 (2027) </v>
      </c>
      <c r="M390" s="1390"/>
      <c r="N390" s="1388" t="str">
        <f>"Year 3" &amp; IF(OR(pStartYear="",pStartYear+2&gt;pEndYear),"",(IF(pStartYear+2=pEndYear,(IF(Last_Year_Fraction=12," ("&amp;pStartYear+2&amp;") "," ("&amp;pStartYear+2&amp;") - "&amp;Last_Year_Fraction&amp;" months"))," ("&amp;pStartYear+2&amp;") ")))</f>
        <v xml:space="preserve">Year 3 (2028) </v>
      </c>
      <c r="O390" s="1382"/>
      <c r="P390" s="1388" t="str">
        <f>"Year 4" &amp; IF(OR(pStartYear="",pStartYear+3&gt;pEndYear),"",(IF(pStartYear+3=pEndYear,(IF(Last_Year_Fraction=12," ("&amp;pStartYear+3&amp;") "," ("&amp;pStartYear+3&amp;") - "&amp;Last_Year_Fraction&amp;" months"))," ("&amp;pStartYear+3&amp;") ")))</f>
        <v xml:space="preserve">Year 4 (2029) </v>
      </c>
      <c r="Q390" s="1382"/>
      <c r="R390" s="1388" t="str">
        <f>"Year 5" &amp; IF(OR(pStartYear="",pStartYear+4&gt;pEndYear),"",(IF(pStartYear+4=pEndYear,(IF(Last_Year_Fraction=12," ("&amp;pStartYear+4&amp;") "," ("&amp;pStartYear+4&amp;") - "&amp;Last_Year_Fraction&amp;" months"))," ("&amp;pStartYear+4&amp;") ")))</f>
        <v xml:space="preserve">Year 5 (2030) </v>
      </c>
      <c r="S390" s="1382"/>
      <c r="T390" s="1388" t="str">
        <f>"Year 6" &amp; IF(OR(pStartYear="",pStartYear+5&gt;pEndYear),"",(IF(pStartYear+5=pEndYear,(IF(Last_Year_Fraction=12," ("&amp;pStartYear+5&amp;") "," ("&amp;pStartYear+5&amp;") - "&amp;Last_Year_Fraction&amp;" months"))," ("&amp;pStartYear+5&amp;") ")))</f>
        <v>Year 6</v>
      </c>
      <c r="U390" s="1382"/>
      <c r="V390" s="1388" t="str">
        <f>"Year 7" &amp; IF(OR(pStartYear="",pStartYear+6&gt;pEndYear),"",(IF(pStartYear+6=pEndYear,(IF(Last_Year_Fraction=12," ("&amp;pStartYear+6&amp;") "," ("&amp;pStartYear+6&amp;") - "&amp;Last_Year_Fraction&amp;" months"))," ("&amp;pStartYear+6&amp;") ")))</f>
        <v>Year 7</v>
      </c>
      <c r="W390" s="1382"/>
      <c r="X390" s="1388" t="str">
        <f>"Year 8" &amp; IF(OR(pStartYear="",pStartYear+7&gt;pEndYear),"",(IF(pStartYear+7=pEndYear,(IF(Last_Year_Fraction=12," ("&amp;pStartYear+7&amp;") "," ("&amp;pStartYear+7&amp;") - "&amp;Last_Year_Fraction&amp;" months"))," ("&amp;pStartYear+7&amp;") ")))</f>
        <v>Year 8</v>
      </c>
      <c r="Y390" s="1382"/>
      <c r="Z390" s="1388" t="str">
        <f>"Year 9" &amp; IF(OR(pStartYear="",pStartYear+8&gt;pEndYear),"",(IF(pStartYear+8=pEndYear,(IF(Last_Year_Fraction=12," ("&amp;pStartYear+8&amp;") "," ("&amp;pStartYear+8&amp;") - "&amp;Last_Year_Fraction&amp;" months"))," ("&amp;pStartYear+8&amp;") ")))</f>
        <v>Year 9</v>
      </c>
      <c r="AA390" s="1382"/>
      <c r="AB390" s="1388" t="str">
        <f>"Year 10" &amp; IF(OR(pStartYear="",pStartYear+9&gt;pEndYear),"",(IF(pStartYear+9=pEndYear,(IF(Last_Year_Fraction=12," ("&amp;pStartYear+9&amp;") "," ("&amp;pStartYear+9&amp;") - "&amp;Last_Year_Fraction&amp;" months"))," ("&amp;pStartYear+9&amp;") ")))</f>
        <v>Year 10</v>
      </c>
      <c r="AC390" s="1382"/>
      <c r="AD390" s="326" t="str">
        <f>IF(tbBudgetCurrency="AUD - Australian Dollar","Total (AUD)",CONCATENATE("Total (",LEFT(tbBudgetCurrency,3),")"))</f>
        <v>Total (AUD)</v>
      </c>
    </row>
    <row r="391" spans="1:30" ht="15" hidden="1" outlineLevel="1" thickBot="1" x14ac:dyDescent="0.35">
      <c r="A391" s="1182"/>
      <c r="B391" s="1392"/>
      <c r="C391" s="327"/>
      <c r="D391" s="1383"/>
      <c r="E391" s="1383"/>
      <c r="F391" s="1383"/>
      <c r="G391" s="1383"/>
      <c r="H391" s="1385"/>
      <c r="I391" s="1376"/>
      <c r="J391" s="278" t="s">
        <v>312</v>
      </c>
      <c r="K391" s="224" t="str">
        <f>IF(tbBudgetCurrency="AUD - Australian Dollar","Total (AUD)",CONCATENATE("Total (",LEFT(tbBudgetCurrency,3),")"))</f>
        <v>Total (AUD)</v>
      </c>
      <c r="L391" s="278" t="s">
        <v>312</v>
      </c>
      <c r="M391" s="224" t="str">
        <f>IF(tbBudgetCurrency="AUD - Australian Dollar","Total (AUD)",CONCATENATE("Total (",LEFT(tbBudgetCurrency,3),")"))</f>
        <v>Total (AUD)</v>
      </c>
      <c r="N391" s="278" t="s">
        <v>312</v>
      </c>
      <c r="O391" s="224" t="str">
        <f>IF(tbBudgetCurrency="AUD - Australian Dollar","Total (AUD)",CONCATENATE("Total (",LEFT(tbBudgetCurrency,3),")"))</f>
        <v>Total (AUD)</v>
      </c>
      <c r="P391" s="278" t="s">
        <v>312</v>
      </c>
      <c r="Q391" s="224" t="str">
        <f>IF(tbBudgetCurrency="AUD - Australian Dollar","Total (AUD)",CONCATENATE("Total (",LEFT(tbBudgetCurrency,3),")"))</f>
        <v>Total (AUD)</v>
      </c>
      <c r="R391" s="278" t="s">
        <v>312</v>
      </c>
      <c r="S391" s="224" t="str">
        <f>IF(tbBudgetCurrency="AUD - Australian Dollar","Total (AUD)",CONCATENATE("Total (",LEFT(tbBudgetCurrency,3),")"))</f>
        <v>Total (AUD)</v>
      </c>
      <c r="T391" s="278" t="s">
        <v>312</v>
      </c>
      <c r="U391" s="224" t="str">
        <f>IF(tbBudgetCurrency="AUD - Australian Dollar","Total (AUD)",CONCATENATE("Total (",LEFT(tbBudgetCurrency,3),")"))</f>
        <v>Total (AUD)</v>
      </c>
      <c r="V391" s="278" t="s">
        <v>312</v>
      </c>
      <c r="W391" s="224" t="str">
        <f>IF(tbBudgetCurrency="AUD - Australian Dollar","Total (AUD)",CONCATENATE("Total (",LEFT(tbBudgetCurrency,3),")"))</f>
        <v>Total (AUD)</v>
      </c>
      <c r="X391" s="278" t="s">
        <v>312</v>
      </c>
      <c r="Y391" s="224" t="str">
        <f>IF(tbBudgetCurrency="AUD - Australian Dollar","Total (AUD)",CONCATENATE("Total (",LEFT(tbBudgetCurrency,3),")"))</f>
        <v>Total (AUD)</v>
      </c>
      <c r="Z391" s="278" t="s">
        <v>312</v>
      </c>
      <c r="AA391" s="224" t="str">
        <f>IF(tbBudgetCurrency="AUD - Australian Dollar","Total (AUD)",CONCATENATE("Total (",LEFT(tbBudgetCurrency,3),")"))</f>
        <v>Total (AUD)</v>
      </c>
      <c r="AB391" s="278" t="s">
        <v>312</v>
      </c>
      <c r="AC391" s="224" t="str">
        <f>IF(tbBudgetCurrency="AUD - Australian Dollar","Total (AUD)",CONCATENATE("Total (",LEFT(tbBudgetCurrency,3),")"))</f>
        <v>Total (AUD)</v>
      </c>
      <c r="AD391" s="328"/>
    </row>
    <row r="392" spans="1:30" hidden="1" outlineLevel="1" x14ac:dyDescent="0.3">
      <c r="A392" s="1182"/>
      <c r="B392" s="460" t="str">
        <f>IF('PART B Staff Costs'!B53="","",'PART B Staff Costs'!B53)</f>
        <v/>
      </c>
      <c r="C392" s="460" t="str">
        <f>IF('PART B Staff Costs'!C53="","",'PART B Staff Costs'!C53)</f>
        <v xml:space="preserve"> </v>
      </c>
      <c r="D392" s="461" t="str">
        <f>IF('PART B Staff Costs'!D53="","",'PART B Staff Costs'!D53)</f>
        <v/>
      </c>
      <c r="E392" s="461" t="str">
        <f>IF('PART B Staff Costs'!E53="","",'PART B Staff Costs'!E53)</f>
        <v/>
      </c>
      <c r="F392" s="461" t="str">
        <f>IF('PART B Staff Costs'!F53="","",'PART B Staff Costs'!F53)</f>
        <v/>
      </c>
      <c r="G392" s="461" t="str">
        <f>IF('PART B Staff Costs'!G53="","",'PART B Staff Costs'!G53)</f>
        <v/>
      </c>
      <c r="H392" s="454" t="str">
        <f>CONCATENATE(IF(D392=0,"",D392)," ",IF(E392=0,"",E392)," ",IF(F392=0,"",F392),,IF(OR(G392=0,G392=""),"",CONCATENATE(" (",G392,")")))</f>
        <v xml:space="preserve">  </v>
      </c>
      <c r="I392" s="454" t="s">
        <v>313</v>
      </c>
      <c r="J392" s="333">
        <f>_xlfn.IFNA('PART B Staff Costs'!$H53*'PART B Staff Costs'!J$10,0)*new_xrate</f>
        <v>0</v>
      </c>
      <c r="K392" s="441"/>
      <c r="L392" s="334">
        <f>_xlfn.IFNA(IF(pStartYear+1&gt;pEndYear,0,VLOOKUP(CONCATENATE(
IF(OR($D392="Continuing",$D392="Fixed-Term"),"Fortnight",IF($D392="Casual","Casual",)),
$E392,
IF(OR($D392="Continuing",$D392="Fixed-Term"),
IF(LEFT($F392,6)="UOM 10","UOM 10",(LEFT($F392,LEN($F392)-1)&amp;MIN(RIGHT($F392,1)+COUNTIFS($J393:K393,"&gt;0")/2,VLOOKUP(LEFT($F392,LEN($F392)-2),tSalaryMax,2,FALSE)))),
IF($D392="Casual",
$F392,))
),tSalaryRate,5,FALSE)*VLOOKUP($G392,tSalaryRateMultiplier,2,FALSE)*'PART B Staff Costs'!L$10),0)*new_xrate</f>
        <v>0</v>
      </c>
      <c r="M392" s="449"/>
      <c r="N392" s="333">
        <f>_xlfn.IFNA(IF(pStartYear+2&gt;pEndYear,0,VLOOKUP(CONCATENATE(
IF(OR($D392="Continuing",$D392="Fixed-Term"),"Fortnight",IF($D392="Casual","Casual",)),
$E392,
IF(OR($D392="Continuing",$D392="Fixed-Term"),
IF(LEFT($F392,6)="UOM 10","UOM 10",(LEFT($F392,LEN($F392)-1)&amp;MIN(RIGHT($F392,1)+COUNTIFS($J393:M393,"&gt;0")/2,VLOOKUP(LEFT($F392,LEN($F392)-2),tSalaryMax,2,FALSE)))),
IF($D392="Casual",
$F392,))
),tSalaryRate,5,FALSE)*VLOOKUP($G392,tSalaryRateMultiplier,2,FALSE)*'PART B Staff Costs'!N$10),0)*new_xrate</f>
        <v>0</v>
      </c>
      <c r="O392" s="441"/>
      <c r="P392" s="334">
        <f>_xlfn.IFNA(IF(pStartYear+3&gt;pEndYear,0,VLOOKUP(CONCATENATE(
IF(OR($D392="Continuing",$D392="Fixed-Term"),"Fortnight",IF($D392="Casual","Casual",)),
$E392,
IF(OR($D392="Continuing",$D392="Fixed-Term"),
IF(LEFT($F392,6)="UOM 10","UOM 10",(LEFT($F392,LEN($F392)-1)&amp;MIN(RIGHT($F392,1)+COUNTIFS($J393:O393,"&gt;0")/2,VLOOKUP(LEFT($F392,LEN($F392)-2),tSalaryMax,2,FALSE)))),
IF($D392="Casual",
$F392,))
),tSalaryRate,5,FALSE)*VLOOKUP($G392,tSalaryRateMultiplier,2,FALSE)*'PART B Staff Costs'!P$10),0)*new_xrate</f>
        <v>0</v>
      </c>
      <c r="Q392" s="449"/>
      <c r="R392" s="333">
        <f>_xlfn.IFNA(IF(pStartYear+4&gt;pEndYear,0,VLOOKUP(CONCATENATE(
IF(OR($D392="Continuing",$D392="Fixed-Term"),"Fortnight",IF($D392="Casual","Casual",)),
$E392,
IF(OR($D392="Continuing",$D392="Fixed-Term"),
IF(LEFT($F392,6)="UOM 10","UOM 10",(LEFT($F392,LEN($F392)-1)&amp;MIN(RIGHT($F392,1)+COUNTIFS($J393:Q393,"&gt;0")/2,VLOOKUP(LEFT($F392,LEN($F392)-2),tSalaryMax,2,FALSE)))),
IF($D392="Casual",
$F392,))
),tSalaryRate,5,FALSE)*VLOOKUP($G392,tSalaryRateMultiplier,2,FALSE)*'PART B Staff Costs'!R$10),0)*new_xrate</f>
        <v>0</v>
      </c>
      <c r="S392" s="441"/>
      <c r="T392" s="334">
        <f>_xlfn.IFNA(IF(pStartYear+5&gt;pEndYear,0,VLOOKUP(CONCATENATE(
IF(OR($D392="Continuing",$D392="Fixed-Term"),"Fortnight",IF($D392="Casual","Casual",)),
$E392,
IF(OR($D392="Continuing",$D392="Fixed-Term"),
IF(LEFT($F392,6)="UOM 10","UOM 10",(LEFT($F392,LEN($F392)-1)&amp;MIN(RIGHT($F392,1)+COUNTIFS($J393:S393,"&gt;0")/2,VLOOKUP(LEFT($F392,LEN($F392)-2),tSalaryMax,2,FALSE)))),
IF($D392="Casual",
$F392,))
),tSalaryRate,5,FALSE)*VLOOKUP($G392,tSalaryRateMultiplier,2,FALSE)*'PART B Staff Costs'!T$10),0)*new_xrate</f>
        <v>0</v>
      </c>
      <c r="U392" s="449"/>
      <c r="V392" s="333">
        <f>_xlfn.IFNA(IF(pStartYear+6&gt;pEndYear,0,VLOOKUP(CONCATENATE(
IF(OR($D392="Continuing",$D392="Fixed-Term"),"Fortnight",IF($D392="Casual","Casual",)),
$E392,
IF(OR($D392="Continuing",$D392="Fixed-Term"),
IF(LEFT($F392,6)="UOM 10","UOM 10",(LEFT($F392,LEN($F392)-1)&amp;MIN(RIGHT($F392,1)+COUNTIFS($J393:U393,"&gt;0")/2,VLOOKUP(LEFT($F392,LEN($F392)-2),tSalaryMax,2,FALSE)))),
IF($D392="Casual",
$F392,))
),tSalaryRate,5,FALSE)*VLOOKUP($G392,tSalaryRateMultiplier,2,FALSE)*'PART B Staff Costs'!V$10),0)*new_xrate</f>
        <v>0</v>
      </c>
      <c r="W392" s="441"/>
      <c r="X392" s="334">
        <f>_xlfn.IFNA(IF(pStartYear+7&gt;pEndYear,0,VLOOKUP(CONCATENATE(
IF(OR($D392="Continuing",$D392="Fixed-Term"),"Fortnight",IF($D392="Casual","Casual",)),
$E392,
IF(OR($D392="Continuing",$D392="Fixed-Term"),
IF(LEFT($F392,6)="UOM 10","UOM 10",(LEFT($F392,LEN($F392)-1)&amp;MIN(RIGHT($F392,1)+COUNTIFS($J393:W393,"&gt;0")/2,VLOOKUP(LEFT($F392,LEN($F392)-2),tSalaryMax,2,FALSE)))),
IF($D392="Casual",
$F392,))
),tSalaryRate,5,FALSE)*VLOOKUP($G392,tSalaryRateMultiplier,2,FALSE)*'PART B Staff Costs'!X$10),0)*new_xrate</f>
        <v>0</v>
      </c>
      <c r="Y392" s="449"/>
      <c r="Z392" s="333">
        <f>_xlfn.IFNA(IF(pStartYear+8&gt;pEndYear,0,VLOOKUP(CONCATENATE(
IF(OR($D392="Continuing",$D392="Fixed-Term"),"Fortnight",IF($D392="Casual","Casual",)),
$E392,
IF(OR($D392="Continuing",$D392="Fixed-Term"),
IF(LEFT($F392,6)="UOM 10","UOM 10",(LEFT($F392,LEN($F392)-1)&amp;MIN(RIGHT($F392,1)+COUNTIFS($J393:Y393,"&gt;0")/2,VLOOKUP(LEFT($F392,LEN($F392)-2),tSalaryMax,2,FALSE)))),
IF($D392="Casual",
$F392,))
),tSalaryRate,5,FALSE)*VLOOKUP($G392,tSalaryRateMultiplier,2,FALSE)*'PART B Staff Costs'!Z$10),0)*new_xrate</f>
        <v>0</v>
      </c>
      <c r="AA392" s="441"/>
      <c r="AB392" s="334">
        <f>_xlfn.IFNA(IF(pStartYear+9&gt;pEndYear,0,VLOOKUP(CONCATENATE(
IF(OR($D392="Continuing",$D392="Fixed-Term"),"Fortnight",IF($D392="Casual","Casual",)),
$E392,
IF(OR($D392="Continuing",$D392="Fixed-Term"),
IF(LEFT($F392,6)="UOM 10","UOM 10",(LEFT($F392,LEN($F392)-1)&amp;MIN(RIGHT($F392,1)+COUNTIFS($J393:AA393,"&gt;0")/2,VLOOKUP(LEFT($F392,LEN($F392)-2),tSalaryMax,2,FALSE)))),
IF($D392="Casual",
$F392,))
),tSalaryRate,5,FALSE)*VLOOKUP($G392,tSalaryRateMultiplier,2,FALSE)*'PART B Staff Costs'!AB$10),0)*new_xrate</f>
        <v>0</v>
      </c>
      <c r="AC392" s="449"/>
      <c r="AD392" s="335"/>
    </row>
    <row r="393" spans="1:30" hidden="1" outlineLevel="1" x14ac:dyDescent="0.3">
      <c r="A393" s="1182"/>
      <c r="B393" s="1377"/>
      <c r="C393" s="1377"/>
      <c r="D393" s="1377"/>
      <c r="E393" s="1377"/>
      <c r="F393" s="1377"/>
      <c r="G393" s="1377"/>
      <c r="H393" s="1378"/>
      <c r="I393" s="455" t="str">
        <f>IF('PART B Staff Costs'!G388&lt;&gt;"",CONCATENATE("Time/Requested salary"," (",'PART B Staff Costs'!G388,")"),"Time/Requested salary")</f>
        <v>Time/Requested salary</v>
      </c>
      <c r="J393" s="337">
        <f>_xlfn.IFNA('PART B Staff Costs'!I53,0)</f>
        <v>0</v>
      </c>
      <c r="K393" s="442">
        <f>IF('PART B Staff Costs'!$G$53="FTE",J393*J392*(First_year_fraction/12),J393*J392)</f>
        <v>0</v>
      </c>
      <c r="L393" s="338">
        <f>_xlfn.IFNA('PART B Staff Costs'!K53,0)</f>
        <v>0</v>
      </c>
      <c r="M393" s="450">
        <f>IF(pStartYear+1=pEndYear,IF('PART B Staff Costs'!$G$53="FTE",(L393*L392)*Last_Year_Fraction/12,L393*L392),L393*L392)</f>
        <v>0</v>
      </c>
      <c r="N393" s="337">
        <f>_xlfn.IFNA('PART B Staff Costs'!M53,0)</f>
        <v>0</v>
      </c>
      <c r="O393" s="442">
        <f>IF(pStartYear+2=pEndYear,IF('PART B Staff Costs'!$G$53="FTE",(N393*N392)*Last_Year_Fraction/12,N393*N392),N393*N392)</f>
        <v>0</v>
      </c>
      <c r="P393" s="338">
        <f>_xlfn.IFNA('PART B Staff Costs'!O53,0)</f>
        <v>0</v>
      </c>
      <c r="Q393" s="450">
        <f>IF(pStartYear+3=pEndYear,IF('PART B Staff Costs'!$G$53="FTE",(P393*P392)*Last_Year_Fraction/12,P393*P392),P393*P392)</f>
        <v>0</v>
      </c>
      <c r="R393" s="337">
        <f>_xlfn.IFNA('PART B Staff Costs'!Q53,0)</f>
        <v>0</v>
      </c>
      <c r="S393" s="442">
        <f>IF(pStartYear+4=pEndYear,IF('PART B Staff Costs'!$G$53="FTE",(R393*R392)*Last_Year_Fraction/12,R393*R392),R393*R392)</f>
        <v>0</v>
      </c>
      <c r="T393" s="338">
        <f>_xlfn.IFNA('PART B Staff Costs'!S53,0)</f>
        <v>0</v>
      </c>
      <c r="U393" s="450">
        <f>IF(pStartYear+5=pEndYear,IF('PART B Staff Costs'!$G$53="FTE",(T393*T392)*Last_Year_Fraction/12,T393*T392),T393*T392)</f>
        <v>0</v>
      </c>
      <c r="V393" s="337">
        <f>_xlfn.IFNA('PART B Staff Costs'!U53,0)</f>
        <v>0</v>
      </c>
      <c r="W393" s="442">
        <f>IF(pStartYear+6=pEndYear,IF('PART B Staff Costs'!$G$53="FTE",(V393*V392)*Last_Year_Fraction/12,V393*V392),V393*V392)</f>
        <v>0</v>
      </c>
      <c r="X393" s="338">
        <f>_xlfn.IFNA('PART B Staff Costs'!W53,0)</f>
        <v>0</v>
      </c>
      <c r="Y393" s="450">
        <f>IF(pStartYear+7=pEndYear,IF('PART B Staff Costs'!$G$53="FTE",(X393*X392)*Last_Year_Fraction/12,X393*X392),X393*X392)</f>
        <v>0</v>
      </c>
      <c r="Z393" s="337">
        <f>_xlfn.IFNA('PART B Staff Costs'!Y53,0)</f>
        <v>0</v>
      </c>
      <c r="AA393" s="442">
        <f>IF(pStartYear+8=pEndYear,IF('PART B Staff Costs'!$G$53="FTE",(Z393*Z392)*Last_Year_Fraction/12,Z393*Z392),Z393*Z392)</f>
        <v>0</v>
      </c>
      <c r="AB393" s="338">
        <f>_xlfn.IFNA('PART B Staff Costs'!AA53,0)</f>
        <v>0</v>
      </c>
      <c r="AC393" s="450">
        <f>IF(pStartYear+9=pEndYear,IF('PART B Staff Costs'!$G$53="FTE",(AB393*AB392)*Last_Year_Fraction/12,AB393*AB392),AB393*AB392)</f>
        <v>0</v>
      </c>
      <c r="AD393" s="335"/>
    </row>
    <row r="394" spans="1:30" hidden="1" outlineLevel="1" x14ac:dyDescent="0.3">
      <c r="A394" s="1182"/>
      <c r="B394" s="1379"/>
      <c r="C394" s="1379"/>
      <c r="D394" s="1379"/>
      <c r="E394" s="1379"/>
      <c r="F394" s="1379"/>
      <c r="G394" s="1379"/>
      <c r="H394" s="1380"/>
      <c r="I394" s="455" t="str">
        <f>IF(tbBudgetCurrency="AUD - Australian Dollar",CONCATENATE("Leave Loading (max of AU$",vl_Max_Leave_Loading,")"),CONCATENATE("Leave Loading (max of ",ROUND(vl_Max_Leave_Loading*new_xrate,2)," ",LEFT(tbBudgetCurrency,3),")"))</f>
        <v>Leave Loading (max of AU$1611.3)</v>
      </c>
      <c r="J394" s="339">
        <f>_xlfn.IFNA(VLOOKUP($D392,tbLeaveLoading,2,FALSE),0)</f>
        <v>0</v>
      </c>
      <c r="K394" s="443">
        <f>IF(K393*J394&gt;vl_Max_Leave_Loading*new_xrate,vl_Max_Leave_Loading*new_xrate,K393*J394)</f>
        <v>0</v>
      </c>
      <c r="L394" s="340">
        <f>_xlfn.IFNA(VLOOKUP($D392,tbLeaveLoading,2,FALSE),0)</f>
        <v>0</v>
      </c>
      <c r="M394" s="451">
        <f>IF(M393*L394&gt;vl_Max_Leave_Loading*new_xrate,vl_Max_Leave_Loading*new_xrate,M393*L394)</f>
        <v>0</v>
      </c>
      <c r="N394" s="339">
        <f>_xlfn.IFNA(VLOOKUP($D392,tbLeaveLoading,2,FALSE),0)</f>
        <v>0</v>
      </c>
      <c r="O394" s="443">
        <f>IF(O393*N394&gt;vl_Max_Leave_Loading*new_xrate,vl_Max_Leave_Loading*new_xrate,O393*N394)</f>
        <v>0</v>
      </c>
      <c r="P394" s="340">
        <f>_xlfn.IFNA(VLOOKUP($D392,tbLeaveLoading,2,FALSE),0)</f>
        <v>0</v>
      </c>
      <c r="Q394" s="451">
        <f>IF(Q393*P394&gt;vl_Max_Leave_Loading*new_xrate,vl_Max_Leave_Loading*new_xrate,Q393*P394)</f>
        <v>0</v>
      </c>
      <c r="R394" s="339">
        <f>_xlfn.IFNA(VLOOKUP($D392,tbLeaveLoading,2,FALSE),0)</f>
        <v>0</v>
      </c>
      <c r="S394" s="443">
        <f>IF(S393*R394&gt;vl_Max_Leave_Loading*new_xrate,vl_Max_Leave_Loading*new_xrate,S393*R394)</f>
        <v>0</v>
      </c>
      <c r="T394" s="340">
        <f>_xlfn.IFNA(VLOOKUP($D392,tbLeaveLoading,2,FALSE),0)</f>
        <v>0</v>
      </c>
      <c r="U394" s="451">
        <f>IF(U393*T394&gt;vl_Max_Leave_Loading*new_xrate,vl_Max_Leave_Loading*new_xrate,U393*T394)</f>
        <v>0</v>
      </c>
      <c r="V394" s="339">
        <f>_xlfn.IFNA(VLOOKUP($D392,tbLeaveLoading,2,FALSE),0)</f>
        <v>0</v>
      </c>
      <c r="W394" s="443">
        <f>IF(W393*V394&gt;vl_Max_Leave_Loading*new_xrate,vl_Max_Leave_Loading*new_xrate,W393*V394)</f>
        <v>0</v>
      </c>
      <c r="X394" s="340">
        <f>_xlfn.IFNA(VLOOKUP($D392,tbLeaveLoading,2,FALSE),0)</f>
        <v>0</v>
      </c>
      <c r="Y394" s="451">
        <f>IF(Y393*X394&gt;vl_Max_Leave_Loading*new_xrate,vl_Max_Leave_Loading*new_xrate,Y393*X394)</f>
        <v>0</v>
      </c>
      <c r="Z394" s="339">
        <f>_xlfn.IFNA(VLOOKUP($D392,tbLeaveLoading,2,FALSE),0)</f>
        <v>0</v>
      </c>
      <c r="AA394" s="443">
        <f>IF(AA393*Z394&gt;vl_Max_Leave_Loading*new_xrate,vl_Max_Leave_Loading*new_xrate,AA393*Z394)</f>
        <v>0</v>
      </c>
      <c r="AB394" s="340">
        <f>_xlfn.IFNA(VLOOKUP($D392,tbLeaveLoading,2,FALSE),0)</f>
        <v>0</v>
      </c>
      <c r="AC394" s="451">
        <f>IF(AC393*AB394&gt;vl_Max_Leave_Loading*new_xrate,vl_Max_Leave_Loading*new_xrate,AC393*AB394)</f>
        <v>0</v>
      </c>
      <c r="AD394" s="335"/>
    </row>
    <row r="395" spans="1:30" hidden="1" outlineLevel="1" x14ac:dyDescent="0.3">
      <c r="A395" s="1182"/>
      <c r="B395" s="1379"/>
      <c r="C395" s="1379"/>
      <c r="D395" s="1379"/>
      <c r="E395" s="1379"/>
      <c r="F395" s="1379"/>
      <c r="G395" s="1379"/>
      <c r="H395" s="1380"/>
      <c r="I395" s="455" t="s">
        <v>314</v>
      </c>
      <c r="J395" s="339">
        <f>_xlfn.IFNA(_xlfn.IFNA(VLOOKUP(CONCATENATE(pStartYear,$D392),tbSuperannuation,4,FALSE),VLOOKUP($D392,tbSuperannuation2026onwards,2,FALSE)),0)</f>
        <v>0</v>
      </c>
      <c r="K395" s="443">
        <f>K393*J395</f>
        <v>0</v>
      </c>
      <c r="L395" s="340">
        <f>_xlfn.IFNA(_xlfn.IFNA(VLOOKUP(CONCATENATE(pStartYear+1,$D392),tbSuperannuation,4,FALSE),VLOOKUP($D392,tbSuperannuation2026onwards,2,FALSE)),0)</f>
        <v>0</v>
      </c>
      <c r="M395" s="451">
        <f t="shared" ref="M395" si="1681">M393*L395</f>
        <v>0</v>
      </c>
      <c r="N395" s="339">
        <f>_xlfn.IFNA(_xlfn.IFNA(VLOOKUP(CONCATENATE(pStartYear+2,$D392),tbSuperannuation,4,FALSE),VLOOKUP($D392,tbSuperannuation2026onwards,2,FALSE)),0)</f>
        <v>0</v>
      </c>
      <c r="O395" s="443">
        <f>O393*N395</f>
        <v>0</v>
      </c>
      <c r="P395" s="340">
        <f>_xlfn.IFNA(_xlfn.IFNA(VLOOKUP(CONCATENATE(pStartYear+3,$D392),tbSuperannuation,4,FALSE),VLOOKUP($D392,tbSuperannuation2026onwards,2,FALSE)),0)</f>
        <v>0</v>
      </c>
      <c r="Q395" s="451">
        <f t="shared" ref="Q395" si="1682">Q393*P395</f>
        <v>0</v>
      </c>
      <c r="R395" s="339">
        <f>_xlfn.IFNA(_xlfn.IFNA(VLOOKUP(CONCATENATE(pStartYear+4,$D392),tbSuperannuation,4,FALSE),VLOOKUP($D392,tbSuperannuation2026onwards,2,FALSE)),0)</f>
        <v>0</v>
      </c>
      <c r="S395" s="443">
        <f>S393*R395</f>
        <v>0</v>
      </c>
      <c r="T395" s="340">
        <f>_xlfn.IFNA(_xlfn.IFNA(VLOOKUP(CONCATENATE(pStartYear+5,$D392),tbSuperannuation,4,FALSE),VLOOKUP($D392,tbSuperannuation2026onwards,2,FALSE)),0)</f>
        <v>0</v>
      </c>
      <c r="U395" s="451">
        <f t="shared" ref="U395" si="1683">U393*T395</f>
        <v>0</v>
      </c>
      <c r="V395" s="339">
        <f>_xlfn.IFNA(_xlfn.IFNA(VLOOKUP(CONCATENATE(pStartYear+6,$D392),tbSuperannuation,4,FALSE),VLOOKUP($D392,tbSuperannuation2026onwards,2,FALSE)),0)</f>
        <v>0</v>
      </c>
      <c r="W395" s="443">
        <f>W393*V395</f>
        <v>0</v>
      </c>
      <c r="X395" s="340">
        <f>_xlfn.IFNA(_xlfn.IFNA(VLOOKUP(CONCATENATE(pStartYear+7,$D392),tbSuperannuation,4,FALSE),VLOOKUP($D392,tbSuperannuation2026onwards,2,FALSE)),0)</f>
        <v>0</v>
      </c>
      <c r="Y395" s="451">
        <f t="shared" ref="Y395" si="1684">Y393*X395</f>
        <v>0</v>
      </c>
      <c r="Z395" s="339">
        <f>_xlfn.IFNA(_xlfn.IFNA(VLOOKUP(CONCATENATE(pStartYear+8,$D392),tbSuperannuation,4,FALSE),VLOOKUP($D392,tbSuperannuation2026onwards,2,FALSE)),0)</f>
        <v>0</v>
      </c>
      <c r="AA395" s="443">
        <f>AA393*Z395</f>
        <v>0</v>
      </c>
      <c r="AB395" s="340">
        <f>_xlfn.IFNA(_xlfn.IFNA(VLOOKUP(CONCATENATE(pStartYear+9,$D392),tbSuperannuation,4,FALSE),VLOOKUP($D392,tbSuperannuation2026onwards,2,FALSE)),0)</f>
        <v>0</v>
      </c>
      <c r="AC395" s="451">
        <f t="shared" ref="AC395" si="1685">AC393*AB395</f>
        <v>0</v>
      </c>
      <c r="AD395" s="335"/>
    </row>
    <row r="396" spans="1:30" hidden="1" outlineLevel="1" x14ac:dyDescent="0.3">
      <c r="A396" s="1182"/>
      <c r="B396" s="1379"/>
      <c r="C396" s="1379"/>
      <c r="D396" s="1379"/>
      <c r="E396" s="1379"/>
      <c r="F396" s="1379"/>
      <c r="G396" s="1379"/>
      <c r="H396" s="1380"/>
      <c r="I396" s="341" t="s">
        <v>315</v>
      </c>
      <c r="J396" s="342"/>
      <c r="K396" s="444">
        <f>K394+K395+K393</f>
        <v>0</v>
      </c>
      <c r="L396" s="342"/>
      <c r="M396" s="444">
        <f t="shared" ref="M396" si="1686">M394+M395+M393</f>
        <v>0</v>
      </c>
      <c r="N396" s="342"/>
      <c r="O396" s="444">
        <f>O394+O395+O393</f>
        <v>0</v>
      </c>
      <c r="P396" s="342"/>
      <c r="Q396" s="444">
        <f t="shared" ref="Q396" si="1687">Q394+Q395+Q393</f>
        <v>0</v>
      </c>
      <c r="R396" s="342"/>
      <c r="S396" s="444">
        <f>S394+S395+S393</f>
        <v>0</v>
      </c>
      <c r="T396" s="342"/>
      <c r="U396" s="444">
        <f t="shared" ref="U396" si="1688">U394+U395+U393</f>
        <v>0</v>
      </c>
      <c r="V396" s="342"/>
      <c r="W396" s="444">
        <f>W394+W395+W393</f>
        <v>0</v>
      </c>
      <c r="X396" s="342"/>
      <c r="Y396" s="444">
        <f t="shared" ref="Y396" si="1689">Y394+Y395+Y393</f>
        <v>0</v>
      </c>
      <c r="Z396" s="342"/>
      <c r="AA396" s="444">
        <f>AA394+AA395+AA393</f>
        <v>0</v>
      </c>
      <c r="AB396" s="342"/>
      <c r="AC396" s="444">
        <f t="shared" ref="AC396" si="1690">AC394+AC395+AC393</f>
        <v>0</v>
      </c>
      <c r="AD396" s="335">
        <f t="shared" ref="AD396:AD409" si="1691">IFERROR($K396+$M396+$O396+$Q396+$S396+$U396+$W396+$Y396+$AA396+$AC396,0)</f>
        <v>0</v>
      </c>
    </row>
    <row r="397" spans="1:30" hidden="1" outlineLevel="1" x14ac:dyDescent="0.3">
      <c r="A397" s="1182"/>
      <c r="B397" s="1379"/>
      <c r="C397" s="1379"/>
      <c r="D397" s="1379"/>
      <c r="E397" s="1379"/>
      <c r="F397" s="1379"/>
      <c r="G397" s="1379"/>
      <c r="H397" s="1380"/>
      <c r="I397" s="455" t="s">
        <v>316</v>
      </c>
      <c r="J397" s="339">
        <f>_xlfn.IFNA(_xlfn.IFNA(VLOOKUP(pStartYear,tbPayrollTax,2,FALSE),vl_MaxPayrollTax),0)</f>
        <v>5.8500000000000003E-2</v>
      </c>
      <c r="K397" s="443">
        <f>J397*K396</f>
        <v>0</v>
      </c>
      <c r="L397" s="340">
        <f>_xlfn.IFNA(_xlfn.IFNA(VLOOKUP(pStartYear+1,tbPayrollTax,2,FALSE),vl_MaxPayrollTax),0)</f>
        <v>5.8500000000000003E-2</v>
      </c>
      <c r="M397" s="451">
        <f>L397*M396</f>
        <v>0</v>
      </c>
      <c r="N397" s="339">
        <f>_xlfn.IFNA(_xlfn.IFNA(VLOOKUP(pStartYear+2,tbPayrollTax,2,FALSE),vl_MaxPayrollTax),0)</f>
        <v>5.8500000000000003E-2</v>
      </c>
      <c r="O397" s="443">
        <f>N397*O396</f>
        <v>0</v>
      </c>
      <c r="P397" s="340">
        <f>_xlfn.IFNA(_xlfn.IFNA(VLOOKUP(pStartYear+3,tbPayrollTax,2,FALSE),vl_MaxPayrollTax),0)</f>
        <v>5.8500000000000003E-2</v>
      </c>
      <c r="Q397" s="451">
        <f t="shared" ref="Q397" si="1692">P397*Q396</f>
        <v>0</v>
      </c>
      <c r="R397" s="339">
        <f>_xlfn.IFNA(_xlfn.IFNA(VLOOKUP(pStartYear+4,tbPayrollTax,2,FALSE),vl_MaxPayrollTax),0)</f>
        <v>5.8500000000000003E-2</v>
      </c>
      <c r="S397" s="443">
        <f>R397*S396</f>
        <v>0</v>
      </c>
      <c r="T397" s="340">
        <f>_xlfn.IFNA(_xlfn.IFNA(VLOOKUP(pStartYear+5,tbPayrollTax,2,FALSE),vl_MaxPayrollTax),0)</f>
        <v>5.8500000000000003E-2</v>
      </c>
      <c r="U397" s="451">
        <f t="shared" ref="U397" si="1693">T397*U396</f>
        <v>0</v>
      </c>
      <c r="V397" s="339">
        <f>_xlfn.IFNA(_xlfn.IFNA(VLOOKUP(pStartYear+6,tbPayrollTax,2,FALSE),vl_MaxPayrollTax),0)</f>
        <v>5.8500000000000003E-2</v>
      </c>
      <c r="W397" s="443">
        <f>V397*W396</f>
        <v>0</v>
      </c>
      <c r="X397" s="340">
        <f>_xlfn.IFNA(_xlfn.IFNA(VLOOKUP(pStartYear+7,tbPayrollTax,2,FALSE),vl_MaxPayrollTax),0)</f>
        <v>5.8500000000000003E-2</v>
      </c>
      <c r="Y397" s="451">
        <f t="shared" ref="Y397" si="1694">X397*Y396</f>
        <v>0</v>
      </c>
      <c r="Z397" s="339">
        <f>_xlfn.IFNA(_xlfn.IFNA(VLOOKUP(pStartYear+8,tbPayrollTax,2,FALSE),vl_MaxPayrollTax),0)</f>
        <v>5.8500000000000003E-2</v>
      </c>
      <c r="AA397" s="443">
        <f>Z397*AA396</f>
        <v>0</v>
      </c>
      <c r="AB397" s="340">
        <f>_xlfn.IFNA(_xlfn.IFNA(VLOOKUP(pStartYear+9,tbPayrollTax,2,FALSE),vl_MaxPayrollTax),0)</f>
        <v>5.8500000000000003E-2</v>
      </c>
      <c r="AC397" s="451">
        <f t="shared" ref="AC397" si="1695">AB397*AC396</f>
        <v>0</v>
      </c>
      <c r="AD397" s="335"/>
    </row>
    <row r="398" spans="1:30" hidden="1" outlineLevel="1" x14ac:dyDescent="0.3">
      <c r="A398" s="1182"/>
      <c r="B398" s="1379"/>
      <c r="C398" s="1379"/>
      <c r="D398" s="1379"/>
      <c r="E398" s="1379"/>
      <c r="F398" s="1379"/>
      <c r="G398" s="1379"/>
      <c r="H398" s="1380"/>
      <c r="I398" s="455" t="s">
        <v>317</v>
      </c>
      <c r="J398" s="339">
        <f>_xlfn.IFNA(VLOOKUP($D392,tbWorkCover,2,FALSE),0)</f>
        <v>0</v>
      </c>
      <c r="K398" s="443">
        <f>J398*K396</f>
        <v>0</v>
      </c>
      <c r="L398" s="340">
        <f>_xlfn.IFNA(VLOOKUP($D392,tbWorkCover,2,FALSE),0)</f>
        <v>0</v>
      </c>
      <c r="M398" s="451">
        <f t="shared" ref="M398" si="1696">L398*M396</f>
        <v>0</v>
      </c>
      <c r="N398" s="339">
        <f>_xlfn.IFNA(VLOOKUP($D392,tbWorkCover,2,FALSE),0)</f>
        <v>0</v>
      </c>
      <c r="O398" s="443">
        <f>N398*O396</f>
        <v>0</v>
      </c>
      <c r="P398" s="340">
        <f>_xlfn.IFNA(VLOOKUP($D392,tbWorkCover,2,FALSE),0)</f>
        <v>0</v>
      </c>
      <c r="Q398" s="451">
        <f t="shared" ref="Q398" si="1697">P398*Q396</f>
        <v>0</v>
      </c>
      <c r="R398" s="339">
        <f>_xlfn.IFNA(VLOOKUP($D392,tbWorkCover,2,FALSE),0)</f>
        <v>0</v>
      </c>
      <c r="S398" s="443">
        <f>R398*S396</f>
        <v>0</v>
      </c>
      <c r="T398" s="340">
        <f>_xlfn.IFNA(VLOOKUP($D392,tbWorkCover,2,FALSE),0)</f>
        <v>0</v>
      </c>
      <c r="U398" s="451">
        <f t="shared" ref="U398" si="1698">T398*U396</f>
        <v>0</v>
      </c>
      <c r="V398" s="339">
        <f>_xlfn.IFNA(VLOOKUP($D392,tbWorkCover,2,FALSE),0)</f>
        <v>0</v>
      </c>
      <c r="W398" s="443">
        <f>V398*W396</f>
        <v>0</v>
      </c>
      <c r="X398" s="340">
        <f>_xlfn.IFNA(VLOOKUP($D392,tbWorkCover,2,FALSE),0)</f>
        <v>0</v>
      </c>
      <c r="Y398" s="451">
        <f t="shared" ref="Y398" si="1699">X398*Y396</f>
        <v>0</v>
      </c>
      <c r="Z398" s="339">
        <f>_xlfn.IFNA(VLOOKUP($D392,tbWorkCover,2,FALSE),0)</f>
        <v>0</v>
      </c>
      <c r="AA398" s="443">
        <f>Z398*AA396</f>
        <v>0</v>
      </c>
      <c r="AB398" s="340">
        <f>_xlfn.IFNA(VLOOKUP($D392,tbWorkCover,2,FALSE),0)</f>
        <v>0</v>
      </c>
      <c r="AC398" s="451">
        <f t="shared" ref="AC398" si="1700">AB398*AC396</f>
        <v>0</v>
      </c>
      <c r="AD398" s="335"/>
    </row>
    <row r="399" spans="1:30" hidden="1" outlineLevel="1" x14ac:dyDescent="0.3">
      <c r="A399" s="1182"/>
      <c r="B399" s="1379"/>
      <c r="C399" s="1379"/>
      <c r="D399" s="1379"/>
      <c r="E399" s="1379"/>
      <c r="F399" s="1379"/>
      <c r="G399" s="1379"/>
      <c r="H399" s="1380"/>
      <c r="I399" s="455" t="s">
        <v>318</v>
      </c>
      <c r="J399" s="339">
        <f>_xlfn.IFNA(VLOOKUP($D392,tbLongServiceLeave,2,FALSE),0)</f>
        <v>0</v>
      </c>
      <c r="K399" s="443">
        <f>J399*K393</f>
        <v>0</v>
      </c>
      <c r="L399" s="340">
        <f>_xlfn.IFNA(VLOOKUP($D392,tbLongServiceLeave,2,FALSE),0)</f>
        <v>0</v>
      </c>
      <c r="M399" s="451">
        <f t="shared" ref="M399" si="1701">L399*M393</f>
        <v>0</v>
      </c>
      <c r="N399" s="339">
        <f>_xlfn.IFNA(VLOOKUP($D392,tbLongServiceLeave,2,FALSE),0)</f>
        <v>0</v>
      </c>
      <c r="O399" s="443">
        <f>N399*O393</f>
        <v>0</v>
      </c>
      <c r="P399" s="340">
        <f>_xlfn.IFNA(VLOOKUP($D392,tbLongServiceLeave,2,FALSE),0)</f>
        <v>0</v>
      </c>
      <c r="Q399" s="451">
        <f t="shared" ref="Q399" si="1702">P399*Q393</f>
        <v>0</v>
      </c>
      <c r="R399" s="339">
        <f>_xlfn.IFNA(VLOOKUP($D392,tbLongServiceLeave,2,FALSE),0)</f>
        <v>0</v>
      </c>
      <c r="S399" s="443">
        <f>R399*S393</f>
        <v>0</v>
      </c>
      <c r="T399" s="340">
        <f>_xlfn.IFNA(VLOOKUP($D392,tbLongServiceLeave,2,FALSE),0)</f>
        <v>0</v>
      </c>
      <c r="U399" s="451">
        <f t="shared" ref="U399" si="1703">T399*U393</f>
        <v>0</v>
      </c>
      <c r="V399" s="339">
        <f>_xlfn.IFNA(VLOOKUP($D392,tbLongServiceLeave,2,FALSE),0)</f>
        <v>0</v>
      </c>
      <c r="W399" s="443">
        <f>V399*W393</f>
        <v>0</v>
      </c>
      <c r="X399" s="340">
        <f>_xlfn.IFNA(VLOOKUP($D392,tbLongServiceLeave,2,FALSE),0)</f>
        <v>0</v>
      </c>
      <c r="Y399" s="451">
        <f t="shared" ref="Y399" si="1704">X399*Y393</f>
        <v>0</v>
      </c>
      <c r="Z399" s="339">
        <f>_xlfn.IFNA(VLOOKUP($D392,tbLongServiceLeave,2,FALSE),0)</f>
        <v>0</v>
      </c>
      <c r="AA399" s="443">
        <f>Z399*AA393</f>
        <v>0</v>
      </c>
      <c r="AB399" s="340">
        <f>_xlfn.IFNA(VLOOKUP($D392,tbLongServiceLeave,2,FALSE),0)</f>
        <v>0</v>
      </c>
      <c r="AC399" s="451">
        <f t="shared" ref="AC399" si="1705">AB399*AC393</f>
        <v>0</v>
      </c>
      <c r="AD399" s="335"/>
    </row>
    <row r="400" spans="1:30" hidden="1" outlineLevel="1" x14ac:dyDescent="0.3">
      <c r="A400" s="1182"/>
      <c r="B400" s="1379"/>
      <c r="C400" s="1379"/>
      <c r="D400" s="1379"/>
      <c r="E400" s="1379"/>
      <c r="F400" s="1379"/>
      <c r="G400" s="1379"/>
      <c r="H400" s="1380"/>
      <c r="I400" s="455" t="s">
        <v>319</v>
      </c>
      <c r="J400" s="339">
        <f>_xlfn.IFNA(VLOOKUP($D392,tbParentalLeave,2,FALSE),0)</f>
        <v>0</v>
      </c>
      <c r="K400" s="443">
        <f>J400*K393</f>
        <v>0</v>
      </c>
      <c r="L400" s="340">
        <f>_xlfn.IFNA(VLOOKUP($D392,tbParentalLeave,2,FALSE),0)</f>
        <v>0</v>
      </c>
      <c r="M400" s="451">
        <f t="shared" ref="M400" si="1706">L400*M393</f>
        <v>0</v>
      </c>
      <c r="N400" s="339">
        <f>_xlfn.IFNA(VLOOKUP($D392,tbParentalLeave,2,FALSE),0)</f>
        <v>0</v>
      </c>
      <c r="O400" s="443">
        <f>N400*O393</f>
        <v>0</v>
      </c>
      <c r="P400" s="340">
        <f>_xlfn.IFNA(VLOOKUP($D392,tbParentalLeave,2,FALSE),0)</f>
        <v>0</v>
      </c>
      <c r="Q400" s="451">
        <f t="shared" ref="Q400" si="1707">P400*Q393</f>
        <v>0</v>
      </c>
      <c r="R400" s="339">
        <f>_xlfn.IFNA(VLOOKUP($D392,tbParentalLeave,2,FALSE),0)</f>
        <v>0</v>
      </c>
      <c r="S400" s="443">
        <f>R400*S393</f>
        <v>0</v>
      </c>
      <c r="T400" s="340">
        <f>_xlfn.IFNA(VLOOKUP($D392,tbParentalLeave,2,FALSE),0)</f>
        <v>0</v>
      </c>
      <c r="U400" s="451">
        <f t="shared" ref="U400" si="1708">T400*U393</f>
        <v>0</v>
      </c>
      <c r="V400" s="339">
        <f>_xlfn.IFNA(VLOOKUP($D392,tbParentalLeave,2,FALSE),0)</f>
        <v>0</v>
      </c>
      <c r="W400" s="443">
        <f>V400*W393</f>
        <v>0</v>
      </c>
      <c r="X400" s="340">
        <f>_xlfn.IFNA(VLOOKUP($D392,tbParentalLeave,2,FALSE),0)</f>
        <v>0</v>
      </c>
      <c r="Y400" s="451">
        <f t="shared" ref="Y400" si="1709">X400*Y393</f>
        <v>0</v>
      </c>
      <c r="Z400" s="339">
        <f>_xlfn.IFNA(VLOOKUP($D392,tbParentalLeave,2,FALSE),0)</f>
        <v>0</v>
      </c>
      <c r="AA400" s="443">
        <f>Z400*AA393</f>
        <v>0</v>
      </c>
      <c r="AB400" s="340">
        <f>_xlfn.IFNA(VLOOKUP($D392,tbParentalLeave,2,FALSE),0)</f>
        <v>0</v>
      </c>
      <c r="AC400" s="451">
        <f t="shared" ref="AC400" si="1710">AB400*AC393</f>
        <v>0</v>
      </c>
      <c r="AD400" s="335"/>
    </row>
    <row r="401" spans="1:56" hidden="1" outlineLevel="1" x14ac:dyDescent="0.3">
      <c r="A401" s="1182"/>
      <c r="B401" s="1379"/>
      <c r="C401" s="1379"/>
      <c r="D401" s="1379"/>
      <c r="E401" s="1379"/>
      <c r="F401" s="1379"/>
      <c r="G401" s="1379"/>
      <c r="H401" s="1380"/>
      <c r="I401" s="437" t="s">
        <v>320</v>
      </c>
      <c r="J401" s="438">
        <f>vl_overridden_uom_oncosts_per</f>
        <v>0</v>
      </c>
      <c r="K401" s="445">
        <f>J401*K393</f>
        <v>0</v>
      </c>
      <c r="L401" s="438">
        <f>vl_overridden_uom_oncosts_per</f>
        <v>0</v>
      </c>
      <c r="M401" s="445">
        <f>L401*M393</f>
        <v>0</v>
      </c>
      <c r="N401" s="438">
        <f>vl_overridden_uom_oncosts_per</f>
        <v>0</v>
      </c>
      <c r="O401" s="445">
        <f t="shared" ref="O401" si="1711">N401*O393</f>
        <v>0</v>
      </c>
      <c r="P401" s="438">
        <f>vl_overridden_uom_oncosts_per</f>
        <v>0</v>
      </c>
      <c r="Q401" s="445">
        <f t="shared" ref="Q401" si="1712">P401*Q393</f>
        <v>0</v>
      </c>
      <c r="R401" s="438">
        <f>vl_overridden_uom_oncosts_per</f>
        <v>0</v>
      </c>
      <c r="S401" s="445">
        <f t="shared" ref="S401" si="1713">R401*S393</f>
        <v>0</v>
      </c>
      <c r="T401" s="438">
        <f>vl_overridden_uom_oncosts_per</f>
        <v>0</v>
      </c>
      <c r="U401" s="445">
        <f t="shared" ref="U401" si="1714">T401*U393</f>
        <v>0</v>
      </c>
      <c r="V401" s="438">
        <f>vl_overridden_uom_oncosts_per</f>
        <v>0</v>
      </c>
      <c r="W401" s="445">
        <f t="shared" ref="W401" si="1715">V401*W393</f>
        <v>0</v>
      </c>
      <c r="X401" s="438">
        <f>vl_overridden_uom_oncosts_per</f>
        <v>0</v>
      </c>
      <c r="Y401" s="445">
        <f t="shared" ref="Y401" si="1716">X401*Y393</f>
        <v>0</v>
      </c>
      <c r="Z401" s="438">
        <f>vl_overridden_uom_oncosts_per</f>
        <v>0</v>
      </c>
      <c r="AA401" s="445">
        <f t="shared" ref="AA401" si="1717">Z401*AA393</f>
        <v>0</v>
      </c>
      <c r="AB401" s="438">
        <f>vl_overridden_uom_oncosts_per</f>
        <v>0</v>
      </c>
      <c r="AC401" s="445">
        <f t="shared" ref="AC401" si="1718">AB401*AC393</f>
        <v>0</v>
      </c>
      <c r="AD401" s="335"/>
      <c r="AE401" s="1152"/>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row>
    <row r="402" spans="1:56" hidden="1" outlineLevel="1" x14ac:dyDescent="0.3">
      <c r="A402" s="1182"/>
      <c r="B402" s="1379"/>
      <c r="C402" s="1379"/>
      <c r="D402" s="1379"/>
      <c r="E402" s="1379"/>
      <c r="F402" s="1379"/>
      <c r="G402" s="1379"/>
      <c r="H402" s="1380"/>
      <c r="I402" s="341" t="s">
        <v>321</v>
      </c>
      <c r="J402" s="342"/>
      <c r="K402" s="444">
        <f>SUM(K396:K401)</f>
        <v>0</v>
      </c>
      <c r="L402" s="342"/>
      <c r="M402" s="444">
        <f t="shared" ref="M402" si="1719">SUM(M396:M401)</f>
        <v>0</v>
      </c>
      <c r="N402" s="342"/>
      <c r="O402" s="444">
        <f t="shared" ref="O402" si="1720">SUM(O396:O401)</f>
        <v>0</v>
      </c>
      <c r="P402" s="342"/>
      <c r="Q402" s="444">
        <f t="shared" ref="Q402" si="1721">SUM(Q396:Q401)</f>
        <v>0</v>
      </c>
      <c r="R402" s="342"/>
      <c r="S402" s="444">
        <f t="shared" ref="S402" si="1722">SUM(S396:S401)</f>
        <v>0</v>
      </c>
      <c r="T402" s="342"/>
      <c r="U402" s="444">
        <f t="shared" ref="U402" si="1723">SUM(U396:U401)</f>
        <v>0</v>
      </c>
      <c r="V402" s="342"/>
      <c r="W402" s="444">
        <f t="shared" ref="W402" si="1724">SUM(W396:W401)</f>
        <v>0</v>
      </c>
      <c r="X402" s="342"/>
      <c r="Y402" s="444">
        <f t="shared" ref="Y402" si="1725">SUM(Y396:Y401)</f>
        <v>0</v>
      </c>
      <c r="Z402" s="342"/>
      <c r="AA402" s="444">
        <f t="shared" ref="AA402" si="1726">SUM(AA396:AA401)</f>
        <v>0</v>
      </c>
      <c r="AB402" s="342"/>
      <c r="AC402" s="444">
        <f t="shared" ref="AC402" si="1727">SUM(AC396:AC401)</f>
        <v>0</v>
      </c>
      <c r="AD402" s="335">
        <f t="shared" si="1691"/>
        <v>0</v>
      </c>
      <c r="AE402" s="1152"/>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row>
    <row r="403" spans="1:56" hidden="1" outlineLevel="1" x14ac:dyDescent="0.3">
      <c r="A403" s="1182"/>
      <c r="B403" s="1379"/>
      <c r="C403" s="1379"/>
      <c r="D403" s="1379"/>
      <c r="E403" s="1379"/>
      <c r="F403" s="1379"/>
      <c r="G403" s="1379"/>
      <c r="H403" s="1380"/>
      <c r="I403" s="455" t="s">
        <v>322</v>
      </c>
      <c r="J403" s="339">
        <f>_xlfn.IFNA(VLOOKUP($D392,tbAnnualLeaveProvision,2,FALSE),0)</f>
        <v>0</v>
      </c>
      <c r="K403" s="443">
        <f>J403*K393</f>
        <v>0</v>
      </c>
      <c r="L403" s="340">
        <f>_xlfn.IFNA(VLOOKUP($D392,tbAnnualLeaveProvision,2,FALSE),0)</f>
        <v>0</v>
      </c>
      <c r="M403" s="451">
        <f t="shared" ref="M403" si="1728">L403*M393</f>
        <v>0</v>
      </c>
      <c r="N403" s="339">
        <f>_xlfn.IFNA(VLOOKUP($D392,tbAnnualLeaveProvision,2,FALSE),0)</f>
        <v>0</v>
      </c>
      <c r="O403" s="443">
        <f>N403*O393</f>
        <v>0</v>
      </c>
      <c r="P403" s="340">
        <f>_xlfn.IFNA(VLOOKUP($D392,tbAnnualLeaveProvision,2,FALSE),0)</f>
        <v>0</v>
      </c>
      <c r="Q403" s="451">
        <f t="shared" ref="Q403" si="1729">P403*Q393</f>
        <v>0</v>
      </c>
      <c r="R403" s="339">
        <f>_xlfn.IFNA(VLOOKUP($D392,tbAnnualLeaveProvision,2,FALSE),0)</f>
        <v>0</v>
      </c>
      <c r="S403" s="443">
        <f>R403*S393</f>
        <v>0</v>
      </c>
      <c r="T403" s="340">
        <f>_xlfn.IFNA(VLOOKUP($D392,tbAnnualLeaveProvision,2,FALSE),0)</f>
        <v>0</v>
      </c>
      <c r="U403" s="451">
        <f t="shared" ref="U403" si="1730">T403*U393</f>
        <v>0</v>
      </c>
      <c r="V403" s="339">
        <f>_xlfn.IFNA(VLOOKUP($D392,tbAnnualLeaveProvision,2,FALSE),0)</f>
        <v>0</v>
      </c>
      <c r="W403" s="443">
        <f>V403*W393</f>
        <v>0</v>
      </c>
      <c r="X403" s="340">
        <f>_xlfn.IFNA(VLOOKUP($D392,tbAnnualLeaveProvision,2,FALSE),0)</f>
        <v>0</v>
      </c>
      <c r="Y403" s="451">
        <f t="shared" ref="Y403" si="1731">X403*Y393</f>
        <v>0</v>
      </c>
      <c r="Z403" s="339">
        <f>_xlfn.IFNA(VLOOKUP($D392,tbAnnualLeaveProvision,2,FALSE),0)</f>
        <v>0</v>
      </c>
      <c r="AA403" s="443">
        <f>Z403*AA393</f>
        <v>0</v>
      </c>
      <c r="AB403" s="340">
        <f>_xlfn.IFNA(VLOOKUP($D392,tbAnnualLeaveProvision,2,FALSE),0)</f>
        <v>0</v>
      </c>
      <c r="AC403" s="451">
        <f t="shared" ref="AC403" si="1732">AB403*AC393</f>
        <v>0</v>
      </c>
      <c r="AD403" s="335"/>
      <c r="AE403" s="1152"/>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row>
    <row r="404" spans="1:56" hidden="1" outlineLevel="1" x14ac:dyDescent="0.3">
      <c r="A404" s="1182"/>
      <c r="B404" s="1379"/>
      <c r="C404" s="1379"/>
      <c r="D404" s="1379"/>
      <c r="E404" s="1379"/>
      <c r="F404" s="1379"/>
      <c r="G404" s="1379"/>
      <c r="H404" s="1380"/>
      <c r="I404" s="455" t="s">
        <v>330</v>
      </c>
      <c r="J404" s="339"/>
      <c r="K404" s="446">
        <f>K402+K403</f>
        <v>0</v>
      </c>
      <c r="L404" s="340"/>
      <c r="M404" s="452">
        <f t="shared" ref="M404" si="1733">M402+M403</f>
        <v>0</v>
      </c>
      <c r="N404" s="339"/>
      <c r="O404" s="446">
        <f>O402+O403</f>
        <v>0</v>
      </c>
      <c r="P404" s="340"/>
      <c r="Q404" s="452">
        <f t="shared" ref="Q404" si="1734">Q402+Q403</f>
        <v>0</v>
      </c>
      <c r="R404" s="339"/>
      <c r="S404" s="446">
        <f>S402+S403</f>
        <v>0</v>
      </c>
      <c r="T404" s="340"/>
      <c r="U404" s="452">
        <f t="shared" ref="U404" si="1735">U402+U403</f>
        <v>0</v>
      </c>
      <c r="V404" s="339"/>
      <c r="W404" s="446">
        <f>W402+W403</f>
        <v>0</v>
      </c>
      <c r="X404" s="340"/>
      <c r="Y404" s="452">
        <f t="shared" ref="Y404" si="1736">Y402+Y403</f>
        <v>0</v>
      </c>
      <c r="Z404" s="339"/>
      <c r="AA404" s="446">
        <f>AA402+AA403</f>
        <v>0</v>
      </c>
      <c r="AB404" s="340"/>
      <c r="AC404" s="452">
        <f t="shared" ref="AC404" si="1737">AC402+AC403</f>
        <v>0</v>
      </c>
      <c r="AD404" s="335"/>
      <c r="AE404" s="1152"/>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row>
    <row r="405" spans="1:56" hidden="1" outlineLevel="1" x14ac:dyDescent="0.3">
      <c r="A405" s="1182"/>
      <c r="B405" s="1379"/>
      <c r="C405" s="1379"/>
      <c r="D405" s="1379"/>
      <c r="E405" s="1379"/>
      <c r="F405" s="1379"/>
      <c r="G405" s="1379"/>
      <c r="H405" s="1380"/>
      <c r="I405" s="462" t="s">
        <v>324</v>
      </c>
      <c r="J405" s="344">
        <v>0</v>
      </c>
      <c r="K405" s="443">
        <f>-(K402/vl_working_days_per_year)*J405</f>
        <v>0</v>
      </c>
      <c r="L405" s="345">
        <v>0</v>
      </c>
      <c r="M405" s="451">
        <f>-(M402/vl_working_days_per_year)*L405</f>
        <v>0</v>
      </c>
      <c r="N405" s="344">
        <v>0</v>
      </c>
      <c r="O405" s="443">
        <f>-(O402/vl_working_days_per_year)*N405</f>
        <v>0</v>
      </c>
      <c r="P405" s="345">
        <v>0</v>
      </c>
      <c r="Q405" s="451">
        <f>-(Q402/vl_working_days_per_year)*P405</f>
        <v>0</v>
      </c>
      <c r="R405" s="344"/>
      <c r="S405" s="443">
        <f>-(S402/vl_working_days_per_year)*R405</f>
        <v>0</v>
      </c>
      <c r="T405" s="345"/>
      <c r="U405" s="451">
        <f>-(U402/vl_working_days_per_year)*T405</f>
        <v>0</v>
      </c>
      <c r="V405" s="344"/>
      <c r="W405" s="443">
        <f>-(W402/vl_working_days_per_year)*V405</f>
        <v>0</v>
      </c>
      <c r="X405" s="345"/>
      <c r="Y405" s="451">
        <f>-(Y402/vl_working_days_per_year)*X405</f>
        <v>0</v>
      </c>
      <c r="Z405" s="344"/>
      <c r="AA405" s="443">
        <f>-(AA402/vl_working_days_per_year)*Z405</f>
        <v>0</v>
      </c>
      <c r="AB405" s="345"/>
      <c r="AC405" s="451">
        <f>-(AC402/vl_working_days_per_year)*AB405</f>
        <v>0</v>
      </c>
      <c r="AD405" s="335">
        <f t="shared" si="1691"/>
        <v>0</v>
      </c>
      <c r="AE405" s="1152"/>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row>
    <row r="406" spans="1:56" hidden="1" outlineLevel="1" x14ac:dyDescent="0.3">
      <c r="A406" s="1182"/>
      <c r="B406" s="1379"/>
      <c r="C406" s="1379"/>
      <c r="D406" s="1379"/>
      <c r="E406" s="1379"/>
      <c r="F406" s="1379"/>
      <c r="G406" s="1379"/>
      <c r="H406" s="1380"/>
      <c r="I406" s="341" t="s">
        <v>325</v>
      </c>
      <c r="J406" s="346"/>
      <c r="K406" s="444">
        <f>K404+K405</f>
        <v>0</v>
      </c>
      <c r="L406" s="346"/>
      <c r="M406" s="444">
        <f t="shared" ref="M406" si="1738">M404+M405</f>
        <v>0</v>
      </c>
      <c r="N406" s="346"/>
      <c r="O406" s="444">
        <f>O404+O405</f>
        <v>0</v>
      </c>
      <c r="P406" s="346"/>
      <c r="Q406" s="444">
        <f t="shared" ref="Q406" si="1739">Q404+Q405</f>
        <v>0</v>
      </c>
      <c r="R406" s="346"/>
      <c r="S406" s="444">
        <f>S404+S405</f>
        <v>0</v>
      </c>
      <c r="T406" s="346"/>
      <c r="U406" s="444">
        <f t="shared" ref="U406" si="1740">U404+U405</f>
        <v>0</v>
      </c>
      <c r="V406" s="346"/>
      <c r="W406" s="444">
        <f>W404+W405</f>
        <v>0</v>
      </c>
      <c r="X406" s="346"/>
      <c r="Y406" s="444">
        <f t="shared" ref="Y406" si="1741">Y404+Y405</f>
        <v>0</v>
      </c>
      <c r="Z406" s="346"/>
      <c r="AA406" s="444">
        <f>AA404+AA405</f>
        <v>0</v>
      </c>
      <c r="AB406" s="346"/>
      <c r="AC406" s="444">
        <f t="shared" ref="AC406" si="1742">AC404+AC405</f>
        <v>0</v>
      </c>
      <c r="AD406" s="335">
        <f t="shared" si="1691"/>
        <v>0</v>
      </c>
      <c r="AE406" s="1152"/>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row>
    <row r="407" spans="1:56" s="1" customFormat="1" ht="15" hidden="1" customHeight="1" outlineLevel="1" x14ac:dyDescent="0.3">
      <c r="A407" s="727"/>
      <c r="B407" s="1379"/>
      <c r="C407" s="1379"/>
      <c r="D407" s="1379"/>
      <c r="E407" s="1379"/>
      <c r="F407" s="1379"/>
      <c r="G407" s="1379"/>
      <c r="H407" s="1380"/>
      <c r="I407" s="463" t="s">
        <v>326</v>
      </c>
      <c r="J407" s="383">
        <f>IFERROR(K407/K393,0)</f>
        <v>0</v>
      </c>
      <c r="K407" s="447">
        <f>SUM(K394:K395,K397:K400,K403)</f>
        <v>0</v>
      </c>
      <c r="L407" s="434">
        <f>IFERROR(M407/M393,0)</f>
        <v>0</v>
      </c>
      <c r="M407" s="453">
        <f t="shared" ref="M407" si="1743">SUM(M394:M395,M397:M400,M403)</f>
        <v>0</v>
      </c>
      <c r="N407" s="383">
        <f t="shared" ref="N407" si="1744">IFERROR(O407/O393,0)</f>
        <v>0</v>
      </c>
      <c r="O407" s="447">
        <f t="shared" ref="O407" si="1745">SUM(O394:O395,O397:O400,O403)</f>
        <v>0</v>
      </c>
      <c r="P407" s="434">
        <f t="shared" ref="P407" si="1746">IFERROR(Q407/Q393,0)</f>
        <v>0</v>
      </c>
      <c r="Q407" s="453">
        <f t="shared" ref="Q407" si="1747">SUM(Q394:Q395,Q397:Q400,Q403)</f>
        <v>0</v>
      </c>
      <c r="R407" s="383">
        <f t="shared" ref="R407" si="1748">IFERROR(S407/S393,0)</f>
        <v>0</v>
      </c>
      <c r="S407" s="447">
        <f t="shared" ref="S407" si="1749">SUM(S394:S395,S397:S400,S403)</f>
        <v>0</v>
      </c>
      <c r="T407" s="434">
        <f t="shared" ref="T407" si="1750">IFERROR(U407/U393,0)</f>
        <v>0</v>
      </c>
      <c r="U407" s="453">
        <f t="shared" ref="U407" si="1751">SUM(U394:U395,U397:U400,U403)</f>
        <v>0</v>
      </c>
      <c r="V407" s="383">
        <f t="shared" ref="V407" si="1752">IFERROR(W407/W393,0)</f>
        <v>0</v>
      </c>
      <c r="W407" s="447">
        <f t="shared" ref="W407" si="1753">SUM(W394:W395,W397:W400,W403)</f>
        <v>0</v>
      </c>
      <c r="X407" s="434">
        <f t="shared" ref="X407" si="1754">IFERROR(Y407/Y393,0)</f>
        <v>0</v>
      </c>
      <c r="Y407" s="453">
        <f t="shared" ref="Y407" si="1755">SUM(Y394:Y395,Y397:Y400,Y403)</f>
        <v>0</v>
      </c>
      <c r="Z407" s="383">
        <f t="shared" ref="Z407" si="1756">IFERROR(AA407/AA393,0)</f>
        <v>0</v>
      </c>
      <c r="AA407" s="447">
        <f t="shared" ref="AA407" si="1757">SUM(AA394:AA395,AA397:AA400,AA403)</f>
        <v>0</v>
      </c>
      <c r="AB407" s="434">
        <f t="shared" ref="AB407" si="1758">IFERROR(AC407/AC393,0)</f>
        <v>0</v>
      </c>
      <c r="AC407" s="453">
        <f t="shared" ref="AC407" si="1759">SUM(AC394:AC395,AC397:AC400,AC403)</f>
        <v>0</v>
      </c>
      <c r="AD407" s="377">
        <f t="shared" si="1691"/>
        <v>0</v>
      </c>
      <c r="AE407" s="14"/>
      <c r="AF407" s="14"/>
      <c r="AG407" s="14"/>
      <c r="AH407" s="14"/>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row>
    <row r="408" spans="1:56" hidden="1" outlineLevel="1" x14ac:dyDescent="0.3">
      <c r="A408" s="1182"/>
      <c r="B408" s="1379"/>
      <c r="C408" s="1379"/>
      <c r="D408" s="1379"/>
      <c r="E408" s="1379"/>
      <c r="F408" s="1379"/>
      <c r="G408" s="1379"/>
      <c r="H408" s="1380"/>
      <c r="I408" s="463" t="s">
        <v>327</v>
      </c>
      <c r="J408" s="384">
        <f>pCRInKind</f>
        <v>2.5</v>
      </c>
      <c r="K408" s="447"/>
      <c r="L408" s="435">
        <f>pCRInKind</f>
        <v>2.5</v>
      </c>
      <c r="M408" s="453"/>
      <c r="N408" s="384">
        <f>pCRInKind</f>
        <v>2.5</v>
      </c>
      <c r="O408" s="447"/>
      <c r="P408" s="435">
        <f>pCRInKind</f>
        <v>2.5</v>
      </c>
      <c r="Q408" s="453"/>
      <c r="R408" s="384">
        <f>pCRInKind</f>
        <v>2.5</v>
      </c>
      <c r="S408" s="447"/>
      <c r="T408" s="435">
        <f>pCRInKind</f>
        <v>2.5</v>
      </c>
      <c r="U408" s="453"/>
      <c r="V408" s="384">
        <f>pCRInKind</f>
        <v>2.5</v>
      </c>
      <c r="W408" s="447"/>
      <c r="X408" s="435">
        <f>pCRInKind</f>
        <v>2.5</v>
      </c>
      <c r="Y408" s="453"/>
      <c r="Z408" s="384">
        <f>pCRInKind</f>
        <v>2.5</v>
      </c>
      <c r="AA408" s="447"/>
      <c r="AB408" s="435">
        <f>pCRInKind</f>
        <v>2.5</v>
      </c>
      <c r="AC408" s="453"/>
      <c r="AD408" s="335"/>
      <c r="AE408" s="1152"/>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row>
    <row r="409" spans="1:56" ht="16.2" hidden="1" outlineLevel="1" thickBot="1" x14ac:dyDescent="0.35">
      <c r="A409" s="1182"/>
      <c r="B409" s="710"/>
      <c r="C409" s="347"/>
      <c r="D409" s="347"/>
      <c r="E409" s="347"/>
      <c r="F409" s="347"/>
      <c r="G409" s="347"/>
      <c r="H409" s="347"/>
      <c r="I409" s="436" t="s">
        <v>329</v>
      </c>
      <c r="J409" s="348"/>
      <c r="K409" s="448">
        <f>J408*K404</f>
        <v>0</v>
      </c>
      <c r="L409" s="348"/>
      <c r="M409" s="448">
        <f t="shared" ref="M409" si="1760">L408*M404</f>
        <v>0</v>
      </c>
      <c r="N409" s="348"/>
      <c r="O409" s="448">
        <f>N408*O404</f>
        <v>0</v>
      </c>
      <c r="P409" s="348"/>
      <c r="Q409" s="448">
        <f t="shared" ref="Q409" si="1761">P408*Q404</f>
        <v>0</v>
      </c>
      <c r="R409" s="348"/>
      <c r="S409" s="448">
        <f>R408*S404</f>
        <v>0</v>
      </c>
      <c r="T409" s="348"/>
      <c r="U409" s="448">
        <f t="shared" ref="U409" si="1762">T408*U404</f>
        <v>0</v>
      </c>
      <c r="V409" s="348"/>
      <c r="W409" s="448">
        <f>V408*W404</f>
        <v>0</v>
      </c>
      <c r="X409" s="348"/>
      <c r="Y409" s="448">
        <f t="shared" ref="Y409" si="1763">X408*Y404</f>
        <v>0</v>
      </c>
      <c r="Z409" s="348"/>
      <c r="AA409" s="448">
        <f>Z408*AA404</f>
        <v>0</v>
      </c>
      <c r="AB409" s="348"/>
      <c r="AC409" s="448">
        <f t="shared" ref="AC409" si="1764">AB408*AC404</f>
        <v>0</v>
      </c>
      <c r="AD409" s="335">
        <f t="shared" si="1691"/>
        <v>0</v>
      </c>
      <c r="AE409" s="1152"/>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row>
    <row r="410" spans="1:56" ht="15" hidden="1" outlineLevel="1" thickBot="1" x14ac:dyDescent="0.35">
      <c r="A410" s="1182"/>
      <c r="B410" s="1181"/>
      <c r="C410" s="1181"/>
      <c r="D410" s="1181"/>
      <c r="E410" s="1181"/>
      <c r="F410" s="1181"/>
      <c r="G410" s="1181"/>
      <c r="H410" s="1181"/>
      <c r="I410" s="350"/>
      <c r="J410" s="351"/>
      <c r="K410" s="351"/>
      <c r="L410" s="351"/>
      <c r="M410" s="352"/>
      <c r="N410" s="351"/>
      <c r="O410" s="352"/>
      <c r="P410" s="351"/>
      <c r="Q410" s="352"/>
      <c r="R410" s="351"/>
      <c r="S410" s="352"/>
      <c r="T410" s="351"/>
      <c r="U410" s="352"/>
      <c r="V410" s="351"/>
      <c r="W410" s="352"/>
      <c r="X410" s="351"/>
      <c r="Y410" s="352"/>
      <c r="Z410" s="351"/>
      <c r="AA410" s="352"/>
      <c r="AB410" s="351"/>
      <c r="AC410" s="352"/>
      <c r="AD410" s="353" t="str">
        <f>IF(tbBudgetCurrency="AUD - Australian Dollar","",IFERROR(K410+M410+O410+Q410+S410+U410+W410+Y410+AA410+AC410,0))</f>
        <v/>
      </c>
      <c r="AE410" s="1152"/>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row>
    <row r="411" spans="1:56" hidden="1" outlineLevel="1" x14ac:dyDescent="0.3">
      <c r="A411" s="1182"/>
      <c r="B411" s="460" t="str">
        <f>IF('PART B Staff Costs'!B54="","",'PART B Staff Costs'!B54)</f>
        <v/>
      </c>
      <c r="C411" s="460" t="str">
        <f>IF('PART B Staff Costs'!C54="","",'PART B Staff Costs'!C54)</f>
        <v xml:space="preserve"> </v>
      </c>
      <c r="D411" s="461" t="str">
        <f>IF('PART B Staff Costs'!D54="","",'PART B Staff Costs'!D54)</f>
        <v/>
      </c>
      <c r="E411" s="461" t="str">
        <f>IF('PART B Staff Costs'!E54="","",'PART B Staff Costs'!E54)</f>
        <v/>
      </c>
      <c r="F411" s="461" t="str">
        <f>IF('PART B Staff Costs'!F54="","",'PART B Staff Costs'!F54)</f>
        <v/>
      </c>
      <c r="G411" s="461" t="str">
        <f>IF('PART B Staff Costs'!G54="","",'PART B Staff Costs'!G54)</f>
        <v/>
      </c>
      <c r="H411" s="454" t="str">
        <f>CONCATENATE(IF(D411=0,"",D411)," ",IF(E411=0,"",E411)," ",IF(F411=0,"",F411),,IF(OR(G411=0,G411=""),"",CONCATENATE(" (",G411,")")))</f>
        <v xml:space="preserve">  </v>
      </c>
      <c r="I411" s="454" t="s">
        <v>313</v>
      </c>
      <c r="J411" s="333">
        <f>_xlfn.IFNA('PART B Staff Costs'!H54*'PART B Staff Costs'!J$10,0)*new_xrate</f>
        <v>0</v>
      </c>
      <c r="K411" s="441"/>
      <c r="L411" s="334">
        <f>_xlfn.IFNA(IF(pStartYear+1&gt;pEndYear,0,VLOOKUP(CONCATENATE(
IF(OR($D411="Continuing",$D411="Fixed-Term"),"Fortnight",IF($D411="Casual","Casual",)),
$E411,
IF(OR($D411="Continuing",$D411="Fixed-Term"),
IF(LEFT($F411,6)="UOM 10","UOM 10",(LEFT($F411,LEN($F411)-1)&amp;MIN(RIGHT($F411,1)++COUNTIFS($J412:K412,"&gt;0")/2,VLOOKUP(LEFT($F411,LEN($F411)-2),tSalaryMax,2,FALSE)))),
IF($D411="Casual",
$F411,))
),tSalaryRate,5,FALSE)*VLOOKUP($G411,tSalaryRateMultiplier,2,FALSE)*'PART B Staff Costs'!L$10),0)*new_xrate</f>
        <v>0</v>
      </c>
      <c r="M411" s="449"/>
      <c r="N411" s="333">
        <f>_xlfn.IFNA(IF(pStartYear+2&gt;pEndYear,0,VLOOKUP(CONCATENATE(
IF(OR($D411="Continuing",$D411="Fixed-Term"),"Fortnight",IF($D411="Casual","Casual",)),
$E411,
IF(OR($D411="Continuing",$D411="Fixed-Term"),
IF(LEFT($F411,6)="UOM 10","UOM 10",(LEFT($F411,LEN($F411)-1)&amp;MIN(RIGHT($F411,1)++COUNTIFS($J412:M412,"&gt;0")/2,VLOOKUP(LEFT($F411,LEN($F411)-2),tSalaryMax,2,FALSE)))),
IF($D411="Casual",
$F411,))
),tSalaryRate,5,FALSE)*VLOOKUP($G411,tSalaryRateMultiplier,2,FALSE)*'PART B Staff Costs'!N$10),0)*new_xrate</f>
        <v>0</v>
      </c>
      <c r="O411" s="441"/>
      <c r="P411" s="334">
        <f>_xlfn.IFNA(IF(pStartYear+3&gt;pEndYear,0,VLOOKUP(CONCATENATE(
IF(OR($D411="Continuing",$D411="Fixed-Term"),"Fortnight",IF($D411="Casual","Casual",)),
$E411,
IF(OR($D411="Continuing",$D411="Fixed-Term"),
IF(LEFT($F411,6)="UOM 10","UOM 10",(LEFT($F411,LEN($F411)-1)&amp;MIN(RIGHT($F411,1)++COUNTIFS($J412:O412,"&gt;0")/2,VLOOKUP(LEFT($F411,LEN($F411)-2),tSalaryMax,2,FALSE)))),
IF($D411="Casual",
$F411,))
),tSalaryRate,5,FALSE)*VLOOKUP($G411,tSalaryRateMultiplier,2,FALSE)*'PART B Staff Costs'!P$10),0)*new_xrate</f>
        <v>0</v>
      </c>
      <c r="Q411" s="449"/>
      <c r="R411" s="333">
        <f>_xlfn.IFNA(IF(pStartYear+4&gt;pEndYear,0,VLOOKUP(CONCATENATE(
IF(OR($D411="Continuing",$D411="Fixed-Term"),"Fortnight",IF($D411="Casual","Casual",)),
$E411,
IF(OR($D411="Continuing",$D411="Fixed-Term"),
IF(LEFT($F411,6)="UOM 10","UOM 10",(LEFT($F411,LEN($F411)-1)&amp;MIN(RIGHT($F411,1)++COUNTIFS($J412:Q412,"&gt;0")/2,VLOOKUP(LEFT($F411,LEN($F411)-2),tSalaryMax,2,FALSE)))),
IF($D411="Casual",
$F411,))
),tSalaryRate,5,FALSE)*VLOOKUP($G411,tSalaryRateMultiplier,2,FALSE)*'PART B Staff Costs'!R$10),0)*new_xrate</f>
        <v>0</v>
      </c>
      <c r="S411" s="441"/>
      <c r="T411" s="334">
        <f>_xlfn.IFNA(IF(pStartYear+5&gt;pEndYear,0,VLOOKUP(CONCATENATE(
IF(OR($D411="Continuing",$D411="Fixed-Term"),"Fortnight",IF($D411="Casual","Casual",)),
$E411,
IF(OR($D411="Continuing",$D411="Fixed-Term"),
IF(LEFT($F411,6)="UOM 10","UOM 10",(LEFT($F411,LEN($F411)-1)&amp;MIN(RIGHT($F411,1)++COUNTIFS($J412:S412,"&gt;0")/2,VLOOKUP(LEFT($F411,LEN($F411)-2),tSalaryMax,2,FALSE)))),
IF($D411="Casual",
$F411,))
),tSalaryRate,5,FALSE)*VLOOKUP($G411,tSalaryRateMultiplier,2,FALSE)*'PART B Staff Costs'!T$10),0)*new_xrate</f>
        <v>0</v>
      </c>
      <c r="U411" s="449"/>
      <c r="V411" s="333">
        <f>_xlfn.IFNA(IF(pStartYear+6&gt;pEndYear,0,VLOOKUP(CONCATENATE(
IF(OR($D411="Continuing",$D411="Fixed-Term"),"Fortnight",IF($D411="Casual","Casual",)),
$E411,
IF(OR($D411="Continuing",$D411="Fixed-Term"),
IF(LEFT($F411,6)="UOM 10","UOM 10",(LEFT($F411,LEN($F411)-1)&amp;MIN(RIGHT($F411,1)++COUNTIFS($J412:U412,"&gt;0")/2,VLOOKUP(LEFT($F411,LEN($F411)-2),tSalaryMax,2,FALSE)))),
IF($D411="Casual",
$F411,))
),tSalaryRate,5,FALSE)*VLOOKUP($G411,tSalaryRateMultiplier,2,FALSE)*'PART B Staff Costs'!V$10),0)*new_xrate</f>
        <v>0</v>
      </c>
      <c r="W411" s="441"/>
      <c r="X411" s="334">
        <f>_xlfn.IFNA(IF(pStartYear+7&gt;pEndYear,0,VLOOKUP(CONCATENATE(
IF(OR($D411="Continuing",$D411="Fixed-Term"),"Fortnight",IF($D411="Casual","Casual",)),
$E411,
IF(OR($D411="Continuing",$D411="Fixed-Term"),
IF(LEFT($F411,6)="UOM 10","UOM 10",(LEFT($F411,LEN($F411)-1)&amp;MIN(RIGHT($F411,1)++COUNTIFS($J412:W412,"&gt;0")/2,VLOOKUP(LEFT($F411,LEN($F411)-2),tSalaryMax,2,FALSE)))),
IF($D411="Casual",
$F411,))
),tSalaryRate,5,FALSE)*VLOOKUP($G411,tSalaryRateMultiplier,2,FALSE)*'PART B Staff Costs'!X$10),0)*new_xrate</f>
        <v>0</v>
      </c>
      <c r="Y411" s="449"/>
      <c r="Z411" s="333">
        <f>_xlfn.IFNA(IF(pStartYear+8&gt;pEndYear,0,VLOOKUP(CONCATENATE(
IF(OR($D411="Continuing",$D411="Fixed-Term"),"Fortnight",IF($D411="Casual","Casual",)),
$E411,
IF(OR($D411="Continuing",$D411="Fixed-Term"),
IF(LEFT($F411,6)="UOM 10","UOM 10",(LEFT($F411,LEN($F411)-1)&amp;MIN(RIGHT($F411,1)++COUNTIFS($J412:Y412,"&gt;0")/2,VLOOKUP(LEFT($F411,LEN($F411)-2),tSalaryMax,2,FALSE)))),
IF($D411="Casual",
$F411,))
),tSalaryRate,5,FALSE)*VLOOKUP($G411,tSalaryRateMultiplier,2,FALSE)*'PART B Staff Costs'!Z$10),0)*new_xrate</f>
        <v>0</v>
      </c>
      <c r="AA411" s="441"/>
      <c r="AB411" s="334">
        <f>_xlfn.IFNA(IF(pStartYear+9&gt;pEndYear,0,VLOOKUP(CONCATENATE(
IF(OR($D411="Continuing",$D411="Fixed-Term"),"Fortnight",IF($D411="Casual","Casual",)),
$E411,
IF(OR($D411="Continuing",$D411="Fixed-Term"),
IF(LEFT($F411,6)="UOM 10","UOM 10",(LEFT($F411,LEN($F411)-1)&amp;MIN(RIGHT($F411,1)++COUNTIFS($J412:AA412,"&gt;0")/2,VLOOKUP(LEFT($F411,LEN($F411)-2),tSalaryMax,2,FALSE)))),
IF($D411="Casual",
$F411,))
),tSalaryRate,5,FALSE)*VLOOKUP($G411,tSalaryRateMultiplier,2,FALSE)*'PART B Staff Costs'!AB$10),0)*new_xrate</f>
        <v>0</v>
      </c>
      <c r="AC411" s="449"/>
      <c r="AD411" s="335"/>
      <c r="AE411" s="1152"/>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row>
    <row r="412" spans="1:56" hidden="1" outlineLevel="1" x14ac:dyDescent="0.3">
      <c r="A412" s="1182"/>
      <c r="B412" s="1377"/>
      <c r="C412" s="1377"/>
      <c r="D412" s="1377"/>
      <c r="E412" s="1377"/>
      <c r="F412" s="1377"/>
      <c r="G412" s="1377"/>
      <c r="H412" s="1378"/>
      <c r="I412" s="455" t="str">
        <f>IF('PART B Staff Costs'!G407&lt;&gt;"",CONCATENATE("Time/Requested salary"," (",'PART B Staff Costs'!G407,")"),"Time/Requested salary")</f>
        <v>Time/Requested salary</v>
      </c>
      <c r="J412" s="337">
        <f>_xlfn.IFNA('PART B Staff Costs'!I54,0)</f>
        <v>0</v>
      </c>
      <c r="K412" s="442">
        <f>IF('PART B Staff Costs'!$G$54="FTE",J412*J411*(First_year_fraction/12),J412*J411)</f>
        <v>0</v>
      </c>
      <c r="L412" s="338">
        <f>_xlfn.IFNA('PART B Staff Costs'!K54,0)</f>
        <v>0</v>
      </c>
      <c r="M412" s="450">
        <f>IF(pStartYear+1=pEndYear,IF('PART B Staff Costs'!$G$54="FTE",(L412*L411)*Last_Year_Fraction/12,L412*L411),L412*L411)</f>
        <v>0</v>
      </c>
      <c r="N412" s="337">
        <f>_xlfn.IFNA('PART B Staff Costs'!M54,0)</f>
        <v>0</v>
      </c>
      <c r="O412" s="442">
        <f>IF(pStartYear+2=pEndYear,IF('PART B Staff Costs'!$G$54="FTE",(N412*N411)*Last_Year_Fraction/12,N412*N411),N412*N411)</f>
        <v>0</v>
      </c>
      <c r="P412" s="338">
        <f>_xlfn.IFNA('PART B Staff Costs'!O54,0)</f>
        <v>0</v>
      </c>
      <c r="Q412" s="450">
        <f>IF(pStartYear+3=pEndYear,IF('PART B Staff Costs'!$G$54="FTE",(P412*P411)*Last_Year_Fraction/12,P412*P411),P412*P411)</f>
        <v>0</v>
      </c>
      <c r="R412" s="337">
        <f>_xlfn.IFNA('PART B Staff Costs'!Q54,0)</f>
        <v>0</v>
      </c>
      <c r="S412" s="442">
        <f>IF(pStartYear+4=pEndYear,IF('PART B Staff Costs'!$G$54="FTE",(R412*R411)*Last_Year_Fraction/12,R412*R411),R412*R411)</f>
        <v>0</v>
      </c>
      <c r="T412" s="338">
        <f>_xlfn.IFNA('PART B Staff Costs'!S54,0)</f>
        <v>0</v>
      </c>
      <c r="U412" s="450">
        <f>IF(pStartYear+5=pEndYear,IF('PART B Staff Costs'!$G$54="FTE",(T412*T411)*Last_Year_Fraction/12,T412*T411),T412*T411)</f>
        <v>0</v>
      </c>
      <c r="V412" s="337">
        <f>_xlfn.IFNA('PART B Staff Costs'!U54,0)</f>
        <v>0</v>
      </c>
      <c r="W412" s="442">
        <f>IF(pStartYear+6=pEndYear,IF('PART B Staff Costs'!$G$54="FTE",(V412*V411)*Last_Year_Fraction/12,V412*V411),V412*V411)</f>
        <v>0</v>
      </c>
      <c r="X412" s="338">
        <f>_xlfn.IFNA('PART B Staff Costs'!W54,0)</f>
        <v>0</v>
      </c>
      <c r="Y412" s="450">
        <f>IF(pStartYear+7=pEndYear,IF('PART B Staff Costs'!$G$54="FTE",(X412*X411)*Last_Year_Fraction/12,X412*X411),X412*X411)</f>
        <v>0</v>
      </c>
      <c r="Z412" s="337">
        <f>_xlfn.IFNA('PART B Staff Costs'!Y54,0)</f>
        <v>0</v>
      </c>
      <c r="AA412" s="442">
        <f>IF(pStartYear+8=pEndYear,IF('PART B Staff Costs'!$G$54="FTE",(Z412*Z411)*Last_Year_Fraction/12,Z412*Z411),Z412*Z411)</f>
        <v>0</v>
      </c>
      <c r="AB412" s="338">
        <f>_xlfn.IFNA('PART B Staff Costs'!AA54,0)</f>
        <v>0</v>
      </c>
      <c r="AC412" s="450">
        <f>IF(pStartYear+9=pEndYear,IF('PART B Staff Costs'!$G$54="FTE",(AB412*AB411)*Last_Year_Fraction/12,AB412*AB411),AB412*AB411)</f>
        <v>0</v>
      </c>
      <c r="AD412" s="335"/>
      <c r="AE412" s="1152"/>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row>
    <row r="413" spans="1:56" hidden="1" outlineLevel="1" x14ac:dyDescent="0.3">
      <c r="A413" s="1182"/>
      <c r="B413" s="1379"/>
      <c r="C413" s="1379"/>
      <c r="D413" s="1379"/>
      <c r="E413" s="1379"/>
      <c r="F413" s="1379"/>
      <c r="G413" s="1379"/>
      <c r="H413" s="1380"/>
      <c r="I413" s="455" t="str">
        <f>IF(tbBudgetCurrency="AUD - Australian Dollar",CONCATENATE("Leave Loading (max of AU$",vl_Max_Leave_Loading,")"),CONCATENATE("Leave Loading (max of ",ROUND(vl_Max_Leave_Loading*new_xrate,2)," ",LEFT(tbBudgetCurrency,3),")"))</f>
        <v>Leave Loading (max of AU$1611.3)</v>
      </c>
      <c r="J413" s="339">
        <f>_xlfn.IFNA(VLOOKUP($D411,tbLeaveLoading,2,FALSE),0)</f>
        <v>0</v>
      </c>
      <c r="K413" s="443">
        <f>IF(K412*J413&gt;vl_Max_Leave_Loading*new_xrate,vl_Max_Leave_Loading*new_xrate,K412*J413)</f>
        <v>0</v>
      </c>
      <c r="L413" s="340">
        <f>_xlfn.IFNA(VLOOKUP($D411,tbLeaveLoading,2,FALSE),0)</f>
        <v>0</v>
      </c>
      <c r="M413" s="451">
        <f>IF(M412*L413&gt;vl_Max_Leave_Loading*new_xrate,vl_Max_Leave_Loading*new_xrate,M412*L413)</f>
        <v>0</v>
      </c>
      <c r="N413" s="339">
        <f>_xlfn.IFNA(VLOOKUP($D411,tbLeaveLoading,2,FALSE),0)</f>
        <v>0</v>
      </c>
      <c r="O413" s="443">
        <f>IF(O412*N413&gt;vl_Max_Leave_Loading*new_xrate,vl_Max_Leave_Loading*new_xrate,O412*N413)</f>
        <v>0</v>
      </c>
      <c r="P413" s="340">
        <f>_xlfn.IFNA(VLOOKUP($D411,tbLeaveLoading,2,FALSE),0)</f>
        <v>0</v>
      </c>
      <c r="Q413" s="451">
        <f>IF(Q412*P413&gt;vl_Max_Leave_Loading*new_xrate,vl_Max_Leave_Loading*new_xrate,Q412*P413)</f>
        <v>0</v>
      </c>
      <c r="R413" s="339">
        <f>_xlfn.IFNA(VLOOKUP($D411,tbLeaveLoading,2,FALSE),0)</f>
        <v>0</v>
      </c>
      <c r="S413" s="443">
        <f>IF(S412*R413&gt;vl_Max_Leave_Loading*new_xrate,vl_Max_Leave_Loading*new_xrate,S412*R413)</f>
        <v>0</v>
      </c>
      <c r="T413" s="340">
        <f>_xlfn.IFNA(VLOOKUP($D411,tbLeaveLoading,2,FALSE),0)</f>
        <v>0</v>
      </c>
      <c r="U413" s="451">
        <f>IF(U412*T413&gt;vl_Max_Leave_Loading*new_xrate,vl_Max_Leave_Loading*new_xrate,U412*T413)</f>
        <v>0</v>
      </c>
      <c r="V413" s="339">
        <f>_xlfn.IFNA(VLOOKUP($D411,tbLeaveLoading,2,FALSE),0)</f>
        <v>0</v>
      </c>
      <c r="W413" s="443">
        <f>IF(W412*V413&gt;vl_Max_Leave_Loading*new_xrate,vl_Max_Leave_Loading*new_xrate,W412*V413)</f>
        <v>0</v>
      </c>
      <c r="X413" s="340">
        <f>_xlfn.IFNA(VLOOKUP($D411,tbLeaveLoading,2,FALSE),0)</f>
        <v>0</v>
      </c>
      <c r="Y413" s="451">
        <f>IF(Y412*X413&gt;vl_Max_Leave_Loading*new_xrate,vl_Max_Leave_Loading*new_xrate,Y412*X413)</f>
        <v>0</v>
      </c>
      <c r="Z413" s="339">
        <f>_xlfn.IFNA(VLOOKUP($D411,tbLeaveLoading,2,FALSE),0)</f>
        <v>0</v>
      </c>
      <c r="AA413" s="443">
        <f>IF(AA412*Z413&gt;vl_Max_Leave_Loading*new_xrate,vl_Max_Leave_Loading*new_xrate,AA412*Z413)</f>
        <v>0</v>
      </c>
      <c r="AB413" s="340">
        <f>_xlfn.IFNA(VLOOKUP($D411,tbLeaveLoading,2,FALSE),0)</f>
        <v>0</v>
      </c>
      <c r="AC413" s="451">
        <f>IF(AC412*AB413&gt;vl_Max_Leave_Loading*new_xrate,vl_Max_Leave_Loading*new_xrate,AC412*AB413)</f>
        <v>0</v>
      </c>
      <c r="AD413" s="335"/>
      <c r="AE413" s="1152"/>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row>
    <row r="414" spans="1:56" hidden="1" outlineLevel="1" x14ac:dyDescent="0.3">
      <c r="A414" s="1182"/>
      <c r="B414" s="1379"/>
      <c r="C414" s="1379"/>
      <c r="D414" s="1379"/>
      <c r="E414" s="1379"/>
      <c r="F414" s="1379"/>
      <c r="G414" s="1379"/>
      <c r="H414" s="1380"/>
      <c r="I414" s="455" t="s">
        <v>314</v>
      </c>
      <c r="J414" s="339">
        <f>_xlfn.IFNA(_xlfn.IFNA(VLOOKUP(CONCATENATE(pStartYear,$D411),tbSuperannuation,4,FALSE),VLOOKUP($D411,tbSuperannuation2026onwards,2,FALSE)),0)</f>
        <v>0</v>
      </c>
      <c r="K414" s="443">
        <f>K412*J414</f>
        <v>0</v>
      </c>
      <c r="L414" s="340">
        <f>_xlfn.IFNA(_xlfn.IFNA(VLOOKUP(CONCATENATE(pStartYear+1,$D411),tbSuperannuation,4,FALSE),VLOOKUP($D411,tbSuperannuation2026onwards,2,FALSE)),0)</f>
        <v>0</v>
      </c>
      <c r="M414" s="451">
        <f t="shared" ref="M414" si="1765">M412*L414</f>
        <v>0</v>
      </c>
      <c r="N414" s="339">
        <f>_xlfn.IFNA(_xlfn.IFNA(VLOOKUP(CONCATENATE(pStartYear+2,$D411),tbSuperannuation,4,FALSE),VLOOKUP($D411,tbSuperannuation2026onwards,2,FALSE)),0)</f>
        <v>0</v>
      </c>
      <c r="O414" s="443">
        <f>O412*N414</f>
        <v>0</v>
      </c>
      <c r="P414" s="340">
        <f>_xlfn.IFNA(_xlfn.IFNA(VLOOKUP(CONCATENATE(pStartYear+3,$D411),tbSuperannuation,4,FALSE),VLOOKUP($D411,tbSuperannuation2026onwards,2,FALSE)),0)</f>
        <v>0</v>
      </c>
      <c r="Q414" s="451">
        <f t="shared" ref="Q414" si="1766">Q412*P414</f>
        <v>0</v>
      </c>
      <c r="R414" s="339">
        <f>_xlfn.IFNA(_xlfn.IFNA(VLOOKUP(CONCATENATE(pStartYear+4,$D411),tbSuperannuation,4,FALSE),VLOOKUP($D411,tbSuperannuation2026onwards,2,FALSE)),0)</f>
        <v>0</v>
      </c>
      <c r="S414" s="443">
        <f>S412*R414</f>
        <v>0</v>
      </c>
      <c r="T414" s="340">
        <f>_xlfn.IFNA(_xlfn.IFNA(VLOOKUP(CONCATENATE(pStartYear+5,$D411),tbSuperannuation,4,FALSE),VLOOKUP($D411,tbSuperannuation2026onwards,2,FALSE)),0)</f>
        <v>0</v>
      </c>
      <c r="U414" s="451">
        <f t="shared" ref="U414" si="1767">U412*T414</f>
        <v>0</v>
      </c>
      <c r="V414" s="339">
        <f>_xlfn.IFNA(_xlfn.IFNA(VLOOKUP(CONCATENATE(pStartYear+6,$D411),tbSuperannuation,4,FALSE),VLOOKUP($D411,tbSuperannuation2026onwards,2,FALSE)),0)</f>
        <v>0</v>
      </c>
      <c r="W414" s="443">
        <f>W412*V414</f>
        <v>0</v>
      </c>
      <c r="X414" s="340">
        <f>_xlfn.IFNA(_xlfn.IFNA(VLOOKUP(CONCATENATE(pStartYear+7,$D411),tbSuperannuation,4,FALSE),VLOOKUP($D411,tbSuperannuation2026onwards,2,FALSE)),0)</f>
        <v>0</v>
      </c>
      <c r="Y414" s="451">
        <f t="shared" ref="Y414" si="1768">Y412*X414</f>
        <v>0</v>
      </c>
      <c r="Z414" s="339">
        <f>_xlfn.IFNA(_xlfn.IFNA(VLOOKUP(CONCATENATE(pStartYear+8,$D411),tbSuperannuation,4,FALSE),VLOOKUP($D411,tbSuperannuation2026onwards,2,FALSE)),0)</f>
        <v>0</v>
      </c>
      <c r="AA414" s="443">
        <f>AA412*Z414</f>
        <v>0</v>
      </c>
      <c r="AB414" s="340">
        <f>_xlfn.IFNA(_xlfn.IFNA(VLOOKUP(CONCATENATE(pStartYear+9,$D411),tbSuperannuation,4,FALSE),VLOOKUP($D411,tbSuperannuation2026onwards,2,FALSE)),0)</f>
        <v>0</v>
      </c>
      <c r="AC414" s="451">
        <f t="shared" ref="AC414" si="1769">AC412*AB414</f>
        <v>0</v>
      </c>
      <c r="AD414" s="335"/>
      <c r="AE414" s="1152"/>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row>
    <row r="415" spans="1:56" hidden="1" outlineLevel="1" x14ac:dyDescent="0.3">
      <c r="A415" s="1182"/>
      <c r="B415" s="1379"/>
      <c r="C415" s="1379"/>
      <c r="D415" s="1379"/>
      <c r="E415" s="1379"/>
      <c r="F415" s="1379"/>
      <c r="G415" s="1379"/>
      <c r="H415" s="1380"/>
      <c r="I415" s="341" t="s">
        <v>315</v>
      </c>
      <c r="J415" s="342"/>
      <c r="K415" s="444">
        <f>K413+K414+K412</f>
        <v>0</v>
      </c>
      <c r="L415" s="342"/>
      <c r="M415" s="444">
        <f t="shared" ref="M415" si="1770">M413+M414+M412</f>
        <v>0</v>
      </c>
      <c r="N415" s="342"/>
      <c r="O415" s="444">
        <f>O413+O414+O412</f>
        <v>0</v>
      </c>
      <c r="P415" s="342"/>
      <c r="Q415" s="444">
        <f t="shared" ref="Q415" si="1771">Q413+Q414+Q412</f>
        <v>0</v>
      </c>
      <c r="R415" s="342"/>
      <c r="S415" s="444">
        <f>S413+S414+S412</f>
        <v>0</v>
      </c>
      <c r="T415" s="342"/>
      <c r="U415" s="444">
        <f t="shared" ref="U415" si="1772">U413+U414+U412</f>
        <v>0</v>
      </c>
      <c r="V415" s="342"/>
      <c r="W415" s="444">
        <f>W413+W414+W412</f>
        <v>0</v>
      </c>
      <c r="X415" s="342"/>
      <c r="Y415" s="444">
        <f t="shared" ref="Y415" si="1773">Y413+Y414+Y412</f>
        <v>0</v>
      </c>
      <c r="Z415" s="342"/>
      <c r="AA415" s="444">
        <f>AA413+AA414+AA412</f>
        <v>0</v>
      </c>
      <c r="AB415" s="342"/>
      <c r="AC415" s="444">
        <f t="shared" ref="AC415" si="1774">AC413+AC414+AC412</f>
        <v>0</v>
      </c>
      <c r="AD415" s="335">
        <f t="shared" ref="AD415:AD485" si="1775">IFERROR($K415+$M415+$O415+$Q415+$S415+$U415+$W415+$Y415+$AA415+$AC415,0)</f>
        <v>0</v>
      </c>
      <c r="AE415" s="1152"/>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row>
    <row r="416" spans="1:56" hidden="1" outlineLevel="1" x14ac:dyDescent="0.3">
      <c r="A416" s="1182"/>
      <c r="B416" s="1379"/>
      <c r="C416" s="1379"/>
      <c r="D416" s="1379"/>
      <c r="E416" s="1379"/>
      <c r="F416" s="1379"/>
      <c r="G416" s="1379"/>
      <c r="H416" s="1380"/>
      <c r="I416" s="455" t="s">
        <v>316</v>
      </c>
      <c r="J416" s="339">
        <f>_xlfn.IFNA(_xlfn.IFNA(VLOOKUP(pStartYear,tbPayrollTax,2,FALSE),vl_MaxPayrollTax),0)</f>
        <v>5.8500000000000003E-2</v>
      </c>
      <c r="K416" s="443">
        <f>J416*K415</f>
        <v>0</v>
      </c>
      <c r="L416" s="340">
        <f>_xlfn.IFNA(_xlfn.IFNA(VLOOKUP(pStartYear+1,tbPayrollTax,2,FALSE),vl_MaxPayrollTax),0)</f>
        <v>5.8500000000000003E-2</v>
      </c>
      <c r="M416" s="451">
        <f t="shared" ref="M416" si="1776">L416*M415</f>
        <v>0</v>
      </c>
      <c r="N416" s="339">
        <f>_xlfn.IFNA(_xlfn.IFNA(VLOOKUP(pStartYear+2,tbPayrollTax,2,FALSE),vl_MaxPayrollTax),0)</f>
        <v>5.8500000000000003E-2</v>
      </c>
      <c r="O416" s="443">
        <f>N416*O415</f>
        <v>0</v>
      </c>
      <c r="P416" s="340">
        <f>_xlfn.IFNA(_xlfn.IFNA(VLOOKUP(pStartYear+3,tbPayrollTax,2,FALSE),vl_MaxPayrollTax),0)</f>
        <v>5.8500000000000003E-2</v>
      </c>
      <c r="Q416" s="451">
        <f t="shared" ref="Q416" si="1777">P416*Q415</f>
        <v>0</v>
      </c>
      <c r="R416" s="339">
        <f>_xlfn.IFNA(_xlfn.IFNA(VLOOKUP(pStartYear+4,tbPayrollTax,2,FALSE),vl_MaxPayrollTax),0)</f>
        <v>5.8500000000000003E-2</v>
      </c>
      <c r="S416" s="443">
        <f>R416*S415</f>
        <v>0</v>
      </c>
      <c r="T416" s="340">
        <f>_xlfn.IFNA(_xlfn.IFNA(VLOOKUP(pStartYear+5,tbPayrollTax,2,FALSE),vl_MaxPayrollTax),0)</f>
        <v>5.8500000000000003E-2</v>
      </c>
      <c r="U416" s="451">
        <f t="shared" ref="U416" si="1778">T416*U415</f>
        <v>0</v>
      </c>
      <c r="V416" s="339">
        <f>_xlfn.IFNA(_xlfn.IFNA(VLOOKUP(pStartYear+6,tbPayrollTax,2,FALSE),vl_MaxPayrollTax),0)</f>
        <v>5.8500000000000003E-2</v>
      </c>
      <c r="W416" s="443">
        <f>V416*W415</f>
        <v>0</v>
      </c>
      <c r="X416" s="340">
        <f>_xlfn.IFNA(_xlfn.IFNA(VLOOKUP(pStartYear+7,tbPayrollTax,2,FALSE),vl_MaxPayrollTax),0)</f>
        <v>5.8500000000000003E-2</v>
      </c>
      <c r="Y416" s="451">
        <f t="shared" ref="Y416" si="1779">X416*Y415</f>
        <v>0</v>
      </c>
      <c r="Z416" s="339">
        <f>_xlfn.IFNA(_xlfn.IFNA(VLOOKUP(pStartYear+8,tbPayrollTax,2,FALSE),vl_MaxPayrollTax),0)</f>
        <v>5.8500000000000003E-2</v>
      </c>
      <c r="AA416" s="443">
        <f>Z416*AA415</f>
        <v>0</v>
      </c>
      <c r="AB416" s="340">
        <f>_xlfn.IFNA(_xlfn.IFNA(VLOOKUP(pStartYear+9,tbPayrollTax,2,FALSE),vl_MaxPayrollTax),0)</f>
        <v>5.8500000000000003E-2</v>
      </c>
      <c r="AC416" s="451">
        <f t="shared" ref="AC416" si="1780">AB416*AC415</f>
        <v>0</v>
      </c>
      <c r="AD416" s="335"/>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row>
    <row r="417" spans="1:56" hidden="1" outlineLevel="1" x14ac:dyDescent="0.3">
      <c r="A417" s="1182"/>
      <c r="B417" s="1379"/>
      <c r="C417" s="1379"/>
      <c r="D417" s="1379"/>
      <c r="E417" s="1379"/>
      <c r="F417" s="1379"/>
      <c r="G417" s="1379"/>
      <c r="H417" s="1380"/>
      <c r="I417" s="455" t="s">
        <v>317</v>
      </c>
      <c r="J417" s="339">
        <f>_xlfn.IFNA(VLOOKUP($D411,tbWorkCover,2,FALSE),0)</f>
        <v>0</v>
      </c>
      <c r="K417" s="443">
        <f>J417*K415</f>
        <v>0</v>
      </c>
      <c r="L417" s="340">
        <f>_xlfn.IFNA(VLOOKUP($D411,tbWorkCover,2,FALSE),0)</f>
        <v>0</v>
      </c>
      <c r="M417" s="451">
        <f t="shared" ref="M417" si="1781">L417*M415</f>
        <v>0</v>
      </c>
      <c r="N417" s="339">
        <f>_xlfn.IFNA(VLOOKUP($D411,tbWorkCover,2,FALSE),0)</f>
        <v>0</v>
      </c>
      <c r="O417" s="443">
        <f>N417*O415</f>
        <v>0</v>
      </c>
      <c r="P417" s="340">
        <f>_xlfn.IFNA(VLOOKUP($D411,tbWorkCover,2,FALSE),0)</f>
        <v>0</v>
      </c>
      <c r="Q417" s="451">
        <f t="shared" ref="Q417" si="1782">P417*Q415</f>
        <v>0</v>
      </c>
      <c r="R417" s="339">
        <f>_xlfn.IFNA(VLOOKUP($D411,tbWorkCover,2,FALSE),0)</f>
        <v>0</v>
      </c>
      <c r="S417" s="443">
        <f>R417*S415</f>
        <v>0</v>
      </c>
      <c r="T417" s="340">
        <f>_xlfn.IFNA(VLOOKUP($D411,tbWorkCover,2,FALSE),0)</f>
        <v>0</v>
      </c>
      <c r="U417" s="451">
        <f t="shared" ref="U417" si="1783">T417*U415</f>
        <v>0</v>
      </c>
      <c r="V417" s="339">
        <f>_xlfn.IFNA(VLOOKUP($D411,tbWorkCover,2,FALSE),0)</f>
        <v>0</v>
      </c>
      <c r="W417" s="443">
        <f>V417*W415</f>
        <v>0</v>
      </c>
      <c r="X417" s="340">
        <f>_xlfn.IFNA(VLOOKUP($D411,tbWorkCover,2,FALSE),0)</f>
        <v>0</v>
      </c>
      <c r="Y417" s="451">
        <f t="shared" ref="Y417" si="1784">X417*Y415</f>
        <v>0</v>
      </c>
      <c r="Z417" s="339">
        <f>_xlfn.IFNA(VLOOKUP($D411,tbWorkCover,2,FALSE),0)</f>
        <v>0</v>
      </c>
      <c r="AA417" s="443">
        <f>Z417*AA415</f>
        <v>0</v>
      </c>
      <c r="AB417" s="340">
        <f>_xlfn.IFNA(VLOOKUP($D411,tbWorkCover,2,FALSE),0)</f>
        <v>0</v>
      </c>
      <c r="AC417" s="451">
        <f t="shared" ref="AC417" si="1785">AB417*AC415</f>
        <v>0</v>
      </c>
      <c r="AD417" s="335"/>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row>
    <row r="418" spans="1:56" hidden="1" outlineLevel="1" x14ac:dyDescent="0.3">
      <c r="A418" s="1182"/>
      <c r="B418" s="1379"/>
      <c r="C418" s="1379"/>
      <c r="D418" s="1379"/>
      <c r="E418" s="1379"/>
      <c r="F418" s="1379"/>
      <c r="G418" s="1379"/>
      <c r="H418" s="1380"/>
      <c r="I418" s="455" t="s">
        <v>318</v>
      </c>
      <c r="J418" s="339">
        <f>_xlfn.IFNA(VLOOKUP($D411,tbLongServiceLeave,2,FALSE),0)</f>
        <v>0</v>
      </c>
      <c r="K418" s="443">
        <f>J418*K412</f>
        <v>0</v>
      </c>
      <c r="L418" s="340">
        <f>_xlfn.IFNA(VLOOKUP($D411,tbLongServiceLeave,2,FALSE),0)</f>
        <v>0</v>
      </c>
      <c r="M418" s="451">
        <f t="shared" ref="M418" si="1786">L418*M412</f>
        <v>0</v>
      </c>
      <c r="N418" s="339">
        <f>_xlfn.IFNA(VLOOKUP($D411,tbLongServiceLeave,2,FALSE),0)</f>
        <v>0</v>
      </c>
      <c r="O418" s="443">
        <f>N418*O412</f>
        <v>0</v>
      </c>
      <c r="P418" s="340">
        <f>_xlfn.IFNA(VLOOKUP($D411,tbLongServiceLeave,2,FALSE),0)</f>
        <v>0</v>
      </c>
      <c r="Q418" s="451">
        <f t="shared" ref="Q418" si="1787">P418*Q412</f>
        <v>0</v>
      </c>
      <c r="R418" s="339">
        <f>_xlfn.IFNA(VLOOKUP($D411,tbLongServiceLeave,2,FALSE),0)</f>
        <v>0</v>
      </c>
      <c r="S418" s="443">
        <f>R418*S412</f>
        <v>0</v>
      </c>
      <c r="T418" s="340">
        <f>_xlfn.IFNA(VLOOKUP($D411,tbLongServiceLeave,2,FALSE),0)</f>
        <v>0</v>
      </c>
      <c r="U418" s="451">
        <f t="shared" ref="U418" si="1788">T418*U412</f>
        <v>0</v>
      </c>
      <c r="V418" s="339">
        <f>_xlfn.IFNA(VLOOKUP($D411,tbLongServiceLeave,2,FALSE),0)</f>
        <v>0</v>
      </c>
      <c r="W418" s="443">
        <f>V418*W412</f>
        <v>0</v>
      </c>
      <c r="X418" s="340">
        <f>_xlfn.IFNA(VLOOKUP($D411,tbLongServiceLeave,2,FALSE),0)</f>
        <v>0</v>
      </c>
      <c r="Y418" s="451">
        <f t="shared" ref="Y418" si="1789">X418*Y412</f>
        <v>0</v>
      </c>
      <c r="Z418" s="339">
        <f>_xlfn.IFNA(VLOOKUP($D411,tbLongServiceLeave,2,FALSE),0)</f>
        <v>0</v>
      </c>
      <c r="AA418" s="443">
        <f>Z418*AA412</f>
        <v>0</v>
      </c>
      <c r="AB418" s="340">
        <f>_xlfn.IFNA(VLOOKUP($D411,tbLongServiceLeave,2,FALSE),0)</f>
        <v>0</v>
      </c>
      <c r="AC418" s="451">
        <f t="shared" ref="AC418" si="1790">AB418*AC412</f>
        <v>0</v>
      </c>
      <c r="AD418" s="335"/>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row>
    <row r="419" spans="1:56" hidden="1" outlineLevel="1" x14ac:dyDescent="0.3">
      <c r="A419" s="1182"/>
      <c r="B419" s="1379"/>
      <c r="C419" s="1379"/>
      <c r="D419" s="1379"/>
      <c r="E419" s="1379"/>
      <c r="F419" s="1379"/>
      <c r="G419" s="1379"/>
      <c r="H419" s="1380"/>
      <c r="I419" s="455" t="s">
        <v>319</v>
      </c>
      <c r="J419" s="339">
        <f>_xlfn.IFNA(VLOOKUP($D411,tbParentalLeave,2,FALSE),0)</f>
        <v>0</v>
      </c>
      <c r="K419" s="443">
        <f>J419*K412</f>
        <v>0</v>
      </c>
      <c r="L419" s="340">
        <f>_xlfn.IFNA(VLOOKUP($D411,tbParentalLeave,2,FALSE),0)</f>
        <v>0</v>
      </c>
      <c r="M419" s="451">
        <f t="shared" ref="M419" si="1791">L419*M412</f>
        <v>0</v>
      </c>
      <c r="N419" s="339">
        <f>_xlfn.IFNA(VLOOKUP($D411,tbParentalLeave,2,FALSE),0)</f>
        <v>0</v>
      </c>
      <c r="O419" s="443">
        <f>N419*O412</f>
        <v>0</v>
      </c>
      <c r="P419" s="340">
        <f>_xlfn.IFNA(VLOOKUP($D411,tbParentalLeave,2,FALSE),0)</f>
        <v>0</v>
      </c>
      <c r="Q419" s="451">
        <f t="shared" ref="Q419" si="1792">P419*Q412</f>
        <v>0</v>
      </c>
      <c r="R419" s="339">
        <f>_xlfn.IFNA(VLOOKUP($D411,tbParentalLeave,2,FALSE),0)</f>
        <v>0</v>
      </c>
      <c r="S419" s="443">
        <f>R419*S412</f>
        <v>0</v>
      </c>
      <c r="T419" s="340">
        <f>_xlfn.IFNA(VLOOKUP($D411,tbParentalLeave,2,FALSE),0)</f>
        <v>0</v>
      </c>
      <c r="U419" s="451">
        <f t="shared" ref="U419" si="1793">T419*U412</f>
        <v>0</v>
      </c>
      <c r="V419" s="339">
        <f>_xlfn.IFNA(VLOOKUP($D411,tbParentalLeave,2,FALSE),0)</f>
        <v>0</v>
      </c>
      <c r="W419" s="443">
        <f>V419*W412</f>
        <v>0</v>
      </c>
      <c r="X419" s="340">
        <f>_xlfn.IFNA(VLOOKUP($D411,tbParentalLeave,2,FALSE),0)</f>
        <v>0</v>
      </c>
      <c r="Y419" s="451">
        <f t="shared" ref="Y419" si="1794">X419*Y412</f>
        <v>0</v>
      </c>
      <c r="Z419" s="339">
        <f>_xlfn.IFNA(VLOOKUP($D411,tbParentalLeave,2,FALSE),0)</f>
        <v>0</v>
      </c>
      <c r="AA419" s="443">
        <f>Z419*AA412</f>
        <v>0</v>
      </c>
      <c r="AB419" s="340">
        <f>_xlfn.IFNA(VLOOKUP($D411,tbParentalLeave,2,FALSE),0)</f>
        <v>0</v>
      </c>
      <c r="AC419" s="451">
        <f t="shared" ref="AC419" si="1795">AB419*AC412</f>
        <v>0</v>
      </c>
      <c r="AD419" s="335"/>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row>
    <row r="420" spans="1:56" hidden="1" outlineLevel="1" x14ac:dyDescent="0.3">
      <c r="A420" s="1182"/>
      <c r="B420" s="1379"/>
      <c r="C420" s="1379"/>
      <c r="D420" s="1379"/>
      <c r="E420" s="1379"/>
      <c r="F420" s="1379"/>
      <c r="G420" s="1379"/>
      <c r="H420" s="1380"/>
      <c r="I420" s="437" t="s">
        <v>320</v>
      </c>
      <c r="J420" s="438">
        <f>vl_overridden_uom_oncosts_per</f>
        <v>0</v>
      </c>
      <c r="K420" s="445">
        <f>J420*K412</f>
        <v>0</v>
      </c>
      <c r="L420" s="438">
        <f>vl_overridden_uom_oncosts_per</f>
        <v>0</v>
      </c>
      <c r="M420" s="445">
        <f>L420*M412</f>
        <v>0</v>
      </c>
      <c r="N420" s="438">
        <f>vl_overridden_uom_oncosts_per</f>
        <v>0</v>
      </c>
      <c r="O420" s="445">
        <f t="shared" ref="O420" si="1796">N420*O412</f>
        <v>0</v>
      </c>
      <c r="P420" s="438">
        <f>vl_overridden_uom_oncosts_per</f>
        <v>0</v>
      </c>
      <c r="Q420" s="445">
        <f t="shared" ref="Q420" si="1797">P420*Q412</f>
        <v>0</v>
      </c>
      <c r="R420" s="438">
        <f>vl_overridden_uom_oncosts_per</f>
        <v>0</v>
      </c>
      <c r="S420" s="445">
        <f t="shared" ref="S420" si="1798">R420*S412</f>
        <v>0</v>
      </c>
      <c r="T420" s="438">
        <f>vl_overridden_uom_oncosts_per</f>
        <v>0</v>
      </c>
      <c r="U420" s="445">
        <f t="shared" ref="U420" si="1799">T420*U412</f>
        <v>0</v>
      </c>
      <c r="V420" s="438">
        <f>vl_overridden_uom_oncosts_per</f>
        <v>0</v>
      </c>
      <c r="W420" s="445">
        <f t="shared" ref="W420" si="1800">V420*W412</f>
        <v>0</v>
      </c>
      <c r="X420" s="438">
        <f>vl_overridden_uom_oncosts_per</f>
        <v>0</v>
      </c>
      <c r="Y420" s="445">
        <f t="shared" ref="Y420" si="1801">X420*Y412</f>
        <v>0</v>
      </c>
      <c r="Z420" s="438">
        <f>vl_overridden_uom_oncosts_per</f>
        <v>0</v>
      </c>
      <c r="AA420" s="445">
        <f t="shared" ref="AA420" si="1802">Z420*AA412</f>
        <v>0</v>
      </c>
      <c r="AB420" s="438">
        <f>vl_overridden_uom_oncosts_per</f>
        <v>0</v>
      </c>
      <c r="AC420" s="445">
        <f t="shared" ref="AC420" si="1803">AB420*AC412</f>
        <v>0</v>
      </c>
      <c r="AD420" s="335"/>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row>
    <row r="421" spans="1:56" hidden="1" outlineLevel="1" x14ac:dyDescent="0.3">
      <c r="A421" s="1182"/>
      <c r="B421" s="1379"/>
      <c r="C421" s="1379"/>
      <c r="D421" s="1379"/>
      <c r="E421" s="1379"/>
      <c r="F421" s="1379"/>
      <c r="G421" s="1379"/>
      <c r="H421" s="1380"/>
      <c r="I421" s="341" t="s">
        <v>321</v>
      </c>
      <c r="J421" s="342"/>
      <c r="K421" s="444">
        <f>SUM(K415:K420)</f>
        <v>0</v>
      </c>
      <c r="L421" s="342"/>
      <c r="M421" s="444">
        <f t="shared" ref="M421" si="1804">SUM(M415:M420)</f>
        <v>0</v>
      </c>
      <c r="N421" s="342"/>
      <c r="O421" s="444">
        <f t="shared" ref="O421" si="1805">SUM(O415:O420)</f>
        <v>0</v>
      </c>
      <c r="P421" s="342"/>
      <c r="Q421" s="444">
        <f t="shared" ref="Q421" si="1806">SUM(Q415:Q420)</f>
        <v>0</v>
      </c>
      <c r="R421" s="342"/>
      <c r="S421" s="444">
        <f t="shared" ref="S421" si="1807">SUM(S415:S420)</f>
        <v>0</v>
      </c>
      <c r="T421" s="342"/>
      <c r="U421" s="444">
        <f t="shared" ref="U421" si="1808">SUM(U415:U420)</f>
        <v>0</v>
      </c>
      <c r="V421" s="342"/>
      <c r="W421" s="444">
        <f t="shared" ref="W421" si="1809">SUM(W415:W420)</f>
        <v>0</v>
      </c>
      <c r="X421" s="342"/>
      <c r="Y421" s="444">
        <f t="shared" ref="Y421" si="1810">SUM(Y415:Y420)</f>
        <v>0</v>
      </c>
      <c r="Z421" s="342"/>
      <c r="AA421" s="444">
        <f t="shared" ref="AA421" si="1811">SUM(AA415:AA420)</f>
        <v>0</v>
      </c>
      <c r="AB421" s="342"/>
      <c r="AC421" s="444">
        <f t="shared" ref="AC421" si="1812">SUM(AC415:AC420)</f>
        <v>0</v>
      </c>
      <c r="AD421" s="335">
        <f t="shared" si="1775"/>
        <v>0</v>
      </c>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row>
    <row r="422" spans="1:56" hidden="1" outlineLevel="1" x14ac:dyDescent="0.3">
      <c r="A422" s="1182"/>
      <c r="B422" s="1379"/>
      <c r="C422" s="1379"/>
      <c r="D422" s="1379"/>
      <c r="E422" s="1379"/>
      <c r="F422" s="1379"/>
      <c r="G422" s="1379"/>
      <c r="H422" s="1380"/>
      <c r="I422" s="455" t="s">
        <v>322</v>
      </c>
      <c r="J422" s="339">
        <f>_xlfn.IFNA(VLOOKUP($D411,tbAnnualLeaveProvision,2,FALSE),0)</f>
        <v>0</v>
      </c>
      <c r="K422" s="443">
        <f>J422*K412</f>
        <v>0</v>
      </c>
      <c r="L422" s="340">
        <f>_xlfn.IFNA(VLOOKUP($D411,tbAnnualLeaveProvision,2,FALSE),0)</f>
        <v>0</v>
      </c>
      <c r="M422" s="451">
        <f t="shared" ref="M422" si="1813">L422*M412</f>
        <v>0</v>
      </c>
      <c r="N422" s="339">
        <f>_xlfn.IFNA(VLOOKUP($D411,tbAnnualLeaveProvision,2,FALSE),0)</f>
        <v>0</v>
      </c>
      <c r="O422" s="443">
        <f>N422*O412</f>
        <v>0</v>
      </c>
      <c r="P422" s="340">
        <f>_xlfn.IFNA(VLOOKUP($D411,tbAnnualLeaveProvision,2,FALSE),0)</f>
        <v>0</v>
      </c>
      <c r="Q422" s="451">
        <f t="shared" ref="Q422" si="1814">P422*Q412</f>
        <v>0</v>
      </c>
      <c r="R422" s="339">
        <f>_xlfn.IFNA(VLOOKUP($D411,tbAnnualLeaveProvision,2,FALSE),0)</f>
        <v>0</v>
      </c>
      <c r="S422" s="443">
        <f>R422*S412</f>
        <v>0</v>
      </c>
      <c r="T422" s="340">
        <f>_xlfn.IFNA(VLOOKUP($D411,tbAnnualLeaveProvision,2,FALSE),0)</f>
        <v>0</v>
      </c>
      <c r="U422" s="451">
        <f t="shared" ref="U422" si="1815">T422*U412</f>
        <v>0</v>
      </c>
      <c r="V422" s="339">
        <f>_xlfn.IFNA(VLOOKUP($D411,tbAnnualLeaveProvision,2,FALSE),0)</f>
        <v>0</v>
      </c>
      <c r="W422" s="443">
        <f>V422*W412</f>
        <v>0</v>
      </c>
      <c r="X422" s="340">
        <f>_xlfn.IFNA(VLOOKUP($D411,tbAnnualLeaveProvision,2,FALSE),0)</f>
        <v>0</v>
      </c>
      <c r="Y422" s="451">
        <f t="shared" ref="Y422" si="1816">X422*Y412</f>
        <v>0</v>
      </c>
      <c r="Z422" s="339">
        <f>_xlfn.IFNA(VLOOKUP($D411,tbAnnualLeaveProvision,2,FALSE),0)</f>
        <v>0</v>
      </c>
      <c r="AA422" s="443">
        <f>Z422*AA412</f>
        <v>0</v>
      </c>
      <c r="AB422" s="340">
        <f>_xlfn.IFNA(VLOOKUP($D411,tbAnnualLeaveProvision,2,FALSE),0)</f>
        <v>0</v>
      </c>
      <c r="AC422" s="451">
        <f t="shared" ref="AC422" si="1817">AB422*AC412</f>
        <v>0</v>
      </c>
      <c r="AD422" s="335"/>
      <c r="AE422" s="1152"/>
      <c r="AF422" s="1152"/>
      <c r="AG422" s="1152"/>
      <c r="AH422" s="1152"/>
      <c r="AI422" s="1152"/>
      <c r="AJ422" s="1152"/>
      <c r="AK422" s="1152"/>
      <c r="AL422" s="1152"/>
      <c r="AM422" s="1152"/>
      <c r="AN422" s="1152"/>
      <c r="AO422" s="1152"/>
      <c r="AP422" s="1152"/>
      <c r="AQ422" s="1152"/>
      <c r="AR422" s="1152"/>
      <c r="AS422" s="1152"/>
      <c r="AT422" s="1152"/>
      <c r="AU422" s="1152"/>
      <c r="AV422" s="1152"/>
      <c r="AW422" s="1152"/>
      <c r="AX422" s="1152"/>
      <c r="AY422" s="1152"/>
      <c r="AZ422" s="1152"/>
      <c r="BA422" s="1152"/>
      <c r="BB422" s="1152"/>
      <c r="BC422" s="1152"/>
      <c r="BD422" s="1152"/>
    </row>
    <row r="423" spans="1:56" hidden="1" outlineLevel="1" x14ac:dyDescent="0.3">
      <c r="A423" s="1182"/>
      <c r="B423" s="1379"/>
      <c r="C423" s="1379"/>
      <c r="D423" s="1379"/>
      <c r="E423" s="1379"/>
      <c r="F423" s="1379"/>
      <c r="G423" s="1379"/>
      <c r="H423" s="1380"/>
      <c r="I423" s="455" t="s">
        <v>330</v>
      </c>
      <c r="J423" s="339"/>
      <c r="K423" s="446">
        <f>K421+K422</f>
        <v>0</v>
      </c>
      <c r="L423" s="340"/>
      <c r="M423" s="452">
        <f t="shared" ref="M423" si="1818">M421+M422</f>
        <v>0</v>
      </c>
      <c r="N423" s="339"/>
      <c r="O423" s="446">
        <f>O421+O422</f>
        <v>0</v>
      </c>
      <c r="P423" s="340"/>
      <c r="Q423" s="452">
        <f t="shared" ref="Q423" si="1819">Q421+Q422</f>
        <v>0</v>
      </c>
      <c r="R423" s="339"/>
      <c r="S423" s="446">
        <f>S421+S422</f>
        <v>0</v>
      </c>
      <c r="T423" s="340"/>
      <c r="U423" s="452">
        <f t="shared" ref="U423" si="1820">U421+U422</f>
        <v>0</v>
      </c>
      <c r="V423" s="339"/>
      <c r="W423" s="446">
        <f>W421+W422</f>
        <v>0</v>
      </c>
      <c r="X423" s="340"/>
      <c r="Y423" s="452">
        <f t="shared" ref="Y423" si="1821">Y421+Y422</f>
        <v>0</v>
      </c>
      <c r="Z423" s="339"/>
      <c r="AA423" s="446">
        <f>AA421+AA422</f>
        <v>0</v>
      </c>
      <c r="AB423" s="340"/>
      <c r="AC423" s="452">
        <f t="shared" ref="AC423" si="1822">AC421+AC422</f>
        <v>0</v>
      </c>
      <c r="AD423" s="335"/>
      <c r="AE423" s="1152"/>
      <c r="AF423" s="1152"/>
      <c r="AG423" s="1152"/>
      <c r="AH423" s="1152"/>
      <c r="AI423" s="1152"/>
      <c r="AJ423" s="1152"/>
      <c r="AK423" s="1152"/>
      <c r="AL423" s="1152"/>
      <c r="AM423" s="1152"/>
      <c r="AN423" s="1152"/>
      <c r="AO423" s="1152"/>
      <c r="AP423" s="1152"/>
      <c r="AQ423" s="1152"/>
      <c r="AR423" s="1152"/>
      <c r="AS423" s="1152"/>
      <c r="AT423" s="1152"/>
      <c r="AU423" s="1152"/>
      <c r="AV423" s="1152"/>
      <c r="AW423" s="1152"/>
      <c r="AX423" s="1152"/>
      <c r="AY423" s="1152"/>
      <c r="AZ423" s="1152"/>
      <c r="BA423" s="1152"/>
      <c r="BB423" s="1152"/>
      <c r="BC423" s="1152"/>
      <c r="BD423" s="1152"/>
    </row>
    <row r="424" spans="1:56" hidden="1" outlineLevel="1" x14ac:dyDescent="0.3">
      <c r="A424" s="1182"/>
      <c r="B424" s="1379"/>
      <c r="C424" s="1379"/>
      <c r="D424" s="1379"/>
      <c r="E424" s="1379"/>
      <c r="F424" s="1379"/>
      <c r="G424" s="1379"/>
      <c r="H424" s="1380"/>
      <c r="I424" s="462" t="s">
        <v>324</v>
      </c>
      <c r="J424" s="344"/>
      <c r="K424" s="443">
        <f>-(K421/vl_working_days_per_year)*J424</f>
        <v>0</v>
      </c>
      <c r="L424" s="345"/>
      <c r="M424" s="451">
        <f>-(M421/vl_working_days_per_year)*L424</f>
        <v>0</v>
      </c>
      <c r="N424" s="344"/>
      <c r="O424" s="443">
        <f>-(O421/vl_working_days_per_year)*N424</f>
        <v>0</v>
      </c>
      <c r="P424" s="345"/>
      <c r="Q424" s="451">
        <f>-(Q421/vl_working_days_per_year)*P424</f>
        <v>0</v>
      </c>
      <c r="R424" s="344"/>
      <c r="S424" s="443">
        <f>-(S421/vl_working_days_per_year)*R424</f>
        <v>0</v>
      </c>
      <c r="T424" s="345"/>
      <c r="U424" s="451">
        <f>-(U421/vl_working_days_per_year)*T424</f>
        <v>0</v>
      </c>
      <c r="V424" s="344"/>
      <c r="W424" s="443">
        <f>-(W421/vl_working_days_per_year)*V424</f>
        <v>0</v>
      </c>
      <c r="X424" s="345"/>
      <c r="Y424" s="451">
        <f>-(Y421/vl_working_days_per_year)*X424</f>
        <v>0</v>
      </c>
      <c r="Z424" s="344"/>
      <c r="AA424" s="443">
        <f>-(AA421/vl_working_days_per_year)*Z424</f>
        <v>0</v>
      </c>
      <c r="AB424" s="345"/>
      <c r="AC424" s="451">
        <f>-(AC421/vl_working_days_per_year)*AB424</f>
        <v>0</v>
      </c>
      <c r="AD424" s="335">
        <f t="shared" si="1775"/>
        <v>0</v>
      </c>
      <c r="AE424" s="1152"/>
      <c r="AF424" s="1152"/>
      <c r="AG424" s="1152"/>
      <c r="AH424" s="1152"/>
      <c r="AI424" s="1152"/>
      <c r="AJ424" s="1152"/>
      <c r="AK424" s="1152"/>
      <c r="AL424" s="1152"/>
      <c r="AM424" s="1152"/>
      <c r="AN424" s="1152"/>
      <c r="AO424" s="1152"/>
      <c r="AP424" s="1152"/>
      <c r="AQ424" s="1152"/>
      <c r="AR424" s="1152"/>
      <c r="AS424" s="1152"/>
      <c r="AT424" s="1152"/>
      <c r="AU424" s="1152"/>
      <c r="AV424" s="1152"/>
      <c r="AW424" s="1152"/>
      <c r="AX424" s="1152"/>
      <c r="AY424" s="1152"/>
      <c r="AZ424" s="1152"/>
      <c r="BA424" s="1152"/>
      <c r="BB424" s="1152"/>
      <c r="BC424" s="1152"/>
      <c r="BD424" s="1152"/>
    </row>
    <row r="425" spans="1:56" hidden="1" outlineLevel="1" x14ac:dyDescent="0.3">
      <c r="A425" s="1182"/>
      <c r="B425" s="1379"/>
      <c r="C425" s="1379"/>
      <c r="D425" s="1379"/>
      <c r="E425" s="1379"/>
      <c r="F425" s="1379"/>
      <c r="G425" s="1379"/>
      <c r="H425" s="1380"/>
      <c r="I425" s="341" t="s">
        <v>325</v>
      </c>
      <c r="J425" s="346"/>
      <c r="K425" s="444">
        <f>K423+K424</f>
        <v>0</v>
      </c>
      <c r="L425" s="346"/>
      <c r="M425" s="444">
        <f t="shared" ref="M425" si="1823">M423+M424</f>
        <v>0</v>
      </c>
      <c r="N425" s="346"/>
      <c r="O425" s="444">
        <f>O423+O424</f>
        <v>0</v>
      </c>
      <c r="P425" s="346"/>
      <c r="Q425" s="444">
        <f t="shared" ref="Q425" si="1824">Q423+Q424</f>
        <v>0</v>
      </c>
      <c r="R425" s="346"/>
      <c r="S425" s="444">
        <f>S423+S424</f>
        <v>0</v>
      </c>
      <c r="T425" s="346"/>
      <c r="U425" s="444">
        <f t="shared" ref="U425" si="1825">U423+U424</f>
        <v>0</v>
      </c>
      <c r="V425" s="346"/>
      <c r="W425" s="444">
        <f>W423+W424</f>
        <v>0</v>
      </c>
      <c r="X425" s="346"/>
      <c r="Y425" s="444">
        <f t="shared" ref="Y425" si="1826">Y423+Y424</f>
        <v>0</v>
      </c>
      <c r="Z425" s="346"/>
      <c r="AA425" s="444">
        <f>AA423+AA424</f>
        <v>0</v>
      </c>
      <c r="AB425" s="346"/>
      <c r="AC425" s="444">
        <f t="shared" ref="AC425" si="1827">AC423+AC424</f>
        <v>0</v>
      </c>
      <c r="AD425" s="335">
        <f t="shared" si="1775"/>
        <v>0</v>
      </c>
      <c r="AE425" s="1152"/>
      <c r="AF425" s="1152"/>
      <c r="AG425" s="1152"/>
      <c r="AH425" s="1152"/>
      <c r="AI425" s="1152"/>
      <c r="AJ425" s="1152"/>
      <c r="AK425" s="1152"/>
      <c r="AL425" s="1152"/>
      <c r="AM425" s="1152"/>
      <c r="AN425" s="1152"/>
      <c r="AO425" s="1152"/>
      <c r="AP425" s="1152"/>
      <c r="AQ425" s="1152"/>
      <c r="AR425" s="1152"/>
      <c r="AS425" s="1152"/>
      <c r="AT425" s="1152"/>
      <c r="AU425" s="1152"/>
      <c r="AV425" s="1152"/>
      <c r="AW425" s="1152"/>
      <c r="AX425" s="1152"/>
      <c r="AY425" s="1152"/>
      <c r="AZ425" s="1152"/>
      <c r="BA425" s="1152"/>
      <c r="BB425" s="1152"/>
      <c r="BC425" s="1152"/>
      <c r="BD425" s="1152"/>
    </row>
    <row r="426" spans="1:56" s="1" customFormat="1" ht="15" hidden="1" customHeight="1" outlineLevel="1" x14ac:dyDescent="0.3">
      <c r="A426" s="727"/>
      <c r="B426" s="1379"/>
      <c r="C426" s="1379"/>
      <c r="D426" s="1379"/>
      <c r="E426" s="1379"/>
      <c r="F426" s="1379"/>
      <c r="G426" s="1379"/>
      <c r="H426" s="1380"/>
      <c r="I426" s="463" t="s">
        <v>326</v>
      </c>
      <c r="J426" s="383">
        <f>IFERROR(K426/K412,0)</f>
        <v>0</v>
      </c>
      <c r="K426" s="447">
        <f>SUM(K413:K414,K416:K419,K422)</f>
        <v>0</v>
      </c>
      <c r="L426" s="434">
        <f>IFERROR(M426/M412,0)</f>
        <v>0</v>
      </c>
      <c r="M426" s="453">
        <f t="shared" ref="M426" si="1828">SUM(M413:M414,M416:M419,M422)</f>
        <v>0</v>
      </c>
      <c r="N426" s="383">
        <f t="shared" ref="N426" si="1829">IFERROR(O426/O412,0)</f>
        <v>0</v>
      </c>
      <c r="O426" s="447">
        <f t="shared" ref="O426" si="1830">SUM(O413:O414,O416:O419,O422)</f>
        <v>0</v>
      </c>
      <c r="P426" s="434">
        <f t="shared" ref="P426" si="1831">IFERROR(Q426/Q412,0)</f>
        <v>0</v>
      </c>
      <c r="Q426" s="453">
        <f t="shared" ref="Q426" si="1832">SUM(Q413:Q414,Q416:Q419,Q422)</f>
        <v>0</v>
      </c>
      <c r="R426" s="383">
        <f t="shared" ref="R426" si="1833">IFERROR(S426/S412,0)</f>
        <v>0</v>
      </c>
      <c r="S426" s="447">
        <f t="shared" ref="S426" si="1834">SUM(S413:S414,S416:S419,S422)</f>
        <v>0</v>
      </c>
      <c r="T426" s="434">
        <f t="shared" ref="T426" si="1835">IFERROR(U426/U412,0)</f>
        <v>0</v>
      </c>
      <c r="U426" s="453">
        <f t="shared" ref="U426" si="1836">SUM(U413:U414,U416:U419,U422)</f>
        <v>0</v>
      </c>
      <c r="V426" s="383">
        <f t="shared" ref="V426" si="1837">IFERROR(W426/W412,0)</f>
        <v>0</v>
      </c>
      <c r="W426" s="447">
        <f t="shared" ref="W426" si="1838">SUM(W413:W414,W416:W419,W422)</f>
        <v>0</v>
      </c>
      <c r="X426" s="434">
        <f t="shared" ref="X426" si="1839">IFERROR(Y426/Y412,0)</f>
        <v>0</v>
      </c>
      <c r="Y426" s="453">
        <f t="shared" ref="Y426" si="1840">SUM(Y413:Y414,Y416:Y419,Y422)</f>
        <v>0</v>
      </c>
      <c r="Z426" s="383">
        <f t="shared" ref="Z426" si="1841">IFERROR(AA426/AA412,0)</f>
        <v>0</v>
      </c>
      <c r="AA426" s="447">
        <f t="shared" ref="AA426" si="1842">SUM(AA413:AA414,AA416:AA419,AA422)</f>
        <v>0</v>
      </c>
      <c r="AB426" s="434">
        <f t="shared" ref="AB426" si="1843">IFERROR(AC426/AC412,0)</f>
        <v>0</v>
      </c>
      <c r="AC426" s="453">
        <f t="shared" ref="AC426" si="1844">SUM(AC413:AC414,AC416:AC419,AC422)</f>
        <v>0</v>
      </c>
      <c r="AD426" s="377">
        <f t="shared" si="1775"/>
        <v>0</v>
      </c>
      <c r="AE426" s="14"/>
      <c r="AF426" s="14"/>
      <c r="AG426" s="14"/>
      <c r="AH426" s="14"/>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row>
    <row r="427" spans="1:56" hidden="1" outlineLevel="1" x14ac:dyDescent="0.3">
      <c r="A427" s="1182"/>
      <c r="B427" s="1379"/>
      <c r="C427" s="1379"/>
      <c r="D427" s="1379"/>
      <c r="E427" s="1379"/>
      <c r="F427" s="1379"/>
      <c r="G427" s="1379"/>
      <c r="H427" s="1380"/>
      <c r="I427" s="463" t="s">
        <v>327</v>
      </c>
      <c r="J427" s="384">
        <f>pCRInKind</f>
        <v>2.5</v>
      </c>
      <c r="K427" s="447"/>
      <c r="L427" s="435">
        <f>pCRInKind</f>
        <v>2.5</v>
      </c>
      <c r="M427" s="453"/>
      <c r="N427" s="384">
        <f>pCRInKind</f>
        <v>2.5</v>
      </c>
      <c r="O427" s="447"/>
      <c r="P427" s="435">
        <f>pCRInKind</f>
        <v>2.5</v>
      </c>
      <c r="Q427" s="453"/>
      <c r="R427" s="384">
        <f>pCRInKind</f>
        <v>2.5</v>
      </c>
      <c r="S427" s="447"/>
      <c r="T427" s="435">
        <f>pCRInKind</f>
        <v>2.5</v>
      </c>
      <c r="U427" s="453"/>
      <c r="V427" s="384">
        <f>pCRInKind</f>
        <v>2.5</v>
      </c>
      <c r="W427" s="447"/>
      <c r="X427" s="435">
        <f>pCRInKind</f>
        <v>2.5</v>
      </c>
      <c r="Y427" s="453"/>
      <c r="Z427" s="384">
        <f>pCRInKind</f>
        <v>2.5</v>
      </c>
      <c r="AA427" s="447"/>
      <c r="AB427" s="435">
        <f>pCRInKind</f>
        <v>2.5</v>
      </c>
      <c r="AC427" s="453"/>
      <c r="AD427" s="335"/>
      <c r="AE427" s="1152"/>
      <c r="AF427" s="1152"/>
      <c r="AG427" s="1152"/>
      <c r="AH427" s="1152"/>
      <c r="AI427" s="1152"/>
      <c r="AJ427" s="1152"/>
      <c r="AK427" s="1152"/>
      <c r="AL427" s="1152"/>
      <c r="AM427" s="1152"/>
      <c r="AN427" s="1152"/>
      <c r="AO427" s="1152"/>
      <c r="AP427" s="1152"/>
      <c r="AQ427" s="1152"/>
      <c r="AR427" s="1152"/>
      <c r="AS427" s="1152"/>
      <c r="AT427" s="1152"/>
      <c r="AU427" s="1152"/>
      <c r="AV427" s="1152"/>
      <c r="AW427" s="1152"/>
      <c r="AX427" s="1152"/>
      <c r="AY427" s="1152"/>
      <c r="AZ427" s="1152"/>
      <c r="BA427" s="1152"/>
      <c r="BB427" s="1152"/>
      <c r="BC427" s="1152"/>
      <c r="BD427" s="1152"/>
    </row>
    <row r="428" spans="1:56" ht="16.2" hidden="1" outlineLevel="1" thickBot="1" x14ac:dyDescent="0.35">
      <c r="A428" s="1182"/>
      <c r="B428" s="710"/>
      <c r="C428" s="347"/>
      <c r="D428" s="347"/>
      <c r="E428" s="347"/>
      <c r="F428" s="347"/>
      <c r="G428" s="347"/>
      <c r="H428" s="347"/>
      <c r="I428" s="436" t="s">
        <v>329</v>
      </c>
      <c r="J428" s="348"/>
      <c r="K428" s="448">
        <f>J427*K423</f>
        <v>0</v>
      </c>
      <c r="L428" s="348"/>
      <c r="M428" s="448">
        <f t="shared" ref="M428" si="1845">L427*M423</f>
        <v>0</v>
      </c>
      <c r="N428" s="348"/>
      <c r="O428" s="448">
        <f>N427*O423</f>
        <v>0</v>
      </c>
      <c r="P428" s="348"/>
      <c r="Q428" s="448">
        <f t="shared" ref="Q428" si="1846">P427*Q423</f>
        <v>0</v>
      </c>
      <c r="R428" s="348"/>
      <c r="S428" s="448">
        <f>R427*S423</f>
        <v>0</v>
      </c>
      <c r="T428" s="348"/>
      <c r="U428" s="448">
        <f t="shared" ref="U428" si="1847">T427*U423</f>
        <v>0</v>
      </c>
      <c r="V428" s="348"/>
      <c r="W428" s="448">
        <f>V427*W423</f>
        <v>0</v>
      </c>
      <c r="X428" s="348"/>
      <c r="Y428" s="448">
        <f t="shared" ref="Y428" si="1848">X427*Y423</f>
        <v>0</v>
      </c>
      <c r="Z428" s="348"/>
      <c r="AA428" s="448">
        <f>Z427*AA423</f>
        <v>0</v>
      </c>
      <c r="AB428" s="348"/>
      <c r="AC428" s="448">
        <f t="shared" ref="AC428" si="1849">AB427*AC423</f>
        <v>0</v>
      </c>
      <c r="AD428" s="335">
        <f t="shared" si="1775"/>
        <v>0</v>
      </c>
      <c r="AE428" s="1152"/>
      <c r="AF428" s="1152"/>
      <c r="AG428" s="1152"/>
      <c r="AH428" s="1152"/>
      <c r="AI428" s="1152"/>
      <c r="AJ428" s="1152"/>
      <c r="AK428" s="1152"/>
      <c r="AL428" s="1152"/>
      <c r="AM428" s="1152"/>
      <c r="AN428" s="1152"/>
      <c r="AO428" s="1152"/>
      <c r="AP428" s="1152"/>
      <c r="AQ428" s="1152"/>
      <c r="AR428" s="1152"/>
      <c r="AS428" s="1152"/>
      <c r="AT428" s="1152"/>
      <c r="AU428" s="1152"/>
      <c r="AV428" s="1152"/>
      <c r="AW428" s="1152"/>
      <c r="AX428" s="1152"/>
      <c r="AY428" s="1152"/>
      <c r="AZ428" s="1152"/>
      <c r="BA428" s="1152"/>
      <c r="BB428" s="1152"/>
      <c r="BC428" s="1152"/>
      <c r="BD428" s="1152"/>
    </row>
    <row r="429" spans="1:56" ht="15" hidden="1" outlineLevel="1" thickBot="1" x14ac:dyDescent="0.35">
      <c r="A429" s="1182"/>
      <c r="B429" s="1181"/>
      <c r="C429" s="1181"/>
      <c r="D429" s="1181"/>
      <c r="E429" s="1181"/>
      <c r="F429" s="1181"/>
      <c r="G429" s="1181"/>
      <c r="H429" s="1181"/>
      <c r="I429" s="350"/>
      <c r="J429" s="351"/>
      <c r="K429" s="351"/>
      <c r="L429" s="351"/>
      <c r="M429" s="352"/>
      <c r="N429" s="351"/>
      <c r="O429" s="352"/>
      <c r="P429" s="351"/>
      <c r="Q429" s="352"/>
      <c r="R429" s="351"/>
      <c r="S429" s="352"/>
      <c r="T429" s="351"/>
      <c r="U429" s="352"/>
      <c r="V429" s="351"/>
      <c r="W429" s="352"/>
      <c r="X429" s="351"/>
      <c r="Y429" s="352"/>
      <c r="Z429" s="351"/>
      <c r="AA429" s="352"/>
      <c r="AB429" s="351"/>
      <c r="AC429" s="352"/>
      <c r="AD429" s="353"/>
      <c r="AE429" s="1152"/>
      <c r="AF429" s="1152"/>
      <c r="AG429" s="1152"/>
      <c r="AH429" s="1152"/>
      <c r="AI429" s="1152"/>
      <c r="AJ429" s="1152"/>
      <c r="AK429" s="1152"/>
      <c r="AL429" s="1152"/>
      <c r="AM429" s="1152"/>
      <c r="AN429" s="1152"/>
      <c r="AO429" s="1152"/>
      <c r="AP429" s="1152"/>
      <c r="AQ429" s="1152"/>
      <c r="AR429" s="1152"/>
      <c r="AS429" s="1152"/>
      <c r="AT429" s="1152"/>
      <c r="AU429" s="1152"/>
      <c r="AV429" s="1152"/>
      <c r="AW429" s="1152"/>
      <c r="AX429" s="1152"/>
      <c r="AY429" s="1152"/>
      <c r="AZ429" s="1152"/>
      <c r="BA429" s="1152"/>
      <c r="BB429" s="1152"/>
      <c r="BC429" s="1152"/>
      <c r="BD429" s="1152"/>
    </row>
    <row r="430" spans="1:56" hidden="1" outlineLevel="1" x14ac:dyDescent="0.3">
      <c r="A430" s="1182"/>
      <c r="B430" s="460" t="str">
        <f>IF('PART B Staff Costs'!B55="","",'PART B Staff Costs'!B55)</f>
        <v/>
      </c>
      <c r="C430" s="460" t="str">
        <f>IF('PART B Staff Costs'!C55="","",'PART B Staff Costs'!C55)</f>
        <v xml:space="preserve"> </v>
      </c>
      <c r="D430" s="461" t="str">
        <f>IF('PART B Staff Costs'!D55="","",'PART B Staff Costs'!D55)</f>
        <v/>
      </c>
      <c r="E430" s="461" t="str">
        <f>IF('PART B Staff Costs'!E55="","",'PART B Staff Costs'!E55)</f>
        <v/>
      </c>
      <c r="F430" s="461" t="str">
        <f>IF('PART B Staff Costs'!F55="","",'PART B Staff Costs'!F55)</f>
        <v/>
      </c>
      <c r="G430" s="461" t="str">
        <f>IF('PART B Staff Costs'!G55="","",'PART B Staff Costs'!G55)</f>
        <v/>
      </c>
      <c r="H430" s="454" t="str">
        <f t="shared" ref="H430" si="1850">CONCATENATE(IF(D430=0,"",D430)," ",IF(E430=0,"",E430)," ",IF(F430=0,"",F430),,IF(OR(G430=0,G430=""),"",CONCATENATE(" (",G430,")")))</f>
        <v xml:space="preserve">  </v>
      </c>
      <c r="I430" s="454" t="s">
        <v>313</v>
      </c>
      <c r="J430" s="333">
        <f>_xlfn.IFNA('PART B Staff Costs'!H55*'PART B Staff Costs'!J$10,0)*new_xrate</f>
        <v>0</v>
      </c>
      <c r="K430" s="441"/>
      <c r="L430" s="334">
        <f>_xlfn.IFNA(IF(pStartYear+1&gt;pEndYear,0,VLOOKUP(CONCATENATE(
IF(OR($D430="Continuing",$D430="Fixed-Term"),"Fortnight",IF($D430="Casual","Casual",)),
$E430,
IF(OR($D430="Continuing",$D411="Fixed-Term"),
IF(LEFT($F430,6)="UOM 10","UOM 10",(LEFT($F430,LEN($F430)-1)&amp;MIN(RIGHT($F430,1)+COUNTIFS($J431:K431,"&gt;0")/2,VLOOKUP(LEFT($F430,LEN($F430)-2),tSalaryMax,2,FALSE)))),
IF($D430="Casual",
$F430,))
),tSalaryRate,5,FALSE)*VLOOKUP($G430,tSalaryRateMultiplier,2,FALSE)*'PART B Staff Costs'!L$10),0)*new_xrate</f>
        <v>0</v>
      </c>
      <c r="M430" s="449"/>
      <c r="N430" s="333">
        <f>_xlfn.IFNA(IF(pStartYear+2&gt;pEndYear,0,VLOOKUP(CONCATENATE(
IF(OR($D430="Continuing",$D430="Fixed-Term"),"Fortnight",IF($D430="Casual","Casual",)),
$E430,
IF(OR($D430="Continuing",$D430="Fixed-Term"),
IF(LEFT($F430,6)="UOM 10","UOM 10",(LEFT($F430,LEN($F430)-1)&amp;MIN(RIGHT($F430,1)+COUNTIFS($J431:M431,"&gt;0")/2,VLOOKUP(LEFT($F430,LEN($F430)-2),tSalaryMax,2,FALSE)))),
IF($D430="Casual",
$F430,))
),tSalaryRate,5,FALSE)*VLOOKUP($G430,tSalaryRateMultiplier,2,FALSE)*'PART B Staff Costs'!N$10),0)*new_xrate</f>
        <v>0</v>
      </c>
      <c r="O430" s="441"/>
      <c r="P430" s="334">
        <f>_xlfn.IFNA(IF(pStartYear+3&gt;pEndYear,0,VLOOKUP(CONCATENATE(
IF(OR($D430="Continuing",$D430="Fixed-Term"),"Fortnight",IF($D430="Casual","Casual",)),
$E430,
IF(OR($D430="Continuing",$D430="Fixed-Term"),
IF(LEFT($F430,6)="UOM 10","UOM 10",(LEFT($F430,LEN($F430)-1)&amp;MIN(RIGHT($F430,1)+COUNTIFS($J431:O431,"&gt;0")/2,VLOOKUP(LEFT($F430,LEN($F430)-2),tSalaryMax,2,FALSE)))),
IF($D430="Casual",
$F430,))
),tSalaryRate,5,FALSE)*VLOOKUP($G430,tSalaryRateMultiplier,2,FALSE)*'PART B Staff Costs'!P$10),0)*new_xrate</f>
        <v>0</v>
      </c>
      <c r="Q430" s="449"/>
      <c r="R430" s="333">
        <f>_xlfn.IFNA(IF(pStartYear+4&gt;pEndYear,0,VLOOKUP(CONCATENATE(
IF(OR($D430="Continuing",$D430="Fixed-Term"),"Fortnight",IF($D430="Casual","Casual",)),
$E430,
IF(OR($D430="Continuing",$D430="Fixed-Term"),
IF(LEFT($F430,6)="UOM 10","UOM 10",(LEFT($F430,LEN($F430)-1)&amp;MIN(RIGHT($F430,1)+COUNTIFS($J431:Q431,"&gt;0")/2,VLOOKUP(LEFT($F430,LEN($F430)-2),tSalaryMax,2,FALSE)))),
IF($D430="Casual",
$F430,))
),tSalaryRate,5,FALSE)*VLOOKUP($G430,tSalaryRateMultiplier,2,FALSE)*'PART B Staff Costs'!R$10),0)*new_xrate</f>
        <v>0</v>
      </c>
      <c r="S430" s="441"/>
      <c r="T430" s="334">
        <f>_xlfn.IFNA(IF(pStartYear+5&gt;pEndYear,0,VLOOKUP(CONCATENATE(
IF(OR($D430="Continuing",$D430="Fixed-Term"),"Fortnight",IF($D430="Casual","Casual",)),
$E430,
IF(OR($D430="Continuing",$D430="Fixed-Term"),
IF(LEFT($F430,6)="UOM 10","UOM 10",(LEFT($F430,LEN($F430)-1)&amp;MIN(RIGHT($F430,1)+COUNTIFS($J431:S431,"&gt;0")/2,VLOOKUP(LEFT($F430,LEN($F430)-2),tSalaryMax,2,FALSE)))),
IF($D430="Casual",
$F430,))
),tSalaryRate,5,FALSE)*VLOOKUP($G430,tSalaryRateMultiplier,2,FALSE)*'PART B Staff Costs'!T$10),0)*new_xrate</f>
        <v>0</v>
      </c>
      <c r="U430" s="449"/>
      <c r="V430" s="333">
        <f>_xlfn.IFNA(IF(pStartYear+6&gt;pEndYear,0,VLOOKUP(CONCATENATE(
IF(OR($D430="Continuing",$D430="Fixed-Term"),"Fortnight",IF($D430="Casual","Casual",)),
$E430,
IF(OR($D430="Continuing",$D430="Fixed-Term"),
IF(LEFT($F430,6)="UOM 10","UOM 10",(LEFT($F430,LEN($F430)-1)&amp;MIN(RIGHT($F430,1)+COUNTIFS($J431:U431,"&gt;0")/2,VLOOKUP(LEFT($F430,LEN($F430)-2),tSalaryMax,2,FALSE)))),
IF($D430="Casual",
$F430,))
),tSalaryRate,5,FALSE)*VLOOKUP($G430,tSalaryRateMultiplier,2,FALSE)*'PART B Staff Costs'!V$10),0)*new_xrate</f>
        <v>0</v>
      </c>
      <c r="W430" s="441"/>
      <c r="X430" s="334">
        <f>_xlfn.IFNA(IF(pStartYear+7&gt;pEndYear,0,VLOOKUP(CONCATENATE(
IF(OR($D430="Continuing",$D430="Fixed-Term"),"Fortnight",IF($D430="Casual","Casual",)),
$E430,
IF(OR($D430="Continuing",$D430="Fixed-Term"),
IF(LEFT($F430,6)="UOM 10","UOM 10",(LEFT($F430,LEN($F430)-1)&amp;MIN(RIGHT($F430,1)+COUNTIFS($J431:W431,"&gt;0")/2,VLOOKUP(LEFT($F430,LEN($F430)-2),tSalaryMax,2,FALSE)))),
IF($D430="Casual",
$F430,))
),tSalaryRate,5,FALSE)*VLOOKUP($G430,tSalaryRateMultiplier,2,FALSE)*'PART B Staff Costs'!X$10),0)*new_xrate</f>
        <v>0</v>
      </c>
      <c r="Y430" s="449"/>
      <c r="Z430" s="333">
        <f>_xlfn.IFNA(IF(pStartYear+8&gt;pEndYear,0,VLOOKUP(CONCATENATE(
IF(OR($D430="Continuing",$D430="Fixed-Term"),"Fortnight",IF($D430="Casual","Casual",)),
$E430,
IF(OR($D430="Continuing",$D430="Fixed-Term"),
IF(LEFT($F430,6)="UOM 10","UOM 10",(LEFT($F430,LEN($F430)-1)&amp;MIN(RIGHT($F430,1)+COUNTIFS($J431:Y431,"&gt;0")/2,VLOOKUP(LEFT($F430,LEN($F430)-2),tSalaryMax,2,FALSE)))),
IF($D430="Casual",
$F430,))
),tSalaryRate,5,FALSE)*VLOOKUP($G430,tSalaryRateMultiplier,2,FALSE)*'PART B Staff Costs'!Z$10),0)*new_xrate</f>
        <v>0</v>
      </c>
      <c r="AA430" s="441"/>
      <c r="AB430" s="334">
        <f>_xlfn.IFNA(IF(pStartYear+9&gt;pEndYear,0,VLOOKUP(CONCATENATE(
IF(OR($D430="Continuing",$D430="Fixed-Term"),"Fortnight",IF($D430="Casual","Casual",)),
$E430,
IF(OR($D430="Continuing",$D430="Fixed-Term"),
IF(LEFT($F430,6)="UOM 10","UOM 10",(LEFT($F430,LEN($F430)-1)&amp;MIN(RIGHT($F430,1)+COUNTIFS($J431:AA431,"&gt;0")/2,VLOOKUP(LEFT($F430,LEN($F430)-2),tSalaryMax,2,FALSE)))),
IF($D430="Casual",
$F430,))
),tSalaryRate,5,FALSE)*VLOOKUP($G430,tSalaryRateMultiplier,2,FALSE)*'PART B Staff Costs'!AB$10),0)*new_xrate</f>
        <v>0</v>
      </c>
      <c r="AC430" s="449"/>
      <c r="AD430" s="335"/>
      <c r="AE430" s="1152"/>
      <c r="AF430" s="1152"/>
      <c r="AG430" s="1152"/>
      <c r="AH430" s="1152"/>
      <c r="AI430" s="1152"/>
      <c r="AJ430" s="1152"/>
      <c r="AK430" s="1152"/>
      <c r="AL430" s="1152"/>
      <c r="AM430" s="1152"/>
      <c r="AN430" s="1152"/>
      <c r="AO430" s="1152"/>
      <c r="AP430" s="1152"/>
      <c r="AQ430" s="1152"/>
      <c r="AR430" s="1152"/>
      <c r="AS430" s="1152"/>
      <c r="AT430" s="1152"/>
      <c r="AU430" s="1152"/>
      <c r="AV430" s="1152"/>
      <c r="AW430" s="1152"/>
      <c r="AX430" s="1152"/>
      <c r="AY430" s="1152"/>
      <c r="AZ430" s="1152"/>
      <c r="BA430" s="1152"/>
      <c r="BB430" s="1152"/>
      <c r="BC430" s="1152"/>
      <c r="BD430" s="1152"/>
    </row>
    <row r="431" spans="1:56" hidden="1" outlineLevel="1" x14ac:dyDescent="0.3">
      <c r="A431" s="1182"/>
      <c r="B431" s="1377"/>
      <c r="C431" s="1377"/>
      <c r="D431" s="1377"/>
      <c r="E431" s="1377"/>
      <c r="F431" s="1377"/>
      <c r="G431" s="1377"/>
      <c r="H431" s="1378"/>
      <c r="I431" s="455" t="str">
        <f>IF('PART B Staff Costs'!G426&lt;&gt;"",CONCATENATE("Time/Requested salary"," (",'PART B Staff Costs'!G426,")"),"Time/Requested salary")</f>
        <v>Time/Requested salary</v>
      </c>
      <c r="J431" s="337">
        <f>_xlfn.IFNA('PART B Staff Costs'!I55,0)</f>
        <v>0</v>
      </c>
      <c r="K431" s="442">
        <f>IF('PART B Staff Costs'!$G$55="FTE",J431*J430*(First_year_fraction/12),J431*J430)</f>
        <v>0</v>
      </c>
      <c r="L431" s="338">
        <f>_xlfn.IFNA('PART B Staff Costs'!K55,0)</f>
        <v>0</v>
      </c>
      <c r="M431" s="450">
        <f>IF(pStartYear+1=pEndYear,IF('PART B Staff Costs'!$G$55="FTE",(L431*L430)*Last_Year_Fraction/12,L431*L430),L431*L430)</f>
        <v>0</v>
      </c>
      <c r="N431" s="337">
        <f>_xlfn.IFNA('PART B Staff Costs'!M55,0)</f>
        <v>0</v>
      </c>
      <c r="O431" s="442">
        <f>IF(pStartYear+2=pEndYear,IF('PART B Staff Costs'!$G$55="FTE",(N431*N430)*Last_Year_Fraction/12,N431*N430),N431*N430)</f>
        <v>0</v>
      </c>
      <c r="P431" s="338">
        <f>_xlfn.IFNA('PART B Staff Costs'!O55,0)</f>
        <v>0</v>
      </c>
      <c r="Q431" s="450">
        <f>IF(pStartYear+3=pEndYear,IF('PART B Staff Costs'!$G$55="FTE",(P431*P430)*Last_Year_Fraction/12,P431*P430),P431*P430)</f>
        <v>0</v>
      </c>
      <c r="R431" s="337">
        <f>_xlfn.IFNA('PART B Staff Costs'!Q55,0)</f>
        <v>0</v>
      </c>
      <c r="S431" s="442">
        <f>IF(pStartYear+4=pEndYear,IF('PART B Staff Costs'!$G$55="FTE",(R431*R430)*Last_Year_Fraction/12,R431*R430),R431*R430)</f>
        <v>0</v>
      </c>
      <c r="T431" s="338">
        <f>_xlfn.IFNA('PART B Staff Costs'!S55,0)</f>
        <v>0</v>
      </c>
      <c r="U431" s="450">
        <f>IF(pStartYear+5=pEndYear,IF('PART B Staff Costs'!$G$55="FTE",(T431*T430)*Last_Year_Fraction/12,T431*T430),T431*T430)</f>
        <v>0</v>
      </c>
      <c r="V431" s="337">
        <f>_xlfn.IFNA('PART B Staff Costs'!U55,0)</f>
        <v>0</v>
      </c>
      <c r="W431" s="442">
        <f>IF(pStartYear+6=pEndYear,IF('PART B Staff Costs'!$G$55="FTE",(V431*V430)*Last_Year_Fraction/12,V431*V430),V431*V430)</f>
        <v>0</v>
      </c>
      <c r="X431" s="338">
        <f>_xlfn.IFNA('PART B Staff Costs'!W55,0)</f>
        <v>0</v>
      </c>
      <c r="Y431" s="450">
        <f>IF(pStartYear+7=pEndYear,IF('PART B Staff Costs'!$G$55="FTE",(X431*X430)*Last_Year_Fraction/12,X431*X430),X431*X430)</f>
        <v>0</v>
      </c>
      <c r="Z431" s="337">
        <f>_xlfn.IFNA('PART B Staff Costs'!Y55,0)</f>
        <v>0</v>
      </c>
      <c r="AA431" s="442">
        <f>IF(pStartYear+8=pEndYear,IF('PART B Staff Costs'!$G$55="FTE",(Z431*Z430)*Last_Year_Fraction/12,Z431*Z430),Z431*Z430)</f>
        <v>0</v>
      </c>
      <c r="AB431" s="338">
        <f>_xlfn.IFNA('PART B Staff Costs'!AA55,0)</f>
        <v>0</v>
      </c>
      <c r="AC431" s="450">
        <f>IF(pStartYear+9=pEndYear,IF('PART B Staff Costs'!$G$55="FTE",(AB431*AB430)*Last_Year_Fraction/12,AB431*AB430),AB431*AB430)</f>
        <v>0</v>
      </c>
      <c r="AD431" s="335"/>
      <c r="AE431" s="1152"/>
      <c r="AF431" s="1152"/>
      <c r="AG431" s="1152"/>
      <c r="AH431" s="1152"/>
      <c r="AI431" s="1152"/>
      <c r="AJ431" s="1152"/>
      <c r="AK431" s="1152"/>
      <c r="AL431" s="1152"/>
      <c r="AM431" s="1152"/>
      <c r="AN431" s="1152"/>
      <c r="AO431" s="1152"/>
      <c r="AP431" s="1152"/>
      <c r="AQ431" s="1152"/>
      <c r="AR431" s="1152"/>
      <c r="AS431" s="1152"/>
      <c r="AT431" s="1152"/>
      <c r="AU431" s="1152"/>
      <c r="AV431" s="1152"/>
      <c r="AW431" s="1152"/>
      <c r="AX431" s="1152"/>
      <c r="AY431" s="1152"/>
      <c r="AZ431" s="1152"/>
      <c r="BA431" s="1152"/>
      <c r="BB431" s="1152"/>
      <c r="BC431" s="1152"/>
      <c r="BD431" s="1152"/>
    </row>
    <row r="432" spans="1:56" hidden="1" outlineLevel="1" x14ac:dyDescent="0.3">
      <c r="A432" s="1182"/>
      <c r="B432" s="1379"/>
      <c r="C432" s="1379"/>
      <c r="D432" s="1379"/>
      <c r="E432" s="1379"/>
      <c r="F432" s="1379"/>
      <c r="G432" s="1379"/>
      <c r="H432" s="1380"/>
      <c r="I432" s="455" t="str">
        <f>IF(tbBudgetCurrency="AUD - Australian Dollar",CONCATENATE("Leave Loading (max of AU$",vl_Max_Leave_Loading,")"),CONCATENATE("Leave Loading (max of ",ROUND(vl_Max_Leave_Loading*new_xrate,2)," ",LEFT(tbBudgetCurrency,3),")"))</f>
        <v>Leave Loading (max of AU$1611.3)</v>
      </c>
      <c r="J432" s="339">
        <f>_xlfn.IFNA(VLOOKUP($D430,tbLeaveLoading,2,FALSE),0)</f>
        <v>0</v>
      </c>
      <c r="K432" s="443">
        <f>IF(K431*J432&gt;vl_Max_Leave_Loading*new_xrate,vl_Max_Leave_Loading*new_xrate,K431*J432)</f>
        <v>0</v>
      </c>
      <c r="L432" s="340">
        <f>_xlfn.IFNA(VLOOKUP($D430,tbLeaveLoading,2,FALSE),0)</f>
        <v>0</v>
      </c>
      <c r="M432" s="451">
        <f>IF(M431*L432&gt;vl_Max_Leave_Loading*new_xrate,vl_Max_Leave_Loading*new_xrate,M431*L432)</f>
        <v>0</v>
      </c>
      <c r="N432" s="339">
        <f>_xlfn.IFNA(VLOOKUP($D430,tbLeaveLoading,2,FALSE),0)</f>
        <v>0</v>
      </c>
      <c r="O432" s="443">
        <f>IF(O431*N432&gt;vl_Max_Leave_Loading*new_xrate,vl_Max_Leave_Loading*new_xrate,O431*N432)</f>
        <v>0</v>
      </c>
      <c r="P432" s="340">
        <f>_xlfn.IFNA(VLOOKUP($D430,tbLeaveLoading,2,FALSE),0)</f>
        <v>0</v>
      </c>
      <c r="Q432" s="451">
        <f>IF(Q431*P432&gt;vl_Max_Leave_Loading*new_xrate,vl_Max_Leave_Loading*new_xrate,Q431*P432)</f>
        <v>0</v>
      </c>
      <c r="R432" s="339">
        <f>_xlfn.IFNA(VLOOKUP($D430,tbLeaveLoading,2,FALSE),0)</f>
        <v>0</v>
      </c>
      <c r="S432" s="443">
        <f>IF(S431*R432&gt;vl_Max_Leave_Loading*new_xrate,vl_Max_Leave_Loading*new_xrate,S431*R432)</f>
        <v>0</v>
      </c>
      <c r="T432" s="340">
        <f>_xlfn.IFNA(VLOOKUP($D430,tbLeaveLoading,2,FALSE),0)</f>
        <v>0</v>
      </c>
      <c r="U432" s="451">
        <f>IF(U431*T432&gt;vl_Max_Leave_Loading*new_xrate,vl_Max_Leave_Loading*new_xrate,U431*T432)</f>
        <v>0</v>
      </c>
      <c r="V432" s="339">
        <f>_xlfn.IFNA(VLOOKUP($D430,tbLeaveLoading,2,FALSE),0)</f>
        <v>0</v>
      </c>
      <c r="W432" s="443">
        <f>IF(W431*V432&gt;vl_Max_Leave_Loading*new_xrate,vl_Max_Leave_Loading*new_xrate,W431*V432)</f>
        <v>0</v>
      </c>
      <c r="X432" s="340">
        <f>_xlfn.IFNA(VLOOKUP($D430,tbLeaveLoading,2,FALSE),0)</f>
        <v>0</v>
      </c>
      <c r="Y432" s="451">
        <f>IF(Y431*X432&gt;vl_Max_Leave_Loading*new_xrate,vl_Max_Leave_Loading*new_xrate,Y431*X432)</f>
        <v>0</v>
      </c>
      <c r="Z432" s="339">
        <f>_xlfn.IFNA(VLOOKUP($D430,tbLeaveLoading,2,FALSE),0)</f>
        <v>0</v>
      </c>
      <c r="AA432" s="443">
        <f>IF(AA431*Z432&gt;vl_Max_Leave_Loading*new_xrate,vl_Max_Leave_Loading*new_xrate,AA431*Z432)</f>
        <v>0</v>
      </c>
      <c r="AB432" s="340">
        <f>_xlfn.IFNA(VLOOKUP($D430,tbLeaveLoading,2,FALSE),0)</f>
        <v>0</v>
      </c>
      <c r="AC432" s="451">
        <f>IF(AC431*AB432&gt;vl_Max_Leave_Loading*new_xrate,vl_Max_Leave_Loading*new_xrate,AC431*AB432)</f>
        <v>0</v>
      </c>
      <c r="AD432" s="335"/>
      <c r="AE432" s="1152"/>
      <c r="AF432" s="1152"/>
      <c r="AG432" s="1152"/>
      <c r="AH432" s="1152"/>
      <c r="AI432" s="1152"/>
      <c r="AJ432" s="1152"/>
      <c r="AK432" s="1152"/>
      <c r="AL432" s="1152"/>
      <c r="AM432" s="1152"/>
      <c r="AN432" s="1152"/>
      <c r="AO432" s="1152"/>
      <c r="AP432" s="1152"/>
      <c r="AQ432" s="1152"/>
      <c r="AR432" s="1152"/>
      <c r="AS432" s="1152"/>
      <c r="AT432" s="1152"/>
      <c r="AU432" s="1152"/>
      <c r="AV432" s="1152"/>
      <c r="AW432" s="1152"/>
      <c r="AX432" s="1152"/>
      <c r="AY432" s="1152"/>
      <c r="AZ432" s="1152"/>
      <c r="BA432" s="1152"/>
      <c r="BB432" s="1152"/>
      <c r="BC432" s="1152"/>
      <c r="BD432" s="1152"/>
    </row>
    <row r="433" spans="1:56" hidden="1" outlineLevel="1" x14ac:dyDescent="0.3">
      <c r="A433" s="1182"/>
      <c r="B433" s="1379"/>
      <c r="C433" s="1379"/>
      <c r="D433" s="1379"/>
      <c r="E433" s="1379"/>
      <c r="F433" s="1379"/>
      <c r="G433" s="1379"/>
      <c r="H433" s="1380"/>
      <c r="I433" s="455" t="s">
        <v>314</v>
      </c>
      <c r="J433" s="339">
        <f>_xlfn.IFNA(_xlfn.IFNA(VLOOKUP(CONCATENATE(pStartYear,$D430),tbSuperannuation,4,FALSE),VLOOKUP($D430,tbSuperannuation2026onwards,2,FALSE)),0)</f>
        <v>0</v>
      </c>
      <c r="K433" s="443">
        <f>K431*J433</f>
        <v>0</v>
      </c>
      <c r="L433" s="340">
        <f>_xlfn.IFNA(_xlfn.IFNA(VLOOKUP(CONCATENATE(pStartYear+1,$D430),tbSuperannuation,4,FALSE),VLOOKUP($D430,tbSuperannuation2026onwards,2,FALSE)),0)</f>
        <v>0</v>
      </c>
      <c r="M433" s="451">
        <f t="shared" ref="M433" si="1851">M431*L433</f>
        <v>0</v>
      </c>
      <c r="N433" s="339">
        <f>_xlfn.IFNA(_xlfn.IFNA(VLOOKUP(CONCATENATE(pStartYear+2,$D430),tbSuperannuation,4,FALSE),VLOOKUP($D430,tbSuperannuation2026onwards,2,FALSE)),0)</f>
        <v>0</v>
      </c>
      <c r="O433" s="443">
        <f>O431*N433</f>
        <v>0</v>
      </c>
      <c r="P433" s="340">
        <f>_xlfn.IFNA(_xlfn.IFNA(VLOOKUP(CONCATENATE(pStartYear+3,$D430),tbSuperannuation,4,FALSE),VLOOKUP($D430,tbSuperannuation2026onwards,2,FALSE)),0)</f>
        <v>0</v>
      </c>
      <c r="Q433" s="451">
        <f t="shared" ref="Q433" si="1852">Q431*P433</f>
        <v>0</v>
      </c>
      <c r="R433" s="339">
        <f>_xlfn.IFNA(_xlfn.IFNA(VLOOKUP(CONCATENATE(pStartYear+4,$D430),tbSuperannuation,4,FALSE),VLOOKUP($D430,tbSuperannuation2026onwards,2,FALSE)),0)</f>
        <v>0</v>
      </c>
      <c r="S433" s="443">
        <f>S431*R433</f>
        <v>0</v>
      </c>
      <c r="T433" s="340">
        <f>_xlfn.IFNA(_xlfn.IFNA(VLOOKUP(CONCATENATE(pStartYear+5,$D430),tbSuperannuation,4,FALSE),VLOOKUP($D430,tbSuperannuation2026onwards,2,FALSE)),0)</f>
        <v>0</v>
      </c>
      <c r="U433" s="451">
        <f t="shared" ref="U433" si="1853">U431*T433</f>
        <v>0</v>
      </c>
      <c r="V433" s="339">
        <f>_xlfn.IFNA(_xlfn.IFNA(VLOOKUP(CONCATENATE(pStartYear+6,$D430),tbSuperannuation,4,FALSE),VLOOKUP($D430,tbSuperannuation2026onwards,2,FALSE)),0)</f>
        <v>0</v>
      </c>
      <c r="W433" s="443">
        <f>W431*V433</f>
        <v>0</v>
      </c>
      <c r="X433" s="340">
        <f>_xlfn.IFNA(_xlfn.IFNA(VLOOKUP(CONCATENATE(pStartYear+7,$D430),tbSuperannuation,4,FALSE),VLOOKUP($D430,tbSuperannuation2026onwards,2,FALSE)),0)</f>
        <v>0</v>
      </c>
      <c r="Y433" s="451">
        <f t="shared" ref="Y433" si="1854">Y431*X433</f>
        <v>0</v>
      </c>
      <c r="Z433" s="339">
        <f>_xlfn.IFNA(_xlfn.IFNA(VLOOKUP(CONCATENATE(pStartYear+8,$D430),tbSuperannuation,4,FALSE),VLOOKUP($D430,tbSuperannuation2026onwards,2,FALSE)),0)</f>
        <v>0</v>
      </c>
      <c r="AA433" s="443">
        <f>AA431*Z433</f>
        <v>0</v>
      </c>
      <c r="AB433" s="340">
        <f>_xlfn.IFNA(_xlfn.IFNA(VLOOKUP(CONCATENATE(pStartYear+9,$D430),tbSuperannuation,4,FALSE),VLOOKUP($D430,tbSuperannuation2026onwards,2,FALSE)),0)</f>
        <v>0</v>
      </c>
      <c r="AC433" s="451">
        <f t="shared" ref="AC433" si="1855">AC431*AB433</f>
        <v>0</v>
      </c>
      <c r="AD433" s="335"/>
      <c r="AE433" s="1152"/>
      <c r="AF433" s="1152"/>
      <c r="AG433" s="1152"/>
      <c r="AH433" s="1152"/>
      <c r="AI433" s="1152"/>
      <c r="AJ433" s="1152"/>
      <c r="AK433" s="1152"/>
      <c r="AL433" s="1152"/>
      <c r="AM433" s="1152"/>
      <c r="AN433" s="1152"/>
      <c r="AO433" s="1152"/>
      <c r="AP433" s="1152"/>
      <c r="AQ433" s="1152"/>
      <c r="AR433" s="1152"/>
      <c r="AS433" s="1152"/>
      <c r="AT433" s="1152"/>
      <c r="AU433" s="1152"/>
      <c r="AV433" s="1152"/>
      <c r="AW433" s="1152"/>
      <c r="AX433" s="1152"/>
      <c r="AY433" s="1152"/>
      <c r="AZ433" s="1152"/>
      <c r="BA433" s="1152"/>
      <c r="BB433" s="1152"/>
      <c r="BC433" s="1152"/>
      <c r="BD433" s="1152"/>
    </row>
    <row r="434" spans="1:56" hidden="1" outlineLevel="1" x14ac:dyDescent="0.3">
      <c r="A434" s="1182"/>
      <c r="B434" s="1379"/>
      <c r="C434" s="1379"/>
      <c r="D434" s="1379"/>
      <c r="E434" s="1379"/>
      <c r="F434" s="1379"/>
      <c r="G434" s="1379"/>
      <c r="H434" s="1380"/>
      <c r="I434" s="341" t="s">
        <v>315</v>
      </c>
      <c r="J434" s="342"/>
      <c r="K434" s="444">
        <f>K432+K433+K431</f>
        <v>0</v>
      </c>
      <c r="L434" s="342"/>
      <c r="M434" s="444">
        <f t="shared" ref="M434" si="1856">M432+M433+M431</f>
        <v>0</v>
      </c>
      <c r="N434" s="342"/>
      <c r="O434" s="444">
        <f>O432+O433+O431</f>
        <v>0</v>
      </c>
      <c r="P434" s="342"/>
      <c r="Q434" s="444">
        <f t="shared" ref="Q434" si="1857">Q432+Q433+Q431</f>
        <v>0</v>
      </c>
      <c r="R434" s="342"/>
      <c r="S434" s="444">
        <f>S432+S433+S431</f>
        <v>0</v>
      </c>
      <c r="T434" s="342"/>
      <c r="U434" s="444">
        <f t="shared" ref="U434" si="1858">U432+U433+U431</f>
        <v>0</v>
      </c>
      <c r="V434" s="342"/>
      <c r="W434" s="444">
        <f>W432+W433+W431</f>
        <v>0</v>
      </c>
      <c r="X434" s="342"/>
      <c r="Y434" s="444">
        <f t="shared" ref="Y434" si="1859">Y432+Y433+Y431</f>
        <v>0</v>
      </c>
      <c r="Z434" s="342"/>
      <c r="AA434" s="444">
        <f>AA432+AA433+AA431</f>
        <v>0</v>
      </c>
      <c r="AB434" s="342"/>
      <c r="AC434" s="444">
        <f t="shared" ref="AC434" si="1860">AC432+AC433+AC431</f>
        <v>0</v>
      </c>
      <c r="AD434" s="335">
        <f t="shared" si="1775"/>
        <v>0</v>
      </c>
      <c r="AE434" s="1152"/>
      <c r="AF434" s="1152"/>
      <c r="AG434" s="1152"/>
      <c r="AH434" s="1152"/>
      <c r="AI434" s="1152"/>
      <c r="AJ434" s="1152"/>
      <c r="AK434" s="1152"/>
      <c r="AL434" s="1152"/>
      <c r="AM434" s="1152"/>
      <c r="AN434" s="1152"/>
      <c r="AO434" s="1152"/>
      <c r="AP434" s="1152"/>
      <c r="AQ434" s="1152"/>
      <c r="AR434" s="1152"/>
      <c r="AS434" s="1152"/>
      <c r="AT434" s="1152"/>
      <c r="AU434" s="1152"/>
      <c r="AV434" s="1152"/>
      <c r="AW434" s="1152"/>
      <c r="AX434" s="1152"/>
      <c r="AY434" s="1152"/>
      <c r="AZ434" s="1152"/>
      <c r="BA434" s="1152"/>
      <c r="BB434" s="1152"/>
      <c r="BC434" s="1152"/>
      <c r="BD434" s="1152"/>
    </row>
    <row r="435" spans="1:56" hidden="1" outlineLevel="1" x14ac:dyDescent="0.3">
      <c r="A435" s="1182"/>
      <c r="B435" s="1379"/>
      <c r="C435" s="1379"/>
      <c r="D435" s="1379"/>
      <c r="E435" s="1379"/>
      <c r="F435" s="1379"/>
      <c r="G435" s="1379"/>
      <c r="H435" s="1380"/>
      <c r="I435" s="455" t="s">
        <v>316</v>
      </c>
      <c r="J435" s="339">
        <f>_xlfn.IFNA(_xlfn.IFNA(VLOOKUP(pStartYear,tbPayrollTax,2,FALSE),vl_MaxPayrollTax),0)</f>
        <v>5.8500000000000003E-2</v>
      </c>
      <c r="K435" s="443">
        <f>J435*K434</f>
        <v>0</v>
      </c>
      <c r="L435" s="340">
        <f>_xlfn.IFNA(_xlfn.IFNA(VLOOKUP(pStartYear+1,tbPayrollTax,2,FALSE),vl_MaxPayrollTax),0)</f>
        <v>5.8500000000000003E-2</v>
      </c>
      <c r="M435" s="451">
        <f t="shared" ref="M435" si="1861">L435*M434</f>
        <v>0</v>
      </c>
      <c r="N435" s="339">
        <f>_xlfn.IFNA(_xlfn.IFNA(VLOOKUP(pStartYear+2,tbPayrollTax,2,FALSE),vl_MaxPayrollTax),0)</f>
        <v>5.8500000000000003E-2</v>
      </c>
      <c r="O435" s="443">
        <f>N435*O434</f>
        <v>0</v>
      </c>
      <c r="P435" s="340">
        <f>_xlfn.IFNA(_xlfn.IFNA(VLOOKUP(pStartYear+3,tbPayrollTax,2,FALSE),vl_MaxPayrollTax),0)</f>
        <v>5.8500000000000003E-2</v>
      </c>
      <c r="Q435" s="451">
        <f t="shared" ref="Q435" si="1862">P435*Q434</f>
        <v>0</v>
      </c>
      <c r="R435" s="339">
        <f>_xlfn.IFNA(_xlfn.IFNA(VLOOKUP(pStartYear+4,tbPayrollTax,2,FALSE),vl_MaxPayrollTax),0)</f>
        <v>5.8500000000000003E-2</v>
      </c>
      <c r="S435" s="443">
        <f>R435*S434</f>
        <v>0</v>
      </c>
      <c r="T435" s="340">
        <f>_xlfn.IFNA(_xlfn.IFNA(VLOOKUP(pStartYear+5,tbPayrollTax,2,FALSE),vl_MaxPayrollTax),0)</f>
        <v>5.8500000000000003E-2</v>
      </c>
      <c r="U435" s="451">
        <f t="shared" ref="U435" si="1863">T435*U434</f>
        <v>0</v>
      </c>
      <c r="V435" s="339">
        <f>_xlfn.IFNA(_xlfn.IFNA(VLOOKUP(pStartYear+6,tbPayrollTax,2,FALSE),vl_MaxPayrollTax),0)</f>
        <v>5.8500000000000003E-2</v>
      </c>
      <c r="W435" s="443">
        <f>V435*W434</f>
        <v>0</v>
      </c>
      <c r="X435" s="340">
        <f>_xlfn.IFNA(_xlfn.IFNA(VLOOKUP(pStartYear+7,tbPayrollTax,2,FALSE),vl_MaxPayrollTax),0)</f>
        <v>5.8500000000000003E-2</v>
      </c>
      <c r="Y435" s="451">
        <f t="shared" ref="Y435" si="1864">X435*Y434</f>
        <v>0</v>
      </c>
      <c r="Z435" s="339">
        <f>_xlfn.IFNA(_xlfn.IFNA(VLOOKUP(pStartYear+8,tbPayrollTax,2,FALSE),vl_MaxPayrollTax),0)</f>
        <v>5.8500000000000003E-2</v>
      </c>
      <c r="AA435" s="443">
        <f>Z435*AA434</f>
        <v>0</v>
      </c>
      <c r="AB435" s="340">
        <f>_xlfn.IFNA(_xlfn.IFNA(VLOOKUP(pStartYear+9,tbPayrollTax,2,FALSE),vl_MaxPayrollTax),0)</f>
        <v>5.8500000000000003E-2</v>
      </c>
      <c r="AC435" s="451">
        <f t="shared" ref="AC435" si="1865">AB435*AC434</f>
        <v>0</v>
      </c>
      <c r="AD435" s="335"/>
      <c r="AE435" s="1152"/>
      <c r="AF435" s="1152"/>
      <c r="AG435" s="1152"/>
      <c r="AH435" s="1152"/>
      <c r="AI435" s="1152"/>
      <c r="AJ435" s="1152"/>
      <c r="AK435" s="1152"/>
      <c r="AL435" s="1152"/>
      <c r="AM435" s="1152"/>
      <c r="AN435" s="1152"/>
      <c r="AO435" s="1152"/>
      <c r="AP435" s="1152"/>
      <c r="AQ435" s="1152"/>
      <c r="AR435" s="1152"/>
      <c r="AS435" s="1152"/>
      <c r="AT435" s="1152"/>
      <c r="AU435" s="1152"/>
      <c r="AV435" s="1152"/>
      <c r="AW435" s="1152"/>
      <c r="AX435" s="1152"/>
      <c r="AY435" s="1152"/>
      <c r="AZ435" s="1152"/>
      <c r="BA435" s="1152"/>
      <c r="BB435" s="1152"/>
      <c r="BC435" s="1152"/>
      <c r="BD435" s="1152"/>
    </row>
    <row r="436" spans="1:56" hidden="1" outlineLevel="1" x14ac:dyDescent="0.3">
      <c r="A436" s="1182"/>
      <c r="B436" s="1379"/>
      <c r="C436" s="1379"/>
      <c r="D436" s="1379"/>
      <c r="E436" s="1379"/>
      <c r="F436" s="1379"/>
      <c r="G436" s="1379"/>
      <c r="H436" s="1380"/>
      <c r="I436" s="455" t="s">
        <v>317</v>
      </c>
      <c r="J436" s="339">
        <f>_xlfn.IFNA(VLOOKUP($D430,tbWorkCover,2,FALSE),0)</f>
        <v>0</v>
      </c>
      <c r="K436" s="443">
        <f>J436*K434</f>
        <v>0</v>
      </c>
      <c r="L436" s="340">
        <f>_xlfn.IFNA(VLOOKUP($D430,tbWorkCover,2,FALSE),0)</f>
        <v>0</v>
      </c>
      <c r="M436" s="451">
        <f t="shared" ref="M436" si="1866">L436*M434</f>
        <v>0</v>
      </c>
      <c r="N436" s="339">
        <f>_xlfn.IFNA(VLOOKUP($D430,tbWorkCover,2,FALSE),0)</f>
        <v>0</v>
      </c>
      <c r="O436" s="443">
        <f>N436*O434</f>
        <v>0</v>
      </c>
      <c r="P436" s="340">
        <f>_xlfn.IFNA(VLOOKUP($D430,tbWorkCover,2,FALSE),0)</f>
        <v>0</v>
      </c>
      <c r="Q436" s="451">
        <f t="shared" ref="Q436" si="1867">P436*Q434</f>
        <v>0</v>
      </c>
      <c r="R436" s="339">
        <f>_xlfn.IFNA(VLOOKUP($D430,tbWorkCover,2,FALSE),0)</f>
        <v>0</v>
      </c>
      <c r="S436" s="443">
        <f>R436*S434</f>
        <v>0</v>
      </c>
      <c r="T436" s="340">
        <f>_xlfn.IFNA(VLOOKUP($D430,tbWorkCover,2,FALSE),0)</f>
        <v>0</v>
      </c>
      <c r="U436" s="451">
        <f t="shared" ref="U436" si="1868">T436*U434</f>
        <v>0</v>
      </c>
      <c r="V436" s="339">
        <f>_xlfn.IFNA(VLOOKUP($D430,tbWorkCover,2,FALSE),0)</f>
        <v>0</v>
      </c>
      <c r="W436" s="443">
        <f>V436*W434</f>
        <v>0</v>
      </c>
      <c r="X436" s="340">
        <f>_xlfn.IFNA(VLOOKUP($D430,tbWorkCover,2,FALSE),0)</f>
        <v>0</v>
      </c>
      <c r="Y436" s="451">
        <f t="shared" ref="Y436" si="1869">X436*Y434</f>
        <v>0</v>
      </c>
      <c r="Z436" s="339">
        <f>_xlfn.IFNA(VLOOKUP($D430,tbWorkCover,2,FALSE),0)</f>
        <v>0</v>
      </c>
      <c r="AA436" s="443">
        <f>Z436*AA434</f>
        <v>0</v>
      </c>
      <c r="AB436" s="340">
        <f>_xlfn.IFNA(VLOOKUP($D430,tbWorkCover,2,FALSE),0)</f>
        <v>0</v>
      </c>
      <c r="AC436" s="451">
        <f t="shared" ref="AC436" si="1870">AB436*AC434</f>
        <v>0</v>
      </c>
      <c r="AD436" s="335"/>
      <c r="AE436" s="1152"/>
      <c r="AF436" s="1152"/>
      <c r="AG436" s="1152"/>
      <c r="AH436" s="1152"/>
      <c r="AI436" s="1152"/>
      <c r="AJ436" s="1152"/>
      <c r="AK436" s="1152"/>
      <c r="AL436" s="1152"/>
      <c r="AM436" s="1152"/>
      <c r="AN436" s="1152"/>
      <c r="AO436" s="1152"/>
      <c r="AP436" s="1152"/>
      <c r="AQ436" s="1152"/>
      <c r="AR436" s="1152"/>
      <c r="AS436" s="1152"/>
      <c r="AT436" s="1152"/>
      <c r="AU436" s="1152"/>
      <c r="AV436" s="1152"/>
      <c r="AW436" s="1152"/>
      <c r="AX436" s="1152"/>
      <c r="AY436" s="1152"/>
      <c r="AZ436" s="1152"/>
      <c r="BA436" s="1152"/>
      <c r="BB436" s="1152"/>
      <c r="BC436" s="1152"/>
      <c r="BD436" s="1152"/>
    </row>
    <row r="437" spans="1:56" hidden="1" outlineLevel="1" x14ac:dyDescent="0.3">
      <c r="A437" s="1182"/>
      <c r="B437" s="1379"/>
      <c r="C437" s="1379"/>
      <c r="D437" s="1379"/>
      <c r="E437" s="1379"/>
      <c r="F437" s="1379"/>
      <c r="G437" s="1379"/>
      <c r="H437" s="1380"/>
      <c r="I437" s="455" t="s">
        <v>318</v>
      </c>
      <c r="J437" s="339">
        <f>_xlfn.IFNA(VLOOKUP($D430,tbLongServiceLeave,2,FALSE),0)</f>
        <v>0</v>
      </c>
      <c r="K437" s="443">
        <f>J437*K431</f>
        <v>0</v>
      </c>
      <c r="L437" s="340">
        <f>_xlfn.IFNA(VLOOKUP($D430,tbLongServiceLeave,2,FALSE),0)</f>
        <v>0</v>
      </c>
      <c r="M437" s="451">
        <f t="shared" ref="M437" si="1871">L437*M431</f>
        <v>0</v>
      </c>
      <c r="N437" s="339">
        <f>_xlfn.IFNA(VLOOKUP($D430,tbLongServiceLeave,2,FALSE),0)</f>
        <v>0</v>
      </c>
      <c r="O437" s="443">
        <f>N437*O431</f>
        <v>0</v>
      </c>
      <c r="P437" s="340">
        <f>_xlfn.IFNA(VLOOKUP($D430,tbLongServiceLeave,2,FALSE),0)</f>
        <v>0</v>
      </c>
      <c r="Q437" s="451">
        <f t="shared" ref="Q437" si="1872">P437*Q431</f>
        <v>0</v>
      </c>
      <c r="R437" s="339">
        <f>_xlfn.IFNA(VLOOKUP($D430,tbLongServiceLeave,2,FALSE),0)</f>
        <v>0</v>
      </c>
      <c r="S437" s="443">
        <f>R437*S431</f>
        <v>0</v>
      </c>
      <c r="T437" s="340">
        <f>_xlfn.IFNA(VLOOKUP($D430,tbLongServiceLeave,2,FALSE),0)</f>
        <v>0</v>
      </c>
      <c r="U437" s="451">
        <f t="shared" ref="U437" si="1873">T437*U431</f>
        <v>0</v>
      </c>
      <c r="V437" s="339">
        <f>_xlfn.IFNA(VLOOKUP($D430,tbLongServiceLeave,2,FALSE),0)</f>
        <v>0</v>
      </c>
      <c r="W437" s="443">
        <f>V437*W431</f>
        <v>0</v>
      </c>
      <c r="X437" s="340">
        <f>_xlfn.IFNA(VLOOKUP($D430,tbLongServiceLeave,2,FALSE),0)</f>
        <v>0</v>
      </c>
      <c r="Y437" s="451">
        <f t="shared" ref="Y437" si="1874">X437*Y431</f>
        <v>0</v>
      </c>
      <c r="Z437" s="339">
        <f>_xlfn.IFNA(VLOOKUP($D430,tbLongServiceLeave,2,FALSE),0)</f>
        <v>0</v>
      </c>
      <c r="AA437" s="443">
        <f>Z437*AA431</f>
        <v>0</v>
      </c>
      <c r="AB437" s="340">
        <f>_xlfn.IFNA(VLOOKUP($D430,tbLongServiceLeave,2,FALSE),0)</f>
        <v>0</v>
      </c>
      <c r="AC437" s="451">
        <f t="shared" ref="AC437" si="1875">AB437*AC431</f>
        <v>0</v>
      </c>
      <c r="AD437" s="335"/>
      <c r="AE437" s="1152"/>
      <c r="AF437" s="1152"/>
      <c r="AG437" s="1152"/>
      <c r="AH437" s="1152"/>
      <c r="AI437" s="1152"/>
      <c r="AJ437" s="1152"/>
      <c r="AK437" s="1152"/>
      <c r="AL437" s="1152"/>
      <c r="AM437" s="1152"/>
      <c r="AN437" s="1152"/>
      <c r="AO437" s="1152"/>
      <c r="AP437" s="1152"/>
      <c r="AQ437" s="1152"/>
      <c r="AR437" s="1152"/>
      <c r="AS437" s="1152"/>
      <c r="AT437" s="1152"/>
      <c r="AU437" s="1152"/>
      <c r="AV437" s="1152"/>
      <c r="AW437" s="1152"/>
      <c r="AX437" s="1152"/>
      <c r="AY437" s="1152"/>
      <c r="AZ437" s="1152"/>
      <c r="BA437" s="1152"/>
      <c r="BB437" s="1152"/>
      <c r="BC437" s="1152"/>
      <c r="BD437" s="1152"/>
    </row>
    <row r="438" spans="1:56" hidden="1" outlineLevel="1" x14ac:dyDescent="0.3">
      <c r="A438" s="1182"/>
      <c r="B438" s="1379"/>
      <c r="C438" s="1379"/>
      <c r="D438" s="1379"/>
      <c r="E438" s="1379"/>
      <c r="F438" s="1379"/>
      <c r="G438" s="1379"/>
      <c r="H438" s="1380"/>
      <c r="I438" s="455" t="s">
        <v>319</v>
      </c>
      <c r="J438" s="339">
        <f>_xlfn.IFNA(VLOOKUP($D430,tbParentalLeave,2,FALSE),0)</f>
        <v>0</v>
      </c>
      <c r="K438" s="443">
        <f>J438*K431</f>
        <v>0</v>
      </c>
      <c r="L438" s="340">
        <f>_xlfn.IFNA(VLOOKUP($D430,tbParentalLeave,2,FALSE),0)</f>
        <v>0</v>
      </c>
      <c r="M438" s="451">
        <f t="shared" ref="M438" si="1876">L438*M431</f>
        <v>0</v>
      </c>
      <c r="N438" s="339">
        <f>_xlfn.IFNA(VLOOKUP($D430,tbParentalLeave,2,FALSE),0)</f>
        <v>0</v>
      </c>
      <c r="O438" s="443">
        <f>N438*O431</f>
        <v>0</v>
      </c>
      <c r="P438" s="340">
        <f>_xlfn.IFNA(VLOOKUP($D430,tbParentalLeave,2,FALSE),0)</f>
        <v>0</v>
      </c>
      <c r="Q438" s="451">
        <f t="shared" ref="Q438" si="1877">P438*Q431</f>
        <v>0</v>
      </c>
      <c r="R438" s="339">
        <f>_xlfn.IFNA(VLOOKUP($D430,tbParentalLeave,2,FALSE),0)</f>
        <v>0</v>
      </c>
      <c r="S438" s="443">
        <f>R438*S431</f>
        <v>0</v>
      </c>
      <c r="T438" s="340">
        <f>_xlfn.IFNA(VLOOKUP($D430,tbParentalLeave,2,FALSE),0)</f>
        <v>0</v>
      </c>
      <c r="U438" s="451">
        <f t="shared" ref="U438" si="1878">T438*U431</f>
        <v>0</v>
      </c>
      <c r="V438" s="339">
        <f>_xlfn.IFNA(VLOOKUP($D430,tbParentalLeave,2,FALSE),0)</f>
        <v>0</v>
      </c>
      <c r="W438" s="443">
        <f>V438*W431</f>
        <v>0</v>
      </c>
      <c r="X438" s="340">
        <f>_xlfn.IFNA(VLOOKUP($D430,tbParentalLeave,2,FALSE),0)</f>
        <v>0</v>
      </c>
      <c r="Y438" s="451">
        <f t="shared" ref="Y438" si="1879">X438*Y431</f>
        <v>0</v>
      </c>
      <c r="Z438" s="339">
        <f>_xlfn.IFNA(VLOOKUP($D430,tbParentalLeave,2,FALSE),0)</f>
        <v>0</v>
      </c>
      <c r="AA438" s="443">
        <f>Z438*AA431</f>
        <v>0</v>
      </c>
      <c r="AB438" s="340">
        <f>_xlfn.IFNA(VLOOKUP($D430,tbParentalLeave,2,FALSE),0)</f>
        <v>0</v>
      </c>
      <c r="AC438" s="451">
        <f t="shared" ref="AC438" si="1880">AB438*AC431</f>
        <v>0</v>
      </c>
      <c r="AD438" s="335"/>
      <c r="AE438" s="1152"/>
      <c r="AF438" s="1152"/>
      <c r="AG438" s="1152"/>
      <c r="AH438" s="1152"/>
      <c r="AI438" s="1152"/>
      <c r="AJ438" s="1152"/>
      <c r="AK438" s="1152"/>
      <c r="AL438" s="1152"/>
      <c r="AM438" s="1152"/>
      <c r="AN438" s="1152"/>
      <c r="AO438" s="1152"/>
      <c r="AP438" s="1152"/>
      <c r="AQ438" s="1152"/>
      <c r="AR438" s="1152"/>
      <c r="AS438" s="1152"/>
      <c r="AT438" s="1152"/>
      <c r="AU438" s="1152"/>
      <c r="AV438" s="1152"/>
      <c r="AW438" s="1152"/>
      <c r="AX438" s="1152"/>
      <c r="AY438" s="1152"/>
      <c r="AZ438" s="1152"/>
      <c r="BA438" s="1152"/>
      <c r="BB438" s="1152"/>
      <c r="BC438" s="1152"/>
      <c r="BD438" s="1152"/>
    </row>
    <row r="439" spans="1:56" hidden="1" outlineLevel="1" x14ac:dyDescent="0.3">
      <c r="A439" s="1182"/>
      <c r="B439" s="1379"/>
      <c r="C439" s="1379"/>
      <c r="D439" s="1379"/>
      <c r="E439" s="1379"/>
      <c r="F439" s="1379"/>
      <c r="G439" s="1379"/>
      <c r="H439" s="1380"/>
      <c r="I439" s="437" t="s">
        <v>320</v>
      </c>
      <c r="J439" s="438">
        <f>vl_overridden_uom_oncosts_per</f>
        <v>0</v>
      </c>
      <c r="K439" s="445">
        <f>J439*K431</f>
        <v>0</v>
      </c>
      <c r="L439" s="438">
        <f>vl_overridden_uom_oncosts_per</f>
        <v>0</v>
      </c>
      <c r="M439" s="445">
        <f>L439*M431</f>
        <v>0</v>
      </c>
      <c r="N439" s="438">
        <f>vl_overridden_uom_oncosts_per</f>
        <v>0</v>
      </c>
      <c r="O439" s="445">
        <f t="shared" ref="O439" si="1881">N439*O431</f>
        <v>0</v>
      </c>
      <c r="P439" s="438">
        <f>vl_overridden_uom_oncosts_per</f>
        <v>0</v>
      </c>
      <c r="Q439" s="445">
        <f t="shared" ref="Q439" si="1882">P439*Q431</f>
        <v>0</v>
      </c>
      <c r="R439" s="438">
        <f>vl_overridden_uom_oncosts_per</f>
        <v>0</v>
      </c>
      <c r="S439" s="445">
        <f t="shared" ref="S439" si="1883">R439*S431</f>
        <v>0</v>
      </c>
      <c r="T439" s="438">
        <f>vl_overridden_uom_oncosts_per</f>
        <v>0</v>
      </c>
      <c r="U439" s="445">
        <f t="shared" ref="U439" si="1884">T439*U431</f>
        <v>0</v>
      </c>
      <c r="V439" s="438">
        <f>vl_overridden_uom_oncosts_per</f>
        <v>0</v>
      </c>
      <c r="W439" s="445">
        <f t="shared" ref="W439" si="1885">V439*W431</f>
        <v>0</v>
      </c>
      <c r="X439" s="438">
        <f>vl_overridden_uom_oncosts_per</f>
        <v>0</v>
      </c>
      <c r="Y439" s="445">
        <f t="shared" ref="Y439" si="1886">X439*Y431</f>
        <v>0</v>
      </c>
      <c r="Z439" s="438">
        <f>vl_overridden_uom_oncosts_per</f>
        <v>0</v>
      </c>
      <c r="AA439" s="445">
        <f t="shared" ref="AA439" si="1887">Z439*AA431</f>
        <v>0</v>
      </c>
      <c r="AB439" s="438">
        <f>vl_overridden_uom_oncosts_per</f>
        <v>0</v>
      </c>
      <c r="AC439" s="445">
        <f t="shared" ref="AC439" si="1888">AB439*AC431</f>
        <v>0</v>
      </c>
      <c r="AD439" s="335"/>
      <c r="AE439" s="1152"/>
      <c r="AF439" s="1152"/>
      <c r="AG439" s="1152"/>
      <c r="AH439" s="1152"/>
      <c r="AI439" s="1152"/>
      <c r="AJ439" s="1152"/>
      <c r="AK439" s="1152"/>
      <c r="AL439" s="1152"/>
      <c r="AM439" s="1152"/>
      <c r="AN439" s="1152"/>
      <c r="AO439" s="1152"/>
      <c r="AP439" s="1152"/>
      <c r="AQ439" s="1152"/>
      <c r="AR439" s="1152"/>
      <c r="AS439" s="1152"/>
      <c r="AT439" s="1152"/>
      <c r="AU439" s="1152"/>
      <c r="AV439" s="1152"/>
      <c r="AW439" s="1152"/>
      <c r="AX439" s="1152"/>
      <c r="AY439" s="1152"/>
      <c r="AZ439" s="1152"/>
      <c r="BA439" s="1152"/>
      <c r="BB439" s="1152"/>
      <c r="BC439" s="1152"/>
      <c r="BD439" s="1152"/>
    </row>
    <row r="440" spans="1:56" hidden="1" outlineLevel="1" x14ac:dyDescent="0.3">
      <c r="A440" s="1182"/>
      <c r="B440" s="1379"/>
      <c r="C440" s="1379"/>
      <c r="D440" s="1379"/>
      <c r="E440" s="1379"/>
      <c r="F440" s="1379"/>
      <c r="G440" s="1379"/>
      <c r="H440" s="1380"/>
      <c r="I440" s="341" t="s">
        <v>321</v>
      </c>
      <c r="J440" s="342"/>
      <c r="K440" s="444">
        <f>SUM(K434:K439)</f>
        <v>0</v>
      </c>
      <c r="L440" s="342"/>
      <c r="M440" s="444">
        <f t="shared" ref="M440" si="1889">SUM(M434:M439)</f>
        <v>0</v>
      </c>
      <c r="N440" s="342"/>
      <c r="O440" s="444">
        <f t="shared" ref="O440" si="1890">SUM(O434:O439)</f>
        <v>0</v>
      </c>
      <c r="P440" s="342"/>
      <c r="Q440" s="444">
        <f t="shared" ref="Q440" si="1891">SUM(Q434:Q439)</f>
        <v>0</v>
      </c>
      <c r="R440" s="342"/>
      <c r="S440" s="444">
        <f t="shared" ref="S440" si="1892">SUM(S434:S439)</f>
        <v>0</v>
      </c>
      <c r="T440" s="342"/>
      <c r="U440" s="444">
        <f t="shared" ref="U440" si="1893">SUM(U434:U439)</f>
        <v>0</v>
      </c>
      <c r="V440" s="342"/>
      <c r="W440" s="444">
        <f t="shared" ref="W440" si="1894">SUM(W434:W439)</f>
        <v>0</v>
      </c>
      <c r="X440" s="342"/>
      <c r="Y440" s="444">
        <f t="shared" ref="Y440" si="1895">SUM(Y434:Y439)</f>
        <v>0</v>
      </c>
      <c r="Z440" s="342"/>
      <c r="AA440" s="444">
        <f t="shared" ref="AA440" si="1896">SUM(AA434:AA439)</f>
        <v>0</v>
      </c>
      <c r="AB440" s="342"/>
      <c r="AC440" s="444">
        <f t="shared" ref="AC440" si="1897">SUM(AC434:AC439)</f>
        <v>0</v>
      </c>
      <c r="AD440" s="335">
        <f t="shared" si="1775"/>
        <v>0</v>
      </c>
      <c r="AE440" s="1152"/>
      <c r="AF440" s="1152"/>
      <c r="AG440" s="1152"/>
      <c r="AH440" s="1152"/>
      <c r="AI440" s="1152"/>
      <c r="AJ440" s="1152"/>
      <c r="AK440" s="1152"/>
      <c r="AL440" s="1152"/>
      <c r="AM440" s="1152"/>
      <c r="AN440" s="1152"/>
      <c r="AO440" s="1152"/>
      <c r="AP440" s="1152"/>
      <c r="AQ440" s="1152"/>
      <c r="AR440" s="1152"/>
      <c r="AS440" s="1152"/>
      <c r="AT440" s="1152"/>
      <c r="AU440" s="1152"/>
      <c r="AV440" s="1152"/>
      <c r="AW440" s="1152"/>
      <c r="AX440" s="1152"/>
      <c r="AY440" s="1152"/>
      <c r="AZ440" s="1152"/>
      <c r="BA440" s="1152"/>
      <c r="BB440" s="1152"/>
      <c r="BC440" s="1152"/>
      <c r="BD440" s="1152"/>
    </row>
    <row r="441" spans="1:56" hidden="1" outlineLevel="1" x14ac:dyDescent="0.3">
      <c r="A441" s="1182"/>
      <c r="B441" s="1379"/>
      <c r="C441" s="1379"/>
      <c r="D441" s="1379"/>
      <c r="E441" s="1379"/>
      <c r="F441" s="1379"/>
      <c r="G441" s="1379"/>
      <c r="H441" s="1380"/>
      <c r="I441" s="455" t="s">
        <v>322</v>
      </c>
      <c r="J441" s="339">
        <f>_xlfn.IFNA(VLOOKUP($D430,tbAnnualLeaveProvision,2,FALSE),0)</f>
        <v>0</v>
      </c>
      <c r="K441" s="443">
        <f>J441*K431</f>
        <v>0</v>
      </c>
      <c r="L441" s="340">
        <f>_xlfn.IFNA(VLOOKUP($D430,tbAnnualLeaveProvision,2,FALSE),0)</f>
        <v>0</v>
      </c>
      <c r="M441" s="451">
        <f t="shared" ref="M441" si="1898">L441*M431</f>
        <v>0</v>
      </c>
      <c r="N441" s="339">
        <f>_xlfn.IFNA(VLOOKUP($D430,tbAnnualLeaveProvision,2,FALSE),0)</f>
        <v>0</v>
      </c>
      <c r="O441" s="443">
        <f>N441*O431</f>
        <v>0</v>
      </c>
      <c r="P441" s="340">
        <f>_xlfn.IFNA(VLOOKUP($D430,tbAnnualLeaveProvision,2,FALSE),0)</f>
        <v>0</v>
      </c>
      <c r="Q441" s="451">
        <f t="shared" ref="Q441" si="1899">P441*Q431</f>
        <v>0</v>
      </c>
      <c r="R441" s="339">
        <f>_xlfn.IFNA(VLOOKUP($D430,tbAnnualLeaveProvision,2,FALSE),0)</f>
        <v>0</v>
      </c>
      <c r="S441" s="443">
        <f>R441*S431</f>
        <v>0</v>
      </c>
      <c r="T441" s="340">
        <f>_xlfn.IFNA(VLOOKUP($D430,tbAnnualLeaveProvision,2,FALSE),0)</f>
        <v>0</v>
      </c>
      <c r="U441" s="451">
        <f t="shared" ref="U441" si="1900">T441*U431</f>
        <v>0</v>
      </c>
      <c r="V441" s="339">
        <f>_xlfn.IFNA(VLOOKUP($D430,tbAnnualLeaveProvision,2,FALSE),0)</f>
        <v>0</v>
      </c>
      <c r="W441" s="443">
        <f>V441*W431</f>
        <v>0</v>
      </c>
      <c r="X441" s="340">
        <f>_xlfn.IFNA(VLOOKUP($D430,tbAnnualLeaveProvision,2,FALSE),0)</f>
        <v>0</v>
      </c>
      <c r="Y441" s="451">
        <f t="shared" ref="Y441" si="1901">X441*Y431</f>
        <v>0</v>
      </c>
      <c r="Z441" s="339">
        <f>_xlfn.IFNA(VLOOKUP($D430,tbAnnualLeaveProvision,2,FALSE),0)</f>
        <v>0</v>
      </c>
      <c r="AA441" s="443">
        <f>Z441*AA431</f>
        <v>0</v>
      </c>
      <c r="AB441" s="340">
        <f>_xlfn.IFNA(VLOOKUP($D430,tbAnnualLeaveProvision,2,FALSE),0)</f>
        <v>0</v>
      </c>
      <c r="AC441" s="451">
        <f t="shared" ref="AC441" si="1902">AB441*AC431</f>
        <v>0</v>
      </c>
      <c r="AD441" s="335"/>
      <c r="AE441" s="1152"/>
      <c r="AF441" s="1152"/>
      <c r="AG441" s="1152"/>
      <c r="AH441" s="1152"/>
      <c r="AI441" s="1152"/>
      <c r="AJ441" s="1152"/>
      <c r="AK441" s="1152"/>
      <c r="AL441" s="1152"/>
      <c r="AM441" s="1152"/>
      <c r="AN441" s="1152"/>
      <c r="AO441" s="1152"/>
      <c r="AP441" s="1152"/>
      <c r="AQ441" s="1152"/>
      <c r="AR441" s="1152"/>
      <c r="AS441" s="1152"/>
      <c r="AT441" s="1152"/>
      <c r="AU441" s="1152"/>
      <c r="AV441" s="1152"/>
      <c r="AW441" s="1152"/>
      <c r="AX441" s="1152"/>
      <c r="AY441" s="1152"/>
      <c r="AZ441" s="1152"/>
      <c r="BA441" s="1152"/>
      <c r="BB441" s="1152"/>
      <c r="BC441" s="1152"/>
      <c r="BD441" s="1152"/>
    </row>
    <row r="442" spans="1:56" hidden="1" outlineLevel="1" x14ac:dyDescent="0.3">
      <c r="A442" s="1182"/>
      <c r="B442" s="1379"/>
      <c r="C442" s="1379"/>
      <c r="D442" s="1379"/>
      <c r="E442" s="1379"/>
      <c r="F442" s="1379"/>
      <c r="G442" s="1379"/>
      <c r="H442" s="1380"/>
      <c r="I442" s="455" t="s">
        <v>330</v>
      </c>
      <c r="J442" s="339"/>
      <c r="K442" s="446">
        <f>K440+K441</f>
        <v>0</v>
      </c>
      <c r="L442" s="340"/>
      <c r="M442" s="452">
        <f t="shared" ref="M442" si="1903">M440+M441</f>
        <v>0</v>
      </c>
      <c r="N442" s="339"/>
      <c r="O442" s="446">
        <f>O440+O441</f>
        <v>0</v>
      </c>
      <c r="P442" s="340"/>
      <c r="Q442" s="452">
        <f t="shared" ref="Q442" si="1904">Q440+Q441</f>
        <v>0</v>
      </c>
      <c r="R442" s="339"/>
      <c r="S442" s="446">
        <f>S440+S441</f>
        <v>0</v>
      </c>
      <c r="T442" s="340"/>
      <c r="U442" s="452">
        <f t="shared" ref="U442" si="1905">U440+U441</f>
        <v>0</v>
      </c>
      <c r="V442" s="339"/>
      <c r="W442" s="446">
        <f>W440+W441</f>
        <v>0</v>
      </c>
      <c r="X442" s="340"/>
      <c r="Y442" s="452">
        <f t="shared" ref="Y442" si="1906">Y440+Y441</f>
        <v>0</v>
      </c>
      <c r="Z442" s="339"/>
      <c r="AA442" s="446">
        <f>AA440+AA441</f>
        <v>0</v>
      </c>
      <c r="AB442" s="340"/>
      <c r="AC442" s="452">
        <f t="shared" ref="AC442" si="1907">AC440+AC441</f>
        <v>0</v>
      </c>
      <c r="AD442" s="335"/>
      <c r="AE442" s="1152"/>
      <c r="AF442" s="1152"/>
      <c r="AG442" s="1152"/>
      <c r="AH442" s="1152"/>
      <c r="AI442" s="1152"/>
      <c r="AJ442" s="1152"/>
      <c r="AK442" s="1152"/>
      <c r="AL442" s="1152"/>
      <c r="AM442" s="1152"/>
      <c r="AN442" s="1152"/>
      <c r="AO442" s="1152"/>
      <c r="AP442" s="1152"/>
      <c r="AQ442" s="1152"/>
      <c r="AR442" s="1152"/>
      <c r="AS442" s="1152"/>
      <c r="AT442" s="1152"/>
      <c r="AU442" s="1152"/>
      <c r="AV442" s="1152"/>
      <c r="AW442" s="1152"/>
      <c r="AX442" s="1152"/>
      <c r="AY442" s="1152"/>
      <c r="AZ442" s="1152"/>
      <c r="BA442" s="1152"/>
      <c r="BB442" s="1152"/>
      <c r="BC442" s="1152"/>
      <c r="BD442" s="1152"/>
    </row>
    <row r="443" spans="1:56" hidden="1" outlineLevel="1" x14ac:dyDescent="0.3">
      <c r="A443" s="1182"/>
      <c r="B443" s="1379"/>
      <c r="C443" s="1379"/>
      <c r="D443" s="1379"/>
      <c r="E443" s="1379"/>
      <c r="F443" s="1379"/>
      <c r="G443" s="1379"/>
      <c r="H443" s="1380"/>
      <c r="I443" s="462" t="s">
        <v>324</v>
      </c>
      <c r="J443" s="344"/>
      <c r="K443" s="443">
        <f>-(K440/vl_working_days_per_year)*J443</f>
        <v>0</v>
      </c>
      <c r="L443" s="345"/>
      <c r="M443" s="451">
        <f>-(M440/vl_working_days_per_year)*L443</f>
        <v>0</v>
      </c>
      <c r="N443" s="344"/>
      <c r="O443" s="443">
        <f>-(O440/vl_working_days_per_year)*N443</f>
        <v>0</v>
      </c>
      <c r="P443" s="345"/>
      <c r="Q443" s="451">
        <f>-(Q440/vl_working_days_per_year)*P443</f>
        <v>0</v>
      </c>
      <c r="R443" s="344"/>
      <c r="S443" s="443">
        <f>-(S440/vl_working_days_per_year)*R443</f>
        <v>0</v>
      </c>
      <c r="T443" s="345"/>
      <c r="U443" s="451">
        <f>-(U440/vl_working_days_per_year)*T443</f>
        <v>0</v>
      </c>
      <c r="V443" s="344"/>
      <c r="W443" s="443">
        <f>-(W440/vl_working_days_per_year)*V443</f>
        <v>0</v>
      </c>
      <c r="X443" s="345"/>
      <c r="Y443" s="451">
        <f>-(Y440/vl_working_days_per_year)*X443</f>
        <v>0</v>
      </c>
      <c r="Z443" s="344"/>
      <c r="AA443" s="443">
        <f>-(AA440/vl_working_days_per_year)*Z443</f>
        <v>0</v>
      </c>
      <c r="AB443" s="345"/>
      <c r="AC443" s="451">
        <f>-(AC440/vl_working_days_per_year)*AB443</f>
        <v>0</v>
      </c>
      <c r="AD443" s="335">
        <f t="shared" si="1775"/>
        <v>0</v>
      </c>
      <c r="AE443" s="1152"/>
      <c r="AF443" s="1152"/>
      <c r="AG443" s="1152"/>
      <c r="AH443" s="1152"/>
      <c r="AI443" s="1152"/>
      <c r="AJ443" s="1152"/>
      <c r="AK443" s="1152"/>
      <c r="AL443" s="1152"/>
      <c r="AM443" s="1152"/>
      <c r="AN443" s="1152"/>
      <c r="AO443" s="1152"/>
      <c r="AP443" s="1152"/>
      <c r="AQ443" s="1152"/>
      <c r="AR443" s="1152"/>
      <c r="AS443" s="1152"/>
      <c r="AT443" s="1152"/>
      <c r="AU443" s="1152"/>
      <c r="AV443" s="1152"/>
      <c r="AW443" s="1152"/>
      <c r="AX443" s="1152"/>
      <c r="AY443" s="1152"/>
      <c r="AZ443" s="1152"/>
      <c r="BA443" s="1152"/>
      <c r="BB443" s="1152"/>
      <c r="BC443" s="1152"/>
      <c r="BD443" s="1152"/>
    </row>
    <row r="444" spans="1:56" hidden="1" outlineLevel="1" x14ac:dyDescent="0.3">
      <c r="A444" s="1182"/>
      <c r="B444" s="1379"/>
      <c r="C444" s="1379"/>
      <c r="D444" s="1379"/>
      <c r="E444" s="1379"/>
      <c r="F444" s="1379"/>
      <c r="G444" s="1379"/>
      <c r="H444" s="1380"/>
      <c r="I444" s="341" t="s">
        <v>325</v>
      </c>
      <c r="J444" s="346"/>
      <c r="K444" s="444">
        <f>K442+K443</f>
        <v>0</v>
      </c>
      <c r="L444" s="346"/>
      <c r="M444" s="444">
        <f t="shared" ref="M444" si="1908">M442+M443</f>
        <v>0</v>
      </c>
      <c r="N444" s="346"/>
      <c r="O444" s="444">
        <f>O442+O443</f>
        <v>0</v>
      </c>
      <c r="P444" s="346"/>
      <c r="Q444" s="444">
        <f t="shared" ref="Q444" si="1909">Q442+Q443</f>
        <v>0</v>
      </c>
      <c r="R444" s="346"/>
      <c r="S444" s="444">
        <f>S442+S443</f>
        <v>0</v>
      </c>
      <c r="T444" s="346"/>
      <c r="U444" s="444">
        <f t="shared" ref="U444" si="1910">U442+U443</f>
        <v>0</v>
      </c>
      <c r="V444" s="346"/>
      <c r="W444" s="444">
        <f>W442+W443</f>
        <v>0</v>
      </c>
      <c r="X444" s="346"/>
      <c r="Y444" s="444">
        <f t="shared" ref="Y444" si="1911">Y442+Y443</f>
        <v>0</v>
      </c>
      <c r="Z444" s="346"/>
      <c r="AA444" s="444">
        <f>AA442+AA443</f>
        <v>0</v>
      </c>
      <c r="AB444" s="346"/>
      <c r="AC444" s="444">
        <f t="shared" ref="AC444" si="1912">AC442+AC443</f>
        <v>0</v>
      </c>
      <c r="AD444" s="335">
        <f t="shared" si="1775"/>
        <v>0</v>
      </c>
      <c r="AE444" s="1152"/>
      <c r="AF444" s="1152"/>
      <c r="AG444" s="1152"/>
      <c r="AH444" s="1152"/>
      <c r="AI444" s="1152"/>
      <c r="AJ444" s="1152"/>
      <c r="AK444" s="1152"/>
      <c r="AL444" s="1152"/>
      <c r="AM444" s="1152"/>
      <c r="AN444" s="1152"/>
      <c r="AO444" s="1152"/>
      <c r="AP444" s="1152"/>
      <c r="AQ444" s="1152"/>
      <c r="AR444" s="1152"/>
      <c r="AS444" s="1152"/>
      <c r="AT444" s="1152"/>
      <c r="AU444" s="1152"/>
      <c r="AV444" s="1152"/>
      <c r="AW444" s="1152"/>
      <c r="AX444" s="1152"/>
      <c r="AY444" s="1152"/>
      <c r="AZ444" s="1152"/>
      <c r="BA444" s="1152"/>
      <c r="BB444" s="1152"/>
      <c r="BC444" s="1152"/>
      <c r="BD444" s="1152"/>
    </row>
    <row r="445" spans="1:56" s="1" customFormat="1" ht="15" hidden="1" customHeight="1" outlineLevel="1" x14ac:dyDescent="0.3">
      <c r="A445" s="727"/>
      <c r="B445" s="1379"/>
      <c r="C445" s="1379"/>
      <c r="D445" s="1379"/>
      <c r="E445" s="1379"/>
      <c r="F445" s="1379"/>
      <c r="G445" s="1379"/>
      <c r="H445" s="1380"/>
      <c r="I445" s="463" t="s">
        <v>326</v>
      </c>
      <c r="J445" s="383">
        <f>IFERROR(K445/K431,0)</f>
        <v>0</v>
      </c>
      <c r="K445" s="447">
        <f>SUM(K432:K433,K435:K438,K441)</f>
        <v>0</v>
      </c>
      <c r="L445" s="434">
        <f>IFERROR(M445/M431,0)</f>
        <v>0</v>
      </c>
      <c r="M445" s="453">
        <f t="shared" ref="M445" si="1913">SUM(M432:M433,M435:M438,M441)</f>
        <v>0</v>
      </c>
      <c r="N445" s="383">
        <f t="shared" ref="N445" si="1914">IFERROR(O445/O431,0)</f>
        <v>0</v>
      </c>
      <c r="O445" s="447">
        <f t="shared" ref="O445" si="1915">SUM(O432:O433,O435:O438,O441)</f>
        <v>0</v>
      </c>
      <c r="P445" s="434">
        <f t="shared" ref="P445" si="1916">IFERROR(Q445/Q431,0)</f>
        <v>0</v>
      </c>
      <c r="Q445" s="453">
        <f t="shared" ref="Q445" si="1917">SUM(Q432:Q433,Q435:Q438,Q441)</f>
        <v>0</v>
      </c>
      <c r="R445" s="383">
        <f t="shared" ref="R445" si="1918">IFERROR(S445/S431,0)</f>
        <v>0</v>
      </c>
      <c r="S445" s="447">
        <f t="shared" ref="S445" si="1919">SUM(S432:S433,S435:S438,S441)</f>
        <v>0</v>
      </c>
      <c r="T445" s="434">
        <f t="shared" ref="T445" si="1920">IFERROR(U445/U431,0)</f>
        <v>0</v>
      </c>
      <c r="U445" s="453">
        <f t="shared" ref="U445" si="1921">SUM(U432:U433,U435:U438,U441)</f>
        <v>0</v>
      </c>
      <c r="V445" s="383">
        <f t="shared" ref="V445" si="1922">IFERROR(W445/W431,0)</f>
        <v>0</v>
      </c>
      <c r="W445" s="447">
        <f t="shared" ref="W445" si="1923">SUM(W432:W433,W435:W438,W441)</f>
        <v>0</v>
      </c>
      <c r="X445" s="434">
        <f t="shared" ref="X445" si="1924">IFERROR(Y445/Y431,0)</f>
        <v>0</v>
      </c>
      <c r="Y445" s="453">
        <f t="shared" ref="Y445" si="1925">SUM(Y432:Y433,Y435:Y438,Y441)</f>
        <v>0</v>
      </c>
      <c r="Z445" s="383">
        <f t="shared" ref="Z445" si="1926">IFERROR(AA445/AA431,0)</f>
        <v>0</v>
      </c>
      <c r="AA445" s="447">
        <f t="shared" ref="AA445" si="1927">SUM(AA432:AA433,AA435:AA438,AA441)</f>
        <v>0</v>
      </c>
      <c r="AB445" s="434">
        <f t="shared" ref="AB445" si="1928">IFERROR(AC445/AC431,0)</f>
        <v>0</v>
      </c>
      <c r="AC445" s="453">
        <f t="shared" ref="AC445" si="1929">SUM(AC432:AC433,AC435:AC438,AC441)</f>
        <v>0</v>
      </c>
      <c r="AD445" s="377">
        <f t="shared" si="1775"/>
        <v>0</v>
      </c>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row>
    <row r="446" spans="1:56" hidden="1" outlineLevel="1" x14ac:dyDescent="0.3">
      <c r="A446" s="1182"/>
      <c r="B446" s="1379"/>
      <c r="C446" s="1379"/>
      <c r="D446" s="1379"/>
      <c r="E446" s="1379"/>
      <c r="F446" s="1379"/>
      <c r="G446" s="1379"/>
      <c r="H446" s="1380"/>
      <c r="I446" s="463" t="s">
        <v>327</v>
      </c>
      <c r="J446" s="384">
        <f>pCRInKind</f>
        <v>2.5</v>
      </c>
      <c r="K446" s="447"/>
      <c r="L446" s="435">
        <f>pCRInKind</f>
        <v>2.5</v>
      </c>
      <c r="M446" s="453"/>
      <c r="N446" s="384">
        <f>pCRInKind</f>
        <v>2.5</v>
      </c>
      <c r="O446" s="447"/>
      <c r="P446" s="435">
        <f>pCRInKind</f>
        <v>2.5</v>
      </c>
      <c r="Q446" s="453"/>
      <c r="R446" s="384">
        <f>pCRInKind</f>
        <v>2.5</v>
      </c>
      <c r="S446" s="447"/>
      <c r="T446" s="435">
        <f>pCRInKind</f>
        <v>2.5</v>
      </c>
      <c r="U446" s="453"/>
      <c r="V446" s="384">
        <f>pCRInKind</f>
        <v>2.5</v>
      </c>
      <c r="W446" s="447"/>
      <c r="X446" s="435">
        <f>pCRInKind</f>
        <v>2.5</v>
      </c>
      <c r="Y446" s="453"/>
      <c r="Z446" s="384">
        <f>pCRInKind</f>
        <v>2.5</v>
      </c>
      <c r="AA446" s="447"/>
      <c r="AB446" s="435">
        <f>pCRInKind</f>
        <v>2.5</v>
      </c>
      <c r="AC446" s="453"/>
      <c r="AD446" s="335"/>
      <c r="AE446" s="1152"/>
      <c r="AF446" s="1152"/>
      <c r="AG446" s="1152"/>
      <c r="AH446" s="1152"/>
      <c r="AI446" s="1152"/>
      <c r="AJ446" s="1152"/>
      <c r="AK446" s="1152"/>
      <c r="AL446" s="1152"/>
      <c r="AM446" s="1152"/>
      <c r="AN446" s="1152"/>
      <c r="AO446" s="1152"/>
      <c r="AP446" s="1152"/>
      <c r="AQ446" s="1152"/>
      <c r="AR446" s="1152"/>
      <c r="AS446" s="1152"/>
      <c r="AT446" s="1152"/>
      <c r="AU446" s="1152"/>
      <c r="AV446" s="1152"/>
      <c r="AW446" s="1152"/>
      <c r="AX446" s="1152"/>
      <c r="AY446" s="1152"/>
      <c r="AZ446" s="1152"/>
      <c r="BA446" s="1152"/>
      <c r="BB446" s="1152"/>
      <c r="BC446" s="1152"/>
      <c r="BD446" s="1152"/>
    </row>
    <row r="447" spans="1:56" ht="16.2" hidden="1" outlineLevel="1" thickBot="1" x14ac:dyDescent="0.35">
      <c r="A447" s="1182"/>
      <c r="B447" s="710"/>
      <c r="C447" s="347"/>
      <c r="D447" s="347"/>
      <c r="E447" s="347"/>
      <c r="F447" s="347"/>
      <c r="G447" s="347"/>
      <c r="H447" s="347"/>
      <c r="I447" s="436" t="s">
        <v>329</v>
      </c>
      <c r="J447" s="348"/>
      <c r="K447" s="349">
        <f>J446*K442</f>
        <v>0</v>
      </c>
      <c r="L447" s="348"/>
      <c r="M447" s="349">
        <f t="shared" ref="M447" si="1930">L446*M442</f>
        <v>0</v>
      </c>
      <c r="N447" s="348"/>
      <c r="O447" s="349">
        <f>N446*O442</f>
        <v>0</v>
      </c>
      <c r="P447" s="348"/>
      <c r="Q447" s="349">
        <f t="shared" ref="Q447" si="1931">P446*Q442</f>
        <v>0</v>
      </c>
      <c r="R447" s="348"/>
      <c r="S447" s="349">
        <f>R446*S442</f>
        <v>0</v>
      </c>
      <c r="T447" s="348"/>
      <c r="U447" s="349">
        <f t="shared" ref="U447" si="1932">T446*U442</f>
        <v>0</v>
      </c>
      <c r="V447" s="348"/>
      <c r="W447" s="349">
        <f>V446*W442</f>
        <v>0</v>
      </c>
      <c r="X447" s="348"/>
      <c r="Y447" s="349">
        <f t="shared" ref="Y447" si="1933">X446*Y442</f>
        <v>0</v>
      </c>
      <c r="Z447" s="348"/>
      <c r="AA447" s="349">
        <f>Z446*AA442</f>
        <v>0</v>
      </c>
      <c r="AB447" s="348"/>
      <c r="AC447" s="349">
        <f t="shared" ref="AC447" si="1934">AB446*AC442</f>
        <v>0</v>
      </c>
      <c r="AD447" s="335">
        <f t="shared" si="1775"/>
        <v>0</v>
      </c>
      <c r="AE447" s="1152"/>
      <c r="AF447" s="1152"/>
      <c r="AG447" s="1152"/>
      <c r="AH447" s="1152"/>
      <c r="AI447" s="1152"/>
      <c r="AJ447" s="1152"/>
      <c r="AK447" s="1152"/>
      <c r="AL447" s="1152"/>
      <c r="AM447" s="1152"/>
      <c r="AN447" s="1152"/>
      <c r="AO447" s="1152"/>
      <c r="AP447" s="1152"/>
      <c r="AQ447" s="1152"/>
      <c r="AR447" s="1152"/>
      <c r="AS447" s="1152"/>
      <c r="AT447" s="1152"/>
      <c r="AU447" s="1152"/>
      <c r="AV447" s="1152"/>
      <c r="AW447" s="1152"/>
      <c r="AX447" s="1152"/>
      <c r="AY447" s="1152"/>
      <c r="AZ447" s="1152"/>
      <c r="BA447" s="1152"/>
      <c r="BB447" s="1152"/>
      <c r="BC447" s="1152"/>
      <c r="BD447" s="1152"/>
    </row>
    <row r="448" spans="1:56" ht="15" hidden="1" outlineLevel="1" thickBot="1" x14ac:dyDescent="0.35">
      <c r="A448" s="1182"/>
      <c r="B448" s="1181"/>
      <c r="C448" s="1181"/>
      <c r="D448" s="1181"/>
      <c r="E448" s="1181"/>
      <c r="F448" s="1181"/>
      <c r="G448" s="1181"/>
      <c r="H448" s="1181"/>
      <c r="I448" s="350"/>
      <c r="J448" s="351"/>
      <c r="K448" s="351"/>
      <c r="L448" s="351"/>
      <c r="M448" s="352"/>
      <c r="N448" s="351"/>
      <c r="O448" s="352"/>
      <c r="P448" s="351"/>
      <c r="Q448" s="352"/>
      <c r="R448" s="351"/>
      <c r="S448" s="352"/>
      <c r="T448" s="351"/>
      <c r="U448" s="352"/>
      <c r="V448" s="351"/>
      <c r="W448" s="352"/>
      <c r="X448" s="351"/>
      <c r="Y448" s="352"/>
      <c r="Z448" s="351"/>
      <c r="AA448" s="352"/>
      <c r="AB448" s="351"/>
      <c r="AC448" s="352"/>
      <c r="AD448" s="353"/>
      <c r="AE448" s="1152"/>
      <c r="AF448" s="1152"/>
      <c r="AG448" s="1152"/>
      <c r="AH448" s="1152"/>
      <c r="AI448" s="1152"/>
      <c r="AJ448" s="1152"/>
      <c r="AK448" s="1152"/>
      <c r="AL448" s="1152"/>
      <c r="AM448" s="1152"/>
      <c r="AN448" s="1152"/>
      <c r="AO448" s="1152"/>
      <c r="AP448" s="1152"/>
      <c r="AQ448" s="1152"/>
      <c r="AR448" s="1152"/>
      <c r="AS448" s="1152"/>
      <c r="AT448" s="1152"/>
      <c r="AU448" s="1152"/>
      <c r="AV448" s="1152"/>
      <c r="AW448" s="1152"/>
      <c r="AX448" s="1152"/>
      <c r="AY448" s="1152"/>
      <c r="AZ448" s="1152"/>
      <c r="BA448" s="1152"/>
      <c r="BB448" s="1152"/>
      <c r="BC448" s="1152"/>
      <c r="BD448" s="1152"/>
    </row>
    <row r="449" spans="1:56" hidden="1" outlineLevel="1" x14ac:dyDescent="0.3">
      <c r="A449" s="1182"/>
      <c r="B449" s="460" t="str">
        <f>IF('PART B Staff Costs'!B56="","",'PART B Staff Costs'!B56)</f>
        <v/>
      </c>
      <c r="C449" s="460" t="str">
        <f>IF('PART B Staff Costs'!C56="","",'PART B Staff Costs'!C56)</f>
        <v xml:space="preserve"> </v>
      </c>
      <c r="D449" s="461" t="str">
        <f>IF('PART B Staff Costs'!D56="","",'PART B Staff Costs'!D56)</f>
        <v/>
      </c>
      <c r="E449" s="461" t="str">
        <f>IF('PART B Staff Costs'!E56="","",'PART B Staff Costs'!E56)</f>
        <v/>
      </c>
      <c r="F449" s="461" t="str">
        <f>IF('PART B Staff Costs'!F56="","",'PART B Staff Costs'!F56)</f>
        <v/>
      </c>
      <c r="G449" s="461" t="str">
        <f>IF('PART B Staff Costs'!G56="","",'PART B Staff Costs'!G56)</f>
        <v/>
      </c>
      <c r="H449" s="454" t="str">
        <f t="shared" ref="H449" si="1935">CONCATENATE(IF(D449=0,"",D449)," ",IF(E449=0,"",E449)," ",IF(F449=0,"",F449),,IF(OR(G449=0,G449=""),"",CONCATENATE(" (",G449,")")))</f>
        <v xml:space="preserve">  </v>
      </c>
      <c r="I449" s="454" t="s">
        <v>313</v>
      </c>
      <c r="J449" s="333">
        <f>_xlfn.IFNA('PART B Staff Costs'!H56*'PART B Staff Costs'!J$10,0)*new_xrate</f>
        <v>0</v>
      </c>
      <c r="K449" s="441"/>
      <c r="L449" s="334">
        <f>_xlfn.IFNA(IF(pStartYear+1&gt;pEndYear,0,VLOOKUP(CONCATENATE(
IF(OR($D449="Continuing",$D449="Fixed-Term"),"Fortnight",IF($D449="Casual","Casual",)),
$E449,
IF(OR($D449="Continuing",$D449="Fixed-Term"),
IF(LEFT($F449,6)="UOM 10","UOM 10",(LEFT($F449,LEN($F449)-1)&amp;MIN(RIGHT($F449,1)+COUNTIFS($J450:K450,"&gt;0")/2,VLOOKUP(LEFT($F449,LEN($F449)-2),tSalaryMax,2,FALSE)))),
IF($D449="Casual",
$F449,))
),tSalaryRate,5,FALSE)*VLOOKUP($G449,tSalaryRateMultiplier,2,FALSE)*'PART B Staff Costs'!L$10),0)*new_xrate</f>
        <v>0</v>
      </c>
      <c r="M449" s="449"/>
      <c r="N449" s="333">
        <f>_xlfn.IFNA(IF(pStartYear+2&gt;pEndYear,0,VLOOKUP(CONCATENATE(
IF(OR($D449="Continuing",$D449="Fixed-Term"),"Fortnight",IF($D449="Casual","Casual",)),
$E449,
IF(OR($D449="Continuing",$D449="Fixed-Term"),
IF(LEFT($F449,6)="UOM 10","UOM 10",(LEFT($F449,LEN($F449)-1)&amp;MIN(RIGHT($F449,1)+COUNTIFS($J450:M450,"&gt;0")/2,VLOOKUP(LEFT($F449,LEN($F449)-2),tSalaryMax,2,FALSE)))),
IF($D449="Casual",
$F449,))
),tSalaryRate,5,FALSE)*VLOOKUP($G449,tSalaryRateMultiplier,2,FALSE)*'PART B Staff Costs'!N$10),0)*new_xrate</f>
        <v>0</v>
      </c>
      <c r="O449" s="441"/>
      <c r="P449" s="334">
        <f>_xlfn.IFNA(IF(pStartYear+3&gt;pEndYear,0,VLOOKUP(CONCATENATE(
IF(OR($D449="Continuing",$D449="Fixed-Term"),"Fortnight",IF($D449="Casual","Casual",)),
$E449,
IF(OR($D449="Continuing",$D449="Fixed-Term"),
IF(LEFT($F449,6)="UOM 10","UOM 10",(LEFT($F449,LEN($F449)-1)&amp;MIN(RIGHT($F449,1)+COUNTIFS($J450:O450,"&gt;0")/2,VLOOKUP(LEFT($F449,LEN($F449)-2),tSalaryMax,2,FALSE)))),
IF($D449="Casual",
$F449,))
),tSalaryRate,5,FALSE)*VLOOKUP($G449,tSalaryRateMultiplier,2,FALSE)*'PART B Staff Costs'!P$10),0)*new_xrate</f>
        <v>0</v>
      </c>
      <c r="Q449" s="449"/>
      <c r="R449" s="333">
        <f>_xlfn.IFNA(IF(pStartYear+4&gt;pEndYear,0,VLOOKUP(CONCATENATE(
IF(OR($D449="Continuing",$D449="Fixed-Term"),"Fortnight",IF($D449="Casual","Casual",)),
$E449,
IF(OR($D449="Continuing",$D449="Fixed-Term"),
IF(LEFT($F449,6)="UOM 10","UOM 10",(LEFT($F449,LEN($F449)-1)&amp;MIN(RIGHT($F449,1)+COUNTIFS($J450:Q450,"&gt;0")/2,VLOOKUP(LEFT($F449,LEN($F449)-2),tSalaryMax,2,FALSE)))),
IF($D449="Casual",
$F449,))
),tSalaryRate,5,FALSE)*VLOOKUP($G449,tSalaryRateMultiplier,2,FALSE)*'PART B Staff Costs'!R$10),0)*new_xrate</f>
        <v>0</v>
      </c>
      <c r="S449" s="441"/>
      <c r="T449" s="334">
        <f>_xlfn.IFNA(IF(pStartYear+5&gt;pEndYear,0,VLOOKUP(CONCATENATE(
IF(OR($D449="Continuing",$D449="Fixed-Term"),"Fortnight",IF($D449="Casual","Casual",)),
$E449,
IF(OR($D449="Continuing",$D449="Fixed-Term"),
IF(LEFT($F449,6)="UOM 10","UOM 10",(LEFT($F449,LEN($F449)-1)&amp;MIN(RIGHT($F449,1)+COUNTIFS($J450:S450,"&gt;0")/2,VLOOKUP(LEFT($F449,LEN($F449)-2),tSalaryMax,2,FALSE)))),
IF($D449="Casual",
$F449,))
),tSalaryRate,5,FALSE)*VLOOKUP($G449,tSalaryRateMultiplier,2,FALSE)*'PART B Staff Costs'!T$10),0)*new_xrate</f>
        <v>0</v>
      </c>
      <c r="U449" s="449"/>
      <c r="V449" s="333">
        <f>_xlfn.IFNA(IF(pStartYear+6&gt;pEndYear,0,VLOOKUP(CONCATENATE(
IF(OR($D449="Continuing",$D449="Fixed-Term"),"Fortnight",IF($D449="Casual","Casual",)),
$E449,
IF(OR($D449="Continuing",$D449="Fixed-Term"),
IF(LEFT($F449,6)="UOM 10","UOM 10",(LEFT($F449,LEN($F449)-1)&amp;MIN(RIGHT($F449,1)+COUNTIFS($J450:U450,"&gt;0")/2,VLOOKUP(LEFT($F449,LEN($F449)-2),tSalaryMax,2,FALSE)))),
IF($D449="Casual",
$F449,))
),tSalaryRate,5,FALSE)*VLOOKUP($G449,tSalaryRateMultiplier,2,FALSE)*'PART B Staff Costs'!V$10),0)*new_xrate</f>
        <v>0</v>
      </c>
      <c r="W449" s="441"/>
      <c r="X449" s="334">
        <f>_xlfn.IFNA(IF(pStartYear+7&gt;pEndYear,0,VLOOKUP(CONCATENATE(
IF(OR($D449="Continuing",$D449="Fixed-Term"),"Fortnight",IF($D449="Casual","Casual",)),
$E449,
IF(OR($D449="Continuing",$D449="Fixed-Term"),
IF(LEFT($F449,6)="UOM 10","UOM 10",(LEFT($F449,LEN($F449)-1)&amp;MIN(RIGHT($F449,1)+COUNTIFS($J450:W450,"&gt;0")/2,VLOOKUP(LEFT($F449,LEN($F449)-2),tSalaryMax,2,FALSE)))),
IF($D449="Casual",
$F449,))
),tSalaryRate,5,FALSE)*VLOOKUP($G449,tSalaryRateMultiplier,2,FALSE)*'PART B Staff Costs'!X$10),0)*new_xrate</f>
        <v>0</v>
      </c>
      <c r="Y449" s="449"/>
      <c r="Z449" s="333">
        <f>_xlfn.IFNA(IF(pStartYear+8&gt;pEndYear,0,VLOOKUP(CONCATENATE(
IF(OR($D449="Continuing",$D449="Fixed-Term"),"Fortnight",IF($D449="Casual","Casual",)),
$E449,
IF(OR($D449="Continuing",$D449="Fixed-Term"),
IF(LEFT($F449,6)="UOM 10","UOM 10",(LEFT($F449,LEN($F449)-1)&amp;MIN(RIGHT($F449,1)+COUNTIFS($J450:Y450,"&gt;0")/2,VLOOKUP(LEFT($F449,LEN($F449)-2),tSalaryMax,2,FALSE)))),
IF($D449="Casual",
$F449,))
),tSalaryRate,5,FALSE)*VLOOKUP($G449,tSalaryRateMultiplier,2,FALSE)*'PART B Staff Costs'!Z$10),0)*new_xrate</f>
        <v>0</v>
      </c>
      <c r="AA449" s="441"/>
      <c r="AB449" s="334">
        <f>_xlfn.IFNA(IF(pStartYear+9&gt;pEndYear,0,VLOOKUP(CONCATENATE(
IF(OR($D449="Continuing",$D449="Fixed-Term"),"Fortnight",IF($D449="Casual","Casual",)),
$E449,
IF(OR($D449="Continuing",$D449="Fixed-Term"),
IF(LEFT($F449,6)="UOM 10","UOM 10",(LEFT($F449,LEN($F449)-1)&amp;MIN(RIGHT($F449,1)+COUNTIFS($J450:AA450,"&gt;0")/2,VLOOKUP(LEFT($F449,LEN($F449)-2),tSalaryMax,2,FALSE)))),
IF($D449="Casual",
$F449,))
),tSalaryRate,5,FALSE)*VLOOKUP($G449,tSalaryRateMultiplier,2,FALSE)*'PART B Staff Costs'!AB$10),0)*new_xrate</f>
        <v>0</v>
      </c>
      <c r="AC449" s="449"/>
      <c r="AD449" s="335"/>
      <c r="AE449" s="1152"/>
      <c r="AF449" s="1152"/>
      <c r="AG449" s="1152"/>
      <c r="AH449" s="1152"/>
      <c r="AI449" s="1152"/>
      <c r="AJ449" s="1152"/>
      <c r="AK449" s="1152"/>
      <c r="AL449" s="1152"/>
      <c r="AM449" s="1152"/>
      <c r="AN449" s="1152"/>
      <c r="AO449" s="1152"/>
      <c r="AP449" s="1152"/>
      <c r="AQ449" s="1152"/>
      <c r="AR449" s="1152"/>
      <c r="AS449" s="1152"/>
      <c r="AT449" s="1152"/>
      <c r="AU449" s="1152"/>
      <c r="AV449" s="1152"/>
      <c r="AW449" s="1152"/>
      <c r="AX449" s="1152"/>
      <c r="AY449" s="1152"/>
      <c r="AZ449" s="1152"/>
      <c r="BA449" s="1152"/>
      <c r="BB449" s="1152"/>
      <c r="BC449" s="1152"/>
      <c r="BD449" s="1152"/>
    </row>
    <row r="450" spans="1:56" hidden="1" outlineLevel="1" x14ac:dyDescent="0.3">
      <c r="A450" s="1182"/>
      <c r="B450" s="1377"/>
      <c r="C450" s="1377"/>
      <c r="D450" s="1377"/>
      <c r="E450" s="1377"/>
      <c r="F450" s="1377"/>
      <c r="G450" s="1377"/>
      <c r="H450" s="1378"/>
      <c r="I450" s="455" t="str">
        <f>IF('PART B Staff Costs'!G445&lt;&gt;"",CONCATENATE("Time/Requested salary"," (",'PART B Staff Costs'!G445,")"),"Time/Requested salary")</f>
        <v>Time/Requested salary</v>
      </c>
      <c r="J450" s="337">
        <f>_xlfn.IFNA('PART B Staff Costs'!I56,0)</f>
        <v>0</v>
      </c>
      <c r="K450" s="442">
        <f>IF('PART B Staff Costs'!$G$56="FTE",J450*J449*(First_year_fraction/12),J450*J449)</f>
        <v>0</v>
      </c>
      <c r="L450" s="338">
        <f>_xlfn.IFNA('PART B Staff Costs'!K56,0)</f>
        <v>0</v>
      </c>
      <c r="M450" s="450">
        <f>IF(pStartYear+1=pEndYear,IF('PART B Staff Costs'!$G$56="FTE",(L450*L449)*Last_Year_Fraction/12,L450*L449),L450*L449)</f>
        <v>0</v>
      </c>
      <c r="N450" s="337">
        <f>_xlfn.IFNA('PART B Staff Costs'!M56,0)</f>
        <v>0</v>
      </c>
      <c r="O450" s="442">
        <f>IF(pStartYear+2=pEndYear,IF('PART B Staff Costs'!$G$56="FTE",(N450*N449)*Last_Year_Fraction/12,N450*N449),N450*N449)</f>
        <v>0</v>
      </c>
      <c r="P450" s="338">
        <f>_xlfn.IFNA('PART B Staff Costs'!O56,0)</f>
        <v>0</v>
      </c>
      <c r="Q450" s="450">
        <f>IF(pStartYear+3=pEndYear,IF('PART B Staff Costs'!$G$56="FTE",(P450*P449)*Last_Year_Fraction/12,P450*P449),P450*P449)</f>
        <v>0</v>
      </c>
      <c r="R450" s="337">
        <f>_xlfn.IFNA('PART B Staff Costs'!Q56,0)</f>
        <v>0</v>
      </c>
      <c r="S450" s="442">
        <f>IF(pStartYear+4=pEndYear,IF('PART B Staff Costs'!$G$56="FTE",(R450*R449)*Last_Year_Fraction/12,R450*R449),R450*R449)</f>
        <v>0</v>
      </c>
      <c r="T450" s="338">
        <f>_xlfn.IFNA('PART B Staff Costs'!S56,0)</f>
        <v>0</v>
      </c>
      <c r="U450" s="450">
        <f>IF(pStartYear+5=pEndYear,IF('PART B Staff Costs'!$G$56="FTE",(T450*T449)*Last_Year_Fraction/12,T450*T449),T450*T449)</f>
        <v>0</v>
      </c>
      <c r="V450" s="337">
        <f>_xlfn.IFNA('PART B Staff Costs'!U56,0)</f>
        <v>0</v>
      </c>
      <c r="W450" s="442">
        <f>IF(pStartYear+6=pEndYear,IF('PART B Staff Costs'!$G$56="FTE",(V450*V449)*Last_Year_Fraction/12,V450*V449),V450*V449)</f>
        <v>0</v>
      </c>
      <c r="X450" s="338">
        <f>_xlfn.IFNA('PART B Staff Costs'!W56,0)</f>
        <v>0</v>
      </c>
      <c r="Y450" s="450">
        <f>IF(pStartYear+7=pEndYear,IF('PART B Staff Costs'!$G$56="FTE",(X450*X449)*Last_Year_Fraction/12,X450*X449),X450*X449)</f>
        <v>0</v>
      </c>
      <c r="Z450" s="337">
        <f>_xlfn.IFNA('PART B Staff Costs'!Y56,0)</f>
        <v>0</v>
      </c>
      <c r="AA450" s="442">
        <f>IF(pStartYear+8=pEndYear,IF('PART B Staff Costs'!$G$56="FTE",(Z450*Z449)*Last_Year_Fraction/12,Z450*Z449),Z450*Z449)</f>
        <v>0</v>
      </c>
      <c r="AB450" s="338">
        <f>_xlfn.IFNA('PART B Staff Costs'!AA56,0)</f>
        <v>0</v>
      </c>
      <c r="AC450" s="450">
        <f>IF(pStartYear+9=pEndYear,IF('PART B Staff Costs'!$G$56="FTE",(AB450*AB449)*Last_Year_Fraction/12,AB450*AB449),AB450*AB449)</f>
        <v>0</v>
      </c>
      <c r="AD450" s="335"/>
      <c r="AE450" s="1152"/>
      <c r="AF450" s="1152"/>
      <c r="AG450" s="1152"/>
      <c r="AH450" s="1152"/>
      <c r="AI450" s="1152"/>
      <c r="AJ450" s="1152"/>
      <c r="AK450" s="1152"/>
      <c r="AL450" s="1152"/>
      <c r="AM450" s="1152"/>
      <c r="AN450" s="1152"/>
      <c r="AO450" s="1152"/>
      <c r="AP450" s="1152"/>
      <c r="AQ450" s="1152"/>
      <c r="AR450" s="1152"/>
      <c r="AS450" s="1152"/>
      <c r="AT450" s="1152"/>
      <c r="AU450" s="1152"/>
      <c r="AV450" s="1152"/>
      <c r="AW450" s="1152"/>
      <c r="AX450" s="1152"/>
      <c r="AY450" s="1152"/>
      <c r="AZ450" s="1152"/>
      <c r="BA450" s="1152"/>
      <c r="BB450" s="1152"/>
      <c r="BC450" s="1152"/>
      <c r="BD450" s="1152"/>
    </row>
    <row r="451" spans="1:56" hidden="1" outlineLevel="1" x14ac:dyDescent="0.3">
      <c r="A451" s="1182"/>
      <c r="B451" s="1379"/>
      <c r="C451" s="1379"/>
      <c r="D451" s="1379"/>
      <c r="E451" s="1379"/>
      <c r="F451" s="1379"/>
      <c r="G451" s="1379"/>
      <c r="H451" s="1380"/>
      <c r="I451" s="455" t="str">
        <f>IF(tbBudgetCurrency="AUD - Australian Dollar",CONCATENATE("Leave Loading (max of AU$",vl_Max_Leave_Loading,")"),CONCATENATE("Leave Loading (max of ",ROUND(vl_Max_Leave_Loading*new_xrate,2)," ",LEFT(tbBudgetCurrency,3),")"))</f>
        <v>Leave Loading (max of AU$1611.3)</v>
      </c>
      <c r="J451" s="339">
        <f>_xlfn.IFNA(VLOOKUP($D449,tbLeaveLoading,2,FALSE),0)</f>
        <v>0</v>
      </c>
      <c r="K451" s="443">
        <f>IF(K450*J451&gt;vl_Max_Leave_Loading*new_xrate,vl_Max_Leave_Loading*new_xrate,K450*J451)</f>
        <v>0</v>
      </c>
      <c r="L451" s="340">
        <f>_xlfn.IFNA(VLOOKUP($D449,tbLeaveLoading,2,FALSE),0)</f>
        <v>0</v>
      </c>
      <c r="M451" s="451">
        <f>IF(M450*L451&gt;vl_Max_Leave_Loading*new_xrate,vl_Max_Leave_Loading*new_xrate,M450*L451)</f>
        <v>0</v>
      </c>
      <c r="N451" s="339">
        <f>_xlfn.IFNA(VLOOKUP($D449,tbLeaveLoading,2,FALSE),0)</f>
        <v>0</v>
      </c>
      <c r="O451" s="443">
        <f>IF(O450*N451&gt;vl_Max_Leave_Loading*new_xrate,vl_Max_Leave_Loading*new_xrate,O450*N451)</f>
        <v>0</v>
      </c>
      <c r="P451" s="340">
        <f>_xlfn.IFNA(VLOOKUP($D449,tbLeaveLoading,2,FALSE),0)</f>
        <v>0</v>
      </c>
      <c r="Q451" s="451">
        <f>IF(Q450*P451&gt;vl_Max_Leave_Loading*new_xrate,vl_Max_Leave_Loading*new_xrate,Q450*P451)</f>
        <v>0</v>
      </c>
      <c r="R451" s="339">
        <f>_xlfn.IFNA(VLOOKUP($D449,tbLeaveLoading,2,FALSE),0)</f>
        <v>0</v>
      </c>
      <c r="S451" s="443">
        <f>IF(S450*R451&gt;vl_Max_Leave_Loading*new_xrate,vl_Max_Leave_Loading*new_xrate,S450*R451)</f>
        <v>0</v>
      </c>
      <c r="T451" s="340">
        <f>_xlfn.IFNA(VLOOKUP($D449,tbLeaveLoading,2,FALSE),0)</f>
        <v>0</v>
      </c>
      <c r="U451" s="451">
        <f>IF(U450*T451&gt;vl_Max_Leave_Loading*new_xrate,vl_Max_Leave_Loading*new_xrate,U450*T451)</f>
        <v>0</v>
      </c>
      <c r="V451" s="339">
        <f>_xlfn.IFNA(VLOOKUP($D449,tbLeaveLoading,2,FALSE),0)</f>
        <v>0</v>
      </c>
      <c r="W451" s="443">
        <f>IF(W450*V451&gt;vl_Max_Leave_Loading*new_xrate,vl_Max_Leave_Loading*new_xrate,W450*V451)</f>
        <v>0</v>
      </c>
      <c r="X451" s="340">
        <f>_xlfn.IFNA(VLOOKUP($D449,tbLeaveLoading,2,FALSE),0)</f>
        <v>0</v>
      </c>
      <c r="Y451" s="451">
        <f>IF(Y450*X451&gt;vl_Max_Leave_Loading*new_xrate,vl_Max_Leave_Loading*new_xrate,Y450*X451)</f>
        <v>0</v>
      </c>
      <c r="Z451" s="339">
        <f>_xlfn.IFNA(VLOOKUP($D449,tbLeaveLoading,2,FALSE),0)</f>
        <v>0</v>
      </c>
      <c r="AA451" s="443">
        <f>IF(AA450*Z451&gt;vl_Max_Leave_Loading*new_xrate,vl_Max_Leave_Loading*new_xrate,AA450*Z451)</f>
        <v>0</v>
      </c>
      <c r="AB451" s="340">
        <f>_xlfn.IFNA(VLOOKUP($D449,tbLeaveLoading,2,FALSE),0)</f>
        <v>0</v>
      </c>
      <c r="AC451" s="451">
        <f>IF(AC450*AB451&gt;vl_Max_Leave_Loading*new_xrate,vl_Max_Leave_Loading*new_xrate,AC450*AB451)</f>
        <v>0</v>
      </c>
      <c r="AD451" s="335"/>
      <c r="AE451" s="1152"/>
      <c r="AF451" s="1152"/>
      <c r="AG451" s="1152"/>
      <c r="AH451" s="1152"/>
      <c r="AI451" s="1152"/>
      <c r="AJ451" s="1152"/>
      <c r="AK451" s="1152"/>
      <c r="AL451" s="1152"/>
      <c r="AM451" s="1152"/>
      <c r="AN451" s="1152"/>
      <c r="AO451" s="1152"/>
      <c r="AP451" s="1152"/>
      <c r="AQ451" s="1152"/>
      <c r="AR451" s="1152"/>
      <c r="AS451" s="1152"/>
      <c r="AT451" s="1152"/>
      <c r="AU451" s="1152"/>
      <c r="AV451" s="1152"/>
      <c r="AW451" s="1152"/>
      <c r="AX451" s="1152"/>
      <c r="AY451" s="1152"/>
      <c r="AZ451" s="1152"/>
      <c r="BA451" s="1152"/>
      <c r="BB451" s="1152"/>
      <c r="BC451" s="1152"/>
      <c r="BD451" s="1152"/>
    </row>
    <row r="452" spans="1:56" hidden="1" outlineLevel="1" x14ac:dyDescent="0.3">
      <c r="A452" s="1182"/>
      <c r="B452" s="1379"/>
      <c r="C452" s="1379"/>
      <c r="D452" s="1379"/>
      <c r="E452" s="1379"/>
      <c r="F452" s="1379"/>
      <c r="G452" s="1379"/>
      <c r="H452" s="1380"/>
      <c r="I452" s="455" t="s">
        <v>314</v>
      </c>
      <c r="J452" s="339">
        <f>_xlfn.IFNA(_xlfn.IFNA(VLOOKUP(CONCATENATE(pStartYear,$D449),tbSuperannuation,4,FALSE),VLOOKUP($D449,tbSuperannuation2026onwards,2,FALSE)),0)</f>
        <v>0</v>
      </c>
      <c r="K452" s="443">
        <f>K450*J452</f>
        <v>0</v>
      </c>
      <c r="L452" s="340">
        <f>_xlfn.IFNA(_xlfn.IFNA(VLOOKUP(CONCATENATE(pStartYear+1,$D449),tbSuperannuation,4,FALSE),VLOOKUP($D449,tbSuperannuation2026onwards,2,FALSE)),0)</f>
        <v>0</v>
      </c>
      <c r="M452" s="451">
        <f t="shared" ref="M452" si="1936">M450*L452</f>
        <v>0</v>
      </c>
      <c r="N452" s="339">
        <f>_xlfn.IFNA(_xlfn.IFNA(VLOOKUP(CONCATENATE(pStartYear+2,$D449),tbSuperannuation,4,FALSE),VLOOKUP($D449,tbSuperannuation2026onwards,2,FALSE)),0)</f>
        <v>0</v>
      </c>
      <c r="O452" s="443">
        <f>O450*N452</f>
        <v>0</v>
      </c>
      <c r="P452" s="340">
        <f>_xlfn.IFNA(_xlfn.IFNA(VLOOKUP(CONCATENATE(pStartYear+3,$D449),tbSuperannuation,4,FALSE),VLOOKUP($D449,tbSuperannuation2026onwards,2,FALSE)),0)</f>
        <v>0</v>
      </c>
      <c r="Q452" s="451">
        <f t="shared" ref="Q452" si="1937">Q450*P452</f>
        <v>0</v>
      </c>
      <c r="R452" s="339">
        <f>_xlfn.IFNA(_xlfn.IFNA(VLOOKUP(CONCATENATE(pStartYear+4,$D449),tbSuperannuation,4,FALSE),VLOOKUP($D449,tbSuperannuation2026onwards,2,FALSE)),0)</f>
        <v>0</v>
      </c>
      <c r="S452" s="443">
        <f>S450*R452</f>
        <v>0</v>
      </c>
      <c r="T452" s="340">
        <f>_xlfn.IFNA(_xlfn.IFNA(VLOOKUP(CONCATENATE(pStartYear+5,$D449),tbSuperannuation,4,FALSE),VLOOKUP($D449,tbSuperannuation2026onwards,2,FALSE)),0)</f>
        <v>0</v>
      </c>
      <c r="U452" s="451">
        <f t="shared" ref="U452" si="1938">U450*T452</f>
        <v>0</v>
      </c>
      <c r="V452" s="339">
        <f>_xlfn.IFNA(_xlfn.IFNA(VLOOKUP(CONCATENATE(pStartYear+6,$D449),tbSuperannuation,4,FALSE),VLOOKUP($D449,tbSuperannuation2026onwards,2,FALSE)),0)</f>
        <v>0</v>
      </c>
      <c r="W452" s="443">
        <f>W450*V452</f>
        <v>0</v>
      </c>
      <c r="X452" s="340">
        <f>_xlfn.IFNA(_xlfn.IFNA(VLOOKUP(CONCATENATE(pStartYear+7,$D449),tbSuperannuation,4,FALSE),VLOOKUP($D449,tbSuperannuation2026onwards,2,FALSE)),0)</f>
        <v>0</v>
      </c>
      <c r="Y452" s="451">
        <f t="shared" ref="Y452" si="1939">Y450*X452</f>
        <v>0</v>
      </c>
      <c r="Z452" s="339">
        <f>_xlfn.IFNA(_xlfn.IFNA(VLOOKUP(CONCATENATE(pStartYear+8,$D449),tbSuperannuation,4,FALSE),VLOOKUP($D449,tbSuperannuation2026onwards,2,FALSE)),0)</f>
        <v>0</v>
      </c>
      <c r="AA452" s="443">
        <f>AA450*Z452</f>
        <v>0</v>
      </c>
      <c r="AB452" s="340">
        <f>_xlfn.IFNA(_xlfn.IFNA(VLOOKUP(CONCATENATE(pStartYear+9,$D449),tbSuperannuation,4,FALSE),VLOOKUP($D449,tbSuperannuation2026onwards,2,FALSE)),0)</f>
        <v>0</v>
      </c>
      <c r="AC452" s="451">
        <f t="shared" ref="AC452" si="1940">AC450*AB452</f>
        <v>0</v>
      </c>
      <c r="AD452" s="335"/>
      <c r="AE452" s="1152"/>
      <c r="AF452" s="1152"/>
      <c r="AG452" s="1152"/>
      <c r="AH452" s="1152"/>
      <c r="AI452" s="1152"/>
      <c r="AJ452" s="1152"/>
      <c r="AK452" s="1152"/>
      <c r="AL452" s="1152"/>
      <c r="AM452" s="1152"/>
      <c r="AN452" s="1152"/>
      <c r="AO452" s="1152"/>
      <c r="AP452" s="1152"/>
      <c r="AQ452" s="1152"/>
      <c r="AR452" s="1152"/>
      <c r="AS452" s="1152"/>
      <c r="AT452" s="1152"/>
      <c r="AU452" s="1152"/>
      <c r="AV452" s="1152"/>
      <c r="AW452" s="1152"/>
      <c r="AX452" s="1152"/>
      <c r="AY452" s="1152"/>
      <c r="AZ452" s="1152"/>
      <c r="BA452" s="1152"/>
      <c r="BB452" s="1152"/>
      <c r="BC452" s="1152"/>
      <c r="BD452" s="1152"/>
    </row>
    <row r="453" spans="1:56" hidden="1" outlineLevel="1" x14ac:dyDescent="0.3">
      <c r="A453" s="1182"/>
      <c r="B453" s="1379"/>
      <c r="C453" s="1379"/>
      <c r="D453" s="1379"/>
      <c r="E453" s="1379"/>
      <c r="F453" s="1379"/>
      <c r="G453" s="1379"/>
      <c r="H453" s="1380"/>
      <c r="I453" s="341" t="s">
        <v>315</v>
      </c>
      <c r="J453" s="342"/>
      <c r="K453" s="444">
        <f>K451+K452+K450</f>
        <v>0</v>
      </c>
      <c r="L453" s="342"/>
      <c r="M453" s="444">
        <f t="shared" ref="M453" si="1941">M451+M452+M450</f>
        <v>0</v>
      </c>
      <c r="N453" s="342"/>
      <c r="O453" s="444">
        <f>O451+O452+O450</f>
        <v>0</v>
      </c>
      <c r="P453" s="342"/>
      <c r="Q453" s="444">
        <f t="shared" ref="Q453" si="1942">Q451+Q452+Q450</f>
        <v>0</v>
      </c>
      <c r="R453" s="342"/>
      <c r="S453" s="444">
        <f>S451+S452+S450</f>
        <v>0</v>
      </c>
      <c r="T453" s="342"/>
      <c r="U453" s="444">
        <f t="shared" ref="U453" si="1943">U451+U452+U450</f>
        <v>0</v>
      </c>
      <c r="V453" s="342"/>
      <c r="W453" s="444">
        <f>W451+W452+W450</f>
        <v>0</v>
      </c>
      <c r="X453" s="342"/>
      <c r="Y453" s="444">
        <f t="shared" ref="Y453" si="1944">Y451+Y452+Y450</f>
        <v>0</v>
      </c>
      <c r="Z453" s="342"/>
      <c r="AA453" s="444">
        <f>AA451+AA452+AA450</f>
        <v>0</v>
      </c>
      <c r="AB453" s="342"/>
      <c r="AC453" s="444">
        <f t="shared" ref="AC453" si="1945">AC451+AC452+AC450</f>
        <v>0</v>
      </c>
      <c r="AD453" s="335">
        <f t="shared" si="1775"/>
        <v>0</v>
      </c>
      <c r="AE453" s="1152"/>
      <c r="AF453" s="1152"/>
      <c r="AG453" s="1152"/>
      <c r="AH453" s="1152"/>
      <c r="AI453" s="1152"/>
      <c r="AJ453" s="1152"/>
      <c r="AK453" s="1152"/>
      <c r="AL453" s="1152"/>
      <c r="AM453" s="1152"/>
      <c r="AN453" s="1152"/>
      <c r="AO453" s="1152"/>
      <c r="AP453" s="1152"/>
      <c r="AQ453" s="1152"/>
      <c r="AR453" s="1152"/>
      <c r="AS453" s="1152"/>
      <c r="AT453" s="1152"/>
      <c r="AU453" s="1152"/>
      <c r="AV453" s="1152"/>
      <c r="AW453" s="1152"/>
      <c r="AX453" s="1152"/>
      <c r="AY453" s="1152"/>
      <c r="AZ453" s="1152"/>
      <c r="BA453" s="1152"/>
      <c r="BB453" s="1152"/>
      <c r="BC453" s="1152"/>
      <c r="BD453" s="1152"/>
    </row>
    <row r="454" spans="1:56" hidden="1" outlineLevel="1" x14ac:dyDescent="0.3">
      <c r="A454" s="1182"/>
      <c r="B454" s="1379"/>
      <c r="C454" s="1379"/>
      <c r="D454" s="1379"/>
      <c r="E454" s="1379"/>
      <c r="F454" s="1379"/>
      <c r="G454" s="1379"/>
      <c r="H454" s="1380"/>
      <c r="I454" s="455" t="s">
        <v>316</v>
      </c>
      <c r="J454" s="339">
        <f>_xlfn.IFNA(_xlfn.IFNA(VLOOKUP(pStartYear,tbPayrollTax,2,FALSE),vl_MaxPayrollTax),0)</f>
        <v>5.8500000000000003E-2</v>
      </c>
      <c r="K454" s="443">
        <f>J454*K453</f>
        <v>0</v>
      </c>
      <c r="L454" s="340">
        <f>_xlfn.IFNA(_xlfn.IFNA(VLOOKUP(pStartYear+1,tbPayrollTax,2,FALSE),vl_MaxPayrollTax),0)</f>
        <v>5.8500000000000003E-2</v>
      </c>
      <c r="M454" s="451">
        <f t="shared" ref="M454" si="1946">L454*M453</f>
        <v>0</v>
      </c>
      <c r="N454" s="339">
        <f>_xlfn.IFNA(_xlfn.IFNA(VLOOKUP(pStartYear+2,tbPayrollTax,2,FALSE),vl_MaxPayrollTax),0)</f>
        <v>5.8500000000000003E-2</v>
      </c>
      <c r="O454" s="443">
        <f>N454*O453</f>
        <v>0</v>
      </c>
      <c r="P454" s="340">
        <f>_xlfn.IFNA(_xlfn.IFNA(VLOOKUP(pStartYear+3,tbPayrollTax,2,FALSE),vl_MaxPayrollTax),0)</f>
        <v>5.8500000000000003E-2</v>
      </c>
      <c r="Q454" s="451">
        <f t="shared" ref="Q454" si="1947">P454*Q453</f>
        <v>0</v>
      </c>
      <c r="R454" s="339">
        <f>_xlfn.IFNA(_xlfn.IFNA(VLOOKUP(pStartYear+4,tbPayrollTax,2,FALSE),vl_MaxPayrollTax),0)</f>
        <v>5.8500000000000003E-2</v>
      </c>
      <c r="S454" s="443">
        <f>R454*S453</f>
        <v>0</v>
      </c>
      <c r="T454" s="340">
        <f>_xlfn.IFNA(_xlfn.IFNA(VLOOKUP(pStartYear+5,tbPayrollTax,2,FALSE),vl_MaxPayrollTax),0)</f>
        <v>5.8500000000000003E-2</v>
      </c>
      <c r="U454" s="451">
        <f t="shared" ref="U454" si="1948">T454*U453</f>
        <v>0</v>
      </c>
      <c r="V454" s="339">
        <f>_xlfn.IFNA(_xlfn.IFNA(VLOOKUP(pStartYear+6,tbPayrollTax,2,FALSE),vl_MaxPayrollTax),0)</f>
        <v>5.8500000000000003E-2</v>
      </c>
      <c r="W454" s="443">
        <f>V454*W453</f>
        <v>0</v>
      </c>
      <c r="X454" s="340">
        <f>_xlfn.IFNA(_xlfn.IFNA(VLOOKUP(pStartYear+7,tbPayrollTax,2,FALSE),vl_MaxPayrollTax),0)</f>
        <v>5.8500000000000003E-2</v>
      </c>
      <c r="Y454" s="451">
        <f t="shared" ref="Y454" si="1949">X454*Y453</f>
        <v>0</v>
      </c>
      <c r="Z454" s="339">
        <f>_xlfn.IFNA(_xlfn.IFNA(VLOOKUP(pStartYear+8,tbPayrollTax,2,FALSE),vl_MaxPayrollTax),0)</f>
        <v>5.8500000000000003E-2</v>
      </c>
      <c r="AA454" s="443">
        <f>Z454*AA453</f>
        <v>0</v>
      </c>
      <c r="AB454" s="340">
        <f>_xlfn.IFNA(_xlfn.IFNA(VLOOKUP(pStartYear+9,tbPayrollTax,2,FALSE),vl_MaxPayrollTax),0)</f>
        <v>5.8500000000000003E-2</v>
      </c>
      <c r="AC454" s="451">
        <f t="shared" ref="AC454" si="1950">AB454*AC453</f>
        <v>0</v>
      </c>
      <c r="AD454" s="335"/>
      <c r="AE454" s="1152"/>
      <c r="AF454" s="1152"/>
      <c r="AG454" s="1152"/>
      <c r="AH454" s="1152"/>
      <c r="AI454" s="1152"/>
      <c r="AJ454" s="1152"/>
      <c r="AK454" s="1152"/>
      <c r="AL454" s="1152"/>
      <c r="AM454" s="1152"/>
      <c r="AN454" s="1152"/>
      <c r="AO454" s="1152"/>
      <c r="AP454" s="1152"/>
      <c r="AQ454" s="1152"/>
      <c r="AR454" s="1152"/>
      <c r="AS454" s="1152"/>
      <c r="AT454" s="1152"/>
      <c r="AU454" s="1152"/>
      <c r="AV454" s="1152"/>
      <c r="AW454" s="1152"/>
      <c r="AX454" s="1152"/>
      <c r="AY454" s="1152"/>
      <c r="AZ454" s="1152"/>
      <c r="BA454" s="1152"/>
      <c r="BB454" s="1152"/>
      <c r="BC454" s="1152"/>
      <c r="BD454" s="1152"/>
    </row>
    <row r="455" spans="1:56" hidden="1" outlineLevel="1" x14ac:dyDescent="0.3">
      <c r="A455" s="1182"/>
      <c r="B455" s="1379"/>
      <c r="C455" s="1379"/>
      <c r="D455" s="1379"/>
      <c r="E455" s="1379"/>
      <c r="F455" s="1379"/>
      <c r="G455" s="1379"/>
      <c r="H455" s="1380"/>
      <c r="I455" s="455" t="s">
        <v>317</v>
      </c>
      <c r="J455" s="339">
        <f>_xlfn.IFNA(VLOOKUP($D449,tbWorkCover,2,FALSE),0)</f>
        <v>0</v>
      </c>
      <c r="K455" s="443">
        <f>J455*K453</f>
        <v>0</v>
      </c>
      <c r="L455" s="340">
        <f>_xlfn.IFNA(VLOOKUP($D449,tbWorkCover,2,FALSE),0)</f>
        <v>0</v>
      </c>
      <c r="M455" s="451">
        <f t="shared" ref="M455" si="1951">L455*M453</f>
        <v>0</v>
      </c>
      <c r="N455" s="339">
        <f>_xlfn.IFNA(VLOOKUP($D449,tbWorkCover,2,FALSE),0)</f>
        <v>0</v>
      </c>
      <c r="O455" s="443">
        <f>N455*O453</f>
        <v>0</v>
      </c>
      <c r="P455" s="340">
        <f>_xlfn.IFNA(VLOOKUP($D449,tbWorkCover,2,FALSE),0)</f>
        <v>0</v>
      </c>
      <c r="Q455" s="451">
        <f t="shared" ref="Q455" si="1952">P455*Q453</f>
        <v>0</v>
      </c>
      <c r="R455" s="339">
        <f>_xlfn.IFNA(VLOOKUP($D449,tbWorkCover,2,FALSE),0)</f>
        <v>0</v>
      </c>
      <c r="S455" s="443">
        <f>R455*S453</f>
        <v>0</v>
      </c>
      <c r="T455" s="340">
        <f>_xlfn.IFNA(VLOOKUP($D449,tbWorkCover,2,FALSE),0)</f>
        <v>0</v>
      </c>
      <c r="U455" s="451">
        <f t="shared" ref="U455" si="1953">T455*U453</f>
        <v>0</v>
      </c>
      <c r="V455" s="339">
        <f>_xlfn.IFNA(VLOOKUP($D449,tbWorkCover,2,FALSE),0)</f>
        <v>0</v>
      </c>
      <c r="W455" s="443">
        <f>V455*W453</f>
        <v>0</v>
      </c>
      <c r="X455" s="340">
        <f>_xlfn.IFNA(VLOOKUP($D449,tbWorkCover,2,FALSE),0)</f>
        <v>0</v>
      </c>
      <c r="Y455" s="451">
        <f t="shared" ref="Y455" si="1954">X455*Y453</f>
        <v>0</v>
      </c>
      <c r="Z455" s="339">
        <f>_xlfn.IFNA(VLOOKUP($D449,tbWorkCover,2,FALSE),0)</f>
        <v>0</v>
      </c>
      <c r="AA455" s="443">
        <f>Z455*AA453</f>
        <v>0</v>
      </c>
      <c r="AB455" s="340">
        <f>_xlfn.IFNA(VLOOKUP($D449,tbWorkCover,2,FALSE),0)</f>
        <v>0</v>
      </c>
      <c r="AC455" s="451">
        <f t="shared" ref="AC455" si="1955">AB455*AC453</f>
        <v>0</v>
      </c>
      <c r="AD455" s="335"/>
      <c r="AE455" s="1152"/>
      <c r="AF455" s="1152"/>
      <c r="AG455" s="1152"/>
      <c r="AH455" s="1152"/>
      <c r="AI455" s="1152"/>
      <c r="AJ455" s="1152"/>
      <c r="AK455" s="1152"/>
      <c r="AL455" s="1152"/>
      <c r="AM455" s="1152"/>
      <c r="AN455" s="1152"/>
      <c r="AO455" s="1152"/>
      <c r="AP455" s="1152"/>
      <c r="AQ455" s="1152"/>
      <c r="AR455" s="1152"/>
      <c r="AS455" s="1152"/>
      <c r="AT455" s="1152"/>
      <c r="AU455" s="1152"/>
      <c r="AV455" s="1152"/>
      <c r="AW455" s="1152"/>
      <c r="AX455" s="1152"/>
      <c r="AY455" s="1152"/>
      <c r="AZ455" s="1152"/>
      <c r="BA455" s="1152"/>
      <c r="BB455" s="1152"/>
      <c r="BC455" s="1152"/>
      <c r="BD455" s="1152"/>
    </row>
    <row r="456" spans="1:56" hidden="1" outlineLevel="1" x14ac:dyDescent="0.3">
      <c r="A456" s="1182"/>
      <c r="B456" s="1379"/>
      <c r="C456" s="1379"/>
      <c r="D456" s="1379"/>
      <c r="E456" s="1379"/>
      <c r="F456" s="1379"/>
      <c r="G456" s="1379"/>
      <c r="H456" s="1380"/>
      <c r="I456" s="455" t="s">
        <v>318</v>
      </c>
      <c r="J456" s="339">
        <f>_xlfn.IFNA(VLOOKUP($D449,tbLongServiceLeave,2,FALSE),0)</f>
        <v>0</v>
      </c>
      <c r="K456" s="443">
        <f>J456*K450</f>
        <v>0</v>
      </c>
      <c r="L456" s="340">
        <f>_xlfn.IFNA(VLOOKUP($D449,tbLongServiceLeave,2,FALSE),0)</f>
        <v>0</v>
      </c>
      <c r="M456" s="451">
        <f t="shared" ref="M456" si="1956">L456*M450</f>
        <v>0</v>
      </c>
      <c r="N456" s="339">
        <f>_xlfn.IFNA(VLOOKUP($D449,tbLongServiceLeave,2,FALSE),0)</f>
        <v>0</v>
      </c>
      <c r="O456" s="443">
        <f>N456*O450</f>
        <v>0</v>
      </c>
      <c r="P456" s="340">
        <f>_xlfn.IFNA(VLOOKUP($D449,tbLongServiceLeave,2,FALSE),0)</f>
        <v>0</v>
      </c>
      <c r="Q456" s="451">
        <f t="shared" ref="Q456" si="1957">P456*Q450</f>
        <v>0</v>
      </c>
      <c r="R456" s="339">
        <f>_xlfn.IFNA(VLOOKUP($D449,tbLongServiceLeave,2,FALSE),0)</f>
        <v>0</v>
      </c>
      <c r="S456" s="443">
        <f>R456*S450</f>
        <v>0</v>
      </c>
      <c r="T456" s="340">
        <f>_xlfn.IFNA(VLOOKUP($D449,tbLongServiceLeave,2,FALSE),0)</f>
        <v>0</v>
      </c>
      <c r="U456" s="451">
        <f t="shared" ref="U456" si="1958">T456*U450</f>
        <v>0</v>
      </c>
      <c r="V456" s="339">
        <f>_xlfn.IFNA(VLOOKUP($D449,tbLongServiceLeave,2,FALSE),0)</f>
        <v>0</v>
      </c>
      <c r="W456" s="443">
        <f>V456*W450</f>
        <v>0</v>
      </c>
      <c r="X456" s="340">
        <f>_xlfn.IFNA(VLOOKUP($D449,tbLongServiceLeave,2,FALSE),0)</f>
        <v>0</v>
      </c>
      <c r="Y456" s="451">
        <f t="shared" ref="Y456" si="1959">X456*Y450</f>
        <v>0</v>
      </c>
      <c r="Z456" s="339">
        <f>_xlfn.IFNA(VLOOKUP($D449,tbLongServiceLeave,2,FALSE),0)</f>
        <v>0</v>
      </c>
      <c r="AA456" s="443">
        <f>Z456*AA450</f>
        <v>0</v>
      </c>
      <c r="AB456" s="340">
        <f>_xlfn.IFNA(VLOOKUP($D449,tbLongServiceLeave,2,FALSE),0)</f>
        <v>0</v>
      </c>
      <c r="AC456" s="451">
        <f t="shared" ref="AC456" si="1960">AB456*AC450</f>
        <v>0</v>
      </c>
      <c r="AD456" s="335"/>
      <c r="AE456" s="1152"/>
      <c r="AF456" s="1152"/>
      <c r="AG456" s="1152"/>
      <c r="AH456" s="1152"/>
      <c r="AI456" s="1152"/>
      <c r="AJ456" s="1152"/>
      <c r="AK456" s="1152"/>
      <c r="AL456" s="1152"/>
      <c r="AM456" s="1152"/>
      <c r="AN456" s="1152"/>
      <c r="AO456" s="1152"/>
      <c r="AP456" s="1152"/>
      <c r="AQ456" s="1152"/>
      <c r="AR456" s="1152"/>
      <c r="AS456" s="1152"/>
      <c r="AT456" s="1152"/>
      <c r="AU456" s="1152"/>
      <c r="AV456" s="1152"/>
      <c r="AW456" s="1152"/>
      <c r="AX456" s="1152"/>
      <c r="AY456" s="1152"/>
      <c r="AZ456" s="1152"/>
      <c r="BA456" s="1152"/>
      <c r="BB456" s="1152"/>
      <c r="BC456" s="1152"/>
      <c r="BD456" s="1152"/>
    </row>
    <row r="457" spans="1:56" hidden="1" outlineLevel="1" x14ac:dyDescent="0.3">
      <c r="A457" s="1182"/>
      <c r="B457" s="1379"/>
      <c r="C457" s="1379"/>
      <c r="D457" s="1379"/>
      <c r="E457" s="1379"/>
      <c r="F457" s="1379"/>
      <c r="G457" s="1379"/>
      <c r="H457" s="1380"/>
      <c r="I457" s="455" t="s">
        <v>319</v>
      </c>
      <c r="J457" s="339">
        <f>_xlfn.IFNA(VLOOKUP($D449,tbParentalLeave,2,FALSE),0)</f>
        <v>0</v>
      </c>
      <c r="K457" s="443">
        <f>J457*K450</f>
        <v>0</v>
      </c>
      <c r="L457" s="340">
        <f>_xlfn.IFNA(VLOOKUP($D449,tbParentalLeave,2,FALSE),0)</f>
        <v>0</v>
      </c>
      <c r="M457" s="451">
        <f t="shared" ref="M457" si="1961">L457*M450</f>
        <v>0</v>
      </c>
      <c r="N457" s="339">
        <f>_xlfn.IFNA(VLOOKUP($D449,tbParentalLeave,2,FALSE),0)</f>
        <v>0</v>
      </c>
      <c r="O457" s="443">
        <f>N457*O450</f>
        <v>0</v>
      </c>
      <c r="P457" s="340">
        <f>_xlfn.IFNA(VLOOKUP($D449,tbParentalLeave,2,FALSE),0)</f>
        <v>0</v>
      </c>
      <c r="Q457" s="451">
        <f t="shared" ref="Q457" si="1962">P457*Q450</f>
        <v>0</v>
      </c>
      <c r="R457" s="339">
        <f>_xlfn.IFNA(VLOOKUP($D449,tbParentalLeave,2,FALSE),0)</f>
        <v>0</v>
      </c>
      <c r="S457" s="443">
        <f>R457*S450</f>
        <v>0</v>
      </c>
      <c r="T457" s="340">
        <f>_xlfn.IFNA(VLOOKUP($D449,tbParentalLeave,2,FALSE),0)</f>
        <v>0</v>
      </c>
      <c r="U457" s="451">
        <f t="shared" ref="U457" si="1963">T457*U450</f>
        <v>0</v>
      </c>
      <c r="V457" s="339">
        <f>_xlfn.IFNA(VLOOKUP($D449,tbParentalLeave,2,FALSE),0)</f>
        <v>0</v>
      </c>
      <c r="W457" s="443">
        <f>V457*W450</f>
        <v>0</v>
      </c>
      <c r="X457" s="340">
        <f>_xlfn.IFNA(VLOOKUP($D449,tbParentalLeave,2,FALSE),0)</f>
        <v>0</v>
      </c>
      <c r="Y457" s="451">
        <f t="shared" ref="Y457" si="1964">X457*Y450</f>
        <v>0</v>
      </c>
      <c r="Z457" s="339">
        <f>_xlfn.IFNA(VLOOKUP($D449,tbParentalLeave,2,FALSE),0)</f>
        <v>0</v>
      </c>
      <c r="AA457" s="443">
        <f>Z457*AA450</f>
        <v>0</v>
      </c>
      <c r="AB457" s="340">
        <f>_xlfn.IFNA(VLOOKUP($D449,tbParentalLeave,2,FALSE),0)</f>
        <v>0</v>
      </c>
      <c r="AC457" s="451">
        <f t="shared" ref="AC457" si="1965">AB457*AC450</f>
        <v>0</v>
      </c>
      <c r="AD457" s="335"/>
      <c r="AE457" s="1152"/>
      <c r="AF457" s="1152"/>
      <c r="AG457" s="1152"/>
      <c r="AH457" s="1152"/>
      <c r="AI457" s="1152"/>
      <c r="AJ457" s="1152"/>
      <c r="AK457" s="1152"/>
      <c r="AL457" s="1152"/>
      <c r="AM457" s="1152"/>
      <c r="AN457" s="1152"/>
      <c r="AO457" s="1152"/>
      <c r="AP457" s="1152"/>
      <c r="AQ457" s="1152"/>
      <c r="AR457" s="1152"/>
      <c r="AS457" s="1152"/>
      <c r="AT457" s="1152"/>
      <c r="AU457" s="1152"/>
      <c r="AV457" s="1152"/>
      <c r="AW457" s="1152"/>
      <c r="AX457" s="1152"/>
      <c r="AY457" s="1152"/>
      <c r="AZ457" s="1152"/>
      <c r="BA457" s="1152"/>
      <c r="BB457" s="1152"/>
      <c r="BC457" s="1152"/>
      <c r="BD457" s="1152"/>
    </row>
    <row r="458" spans="1:56" hidden="1" outlineLevel="1" x14ac:dyDescent="0.3">
      <c r="A458" s="1182"/>
      <c r="B458" s="1379"/>
      <c r="C458" s="1379"/>
      <c r="D458" s="1379"/>
      <c r="E458" s="1379"/>
      <c r="F458" s="1379"/>
      <c r="G458" s="1379"/>
      <c r="H458" s="1380"/>
      <c r="I458" s="437" t="s">
        <v>320</v>
      </c>
      <c r="J458" s="438">
        <f>vl_overridden_uom_oncosts_per</f>
        <v>0</v>
      </c>
      <c r="K458" s="445">
        <f>J458*K450</f>
        <v>0</v>
      </c>
      <c r="L458" s="438">
        <f>vl_overridden_uom_oncosts_per</f>
        <v>0</v>
      </c>
      <c r="M458" s="445">
        <f>L458*M450</f>
        <v>0</v>
      </c>
      <c r="N458" s="438">
        <f>vl_overridden_uom_oncosts_per</f>
        <v>0</v>
      </c>
      <c r="O458" s="445">
        <f t="shared" ref="O458" si="1966">N458*O450</f>
        <v>0</v>
      </c>
      <c r="P458" s="438">
        <f>vl_overridden_uom_oncosts_per</f>
        <v>0</v>
      </c>
      <c r="Q458" s="445">
        <f t="shared" ref="Q458" si="1967">P458*Q450</f>
        <v>0</v>
      </c>
      <c r="R458" s="438">
        <f>vl_overridden_uom_oncosts_per</f>
        <v>0</v>
      </c>
      <c r="S458" s="445">
        <f t="shared" ref="S458" si="1968">R458*S450</f>
        <v>0</v>
      </c>
      <c r="T458" s="438">
        <f>vl_overridden_uom_oncosts_per</f>
        <v>0</v>
      </c>
      <c r="U458" s="445">
        <f t="shared" ref="U458" si="1969">T458*U450</f>
        <v>0</v>
      </c>
      <c r="V458" s="438">
        <f>vl_overridden_uom_oncosts_per</f>
        <v>0</v>
      </c>
      <c r="W458" s="445">
        <f t="shared" ref="W458" si="1970">V458*W450</f>
        <v>0</v>
      </c>
      <c r="X458" s="438">
        <f>vl_overridden_uom_oncosts_per</f>
        <v>0</v>
      </c>
      <c r="Y458" s="445">
        <f t="shared" ref="Y458" si="1971">X458*Y450</f>
        <v>0</v>
      </c>
      <c r="Z458" s="438">
        <f>vl_overridden_uom_oncosts_per</f>
        <v>0</v>
      </c>
      <c r="AA458" s="445">
        <f t="shared" ref="AA458" si="1972">Z458*AA450</f>
        <v>0</v>
      </c>
      <c r="AB458" s="438">
        <f>vl_overridden_uom_oncosts_per</f>
        <v>0</v>
      </c>
      <c r="AC458" s="445">
        <f t="shared" ref="AC458" si="1973">AB458*AC450</f>
        <v>0</v>
      </c>
      <c r="AD458" s="335"/>
      <c r="AE458" s="1152"/>
      <c r="AF458" s="1152"/>
      <c r="AG458" s="1152"/>
      <c r="AH458" s="1152"/>
      <c r="AI458" s="1152"/>
      <c r="AJ458" s="1152"/>
      <c r="AK458" s="1152"/>
      <c r="AL458" s="1152"/>
      <c r="AM458" s="1152"/>
      <c r="AN458" s="1152"/>
      <c r="AO458" s="1152"/>
      <c r="AP458" s="1152"/>
      <c r="AQ458" s="1152"/>
      <c r="AR458" s="1152"/>
      <c r="AS458" s="1152"/>
      <c r="AT458" s="1152"/>
      <c r="AU458" s="1152"/>
      <c r="AV458" s="1152"/>
      <c r="AW458" s="1152"/>
      <c r="AX458" s="1152"/>
      <c r="AY458" s="1152"/>
      <c r="AZ458" s="1152"/>
      <c r="BA458" s="1152"/>
      <c r="BB458" s="1152"/>
      <c r="BC458" s="1152"/>
      <c r="BD458" s="1152"/>
    </row>
    <row r="459" spans="1:56" hidden="1" outlineLevel="1" x14ac:dyDescent="0.3">
      <c r="A459" s="1182"/>
      <c r="B459" s="1379"/>
      <c r="C459" s="1379"/>
      <c r="D459" s="1379"/>
      <c r="E459" s="1379"/>
      <c r="F459" s="1379"/>
      <c r="G459" s="1379"/>
      <c r="H459" s="1380"/>
      <c r="I459" s="341" t="s">
        <v>321</v>
      </c>
      <c r="J459" s="342"/>
      <c r="K459" s="444">
        <f>SUM(K453:K458)</f>
        <v>0</v>
      </c>
      <c r="L459" s="342"/>
      <c r="M459" s="444">
        <f t="shared" ref="M459" si="1974">SUM(M453:M458)</f>
        <v>0</v>
      </c>
      <c r="N459" s="342"/>
      <c r="O459" s="444">
        <f t="shared" ref="O459" si="1975">SUM(O453:O458)</f>
        <v>0</v>
      </c>
      <c r="P459" s="342"/>
      <c r="Q459" s="444">
        <f t="shared" ref="Q459" si="1976">SUM(Q453:Q458)</f>
        <v>0</v>
      </c>
      <c r="R459" s="342"/>
      <c r="S459" s="444">
        <f t="shared" ref="S459" si="1977">SUM(S453:S458)</f>
        <v>0</v>
      </c>
      <c r="T459" s="342"/>
      <c r="U459" s="444">
        <f t="shared" ref="U459" si="1978">SUM(U453:U458)</f>
        <v>0</v>
      </c>
      <c r="V459" s="342"/>
      <c r="W459" s="444">
        <f t="shared" ref="W459" si="1979">SUM(W453:W458)</f>
        <v>0</v>
      </c>
      <c r="X459" s="342"/>
      <c r="Y459" s="444">
        <f t="shared" ref="Y459" si="1980">SUM(Y453:Y458)</f>
        <v>0</v>
      </c>
      <c r="Z459" s="342"/>
      <c r="AA459" s="444">
        <f t="shared" ref="AA459" si="1981">SUM(AA453:AA458)</f>
        <v>0</v>
      </c>
      <c r="AB459" s="342"/>
      <c r="AC459" s="444">
        <f t="shared" ref="AC459" si="1982">SUM(AC453:AC458)</f>
        <v>0</v>
      </c>
      <c r="AD459" s="335">
        <f t="shared" si="1775"/>
        <v>0</v>
      </c>
      <c r="AE459" s="1152"/>
      <c r="AF459" s="1152"/>
      <c r="AG459" s="1152"/>
      <c r="AH459" s="1152"/>
      <c r="AI459" s="1152"/>
      <c r="AJ459" s="1152"/>
      <c r="AK459" s="1152"/>
      <c r="AL459" s="1152"/>
      <c r="AM459" s="1152"/>
      <c r="AN459" s="1152"/>
      <c r="AO459" s="1152"/>
      <c r="AP459" s="1152"/>
      <c r="AQ459" s="1152"/>
      <c r="AR459" s="1152"/>
      <c r="AS459" s="1152"/>
      <c r="AT459" s="1152"/>
      <c r="AU459" s="1152"/>
      <c r="AV459" s="1152"/>
      <c r="AW459" s="1152"/>
      <c r="AX459" s="1152"/>
      <c r="AY459" s="1152"/>
      <c r="AZ459" s="1152"/>
      <c r="BA459" s="1152"/>
      <c r="BB459" s="1152"/>
      <c r="BC459" s="1152"/>
      <c r="BD459" s="1152"/>
    </row>
    <row r="460" spans="1:56" hidden="1" outlineLevel="1" x14ac:dyDescent="0.3">
      <c r="A460" s="1182"/>
      <c r="B460" s="1379"/>
      <c r="C460" s="1379"/>
      <c r="D460" s="1379"/>
      <c r="E460" s="1379"/>
      <c r="F460" s="1379"/>
      <c r="G460" s="1379"/>
      <c r="H460" s="1380"/>
      <c r="I460" s="455" t="s">
        <v>322</v>
      </c>
      <c r="J460" s="339">
        <f>_xlfn.IFNA(VLOOKUP($D449,tbAnnualLeaveProvision,2,FALSE),0)</f>
        <v>0</v>
      </c>
      <c r="K460" s="443">
        <f>J460*K450</f>
        <v>0</v>
      </c>
      <c r="L460" s="340">
        <f>_xlfn.IFNA(VLOOKUP($D449,tbAnnualLeaveProvision,2,FALSE),0)</f>
        <v>0</v>
      </c>
      <c r="M460" s="451">
        <f t="shared" ref="M460" si="1983">L460*M450</f>
        <v>0</v>
      </c>
      <c r="N460" s="339">
        <f>_xlfn.IFNA(VLOOKUP($D449,tbAnnualLeaveProvision,2,FALSE),0)</f>
        <v>0</v>
      </c>
      <c r="O460" s="443">
        <f>N460*O450</f>
        <v>0</v>
      </c>
      <c r="P460" s="340">
        <f>_xlfn.IFNA(VLOOKUP($D449,tbAnnualLeaveProvision,2,FALSE),0)</f>
        <v>0</v>
      </c>
      <c r="Q460" s="451">
        <f t="shared" ref="Q460" si="1984">P460*Q450</f>
        <v>0</v>
      </c>
      <c r="R460" s="339">
        <f>_xlfn.IFNA(VLOOKUP($D449,tbAnnualLeaveProvision,2,FALSE),0)</f>
        <v>0</v>
      </c>
      <c r="S460" s="443">
        <f>R460*S450</f>
        <v>0</v>
      </c>
      <c r="T460" s="340">
        <f>_xlfn.IFNA(VLOOKUP($D449,tbAnnualLeaveProvision,2,FALSE),0)</f>
        <v>0</v>
      </c>
      <c r="U460" s="451">
        <f t="shared" ref="U460" si="1985">T460*U450</f>
        <v>0</v>
      </c>
      <c r="V460" s="339">
        <f>_xlfn.IFNA(VLOOKUP($D449,tbAnnualLeaveProvision,2,FALSE),0)</f>
        <v>0</v>
      </c>
      <c r="W460" s="443">
        <f>V460*W450</f>
        <v>0</v>
      </c>
      <c r="X460" s="340">
        <f>_xlfn.IFNA(VLOOKUP($D449,tbAnnualLeaveProvision,2,FALSE),0)</f>
        <v>0</v>
      </c>
      <c r="Y460" s="451">
        <f t="shared" ref="Y460" si="1986">X460*Y450</f>
        <v>0</v>
      </c>
      <c r="Z460" s="339">
        <f>_xlfn.IFNA(VLOOKUP($D449,tbAnnualLeaveProvision,2,FALSE),0)</f>
        <v>0</v>
      </c>
      <c r="AA460" s="443">
        <f>Z460*AA450</f>
        <v>0</v>
      </c>
      <c r="AB460" s="340">
        <f>_xlfn.IFNA(VLOOKUP($D449,tbAnnualLeaveProvision,2,FALSE),0)</f>
        <v>0</v>
      </c>
      <c r="AC460" s="451">
        <f t="shared" ref="AC460" si="1987">AB460*AC450</f>
        <v>0</v>
      </c>
      <c r="AD460" s="335"/>
      <c r="AE460" s="1152"/>
      <c r="AF460" s="1152"/>
      <c r="AG460" s="1152"/>
      <c r="AH460" s="1152"/>
      <c r="AI460" s="1152"/>
      <c r="AJ460" s="1152"/>
      <c r="AK460" s="1152"/>
      <c r="AL460" s="1152"/>
      <c r="AM460" s="1152"/>
      <c r="AN460" s="1152"/>
      <c r="AO460" s="1152"/>
      <c r="AP460" s="1152"/>
      <c r="AQ460" s="1152"/>
      <c r="AR460" s="1152"/>
      <c r="AS460" s="1152"/>
      <c r="AT460" s="1152"/>
      <c r="AU460" s="1152"/>
      <c r="AV460" s="1152"/>
      <c r="AW460" s="1152"/>
      <c r="AX460" s="1152"/>
      <c r="AY460" s="1152"/>
      <c r="AZ460" s="1152"/>
      <c r="BA460" s="1152"/>
      <c r="BB460" s="1152"/>
      <c r="BC460" s="1152"/>
      <c r="BD460" s="1152"/>
    </row>
    <row r="461" spans="1:56" hidden="1" outlineLevel="1" x14ac:dyDescent="0.3">
      <c r="A461" s="1182"/>
      <c r="B461" s="1379"/>
      <c r="C461" s="1379"/>
      <c r="D461" s="1379"/>
      <c r="E461" s="1379"/>
      <c r="F461" s="1379"/>
      <c r="G461" s="1379"/>
      <c r="H461" s="1380"/>
      <c r="I461" s="455" t="s">
        <v>330</v>
      </c>
      <c r="J461" s="339"/>
      <c r="K461" s="446">
        <f>K459+K460</f>
        <v>0</v>
      </c>
      <c r="L461" s="340"/>
      <c r="M461" s="452">
        <f t="shared" ref="M461" si="1988">M459+M460</f>
        <v>0</v>
      </c>
      <c r="N461" s="339"/>
      <c r="O461" s="446">
        <f>O459+O460</f>
        <v>0</v>
      </c>
      <c r="P461" s="340"/>
      <c r="Q461" s="452">
        <f t="shared" ref="Q461" si="1989">Q459+Q460</f>
        <v>0</v>
      </c>
      <c r="R461" s="339"/>
      <c r="S461" s="446">
        <f>S459+S460</f>
        <v>0</v>
      </c>
      <c r="T461" s="340"/>
      <c r="U461" s="452">
        <f t="shared" ref="U461" si="1990">U459+U460</f>
        <v>0</v>
      </c>
      <c r="V461" s="339"/>
      <c r="W461" s="446">
        <f>W459+W460</f>
        <v>0</v>
      </c>
      <c r="X461" s="340"/>
      <c r="Y461" s="452">
        <f t="shared" ref="Y461" si="1991">Y459+Y460</f>
        <v>0</v>
      </c>
      <c r="Z461" s="339"/>
      <c r="AA461" s="446">
        <f>AA459+AA460</f>
        <v>0</v>
      </c>
      <c r="AB461" s="340"/>
      <c r="AC461" s="452">
        <f t="shared" ref="AC461" si="1992">AC459+AC460</f>
        <v>0</v>
      </c>
      <c r="AD461" s="335"/>
      <c r="AE461" s="1152"/>
      <c r="AF461" s="1152"/>
      <c r="AG461" s="1152"/>
      <c r="AH461" s="1152"/>
      <c r="AI461" s="1152"/>
      <c r="AJ461" s="1152"/>
      <c r="AK461" s="1152"/>
      <c r="AL461" s="1152"/>
      <c r="AM461" s="1152"/>
      <c r="AN461" s="1152"/>
      <c r="AO461" s="1152"/>
      <c r="AP461" s="1152"/>
      <c r="AQ461" s="1152"/>
      <c r="AR461" s="1152"/>
      <c r="AS461" s="1152"/>
      <c r="AT461" s="1152"/>
      <c r="AU461" s="1152"/>
      <c r="AV461" s="1152"/>
      <c r="AW461" s="1152"/>
      <c r="AX461" s="1152"/>
      <c r="AY461" s="1152"/>
      <c r="AZ461" s="1152"/>
      <c r="BA461" s="1152"/>
      <c r="BB461" s="1152"/>
      <c r="BC461" s="1152"/>
      <c r="BD461" s="1152"/>
    </row>
    <row r="462" spans="1:56" hidden="1" outlineLevel="1" x14ac:dyDescent="0.3">
      <c r="A462" s="1182"/>
      <c r="B462" s="1379"/>
      <c r="C462" s="1379"/>
      <c r="D462" s="1379"/>
      <c r="E462" s="1379"/>
      <c r="F462" s="1379"/>
      <c r="G462" s="1379"/>
      <c r="H462" s="1380"/>
      <c r="I462" s="462" t="s">
        <v>324</v>
      </c>
      <c r="J462" s="344"/>
      <c r="K462" s="443">
        <f>-(K459/vl_working_days_per_year)*J462</f>
        <v>0</v>
      </c>
      <c r="L462" s="345"/>
      <c r="M462" s="451">
        <f>-(M459/vl_working_days_per_year)*L462</f>
        <v>0</v>
      </c>
      <c r="N462" s="344"/>
      <c r="O462" s="443">
        <f>-(O459/vl_working_days_per_year)*N462</f>
        <v>0</v>
      </c>
      <c r="P462" s="345"/>
      <c r="Q462" s="451">
        <f>-(Q459/vl_working_days_per_year)*P462</f>
        <v>0</v>
      </c>
      <c r="R462" s="344"/>
      <c r="S462" s="443">
        <f>-(S459/vl_working_days_per_year)*R462</f>
        <v>0</v>
      </c>
      <c r="T462" s="345"/>
      <c r="U462" s="451">
        <f>-(U459/vl_working_days_per_year)*T462</f>
        <v>0</v>
      </c>
      <c r="V462" s="344"/>
      <c r="W462" s="443">
        <f>-(W459/vl_working_days_per_year)*V462</f>
        <v>0</v>
      </c>
      <c r="X462" s="345"/>
      <c r="Y462" s="451">
        <f>-(Y459/vl_working_days_per_year)*X462</f>
        <v>0</v>
      </c>
      <c r="Z462" s="344"/>
      <c r="AA462" s="443">
        <f>-(AA459/vl_working_days_per_year)*Z462</f>
        <v>0</v>
      </c>
      <c r="AB462" s="345"/>
      <c r="AC462" s="451">
        <f>-(AC459/vl_working_days_per_year)*AB462</f>
        <v>0</v>
      </c>
      <c r="AD462" s="335">
        <f t="shared" si="1775"/>
        <v>0</v>
      </c>
      <c r="AE462" s="1152"/>
      <c r="AF462" s="1152"/>
      <c r="AG462" s="1152"/>
      <c r="AH462" s="1152"/>
      <c r="AI462" s="1152"/>
      <c r="AJ462" s="1152"/>
      <c r="AK462" s="1152"/>
      <c r="AL462" s="1152"/>
      <c r="AM462" s="1152"/>
      <c r="AN462" s="1152"/>
      <c r="AO462" s="1152"/>
      <c r="AP462" s="1152"/>
      <c r="AQ462" s="1152"/>
      <c r="AR462" s="1152"/>
      <c r="AS462" s="1152"/>
      <c r="AT462" s="1152"/>
      <c r="AU462" s="1152"/>
      <c r="AV462" s="1152"/>
      <c r="AW462" s="1152"/>
      <c r="AX462" s="1152"/>
      <c r="AY462" s="1152"/>
      <c r="AZ462" s="1152"/>
      <c r="BA462" s="1152"/>
      <c r="BB462" s="1152"/>
      <c r="BC462" s="1152"/>
      <c r="BD462" s="1152"/>
    </row>
    <row r="463" spans="1:56" hidden="1" outlineLevel="1" x14ac:dyDescent="0.3">
      <c r="A463" s="1182"/>
      <c r="B463" s="1379"/>
      <c r="C463" s="1379"/>
      <c r="D463" s="1379"/>
      <c r="E463" s="1379"/>
      <c r="F463" s="1379"/>
      <c r="G463" s="1379"/>
      <c r="H463" s="1380"/>
      <c r="I463" s="341" t="s">
        <v>325</v>
      </c>
      <c r="J463" s="346"/>
      <c r="K463" s="444">
        <f>K461+K462</f>
        <v>0</v>
      </c>
      <c r="L463" s="346"/>
      <c r="M463" s="444">
        <f t="shared" ref="M463" si="1993">M461+M462</f>
        <v>0</v>
      </c>
      <c r="N463" s="346"/>
      <c r="O463" s="444">
        <f>O461+O462</f>
        <v>0</v>
      </c>
      <c r="P463" s="346"/>
      <c r="Q463" s="444">
        <f t="shared" ref="Q463" si="1994">Q461+Q462</f>
        <v>0</v>
      </c>
      <c r="R463" s="346"/>
      <c r="S463" s="444">
        <f>S461+S462</f>
        <v>0</v>
      </c>
      <c r="T463" s="346"/>
      <c r="U463" s="444">
        <f t="shared" ref="U463" si="1995">U461+U462</f>
        <v>0</v>
      </c>
      <c r="V463" s="346"/>
      <c r="W463" s="444">
        <f>W461+W462</f>
        <v>0</v>
      </c>
      <c r="X463" s="346"/>
      <c r="Y463" s="444">
        <f t="shared" ref="Y463" si="1996">Y461+Y462</f>
        <v>0</v>
      </c>
      <c r="Z463" s="346"/>
      <c r="AA463" s="444">
        <f>AA461+AA462</f>
        <v>0</v>
      </c>
      <c r="AB463" s="346"/>
      <c r="AC463" s="444">
        <f t="shared" ref="AC463" si="1997">AC461+AC462</f>
        <v>0</v>
      </c>
      <c r="AD463" s="335">
        <f t="shared" si="1775"/>
        <v>0</v>
      </c>
      <c r="AE463" s="1152"/>
      <c r="AF463" s="1152"/>
      <c r="AG463" s="1152"/>
      <c r="AH463" s="1152"/>
      <c r="AI463" s="1152"/>
      <c r="AJ463" s="1152"/>
      <c r="AK463" s="1152"/>
      <c r="AL463" s="1152"/>
      <c r="AM463" s="1152"/>
      <c r="AN463" s="1152"/>
      <c r="AO463" s="1152"/>
      <c r="AP463" s="1152"/>
      <c r="AQ463" s="1152"/>
      <c r="AR463" s="1152"/>
      <c r="AS463" s="1152"/>
      <c r="AT463" s="1152"/>
      <c r="AU463" s="1152"/>
      <c r="AV463" s="1152"/>
      <c r="AW463" s="1152"/>
      <c r="AX463" s="1152"/>
      <c r="AY463" s="1152"/>
      <c r="AZ463" s="1152"/>
      <c r="BA463" s="1152"/>
      <c r="BB463" s="1152"/>
      <c r="BC463" s="1152"/>
      <c r="BD463" s="1152"/>
    </row>
    <row r="464" spans="1:56" s="1" customFormat="1" ht="15" hidden="1" customHeight="1" outlineLevel="1" x14ac:dyDescent="0.3">
      <c r="A464" s="727"/>
      <c r="B464" s="1379"/>
      <c r="C464" s="1379"/>
      <c r="D464" s="1379"/>
      <c r="E464" s="1379"/>
      <c r="F464" s="1379"/>
      <c r="G464" s="1379"/>
      <c r="H464" s="1380"/>
      <c r="I464" s="463" t="s">
        <v>326</v>
      </c>
      <c r="J464" s="383">
        <f>IFERROR(K464/K450,0)</f>
        <v>0</v>
      </c>
      <c r="K464" s="447">
        <f>SUM(K451:K452,K454:K457,K460)</f>
        <v>0</v>
      </c>
      <c r="L464" s="434">
        <f>IFERROR(M464/M450,0)</f>
        <v>0</v>
      </c>
      <c r="M464" s="453">
        <f t="shared" ref="M464" si="1998">SUM(M451:M452,M454:M457,M460)</f>
        <v>0</v>
      </c>
      <c r="N464" s="383">
        <f t="shared" ref="N464" si="1999">IFERROR(O464/O450,0)</f>
        <v>0</v>
      </c>
      <c r="O464" s="447">
        <f t="shared" ref="O464" si="2000">SUM(O451:O452,O454:O457,O460)</f>
        <v>0</v>
      </c>
      <c r="P464" s="434">
        <f t="shared" ref="P464" si="2001">IFERROR(Q464/Q450,0)</f>
        <v>0</v>
      </c>
      <c r="Q464" s="453">
        <f t="shared" ref="Q464" si="2002">SUM(Q451:Q452,Q454:Q457,Q460)</f>
        <v>0</v>
      </c>
      <c r="R464" s="383">
        <f t="shared" ref="R464" si="2003">IFERROR(S464/S450,0)</f>
        <v>0</v>
      </c>
      <c r="S464" s="447">
        <f t="shared" ref="S464" si="2004">SUM(S451:S452,S454:S457,S460)</f>
        <v>0</v>
      </c>
      <c r="T464" s="434">
        <f t="shared" ref="T464" si="2005">IFERROR(U464/U450,0)</f>
        <v>0</v>
      </c>
      <c r="U464" s="453">
        <f t="shared" ref="U464" si="2006">SUM(U451:U452,U454:U457,U460)</f>
        <v>0</v>
      </c>
      <c r="V464" s="383">
        <f t="shared" ref="V464" si="2007">IFERROR(W464/W450,0)</f>
        <v>0</v>
      </c>
      <c r="W464" s="447">
        <f t="shared" ref="W464" si="2008">SUM(W451:W452,W454:W457,W460)</f>
        <v>0</v>
      </c>
      <c r="X464" s="434">
        <f t="shared" ref="X464" si="2009">IFERROR(Y464/Y450,0)</f>
        <v>0</v>
      </c>
      <c r="Y464" s="453">
        <f t="shared" ref="Y464" si="2010">SUM(Y451:Y452,Y454:Y457,Y460)</f>
        <v>0</v>
      </c>
      <c r="Z464" s="383">
        <f t="shared" ref="Z464" si="2011">IFERROR(AA464/AA450,0)</f>
        <v>0</v>
      </c>
      <c r="AA464" s="447">
        <f t="shared" ref="AA464" si="2012">SUM(AA451:AA452,AA454:AA457,AA460)</f>
        <v>0</v>
      </c>
      <c r="AB464" s="434">
        <f t="shared" ref="AB464" si="2013">IFERROR(AC464/AC450,0)</f>
        <v>0</v>
      </c>
      <c r="AC464" s="453">
        <f t="shared" ref="AC464" si="2014">SUM(AC451:AC452,AC454:AC457,AC460)</f>
        <v>0</v>
      </c>
      <c r="AD464" s="377">
        <f t="shared" si="1775"/>
        <v>0</v>
      </c>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row>
    <row r="465" spans="1:30" hidden="1" outlineLevel="1" x14ac:dyDescent="0.3">
      <c r="A465" s="1182"/>
      <c r="B465" s="1379"/>
      <c r="C465" s="1379"/>
      <c r="D465" s="1379"/>
      <c r="E465" s="1379"/>
      <c r="F465" s="1379"/>
      <c r="G465" s="1379"/>
      <c r="H465" s="1380"/>
      <c r="I465" s="463" t="s">
        <v>327</v>
      </c>
      <c r="J465" s="384">
        <f>pCRInKind</f>
        <v>2.5</v>
      </c>
      <c r="K465" s="447"/>
      <c r="L465" s="435">
        <f>pCRInKind</f>
        <v>2.5</v>
      </c>
      <c r="M465" s="453"/>
      <c r="N465" s="384">
        <f>pCRInKind</f>
        <v>2.5</v>
      </c>
      <c r="O465" s="447"/>
      <c r="P465" s="435">
        <f>pCRInKind</f>
        <v>2.5</v>
      </c>
      <c r="Q465" s="453"/>
      <c r="R465" s="384">
        <f>pCRInKind</f>
        <v>2.5</v>
      </c>
      <c r="S465" s="447"/>
      <c r="T465" s="435">
        <f>pCRInKind</f>
        <v>2.5</v>
      </c>
      <c r="U465" s="453"/>
      <c r="V465" s="384">
        <f>pCRInKind</f>
        <v>2.5</v>
      </c>
      <c r="W465" s="447"/>
      <c r="X465" s="435">
        <f>pCRInKind</f>
        <v>2.5</v>
      </c>
      <c r="Y465" s="453"/>
      <c r="Z465" s="384">
        <f>pCRInKind</f>
        <v>2.5</v>
      </c>
      <c r="AA465" s="447"/>
      <c r="AB465" s="435">
        <f>pCRInKind</f>
        <v>2.5</v>
      </c>
      <c r="AC465" s="453"/>
      <c r="AD465" s="335"/>
    </row>
    <row r="466" spans="1:30" ht="16.2" hidden="1" outlineLevel="1" thickBot="1" x14ac:dyDescent="0.35">
      <c r="A466" s="1182"/>
      <c r="B466" s="710"/>
      <c r="C466" s="347"/>
      <c r="D466" s="347"/>
      <c r="E466" s="347"/>
      <c r="F466" s="347"/>
      <c r="G466" s="347"/>
      <c r="H466" s="347"/>
      <c r="I466" s="436" t="s">
        <v>329</v>
      </c>
      <c r="J466" s="348"/>
      <c r="K466" s="349">
        <f>J465*K461</f>
        <v>0</v>
      </c>
      <c r="L466" s="348"/>
      <c r="M466" s="349">
        <f t="shared" ref="M466" si="2015">L465*M461</f>
        <v>0</v>
      </c>
      <c r="N466" s="348"/>
      <c r="O466" s="349">
        <f>N465*O461</f>
        <v>0</v>
      </c>
      <c r="P466" s="348"/>
      <c r="Q466" s="349">
        <f t="shared" ref="Q466" si="2016">P465*Q461</f>
        <v>0</v>
      </c>
      <c r="R466" s="348"/>
      <c r="S466" s="349">
        <f>R465*S461</f>
        <v>0</v>
      </c>
      <c r="T466" s="348"/>
      <c r="U466" s="349">
        <f t="shared" ref="U466" si="2017">T465*U461</f>
        <v>0</v>
      </c>
      <c r="V466" s="349"/>
      <c r="W466" s="349">
        <f>V465*W461</f>
        <v>0</v>
      </c>
      <c r="X466" s="348"/>
      <c r="Y466" s="349">
        <f t="shared" ref="Y466" si="2018">X465*Y461</f>
        <v>0</v>
      </c>
      <c r="Z466" s="348"/>
      <c r="AA466" s="349">
        <f>Z465*AA461</f>
        <v>0</v>
      </c>
      <c r="AB466" s="348"/>
      <c r="AC466" s="349">
        <f t="shared" ref="AC466" si="2019">AB465*AC461</f>
        <v>0</v>
      </c>
      <c r="AD466" s="335">
        <f t="shared" si="1775"/>
        <v>0</v>
      </c>
    </row>
    <row r="467" spans="1:30" ht="15" hidden="1" outlineLevel="1" thickBot="1" x14ac:dyDescent="0.35">
      <c r="A467" s="1182"/>
      <c r="B467" s="1181"/>
      <c r="C467" s="1181"/>
      <c r="D467" s="1181"/>
      <c r="E467" s="1181"/>
      <c r="F467" s="1181"/>
      <c r="G467" s="1181"/>
      <c r="H467" s="1181"/>
      <c r="I467" s="350"/>
      <c r="J467" s="351"/>
      <c r="K467" s="351"/>
      <c r="L467" s="351"/>
      <c r="M467" s="352"/>
      <c r="N467" s="351"/>
      <c r="O467" s="351"/>
      <c r="P467" s="351"/>
      <c r="Q467" s="352"/>
      <c r="R467" s="351"/>
      <c r="S467" s="351"/>
      <c r="T467" s="351"/>
      <c r="U467" s="352"/>
      <c r="V467" s="351"/>
      <c r="W467" s="352"/>
      <c r="X467" s="351"/>
      <c r="Y467" s="352"/>
      <c r="Z467" s="351"/>
      <c r="AA467" s="351"/>
      <c r="AB467" s="351"/>
      <c r="AC467" s="352"/>
      <c r="AD467" s="353" t="str">
        <f>IF(tbBudgetCurrency="AUD - Australian Dollar","",IFERROR(K467+M467+O467+Q467+S467+U467+W467+Y467+AA467+AC467,0))</f>
        <v/>
      </c>
    </row>
    <row r="468" spans="1:30" hidden="1" outlineLevel="1" x14ac:dyDescent="0.3">
      <c r="A468" s="1182"/>
      <c r="B468" s="460" t="str">
        <f>IF('PART B Staff Costs'!B57="","",'PART B Staff Costs'!B57)</f>
        <v/>
      </c>
      <c r="C468" s="460" t="str">
        <f>IF('PART B Staff Costs'!C57="","",'PART B Staff Costs'!C57)</f>
        <v xml:space="preserve"> </v>
      </c>
      <c r="D468" s="461" t="str">
        <f>IF('PART B Staff Costs'!D57="","",'PART B Staff Costs'!D57)</f>
        <v/>
      </c>
      <c r="E468" s="461" t="str">
        <f>IF('PART B Staff Costs'!E57="","",'PART B Staff Costs'!E57)</f>
        <v/>
      </c>
      <c r="F468" s="461" t="str">
        <f>IF('PART B Staff Costs'!F57="","",'PART B Staff Costs'!F57)</f>
        <v/>
      </c>
      <c r="G468" s="461" t="str">
        <f>IF('PART B Staff Costs'!G57="","",'PART B Staff Costs'!G57)</f>
        <v/>
      </c>
      <c r="H468" s="454" t="str">
        <f t="shared" ref="H468" si="2020">CONCATENATE(IF(D468=0,"",D468)," ",IF(E468=0,"",E468)," ",IF(F468=0,"",F468),,IF(OR(G468=0,G468=""),"",CONCATENATE(" (",G468,")")))</f>
        <v xml:space="preserve">  </v>
      </c>
      <c r="I468" s="454" t="s">
        <v>313</v>
      </c>
      <c r="J468" s="333">
        <f>_xlfn.IFNA('PART B Staff Costs'!H57*'PART B Staff Costs'!J$10,0)*new_xrate</f>
        <v>0</v>
      </c>
      <c r="K468" s="441"/>
      <c r="L468" s="334">
        <f>_xlfn.IFNA(IF(pStartYear+1&gt;pEndYear,0,VLOOKUP(CONCATENATE(
IF(OR($D468="Continuing",$D468="Fixed-Term"),"Fortnight",IF($D468="Casual","Casual",)),
$E468,
IF(OR($D468="Continuing",$D468="Fixed-Term"),
IF(LEFT($F468,6)="UOM 10","UOM 10",(LEFT($F468,LEN($F468)-1)&amp;MIN(RIGHT($F468,1)+COUNTIFS($J469:K469,"&gt;0")/2,VLOOKUP(LEFT($F468,LEN($F468)-2),tSalaryMax,2,FALSE)))),
IF($D468="Casual",
$F468,))
),tSalaryRate,5,FALSE)*VLOOKUP($G468,tSalaryRateMultiplier,2,FALSE)*'PART B Staff Costs'!L$10),0)*new_xrate</f>
        <v>0</v>
      </c>
      <c r="M468" s="449"/>
      <c r="N468" s="333">
        <f>_xlfn.IFNA(IF(pStartYear+2&gt;pEndYear,0,VLOOKUP(CONCATENATE(
IF(OR($D468="Continuing",$D468="Fixed-Term"),"Fortnight",IF($D468="Casual","Casual",)),
$E468,
IF(OR($D468="Continuing",$D468="Fixed-Term"),
IF(LEFT($F468,6)="UOM 10","UOM 10",(LEFT($F468,LEN($F468)-1)&amp;MIN(RIGHT($F468,1)+COUNTIFS($J469:M469,"&gt;0")/2,VLOOKUP(LEFT($F468,LEN($F468)-2),tSalaryMax,2,FALSE)))),
IF($D468="Casual",
$F468,))
),tSalaryRate,5,FALSE)*VLOOKUP($G468,tSalaryRateMultiplier,2,FALSE)*'PART B Staff Costs'!N$10),0)*new_xrate</f>
        <v>0</v>
      </c>
      <c r="O468" s="441"/>
      <c r="P468" s="334">
        <f>_xlfn.IFNA(IF(pStartYear+3&gt;pEndYear,0,VLOOKUP(CONCATENATE(
IF(OR($D468="Continuing",$D468="Fixed-Term"),"Fortnight",IF($D468="Casual","Casual",)),
$E468,
IF(OR($D468="Continuing",$D468="Fixed-Term"),
IF(LEFT($F468,6)="UOM 10","UOM 10",(LEFT($F468,LEN($F468)-1)&amp;MIN(RIGHT($F468,1)+COUNTIFS($J469:O469,"&gt;0")/2,VLOOKUP(LEFT($F468,LEN($F468)-2),tSalaryMax,2,FALSE)))),
IF($D468="Casual",
$F468,))
),tSalaryRate,5,FALSE)*VLOOKUP($G468,tSalaryRateMultiplier,2,FALSE)*'PART B Staff Costs'!P$10),0)*new_xrate</f>
        <v>0</v>
      </c>
      <c r="Q468" s="449"/>
      <c r="R468" s="333">
        <f>_xlfn.IFNA(IF(pStartYear+4&gt;pEndYear,0,VLOOKUP(CONCATENATE(
IF(OR($D468="Continuing",$D468="Fixed-Term"),"Fortnight",IF($D468="Casual","Casual",)),
$E468,
IF(OR($D468="Continuing",$D468="Fixed-Term"),
IF(LEFT($F468,6)="UOM 10","UOM 10",(LEFT($F468,LEN($F468)-1)&amp;MIN(RIGHT($F468,1)+COUNTIFS($J469:Q469,"&gt;0")/2,VLOOKUP(LEFT($F468,LEN($F468)-2),tSalaryMax,2,FALSE)))),
IF($D468="Casual",
$F468,))
),tSalaryRate,5,FALSE)*VLOOKUP($G468,tSalaryRateMultiplier,2,FALSE)*'PART B Staff Costs'!R$10),0)*new_xrate</f>
        <v>0</v>
      </c>
      <c r="S468" s="441"/>
      <c r="T468" s="334">
        <f>_xlfn.IFNA(IF(pStartYear+5&gt;pEndYear,0,VLOOKUP(CONCATENATE(
IF(OR($D468="Continuing",$D468="Fixed-Term"),"Fortnight",IF($D468="Casual","Casual",)),
$E468,
IF(OR($D468="Continuing",$D468="Fixed-Term"),
IF(LEFT($F468,6)="UOM 10","UOM 10",(LEFT($F468,LEN($F468)-1)&amp;MIN(RIGHT($F468,1)+COUNTIFS($J469:S469,"&gt;0")/2,VLOOKUP(LEFT($F468,LEN($F468)-2),tSalaryMax,2,FALSE)))),
IF($D468="Casual",
$F468,))
),tSalaryRate,5,FALSE)*VLOOKUP($G468,tSalaryRateMultiplier,2,FALSE)*'PART B Staff Costs'!T$10),0)*new_xrate</f>
        <v>0</v>
      </c>
      <c r="U468" s="449"/>
      <c r="V468" s="333">
        <f>_xlfn.IFNA(IF(pStartYear+6&gt;pEndYear,0,VLOOKUP(CONCATENATE(
IF(OR($D468="Continuing",$D468="Fixed-Term"),"Fortnight",IF($D468="Casual","Casual",)),
$E468,
IF(OR($D468="Continuing",$D468="Fixed-Term"),
IF(LEFT($F468,6)="UOM 10","UOM 10",(LEFT($F468,LEN($F468)-1)&amp;MIN(RIGHT($F468,1)+COUNTIFS($J469:U469,"&gt;0")/2,VLOOKUP(LEFT($F468,LEN($F468)-2),tSalaryMax,2,FALSE)))),
IF($D468="Casual",
$F468,))
),tSalaryRate,5,FALSE)*VLOOKUP($G468,tSalaryRateMultiplier,2,FALSE)*'PART B Staff Costs'!V$10),0)*new_xrate</f>
        <v>0</v>
      </c>
      <c r="W468" s="441"/>
      <c r="X468" s="334">
        <f>_xlfn.IFNA(IF(pStartYear+7&gt;pEndYear,0,VLOOKUP(CONCATENATE(
IF(OR($D468="Continuing",$D468="Fixed-Term"),"Fortnight",IF($D468="Casual","Casual",)),
$E468,
IF(OR($D468="Continuing",$D468="Fixed-Term"),
IF(LEFT($F468,6)="UOM 10","UOM 10",(LEFT($F468,LEN($F468)-1)&amp;MIN(RIGHT($F468,1)+COUNTIFS($J469:W469,"&gt;0")/2,VLOOKUP(LEFT($F468,LEN($F468)-2),tSalaryMax,2,FALSE)))),
IF($D468="Casual",
$F468,))
),tSalaryRate,5,FALSE)*VLOOKUP($G468,tSalaryRateMultiplier,2,FALSE)*'PART B Staff Costs'!X$10),0)*new_xrate</f>
        <v>0</v>
      </c>
      <c r="Y468" s="449"/>
      <c r="Z468" s="333">
        <f>_xlfn.IFNA(IF(pStartYear+8&gt;pEndYear,0,VLOOKUP(CONCATENATE(
IF(OR($D468="Continuing",$D468="Fixed-Term"),"Fortnight",IF($D468="Casual","Casual",)),
$E468,
IF(OR($D468="Continuing",$D468="Fixed-Term"),
IF(LEFT($F468,6)="UOM 10","UOM 10",(LEFT($F468,LEN($F468)-1)&amp;MIN(RIGHT($F468,1)+COUNTIFS($J469:Y469,"&gt;0")/2,VLOOKUP(LEFT($F468,LEN($F468)-2),tSalaryMax,2,FALSE)))),
IF($D468="Casual",
$F468,))
),tSalaryRate,5,FALSE)*VLOOKUP($G468,tSalaryRateMultiplier,2,FALSE)*'PART B Staff Costs'!Z$10),0)*new_xrate</f>
        <v>0</v>
      </c>
      <c r="AA468" s="441"/>
      <c r="AB468" s="334">
        <f>_xlfn.IFNA(IF(pStartYear+9&gt;pEndYear,0,VLOOKUP(CONCATENATE(
IF(OR($D468="Continuing",$D468="Fixed-Term"),"Fortnight",IF($D468="Casual","Casual",)),
$E468,
IF(OR($D468="Continuing",$D468="Fixed-Term"),
IF(LEFT($F468,6)="UOM 10","UOM 10",(LEFT($F468,LEN($F468)-1)&amp;MIN(RIGHT($F468,1)+COUNTIFS($J469:AA469,"&gt;0")/2,VLOOKUP(LEFT($F468,LEN($F468)-2),tSalaryMax,2,FALSE)))),
IF($D468="Casual",
$F468,))
),tSalaryRate,5,FALSE)*VLOOKUP($G468,tSalaryRateMultiplier,2,FALSE)*'PART B Staff Costs'!AB$10),0)*new_xrate</f>
        <v>0</v>
      </c>
      <c r="AC468" s="449"/>
      <c r="AD468" s="335"/>
    </row>
    <row r="469" spans="1:30" hidden="1" outlineLevel="1" x14ac:dyDescent="0.3">
      <c r="A469" s="1182"/>
      <c r="B469" s="1377"/>
      <c r="C469" s="1377"/>
      <c r="D469" s="1377"/>
      <c r="E469" s="1377"/>
      <c r="F469" s="1377"/>
      <c r="G469" s="1377"/>
      <c r="H469" s="1378"/>
      <c r="I469" s="455" t="str">
        <f>IF('PART B Staff Costs'!G464&lt;&gt;"",CONCATENATE("Time/Requested salary"," (",'PART B Staff Costs'!G464,")"),"Time/Requested salary")</f>
        <v>Time/Requested salary</v>
      </c>
      <c r="J469" s="337">
        <f>_xlfn.IFNA('PART B Staff Costs'!I57,0)</f>
        <v>0</v>
      </c>
      <c r="K469" s="442">
        <f>IF('PART B Staff Costs'!$G$57="FTE",J469*J468*(First_year_fraction/12),J469*J468)</f>
        <v>0</v>
      </c>
      <c r="L469" s="338">
        <f>_xlfn.IFNA('PART B Staff Costs'!K57,0)</f>
        <v>0</v>
      </c>
      <c r="M469" s="450">
        <f>IF(pStartYear+1=pEndYear,IF('PART B Staff Costs'!$G$57="FTE",(L469*L468)*Last_Year_Fraction/12,L469*L468),L469*L468)</f>
        <v>0</v>
      </c>
      <c r="N469" s="337">
        <f>_xlfn.IFNA('PART B Staff Costs'!M57,0)</f>
        <v>0</v>
      </c>
      <c r="O469" s="442">
        <f>IF(pStartYear+2=pEndYear,IF('PART B Staff Costs'!$G$57="FTE",(N469*N468)*Last_Year_Fraction/12,N469*N468),N469*N468)</f>
        <v>0</v>
      </c>
      <c r="P469" s="338">
        <f>_xlfn.IFNA('PART B Staff Costs'!O57,0)</f>
        <v>0</v>
      </c>
      <c r="Q469" s="450">
        <f>IF(pStartYear+3=pEndYear,IF('PART B Staff Costs'!$G$57="FTE",(P469*P468)*Last_Year_Fraction/12,P469*P468),P469*P468)</f>
        <v>0</v>
      </c>
      <c r="R469" s="337">
        <f>_xlfn.IFNA('PART B Staff Costs'!Q57,0)</f>
        <v>0</v>
      </c>
      <c r="S469" s="442">
        <f>IF(pStartYear+4=pEndYear,IF('PART B Staff Costs'!$G$57="FTE",(R469*R468)*Last_Year_Fraction/12,R469*R468),R469*R468)</f>
        <v>0</v>
      </c>
      <c r="T469" s="338">
        <f>_xlfn.IFNA('PART B Staff Costs'!S57,0)</f>
        <v>0</v>
      </c>
      <c r="U469" s="450">
        <f>IF(pStartYear+5=pEndYear,IF('PART B Staff Costs'!$G$57="FTE",(T469*T468)*Last_Year_Fraction/12,T469*T468),T469*T468)</f>
        <v>0</v>
      </c>
      <c r="V469" s="337">
        <f>_xlfn.IFNA('PART B Staff Costs'!U57,0)</f>
        <v>0</v>
      </c>
      <c r="W469" s="442">
        <f>IF(pStartYear+6=pEndYear,IF('PART B Staff Costs'!$G$57="FTE",(V469*V468)*Last_Year_Fraction/12,V469*V468),V469*V468)</f>
        <v>0</v>
      </c>
      <c r="X469" s="338">
        <f>_xlfn.IFNA('PART B Staff Costs'!W57,0)</f>
        <v>0</v>
      </c>
      <c r="Y469" s="450">
        <f>IF(pStartYear+7=pEndYear,IF('PART B Staff Costs'!$G$57="FTE",(X469*X468)*Last_Year_Fraction/12,X469*X468),X469*X468)</f>
        <v>0</v>
      </c>
      <c r="Z469" s="337">
        <f>_xlfn.IFNA('PART B Staff Costs'!Y57,0)</f>
        <v>0</v>
      </c>
      <c r="AA469" s="442">
        <f>IF(pStartYear+8=pEndYear,IF('PART B Staff Costs'!$G$57="FTE",(Z469*Z468)*Last_Year_Fraction/12,Z469*Z468),Z469*Z468)</f>
        <v>0</v>
      </c>
      <c r="AB469" s="338">
        <f>_xlfn.IFNA('PART B Staff Costs'!AA57,0)</f>
        <v>0</v>
      </c>
      <c r="AC469" s="450">
        <f>IF(pStartYear+9=pEndYear,IF('PART B Staff Costs'!$G$57="FTE",(AB469*AB468)*Last_Year_Fraction/12,AB469*AB468),AB469*AB468)</f>
        <v>0</v>
      </c>
      <c r="AD469" s="335"/>
    </row>
    <row r="470" spans="1:30" hidden="1" outlineLevel="1" x14ac:dyDescent="0.3">
      <c r="A470" s="1182"/>
      <c r="B470" s="1379"/>
      <c r="C470" s="1379"/>
      <c r="D470" s="1379"/>
      <c r="E470" s="1379"/>
      <c r="F470" s="1379"/>
      <c r="G470" s="1379"/>
      <c r="H470" s="1380"/>
      <c r="I470" s="455" t="str">
        <f>IF(tbBudgetCurrency="AUD - Australian Dollar",CONCATENATE("Leave Loading (max of AU$",vl_Max_Leave_Loading,")"),CONCATENATE("Leave Loading (max of ",ROUND(vl_Max_Leave_Loading*new_xrate,2)," ",LEFT(tbBudgetCurrency,3),")"))</f>
        <v>Leave Loading (max of AU$1611.3)</v>
      </c>
      <c r="J470" s="339">
        <f>_xlfn.IFNA(VLOOKUP($D468,tbLeaveLoading,2,FALSE),0)</f>
        <v>0</v>
      </c>
      <c r="K470" s="443">
        <f>IF(K469*J470&gt;vl_Max_Leave_Loading*new_xrate,vl_Max_Leave_Loading*new_xrate,K469*J470)</f>
        <v>0</v>
      </c>
      <c r="L470" s="340">
        <f>_xlfn.IFNA(VLOOKUP($D468,tbLeaveLoading,2,FALSE),0)</f>
        <v>0</v>
      </c>
      <c r="M470" s="451">
        <f>IF(M469*L470&gt;vl_Max_Leave_Loading*new_xrate,vl_Max_Leave_Loading*new_xrate,M469*L470)</f>
        <v>0</v>
      </c>
      <c r="N470" s="339">
        <f>_xlfn.IFNA(VLOOKUP($D468,tbLeaveLoading,2,FALSE),0)</f>
        <v>0</v>
      </c>
      <c r="O470" s="443">
        <f>IF(O469*N470&gt;vl_Max_Leave_Loading*new_xrate,vl_Max_Leave_Loading*new_xrate,O469*N470)</f>
        <v>0</v>
      </c>
      <c r="P470" s="340">
        <f>_xlfn.IFNA(VLOOKUP($D468,tbLeaveLoading,2,FALSE),0)</f>
        <v>0</v>
      </c>
      <c r="Q470" s="451">
        <f>IF(Q469*P470&gt;vl_Max_Leave_Loading*new_xrate,vl_Max_Leave_Loading*new_xrate,Q469*P470)</f>
        <v>0</v>
      </c>
      <c r="R470" s="339">
        <f>_xlfn.IFNA(VLOOKUP($D468,tbLeaveLoading,2,FALSE),0)</f>
        <v>0</v>
      </c>
      <c r="S470" s="443">
        <f>IF(S469*R470&gt;vl_Max_Leave_Loading*new_xrate,vl_Max_Leave_Loading*new_xrate,S469*R470)</f>
        <v>0</v>
      </c>
      <c r="T470" s="340">
        <f>_xlfn.IFNA(VLOOKUP($D468,tbLeaveLoading,2,FALSE),0)</f>
        <v>0</v>
      </c>
      <c r="U470" s="451">
        <f>IF(U469*T470&gt;vl_Max_Leave_Loading*new_xrate,vl_Max_Leave_Loading*new_xrate,U469*T470)</f>
        <v>0</v>
      </c>
      <c r="V470" s="339">
        <f>_xlfn.IFNA(VLOOKUP($D468,tbLeaveLoading,2,FALSE),0)</f>
        <v>0</v>
      </c>
      <c r="W470" s="443">
        <f>IF(W469*V470&gt;vl_Max_Leave_Loading*new_xrate,vl_Max_Leave_Loading*new_xrate,W469*V470)</f>
        <v>0</v>
      </c>
      <c r="X470" s="340">
        <f>_xlfn.IFNA(VLOOKUP($D468,tbLeaveLoading,2,FALSE),0)</f>
        <v>0</v>
      </c>
      <c r="Y470" s="451">
        <f>IF(Y469*X470&gt;vl_Max_Leave_Loading*new_xrate,vl_Max_Leave_Loading*new_xrate,Y469*X470)</f>
        <v>0</v>
      </c>
      <c r="Z470" s="339">
        <f>_xlfn.IFNA(VLOOKUP($D468,tbLeaveLoading,2,FALSE),0)</f>
        <v>0</v>
      </c>
      <c r="AA470" s="443">
        <f>IF(AA469*Z470&gt;vl_Max_Leave_Loading*new_xrate,vl_Max_Leave_Loading*new_xrate,AA469*Z470)</f>
        <v>0</v>
      </c>
      <c r="AB470" s="340">
        <f>_xlfn.IFNA(VLOOKUP($D468,tbLeaveLoading,2,FALSE),0)</f>
        <v>0</v>
      </c>
      <c r="AC470" s="451">
        <f>IF(AC469*AB470&gt;vl_Max_Leave_Loading*new_xrate,vl_Max_Leave_Loading*new_xrate,AC469*AB470)</f>
        <v>0</v>
      </c>
      <c r="AD470" s="335"/>
    </row>
    <row r="471" spans="1:30" hidden="1" outlineLevel="1" x14ac:dyDescent="0.3">
      <c r="A471" s="1182"/>
      <c r="B471" s="1379"/>
      <c r="C471" s="1379"/>
      <c r="D471" s="1379"/>
      <c r="E471" s="1379"/>
      <c r="F471" s="1379"/>
      <c r="G471" s="1379"/>
      <c r="H471" s="1380"/>
      <c r="I471" s="455" t="s">
        <v>314</v>
      </c>
      <c r="J471" s="339">
        <f>_xlfn.IFNA(_xlfn.IFNA(VLOOKUP(CONCATENATE(pStartYear,$D468),tbSuperannuation,4,FALSE),VLOOKUP($D468,tbSuperannuation2026onwards,2,FALSE)),0)</f>
        <v>0</v>
      </c>
      <c r="K471" s="443">
        <f>K469*J471</f>
        <v>0</v>
      </c>
      <c r="L471" s="340">
        <f>_xlfn.IFNA(_xlfn.IFNA(VLOOKUP(CONCATENATE(pStartYear+1,$D468),tbSuperannuation,4,FALSE),VLOOKUP($D468,tbSuperannuation2026onwards,2,FALSE)),0)</f>
        <v>0</v>
      </c>
      <c r="M471" s="451">
        <f t="shared" ref="M471" si="2021">M469*L471</f>
        <v>0</v>
      </c>
      <c r="N471" s="339">
        <f>_xlfn.IFNA(_xlfn.IFNA(VLOOKUP(CONCATENATE(pStartYear+2,$D468),tbSuperannuation,4,FALSE),VLOOKUP($D468,tbSuperannuation2026onwards,2,FALSE)),0)</f>
        <v>0</v>
      </c>
      <c r="O471" s="443">
        <f>O469*N471</f>
        <v>0</v>
      </c>
      <c r="P471" s="340">
        <f>_xlfn.IFNA(_xlfn.IFNA(VLOOKUP(CONCATENATE(pStartYear+3,$D468),tbSuperannuation,4,FALSE),VLOOKUP($D468,tbSuperannuation2026onwards,2,FALSE)),0)</f>
        <v>0</v>
      </c>
      <c r="Q471" s="451">
        <f t="shared" ref="Q471" si="2022">Q469*P471</f>
        <v>0</v>
      </c>
      <c r="R471" s="339">
        <f>_xlfn.IFNA(_xlfn.IFNA(VLOOKUP(CONCATENATE(pStartYear+4,$D468),tbSuperannuation,4,FALSE),VLOOKUP($D468,tbSuperannuation2026onwards,2,FALSE)),0)</f>
        <v>0</v>
      </c>
      <c r="S471" s="443">
        <f>S469*R471</f>
        <v>0</v>
      </c>
      <c r="T471" s="340">
        <f>_xlfn.IFNA(_xlfn.IFNA(VLOOKUP(CONCATENATE(pStartYear+5,$D468),tbSuperannuation,4,FALSE),VLOOKUP($D468,tbSuperannuation2026onwards,2,FALSE)),0)</f>
        <v>0</v>
      </c>
      <c r="U471" s="451">
        <f t="shared" ref="U471" si="2023">U469*T471</f>
        <v>0</v>
      </c>
      <c r="V471" s="339">
        <f>_xlfn.IFNA(_xlfn.IFNA(VLOOKUP(CONCATENATE(pStartYear+6,$D468),tbSuperannuation,4,FALSE),VLOOKUP($D468,tbSuperannuation2026onwards,2,FALSE)),0)</f>
        <v>0</v>
      </c>
      <c r="W471" s="443">
        <f>W469*V471</f>
        <v>0</v>
      </c>
      <c r="X471" s="340">
        <f>_xlfn.IFNA(_xlfn.IFNA(VLOOKUP(CONCATENATE(pStartYear+7,$D468),tbSuperannuation,4,FALSE),VLOOKUP($D468,tbSuperannuation2026onwards,2,FALSE)),0)</f>
        <v>0</v>
      </c>
      <c r="Y471" s="451">
        <f t="shared" ref="Y471" si="2024">Y469*X471</f>
        <v>0</v>
      </c>
      <c r="Z471" s="339">
        <f>_xlfn.IFNA(_xlfn.IFNA(VLOOKUP(CONCATENATE(pStartYear+8,$D468),tbSuperannuation,4,FALSE),VLOOKUP($D468,tbSuperannuation2026onwards,2,FALSE)),0)</f>
        <v>0</v>
      </c>
      <c r="AA471" s="443">
        <f>AA469*Z471</f>
        <v>0</v>
      </c>
      <c r="AB471" s="340">
        <f>_xlfn.IFNA(_xlfn.IFNA(VLOOKUP(CONCATENATE(pStartYear+9,$D468),tbSuperannuation,4,FALSE),VLOOKUP($D468,tbSuperannuation2026onwards,2,FALSE)),0)</f>
        <v>0</v>
      </c>
      <c r="AC471" s="451">
        <f t="shared" ref="AC471" si="2025">AC469*AB471</f>
        <v>0</v>
      </c>
      <c r="AD471" s="335"/>
    </row>
    <row r="472" spans="1:30" hidden="1" outlineLevel="1" x14ac:dyDescent="0.3">
      <c r="A472" s="1182"/>
      <c r="B472" s="1379"/>
      <c r="C472" s="1379"/>
      <c r="D472" s="1379"/>
      <c r="E472" s="1379"/>
      <c r="F472" s="1379"/>
      <c r="G472" s="1379"/>
      <c r="H472" s="1380"/>
      <c r="I472" s="341" t="s">
        <v>315</v>
      </c>
      <c r="J472" s="342"/>
      <c r="K472" s="444">
        <f>K470+K471+K469</f>
        <v>0</v>
      </c>
      <c r="L472" s="342"/>
      <c r="M472" s="444">
        <f t="shared" ref="M472" si="2026">M470+M471+M469</f>
        <v>0</v>
      </c>
      <c r="N472" s="342"/>
      <c r="O472" s="444">
        <f>O470+O471+O469</f>
        <v>0</v>
      </c>
      <c r="P472" s="342"/>
      <c r="Q472" s="444">
        <f t="shared" ref="Q472" si="2027">Q470+Q471+Q469</f>
        <v>0</v>
      </c>
      <c r="R472" s="342"/>
      <c r="S472" s="444">
        <f>S470+S471+S469</f>
        <v>0</v>
      </c>
      <c r="T472" s="342"/>
      <c r="U472" s="444">
        <f t="shared" ref="U472" si="2028">U470+U471+U469</f>
        <v>0</v>
      </c>
      <c r="V472" s="342"/>
      <c r="W472" s="444">
        <f>W470+W471+W469</f>
        <v>0</v>
      </c>
      <c r="X472" s="342"/>
      <c r="Y472" s="444">
        <f t="shared" ref="Y472" si="2029">Y470+Y471+Y469</f>
        <v>0</v>
      </c>
      <c r="Z472" s="342"/>
      <c r="AA472" s="444">
        <f>AA470+AA471+AA469</f>
        <v>0</v>
      </c>
      <c r="AB472" s="342"/>
      <c r="AC472" s="444">
        <f t="shared" ref="AC472" si="2030">AC470+AC471+AC469</f>
        <v>0</v>
      </c>
      <c r="AD472" s="335">
        <f t="shared" si="1775"/>
        <v>0</v>
      </c>
    </row>
    <row r="473" spans="1:30" hidden="1" outlineLevel="1" x14ac:dyDescent="0.3">
      <c r="A473" s="1182"/>
      <c r="B473" s="1379"/>
      <c r="C473" s="1379"/>
      <c r="D473" s="1379"/>
      <c r="E473" s="1379"/>
      <c r="F473" s="1379"/>
      <c r="G473" s="1379"/>
      <c r="H473" s="1380"/>
      <c r="I473" s="455" t="s">
        <v>316</v>
      </c>
      <c r="J473" s="339">
        <f>_xlfn.IFNA(_xlfn.IFNA(VLOOKUP(pStartYear,tbPayrollTax,2,FALSE),vl_MaxPayrollTax),0)</f>
        <v>5.8500000000000003E-2</v>
      </c>
      <c r="K473" s="443">
        <f>J473*K472</f>
        <v>0</v>
      </c>
      <c r="L473" s="340">
        <f>_xlfn.IFNA(_xlfn.IFNA(VLOOKUP(pStartYear+1,tbPayrollTax,2,FALSE),vl_MaxPayrollTax),0)</f>
        <v>5.8500000000000003E-2</v>
      </c>
      <c r="M473" s="451">
        <f t="shared" ref="M473" si="2031">L473*M472</f>
        <v>0</v>
      </c>
      <c r="N473" s="339">
        <f>_xlfn.IFNA(_xlfn.IFNA(VLOOKUP(pStartYear+2,tbPayrollTax,2,FALSE),vl_MaxPayrollTax),0)</f>
        <v>5.8500000000000003E-2</v>
      </c>
      <c r="O473" s="443">
        <f>N473*O472</f>
        <v>0</v>
      </c>
      <c r="P473" s="340">
        <f>_xlfn.IFNA(_xlfn.IFNA(VLOOKUP(pStartYear+3,tbPayrollTax,2,FALSE),vl_MaxPayrollTax),0)</f>
        <v>5.8500000000000003E-2</v>
      </c>
      <c r="Q473" s="451">
        <f t="shared" ref="Q473" si="2032">P473*Q472</f>
        <v>0</v>
      </c>
      <c r="R473" s="339">
        <f>_xlfn.IFNA(_xlfn.IFNA(VLOOKUP(pStartYear+4,tbPayrollTax,2,FALSE),vl_MaxPayrollTax),0)</f>
        <v>5.8500000000000003E-2</v>
      </c>
      <c r="S473" s="443">
        <f>R473*S472</f>
        <v>0</v>
      </c>
      <c r="T473" s="340">
        <f>_xlfn.IFNA(_xlfn.IFNA(VLOOKUP(pStartYear+5,tbPayrollTax,2,FALSE),vl_MaxPayrollTax),0)</f>
        <v>5.8500000000000003E-2</v>
      </c>
      <c r="U473" s="451">
        <f t="shared" ref="U473" si="2033">T473*U472</f>
        <v>0</v>
      </c>
      <c r="V473" s="339">
        <f>_xlfn.IFNA(_xlfn.IFNA(VLOOKUP(pStartYear+6,tbPayrollTax,2,FALSE),vl_MaxPayrollTax),0)</f>
        <v>5.8500000000000003E-2</v>
      </c>
      <c r="W473" s="443">
        <f>V473*W472</f>
        <v>0</v>
      </c>
      <c r="X473" s="340">
        <f>_xlfn.IFNA(_xlfn.IFNA(VLOOKUP(pStartYear+7,tbPayrollTax,2,FALSE),vl_MaxPayrollTax),0)</f>
        <v>5.8500000000000003E-2</v>
      </c>
      <c r="Y473" s="451">
        <f t="shared" ref="Y473" si="2034">X473*Y472</f>
        <v>0</v>
      </c>
      <c r="Z473" s="339">
        <f>_xlfn.IFNA(_xlfn.IFNA(VLOOKUP(pStartYear+8,tbPayrollTax,2,FALSE),vl_MaxPayrollTax),0)</f>
        <v>5.8500000000000003E-2</v>
      </c>
      <c r="AA473" s="443">
        <f>Z473*AA472</f>
        <v>0</v>
      </c>
      <c r="AB473" s="340">
        <f>_xlfn.IFNA(_xlfn.IFNA(VLOOKUP(pStartYear+9,tbPayrollTax,2,FALSE),vl_MaxPayrollTax),0)</f>
        <v>5.8500000000000003E-2</v>
      </c>
      <c r="AC473" s="451">
        <f t="shared" ref="AC473" si="2035">AB473*AC472</f>
        <v>0</v>
      </c>
      <c r="AD473" s="335"/>
    </row>
    <row r="474" spans="1:30" hidden="1" outlineLevel="1" x14ac:dyDescent="0.3">
      <c r="A474" s="1182"/>
      <c r="B474" s="1379"/>
      <c r="C474" s="1379"/>
      <c r="D474" s="1379"/>
      <c r="E474" s="1379"/>
      <c r="F474" s="1379"/>
      <c r="G474" s="1379"/>
      <c r="H474" s="1380"/>
      <c r="I474" s="455" t="s">
        <v>317</v>
      </c>
      <c r="J474" s="339">
        <f>_xlfn.IFNA(VLOOKUP($D468,tbWorkCover,2,FALSE),0)</f>
        <v>0</v>
      </c>
      <c r="K474" s="443">
        <f>J474*K472</f>
        <v>0</v>
      </c>
      <c r="L474" s="340">
        <f>_xlfn.IFNA(VLOOKUP($D468,tbWorkCover,2,FALSE),0)</f>
        <v>0</v>
      </c>
      <c r="M474" s="451">
        <f t="shared" ref="M474" si="2036">L474*M472</f>
        <v>0</v>
      </c>
      <c r="N474" s="339">
        <f>_xlfn.IFNA(VLOOKUP($D468,tbWorkCover,2,FALSE),0)</f>
        <v>0</v>
      </c>
      <c r="O474" s="443">
        <f>N474*O472</f>
        <v>0</v>
      </c>
      <c r="P474" s="340">
        <f>_xlfn.IFNA(VLOOKUP($D468,tbWorkCover,2,FALSE),0)</f>
        <v>0</v>
      </c>
      <c r="Q474" s="451">
        <f t="shared" ref="Q474" si="2037">P474*Q472</f>
        <v>0</v>
      </c>
      <c r="R474" s="339">
        <f>_xlfn.IFNA(VLOOKUP($D468,tbWorkCover,2,FALSE),0)</f>
        <v>0</v>
      </c>
      <c r="S474" s="443">
        <f>R474*S472</f>
        <v>0</v>
      </c>
      <c r="T474" s="340">
        <f>_xlfn.IFNA(VLOOKUP($D468,tbWorkCover,2,FALSE),0)</f>
        <v>0</v>
      </c>
      <c r="U474" s="451">
        <f t="shared" ref="U474" si="2038">T474*U472</f>
        <v>0</v>
      </c>
      <c r="V474" s="339">
        <f>_xlfn.IFNA(VLOOKUP($D468,tbWorkCover,2,FALSE),0)</f>
        <v>0</v>
      </c>
      <c r="W474" s="443">
        <f>V474*W472</f>
        <v>0</v>
      </c>
      <c r="X474" s="340">
        <f>_xlfn.IFNA(VLOOKUP($D468,tbWorkCover,2,FALSE),0)</f>
        <v>0</v>
      </c>
      <c r="Y474" s="451">
        <f t="shared" ref="Y474" si="2039">X474*Y472</f>
        <v>0</v>
      </c>
      <c r="Z474" s="339">
        <f>_xlfn.IFNA(VLOOKUP($D468,tbWorkCover,2,FALSE),0)</f>
        <v>0</v>
      </c>
      <c r="AA474" s="443">
        <f>Z474*AA472</f>
        <v>0</v>
      </c>
      <c r="AB474" s="340">
        <f>_xlfn.IFNA(VLOOKUP($D468,tbWorkCover,2,FALSE),0)</f>
        <v>0</v>
      </c>
      <c r="AC474" s="451">
        <f t="shared" ref="AC474" si="2040">AB474*AC472</f>
        <v>0</v>
      </c>
      <c r="AD474" s="335"/>
    </row>
    <row r="475" spans="1:30" hidden="1" outlineLevel="1" x14ac:dyDescent="0.3">
      <c r="A475" s="1182"/>
      <c r="B475" s="1379"/>
      <c r="C475" s="1379"/>
      <c r="D475" s="1379"/>
      <c r="E475" s="1379"/>
      <c r="F475" s="1379"/>
      <c r="G475" s="1379"/>
      <c r="H475" s="1380"/>
      <c r="I475" s="455" t="s">
        <v>318</v>
      </c>
      <c r="J475" s="339">
        <f>_xlfn.IFNA(VLOOKUP($D468,tbLongServiceLeave,2,FALSE),0)</f>
        <v>0</v>
      </c>
      <c r="K475" s="443">
        <f>J475*K469</f>
        <v>0</v>
      </c>
      <c r="L475" s="340">
        <f>_xlfn.IFNA(VLOOKUP($D468,tbLongServiceLeave,2,FALSE),0)</f>
        <v>0</v>
      </c>
      <c r="M475" s="451">
        <f t="shared" ref="M475" si="2041">L475*M469</f>
        <v>0</v>
      </c>
      <c r="N475" s="339">
        <f>_xlfn.IFNA(VLOOKUP($D468,tbLongServiceLeave,2,FALSE),0)</f>
        <v>0</v>
      </c>
      <c r="O475" s="443">
        <f>N475*O469</f>
        <v>0</v>
      </c>
      <c r="P475" s="340">
        <f>_xlfn.IFNA(VLOOKUP($D468,tbLongServiceLeave,2,FALSE),0)</f>
        <v>0</v>
      </c>
      <c r="Q475" s="451">
        <f t="shared" ref="Q475" si="2042">P475*Q469</f>
        <v>0</v>
      </c>
      <c r="R475" s="339">
        <f>_xlfn.IFNA(VLOOKUP($D468,tbLongServiceLeave,2,FALSE),0)</f>
        <v>0</v>
      </c>
      <c r="S475" s="443">
        <f>R475*S469</f>
        <v>0</v>
      </c>
      <c r="T475" s="340">
        <f>_xlfn.IFNA(VLOOKUP($D468,tbLongServiceLeave,2,FALSE),0)</f>
        <v>0</v>
      </c>
      <c r="U475" s="451">
        <f t="shared" ref="U475" si="2043">T475*U469</f>
        <v>0</v>
      </c>
      <c r="V475" s="339">
        <f>_xlfn.IFNA(VLOOKUP($D468,tbLongServiceLeave,2,FALSE),0)</f>
        <v>0</v>
      </c>
      <c r="W475" s="443">
        <f>V475*W469</f>
        <v>0</v>
      </c>
      <c r="X475" s="340">
        <f>_xlfn.IFNA(VLOOKUP($D468,tbLongServiceLeave,2,FALSE),0)</f>
        <v>0</v>
      </c>
      <c r="Y475" s="451">
        <f t="shared" ref="Y475" si="2044">X475*Y469</f>
        <v>0</v>
      </c>
      <c r="Z475" s="339">
        <f>_xlfn.IFNA(VLOOKUP($D468,tbLongServiceLeave,2,FALSE),0)</f>
        <v>0</v>
      </c>
      <c r="AA475" s="443">
        <f>Z475*AA469</f>
        <v>0</v>
      </c>
      <c r="AB475" s="340">
        <f>_xlfn.IFNA(VLOOKUP($D468,tbLongServiceLeave,2,FALSE),0)</f>
        <v>0</v>
      </c>
      <c r="AC475" s="451">
        <f t="shared" ref="AC475" si="2045">AB475*AC469</f>
        <v>0</v>
      </c>
      <c r="AD475" s="335"/>
    </row>
    <row r="476" spans="1:30" hidden="1" outlineLevel="1" x14ac:dyDescent="0.3">
      <c r="A476" s="1182"/>
      <c r="B476" s="1379"/>
      <c r="C476" s="1379"/>
      <c r="D476" s="1379"/>
      <c r="E476" s="1379"/>
      <c r="F476" s="1379"/>
      <c r="G476" s="1379"/>
      <c r="H476" s="1380"/>
      <c r="I476" s="455" t="s">
        <v>319</v>
      </c>
      <c r="J476" s="339">
        <f>_xlfn.IFNA(VLOOKUP($D468,tbParentalLeave,2,FALSE),0)</f>
        <v>0</v>
      </c>
      <c r="K476" s="443">
        <f>J476*K469</f>
        <v>0</v>
      </c>
      <c r="L476" s="340">
        <f>_xlfn.IFNA(VLOOKUP($D468,tbParentalLeave,2,FALSE),0)</f>
        <v>0</v>
      </c>
      <c r="M476" s="451">
        <f t="shared" ref="M476" si="2046">L476*M469</f>
        <v>0</v>
      </c>
      <c r="N476" s="339">
        <f>_xlfn.IFNA(VLOOKUP($D468,tbParentalLeave,2,FALSE),0)</f>
        <v>0</v>
      </c>
      <c r="O476" s="443">
        <f>N476*O469</f>
        <v>0</v>
      </c>
      <c r="P476" s="340">
        <f>_xlfn.IFNA(VLOOKUP($D468,tbParentalLeave,2,FALSE),0)</f>
        <v>0</v>
      </c>
      <c r="Q476" s="451">
        <f t="shared" ref="Q476" si="2047">P476*Q469</f>
        <v>0</v>
      </c>
      <c r="R476" s="339">
        <f>_xlfn.IFNA(VLOOKUP($D468,tbParentalLeave,2,FALSE),0)</f>
        <v>0</v>
      </c>
      <c r="S476" s="443">
        <f>R476*S469</f>
        <v>0</v>
      </c>
      <c r="T476" s="340">
        <f>_xlfn.IFNA(VLOOKUP($D468,tbParentalLeave,2,FALSE),0)</f>
        <v>0</v>
      </c>
      <c r="U476" s="451">
        <f t="shared" ref="U476" si="2048">T476*U469</f>
        <v>0</v>
      </c>
      <c r="V476" s="339">
        <f>_xlfn.IFNA(VLOOKUP($D468,tbParentalLeave,2,FALSE),0)</f>
        <v>0</v>
      </c>
      <c r="W476" s="443">
        <f>V476*W469</f>
        <v>0</v>
      </c>
      <c r="X476" s="340">
        <f>_xlfn.IFNA(VLOOKUP($D468,tbParentalLeave,2,FALSE),0)</f>
        <v>0</v>
      </c>
      <c r="Y476" s="451">
        <f t="shared" ref="Y476" si="2049">X476*Y469</f>
        <v>0</v>
      </c>
      <c r="Z476" s="339">
        <f>_xlfn.IFNA(VLOOKUP($D468,tbParentalLeave,2,FALSE),0)</f>
        <v>0</v>
      </c>
      <c r="AA476" s="443">
        <f>Z476*AA469</f>
        <v>0</v>
      </c>
      <c r="AB476" s="340">
        <f>_xlfn.IFNA(VLOOKUP($D468,tbParentalLeave,2,FALSE),0)</f>
        <v>0</v>
      </c>
      <c r="AC476" s="451">
        <f t="shared" ref="AC476" si="2050">AB476*AC469</f>
        <v>0</v>
      </c>
      <c r="AD476" s="335"/>
    </row>
    <row r="477" spans="1:30" hidden="1" outlineLevel="1" x14ac:dyDescent="0.3">
      <c r="A477" s="1182"/>
      <c r="B477" s="1379"/>
      <c r="C477" s="1379"/>
      <c r="D477" s="1379"/>
      <c r="E477" s="1379"/>
      <c r="F477" s="1379"/>
      <c r="G477" s="1379"/>
      <c r="H477" s="1380"/>
      <c r="I477" s="437" t="s">
        <v>320</v>
      </c>
      <c r="J477" s="438">
        <f>vl_overridden_uom_oncosts_per</f>
        <v>0</v>
      </c>
      <c r="K477" s="445">
        <f>J477*K469</f>
        <v>0</v>
      </c>
      <c r="L477" s="438">
        <f>vl_overridden_uom_oncosts_per</f>
        <v>0</v>
      </c>
      <c r="M477" s="445">
        <f>L477*M469</f>
        <v>0</v>
      </c>
      <c r="N477" s="438">
        <f>vl_overridden_uom_oncosts_per</f>
        <v>0</v>
      </c>
      <c r="O477" s="445">
        <f t="shared" ref="O477" si="2051">N477*O469</f>
        <v>0</v>
      </c>
      <c r="P477" s="438">
        <f>vl_overridden_uom_oncosts_per</f>
        <v>0</v>
      </c>
      <c r="Q477" s="445">
        <f t="shared" ref="Q477" si="2052">P477*Q469</f>
        <v>0</v>
      </c>
      <c r="R477" s="438">
        <f>vl_overridden_uom_oncosts_per</f>
        <v>0</v>
      </c>
      <c r="S477" s="445">
        <f t="shared" ref="S477" si="2053">R477*S469</f>
        <v>0</v>
      </c>
      <c r="T477" s="438">
        <f>vl_overridden_uom_oncosts_per</f>
        <v>0</v>
      </c>
      <c r="U477" s="445">
        <f t="shared" ref="U477" si="2054">T477*U469</f>
        <v>0</v>
      </c>
      <c r="V477" s="438">
        <f>vl_overridden_uom_oncosts_per</f>
        <v>0</v>
      </c>
      <c r="W477" s="445">
        <f t="shared" ref="W477" si="2055">V477*W469</f>
        <v>0</v>
      </c>
      <c r="X477" s="438">
        <f>vl_overridden_uom_oncosts_per</f>
        <v>0</v>
      </c>
      <c r="Y477" s="445">
        <f t="shared" ref="Y477" si="2056">X477*Y469</f>
        <v>0</v>
      </c>
      <c r="Z477" s="438">
        <f>vl_overridden_uom_oncosts_per</f>
        <v>0</v>
      </c>
      <c r="AA477" s="445">
        <f t="shared" ref="AA477" si="2057">Z477*AA469</f>
        <v>0</v>
      </c>
      <c r="AB477" s="438">
        <f>vl_overridden_uom_oncosts_per</f>
        <v>0</v>
      </c>
      <c r="AC477" s="445">
        <f t="shared" ref="AC477" si="2058">AB477*AC469</f>
        <v>0</v>
      </c>
      <c r="AD477" s="335"/>
    </row>
    <row r="478" spans="1:30" hidden="1" outlineLevel="1" x14ac:dyDescent="0.3">
      <c r="A478" s="1182"/>
      <c r="B478" s="1379"/>
      <c r="C478" s="1379"/>
      <c r="D478" s="1379"/>
      <c r="E478" s="1379"/>
      <c r="F478" s="1379"/>
      <c r="G478" s="1379"/>
      <c r="H478" s="1380"/>
      <c r="I478" s="341" t="s">
        <v>321</v>
      </c>
      <c r="J478" s="342"/>
      <c r="K478" s="444">
        <f>SUM(K472:K477)</f>
        <v>0</v>
      </c>
      <c r="L478" s="342"/>
      <c r="M478" s="444">
        <f t="shared" ref="M478" si="2059">SUM(M472:M477)</f>
        <v>0</v>
      </c>
      <c r="N478" s="342"/>
      <c r="O478" s="444">
        <f t="shared" ref="O478" si="2060">SUM(O472:O477)</f>
        <v>0</v>
      </c>
      <c r="P478" s="342"/>
      <c r="Q478" s="444">
        <f t="shared" ref="Q478" si="2061">SUM(Q472:Q477)</f>
        <v>0</v>
      </c>
      <c r="R478" s="342"/>
      <c r="S478" s="444">
        <f t="shared" ref="S478" si="2062">SUM(S472:S477)</f>
        <v>0</v>
      </c>
      <c r="T478" s="342"/>
      <c r="U478" s="444">
        <f t="shared" ref="U478" si="2063">SUM(U472:U477)</f>
        <v>0</v>
      </c>
      <c r="V478" s="342"/>
      <c r="W478" s="444">
        <f t="shared" ref="W478" si="2064">SUM(W472:W477)</f>
        <v>0</v>
      </c>
      <c r="X478" s="342"/>
      <c r="Y478" s="444">
        <f t="shared" ref="Y478" si="2065">SUM(Y472:Y477)</f>
        <v>0</v>
      </c>
      <c r="Z478" s="342"/>
      <c r="AA478" s="444">
        <f t="shared" ref="AA478" si="2066">SUM(AA472:AA477)</f>
        <v>0</v>
      </c>
      <c r="AB478" s="342"/>
      <c r="AC478" s="444">
        <f t="shared" ref="AC478" si="2067">SUM(AC472:AC477)</f>
        <v>0</v>
      </c>
      <c r="AD478" s="335">
        <f t="shared" si="1775"/>
        <v>0</v>
      </c>
    </row>
    <row r="479" spans="1:30" hidden="1" outlineLevel="1" x14ac:dyDescent="0.3">
      <c r="A479" s="1182"/>
      <c r="B479" s="1379"/>
      <c r="C479" s="1379"/>
      <c r="D479" s="1379"/>
      <c r="E479" s="1379"/>
      <c r="F479" s="1379"/>
      <c r="G479" s="1379"/>
      <c r="H479" s="1380"/>
      <c r="I479" s="455" t="s">
        <v>322</v>
      </c>
      <c r="J479" s="339">
        <f>_xlfn.IFNA(VLOOKUP($D468,tbAnnualLeaveProvision,2,FALSE),0)</f>
        <v>0</v>
      </c>
      <c r="K479" s="443">
        <f>J479*K469</f>
        <v>0</v>
      </c>
      <c r="L479" s="340">
        <f>_xlfn.IFNA(VLOOKUP($D468,tbAnnualLeaveProvision,2,FALSE),0)</f>
        <v>0</v>
      </c>
      <c r="M479" s="451">
        <f t="shared" ref="M479" si="2068">L479*M469</f>
        <v>0</v>
      </c>
      <c r="N479" s="339">
        <f>_xlfn.IFNA(VLOOKUP($D468,tbAnnualLeaveProvision,2,FALSE),0)</f>
        <v>0</v>
      </c>
      <c r="O479" s="443">
        <f>N479*O469</f>
        <v>0</v>
      </c>
      <c r="P479" s="340">
        <f>_xlfn.IFNA(VLOOKUP($D468,tbAnnualLeaveProvision,2,FALSE),0)</f>
        <v>0</v>
      </c>
      <c r="Q479" s="451">
        <f t="shared" ref="Q479" si="2069">P479*Q469</f>
        <v>0</v>
      </c>
      <c r="R479" s="339">
        <f>_xlfn.IFNA(VLOOKUP($D468,tbAnnualLeaveProvision,2,FALSE),0)</f>
        <v>0</v>
      </c>
      <c r="S479" s="443">
        <f>R479*S469</f>
        <v>0</v>
      </c>
      <c r="T479" s="340">
        <f>_xlfn.IFNA(VLOOKUP($D468,tbAnnualLeaveProvision,2,FALSE),0)</f>
        <v>0</v>
      </c>
      <c r="U479" s="451">
        <f t="shared" ref="U479" si="2070">T479*U469</f>
        <v>0</v>
      </c>
      <c r="V479" s="339">
        <f>_xlfn.IFNA(VLOOKUP($D468,tbAnnualLeaveProvision,2,FALSE),0)</f>
        <v>0</v>
      </c>
      <c r="W479" s="443">
        <f>V479*W469</f>
        <v>0</v>
      </c>
      <c r="X479" s="340">
        <f>_xlfn.IFNA(VLOOKUP($D468,tbAnnualLeaveProvision,2,FALSE),0)</f>
        <v>0</v>
      </c>
      <c r="Y479" s="451">
        <f t="shared" ref="Y479" si="2071">X479*Y469</f>
        <v>0</v>
      </c>
      <c r="Z479" s="339">
        <f>_xlfn.IFNA(VLOOKUP($D468,tbAnnualLeaveProvision,2,FALSE),0)</f>
        <v>0</v>
      </c>
      <c r="AA479" s="443">
        <f>Z479*AA469</f>
        <v>0</v>
      </c>
      <c r="AB479" s="340">
        <f>_xlfn.IFNA(VLOOKUP($D468,tbAnnualLeaveProvision,2,FALSE),0)</f>
        <v>0</v>
      </c>
      <c r="AC479" s="451">
        <f t="shared" ref="AC479" si="2072">AB479*AC469</f>
        <v>0</v>
      </c>
      <c r="AD479" s="335"/>
    </row>
    <row r="480" spans="1:30" hidden="1" outlineLevel="1" x14ac:dyDescent="0.3">
      <c r="A480" s="1182"/>
      <c r="B480" s="1379"/>
      <c r="C480" s="1379"/>
      <c r="D480" s="1379"/>
      <c r="E480" s="1379"/>
      <c r="F480" s="1379"/>
      <c r="G480" s="1379"/>
      <c r="H480" s="1380"/>
      <c r="I480" s="455" t="s">
        <v>330</v>
      </c>
      <c r="J480" s="339"/>
      <c r="K480" s="446">
        <f>K478+K479</f>
        <v>0</v>
      </c>
      <c r="L480" s="340"/>
      <c r="M480" s="452">
        <f t="shared" ref="M480" si="2073">M478+M479</f>
        <v>0</v>
      </c>
      <c r="N480" s="339"/>
      <c r="O480" s="446">
        <f>O478+O479</f>
        <v>0</v>
      </c>
      <c r="P480" s="340"/>
      <c r="Q480" s="452">
        <f t="shared" ref="Q480" si="2074">Q478+Q479</f>
        <v>0</v>
      </c>
      <c r="R480" s="339"/>
      <c r="S480" s="446">
        <f>S478+S479</f>
        <v>0</v>
      </c>
      <c r="T480" s="340"/>
      <c r="U480" s="452">
        <f t="shared" ref="U480" si="2075">U478+U479</f>
        <v>0</v>
      </c>
      <c r="V480" s="339"/>
      <c r="W480" s="446">
        <f>W478+W479</f>
        <v>0</v>
      </c>
      <c r="X480" s="340"/>
      <c r="Y480" s="452">
        <f t="shared" ref="Y480" si="2076">Y478+Y479</f>
        <v>0</v>
      </c>
      <c r="Z480" s="339"/>
      <c r="AA480" s="446">
        <f>AA478+AA479</f>
        <v>0</v>
      </c>
      <c r="AB480" s="340"/>
      <c r="AC480" s="452">
        <f t="shared" ref="AC480" si="2077">AC478+AC479</f>
        <v>0</v>
      </c>
      <c r="AD480" s="335"/>
    </row>
    <row r="481" spans="1:56" hidden="1" outlineLevel="1" x14ac:dyDescent="0.3">
      <c r="A481" s="1182"/>
      <c r="B481" s="1379"/>
      <c r="C481" s="1379"/>
      <c r="D481" s="1379"/>
      <c r="E481" s="1379"/>
      <c r="F481" s="1379"/>
      <c r="G481" s="1379"/>
      <c r="H481" s="1380"/>
      <c r="I481" s="462" t="s">
        <v>324</v>
      </c>
      <c r="J481" s="344"/>
      <c r="K481" s="443">
        <f>-(K478/vl_working_days_per_year)*J481</f>
        <v>0</v>
      </c>
      <c r="L481" s="345"/>
      <c r="M481" s="451">
        <f>-(M478/vl_working_days_per_year)*L481</f>
        <v>0</v>
      </c>
      <c r="N481" s="344"/>
      <c r="O481" s="443">
        <f>-(O478/vl_working_days_per_year)*N481</f>
        <v>0</v>
      </c>
      <c r="P481" s="345"/>
      <c r="Q481" s="451">
        <f>-(Q478/vl_working_days_per_year)*P481</f>
        <v>0</v>
      </c>
      <c r="R481" s="344"/>
      <c r="S481" s="443">
        <f>-(S478/vl_working_days_per_year)*R481</f>
        <v>0</v>
      </c>
      <c r="T481" s="345"/>
      <c r="U481" s="451">
        <f>-(U478/vl_working_days_per_year)*T481</f>
        <v>0</v>
      </c>
      <c r="V481" s="344"/>
      <c r="W481" s="443">
        <f>-(W478/vl_working_days_per_year)*V481</f>
        <v>0</v>
      </c>
      <c r="X481" s="345"/>
      <c r="Y481" s="451">
        <f>-(Y478/vl_working_days_per_year)*X481</f>
        <v>0</v>
      </c>
      <c r="Z481" s="344"/>
      <c r="AA481" s="443">
        <f>-(AA478/vl_working_days_per_year)*Z481</f>
        <v>0</v>
      </c>
      <c r="AB481" s="345"/>
      <c r="AC481" s="451">
        <f>-(AC478/vl_working_days_per_year)*AB481</f>
        <v>0</v>
      </c>
      <c r="AD481" s="335">
        <f t="shared" si="1775"/>
        <v>0</v>
      </c>
      <c r="AE481" s="1152"/>
      <c r="AF481" s="1152"/>
      <c r="AG481" s="1152"/>
      <c r="AH481" s="1152"/>
      <c r="AI481" s="1152"/>
      <c r="AJ481" s="1152"/>
      <c r="AK481" s="1152"/>
      <c r="AL481" s="1152"/>
      <c r="AM481" s="1152"/>
      <c r="AN481" s="1152"/>
      <c r="AO481" s="1152"/>
      <c r="AP481" s="1152"/>
      <c r="AQ481" s="1152"/>
      <c r="AR481" s="1152"/>
      <c r="AS481" s="1152"/>
      <c r="AT481" s="1152"/>
      <c r="AU481" s="1152"/>
      <c r="AV481" s="1152"/>
      <c r="AW481" s="1152"/>
      <c r="AX481" s="1152"/>
      <c r="AY481" s="1152"/>
      <c r="AZ481" s="1152"/>
      <c r="BA481" s="1152"/>
      <c r="BB481" s="1152"/>
      <c r="BC481" s="1152"/>
      <c r="BD481" s="1152"/>
    </row>
    <row r="482" spans="1:56" hidden="1" outlineLevel="1" x14ac:dyDescent="0.3">
      <c r="A482" s="1182"/>
      <c r="B482" s="1379"/>
      <c r="C482" s="1379"/>
      <c r="D482" s="1379"/>
      <c r="E482" s="1379"/>
      <c r="F482" s="1379"/>
      <c r="G482" s="1379"/>
      <c r="H482" s="1380"/>
      <c r="I482" s="341" t="s">
        <v>325</v>
      </c>
      <c r="J482" s="346"/>
      <c r="K482" s="444">
        <f>K480+K481</f>
        <v>0</v>
      </c>
      <c r="L482" s="346"/>
      <c r="M482" s="444">
        <f t="shared" ref="M482" si="2078">M480+M481</f>
        <v>0</v>
      </c>
      <c r="N482" s="346"/>
      <c r="O482" s="444">
        <f>O480+O481</f>
        <v>0</v>
      </c>
      <c r="P482" s="346"/>
      <c r="Q482" s="444">
        <f t="shared" ref="Q482" si="2079">Q480+Q481</f>
        <v>0</v>
      </c>
      <c r="R482" s="346"/>
      <c r="S482" s="444">
        <f>S480+S481</f>
        <v>0</v>
      </c>
      <c r="T482" s="346"/>
      <c r="U482" s="444">
        <f t="shared" ref="U482" si="2080">U480+U481</f>
        <v>0</v>
      </c>
      <c r="V482" s="346"/>
      <c r="W482" s="444">
        <f>W480+W481</f>
        <v>0</v>
      </c>
      <c r="X482" s="346"/>
      <c r="Y482" s="444">
        <f t="shared" ref="Y482" si="2081">Y480+Y481</f>
        <v>0</v>
      </c>
      <c r="Z482" s="346"/>
      <c r="AA482" s="444">
        <f>AA480+AA481</f>
        <v>0</v>
      </c>
      <c r="AB482" s="346"/>
      <c r="AC482" s="444">
        <f t="shared" ref="AC482" si="2082">AC480+AC481</f>
        <v>0</v>
      </c>
      <c r="AD482" s="335">
        <f t="shared" si="1775"/>
        <v>0</v>
      </c>
      <c r="AE482" s="1152"/>
      <c r="AF482" s="1152"/>
      <c r="AG482" s="1152"/>
      <c r="AH482" s="1152"/>
      <c r="AI482" s="1152"/>
      <c r="AJ482" s="1152"/>
      <c r="AK482" s="1152"/>
      <c r="AL482" s="1152"/>
      <c r="AM482" s="1152"/>
      <c r="AN482" s="1152"/>
      <c r="AO482" s="1152"/>
      <c r="AP482" s="1152"/>
      <c r="AQ482" s="1152"/>
      <c r="AR482" s="1152"/>
      <c r="AS482" s="1152"/>
      <c r="AT482" s="1152"/>
      <c r="AU482" s="1152"/>
      <c r="AV482" s="1152"/>
      <c r="AW482" s="1152"/>
      <c r="AX482" s="1152"/>
      <c r="AY482" s="1152"/>
      <c r="AZ482" s="1152"/>
      <c r="BA482" s="1152"/>
      <c r="BB482" s="1152"/>
      <c r="BC482" s="1152"/>
      <c r="BD482" s="1152"/>
    </row>
    <row r="483" spans="1:56" s="1" customFormat="1" ht="15" hidden="1" customHeight="1" outlineLevel="1" x14ac:dyDescent="0.3">
      <c r="A483" s="727"/>
      <c r="B483" s="1379"/>
      <c r="C483" s="1379"/>
      <c r="D483" s="1379"/>
      <c r="E483" s="1379"/>
      <c r="F483" s="1379"/>
      <c r="G483" s="1379"/>
      <c r="H483" s="1380"/>
      <c r="I483" s="463" t="s">
        <v>326</v>
      </c>
      <c r="J483" s="383">
        <f>IFERROR(K483/K469,0)</f>
        <v>0</v>
      </c>
      <c r="K483" s="447">
        <f>SUM(K470:K471,K473:K476,K479)</f>
        <v>0</v>
      </c>
      <c r="L483" s="434">
        <f>IFERROR(M483/M469,0)</f>
        <v>0</v>
      </c>
      <c r="M483" s="453">
        <f t="shared" ref="M483" si="2083">SUM(M470:M471,M473:M476,M479)</f>
        <v>0</v>
      </c>
      <c r="N483" s="383">
        <f t="shared" ref="N483" si="2084">IFERROR(O483/O469,0)</f>
        <v>0</v>
      </c>
      <c r="O483" s="447">
        <f t="shared" ref="O483" si="2085">SUM(O470:O471,O473:O476,O479)</f>
        <v>0</v>
      </c>
      <c r="P483" s="434">
        <f t="shared" ref="P483" si="2086">IFERROR(Q483/Q469,0)</f>
        <v>0</v>
      </c>
      <c r="Q483" s="453">
        <f t="shared" ref="Q483" si="2087">SUM(Q470:Q471,Q473:Q476,Q479)</f>
        <v>0</v>
      </c>
      <c r="R483" s="383">
        <f t="shared" ref="R483" si="2088">IFERROR(S483/S469,0)</f>
        <v>0</v>
      </c>
      <c r="S483" s="447">
        <f t="shared" ref="S483" si="2089">SUM(S470:S471,S473:S476,S479)</f>
        <v>0</v>
      </c>
      <c r="T483" s="434">
        <f t="shared" ref="T483" si="2090">IFERROR(U483/U469,0)</f>
        <v>0</v>
      </c>
      <c r="U483" s="453">
        <f t="shared" ref="U483" si="2091">SUM(U470:U471,U473:U476,U479)</f>
        <v>0</v>
      </c>
      <c r="V483" s="383">
        <f t="shared" ref="V483" si="2092">IFERROR(W483/W469,0)</f>
        <v>0</v>
      </c>
      <c r="W483" s="447">
        <f t="shared" ref="W483" si="2093">SUM(W470:W471,W473:W476,W479)</f>
        <v>0</v>
      </c>
      <c r="X483" s="434">
        <f t="shared" ref="X483" si="2094">IFERROR(Y483/Y469,0)</f>
        <v>0</v>
      </c>
      <c r="Y483" s="453">
        <f t="shared" ref="Y483" si="2095">SUM(Y470:Y471,Y473:Y476,Y479)</f>
        <v>0</v>
      </c>
      <c r="Z483" s="383">
        <f t="shared" ref="Z483" si="2096">IFERROR(AA483/AA469,0)</f>
        <v>0</v>
      </c>
      <c r="AA483" s="447">
        <f t="shared" ref="AA483" si="2097">SUM(AA470:AA471,AA473:AA476,AA479)</f>
        <v>0</v>
      </c>
      <c r="AB483" s="434">
        <f t="shared" ref="AB483" si="2098">IFERROR(AC483/AC469,0)</f>
        <v>0</v>
      </c>
      <c r="AC483" s="453">
        <f t="shared" ref="AC483" si="2099">SUM(AC470:AC471,AC473:AC476,AC479)</f>
        <v>0</v>
      </c>
      <c r="AD483" s="377">
        <f t="shared" si="1775"/>
        <v>0</v>
      </c>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row>
    <row r="484" spans="1:56" hidden="1" outlineLevel="1" x14ac:dyDescent="0.3">
      <c r="A484" s="1182"/>
      <c r="B484" s="1379"/>
      <c r="C484" s="1379"/>
      <c r="D484" s="1379"/>
      <c r="E484" s="1379"/>
      <c r="F484" s="1379"/>
      <c r="G484" s="1379"/>
      <c r="H484" s="1380"/>
      <c r="I484" s="463" t="s">
        <v>327</v>
      </c>
      <c r="J484" s="384">
        <f>pCRInKind</f>
        <v>2.5</v>
      </c>
      <c r="K484" s="447"/>
      <c r="L484" s="435">
        <f>pCRInKind</f>
        <v>2.5</v>
      </c>
      <c r="M484" s="453"/>
      <c r="N484" s="384">
        <f>pCRInKind</f>
        <v>2.5</v>
      </c>
      <c r="O484" s="447"/>
      <c r="P484" s="435">
        <f>pCRInKind</f>
        <v>2.5</v>
      </c>
      <c r="Q484" s="453"/>
      <c r="R484" s="384">
        <f>pCRInKind</f>
        <v>2.5</v>
      </c>
      <c r="S484" s="447"/>
      <c r="T484" s="435">
        <f>pCRInKind</f>
        <v>2.5</v>
      </c>
      <c r="U484" s="453"/>
      <c r="V484" s="384">
        <f>pCRInKind</f>
        <v>2.5</v>
      </c>
      <c r="W484" s="447"/>
      <c r="X484" s="435">
        <f>pCRInKind</f>
        <v>2.5</v>
      </c>
      <c r="Y484" s="453"/>
      <c r="Z484" s="384">
        <f>pCRInKind</f>
        <v>2.5</v>
      </c>
      <c r="AA484" s="447"/>
      <c r="AB484" s="435">
        <f>pCRInKind</f>
        <v>2.5</v>
      </c>
      <c r="AC484" s="453"/>
      <c r="AD484" s="335"/>
      <c r="AE484" s="1152"/>
      <c r="AF484" s="1152"/>
      <c r="AG484" s="1152"/>
      <c r="AH484" s="1152"/>
      <c r="AI484" s="1152"/>
      <c r="AJ484" s="1152"/>
      <c r="AK484" s="1152"/>
      <c r="AL484" s="1152"/>
      <c r="AM484" s="1152"/>
      <c r="AN484" s="1152"/>
      <c r="AO484" s="1152"/>
      <c r="AP484" s="1152"/>
      <c r="AQ484" s="1152"/>
      <c r="AR484" s="1152"/>
      <c r="AS484" s="1152"/>
      <c r="AT484" s="1152"/>
      <c r="AU484" s="1152"/>
      <c r="AV484" s="1152"/>
      <c r="AW484" s="1152"/>
      <c r="AX484" s="1152"/>
      <c r="AY484" s="1152"/>
      <c r="AZ484" s="1152"/>
      <c r="BA484" s="1152"/>
      <c r="BB484" s="1152"/>
      <c r="BC484" s="1152"/>
      <c r="BD484" s="1152"/>
    </row>
    <row r="485" spans="1:56" ht="16.2" hidden="1" outlineLevel="1" thickBot="1" x14ac:dyDescent="0.35">
      <c r="A485" s="1182"/>
      <c r="B485" s="710"/>
      <c r="C485" s="347"/>
      <c r="D485" s="347"/>
      <c r="E485" s="347"/>
      <c r="F485" s="347"/>
      <c r="G485" s="347"/>
      <c r="H485" s="347"/>
      <c r="I485" s="436" t="s">
        <v>329</v>
      </c>
      <c r="J485" s="348"/>
      <c r="K485" s="349">
        <f>J484*K480</f>
        <v>0</v>
      </c>
      <c r="L485" s="348"/>
      <c r="M485" s="349">
        <f t="shared" ref="M485" si="2100">L484*M480</f>
        <v>0</v>
      </c>
      <c r="N485" s="348"/>
      <c r="O485" s="349">
        <f>N484*O480</f>
        <v>0</v>
      </c>
      <c r="P485" s="348"/>
      <c r="Q485" s="349">
        <f t="shared" ref="Q485" si="2101">P484*Q480</f>
        <v>0</v>
      </c>
      <c r="R485" s="348"/>
      <c r="S485" s="349">
        <f>R484*S480</f>
        <v>0</v>
      </c>
      <c r="T485" s="348"/>
      <c r="U485" s="349">
        <f t="shared" ref="U485" si="2102">T484*U480</f>
        <v>0</v>
      </c>
      <c r="V485" s="349">
        <f>U484*V480</f>
        <v>0</v>
      </c>
      <c r="W485" s="349">
        <f>V484*W480</f>
        <v>0</v>
      </c>
      <c r="X485" s="348"/>
      <c r="Y485" s="349">
        <f t="shared" ref="Y485" si="2103">X484*Y480</f>
        <v>0</v>
      </c>
      <c r="Z485" s="348"/>
      <c r="AA485" s="349">
        <f>Z484*AA480</f>
        <v>0</v>
      </c>
      <c r="AB485" s="348"/>
      <c r="AC485" s="349">
        <f t="shared" ref="AC485" si="2104">AB484*AC480</f>
        <v>0</v>
      </c>
      <c r="AD485" s="335">
        <f t="shared" si="1775"/>
        <v>0</v>
      </c>
      <c r="AE485" s="1152"/>
      <c r="AF485" s="1152"/>
      <c r="AG485" s="1152"/>
      <c r="AH485" s="1152"/>
      <c r="AI485" s="1152"/>
      <c r="AJ485" s="1152"/>
      <c r="AK485" s="1152"/>
      <c r="AL485" s="1152"/>
      <c r="AM485" s="1152"/>
      <c r="AN485" s="1152"/>
      <c r="AO485" s="1152"/>
      <c r="AP485" s="1152"/>
      <c r="AQ485" s="1152"/>
      <c r="AR485" s="1152"/>
      <c r="AS485" s="1152"/>
      <c r="AT485" s="1152"/>
      <c r="AU485" s="1152"/>
      <c r="AV485" s="1152"/>
      <c r="AW485" s="1152"/>
      <c r="AX485" s="1152"/>
      <c r="AY485" s="1152"/>
      <c r="AZ485" s="1152"/>
      <c r="BA485" s="1152"/>
      <c r="BB485" s="1152"/>
      <c r="BC485" s="1152"/>
      <c r="BD485" s="1152"/>
    </row>
    <row r="486" spans="1:56" ht="15" hidden="1" outlineLevel="1" thickBot="1" x14ac:dyDescent="0.35">
      <c r="A486" s="1182"/>
      <c r="B486" s="1181"/>
      <c r="C486" s="1181"/>
      <c r="D486" s="1181"/>
      <c r="E486" s="1181"/>
      <c r="F486" s="1181"/>
      <c r="G486" s="1181"/>
      <c r="H486" s="1181"/>
      <c r="I486" s="350"/>
      <c r="J486" s="351"/>
      <c r="K486" s="351"/>
      <c r="L486" s="351"/>
      <c r="M486" s="352"/>
      <c r="N486" s="351"/>
      <c r="O486" s="351"/>
      <c r="P486" s="351"/>
      <c r="Q486" s="352"/>
      <c r="R486" s="351"/>
      <c r="S486" s="351"/>
      <c r="T486" s="351"/>
      <c r="U486" s="352"/>
      <c r="V486" s="351"/>
      <c r="W486" s="352"/>
      <c r="X486" s="351"/>
      <c r="Y486" s="352"/>
      <c r="Z486" s="351"/>
      <c r="AA486" s="351"/>
      <c r="AB486" s="351"/>
      <c r="AC486" s="352"/>
      <c r="AD486" s="353" t="str">
        <f>IF(tbBudgetCurrency="AUD - Australian Dollar","",IFERROR(K486+M486+O486+Q486+S486+U486+W486+Y486+AA486+AC486,0))</f>
        <v/>
      </c>
      <c r="AE486" s="1152"/>
      <c r="AF486" s="1152"/>
      <c r="AG486" s="1152"/>
      <c r="AH486" s="1152"/>
      <c r="AI486" s="1152"/>
      <c r="AJ486" s="1152"/>
      <c r="AK486" s="1152"/>
      <c r="AL486" s="1152"/>
      <c r="AM486" s="1152"/>
      <c r="AN486" s="1152"/>
      <c r="AO486" s="1152"/>
      <c r="AP486" s="1152"/>
      <c r="AQ486" s="1152"/>
      <c r="AR486" s="1152"/>
      <c r="AS486" s="1152"/>
      <c r="AT486" s="1152"/>
      <c r="AU486" s="1152"/>
      <c r="AV486" s="1152"/>
      <c r="AW486" s="1152"/>
      <c r="AX486" s="1152"/>
      <c r="AY486" s="1152"/>
      <c r="AZ486" s="1152"/>
      <c r="BA486" s="1152"/>
      <c r="BB486" s="1152"/>
      <c r="BC486" s="1152"/>
      <c r="BD486" s="1152"/>
    </row>
    <row r="487" spans="1:56" hidden="1" outlineLevel="1" x14ac:dyDescent="0.3">
      <c r="A487" s="1182"/>
      <c r="B487" s="460" t="str">
        <f>IF('PART B Staff Costs'!B58="","",'PART B Staff Costs'!B58)</f>
        <v/>
      </c>
      <c r="C487" s="460" t="str">
        <f>IF('PART B Staff Costs'!C58="","",'PART B Staff Costs'!C58)</f>
        <v xml:space="preserve"> </v>
      </c>
      <c r="D487" s="461" t="str">
        <f>IF('PART B Staff Costs'!D58="","",'PART B Staff Costs'!D58)</f>
        <v/>
      </c>
      <c r="E487" s="461" t="str">
        <f>IF('PART B Staff Costs'!E58="","",'PART B Staff Costs'!E58)</f>
        <v/>
      </c>
      <c r="F487" s="461" t="str">
        <f>IF('PART B Staff Costs'!F58="","",'PART B Staff Costs'!F58)</f>
        <v/>
      </c>
      <c r="G487" s="461" t="str">
        <f>IF('PART B Staff Costs'!G58="","",'PART B Staff Costs'!G58)</f>
        <v/>
      </c>
      <c r="H487" s="454" t="str">
        <f t="shared" ref="H487" si="2105">CONCATENATE(IF(D487=0,"",D487)," ",IF(E487=0,"",E487)," ",IF(F487=0,"",F487),,IF(OR(G487=0,G487=""),"",CONCATENATE(" (",G487,")")))</f>
        <v xml:space="preserve">  </v>
      </c>
      <c r="I487" s="454" t="s">
        <v>313</v>
      </c>
      <c r="J487" s="333">
        <f>_xlfn.IFNA('PART B Staff Costs'!H58*'PART B Staff Costs'!J$10,0)*new_xrate</f>
        <v>0</v>
      </c>
      <c r="K487" s="441"/>
      <c r="L487" s="334">
        <f>_xlfn.IFNA(IF(pStartYear+1&gt;pEndYear,0,VLOOKUP(CONCATENATE(
IF(OR($D487="Continuing",$D487="Fixed-Term"),"Fortnight",IF($D487="Casual","Casual",)),
$E487,
IF(OR($D487="Continuing",$D487="Fixed-Term"),
IF(LEFT($F487,6)="UOM 10","UOM 10",(LEFT($F487,LEN($F487)-1)&amp;MIN(RIGHT($F487,1)+COUNTIFS($J488:K488,"&gt;0")/2,VLOOKUP(LEFT($F487,LEN($F487)-2),tSalaryMax,2,FALSE)))),
IF($D487="Casual",
$F487,))
),tSalaryRate,5,FALSE)*VLOOKUP($G487,tSalaryRateMultiplier,2,FALSE)*'PART B Staff Costs'!L$10),0)*new_xrate</f>
        <v>0</v>
      </c>
      <c r="M487" s="449"/>
      <c r="N487" s="333">
        <f>_xlfn.IFNA(IF(pStartYear+2&gt;pEndYear,0,VLOOKUP(CONCATENATE(
IF(OR($D487="Continuing",$D487="Fixed-Term"),"Fortnight",IF($D487="Casual","Casual",)),
$E487,
IF(OR($D487="Continuing",$D487="Fixed-Term"),
IF(LEFT($F487,6)="UOM 10","UOM 10",(LEFT($F487,LEN($F487)-1)&amp;MIN(RIGHT($F487,1)+COUNTIFS($J488:M488,"&gt;0")/2,VLOOKUP(LEFT($F487,LEN($F487)-2),tSalaryMax,2,FALSE)))),
IF($D487="Casual",
$F487,))
),tSalaryRate,5,FALSE)*VLOOKUP($G487,tSalaryRateMultiplier,2,FALSE)*'PART B Staff Costs'!N$10),0)*new_xrate</f>
        <v>0</v>
      </c>
      <c r="O487" s="441"/>
      <c r="P487" s="334">
        <f>_xlfn.IFNA(IF(pStartYear+3&gt;pEndYear,0,VLOOKUP(CONCATENATE(
IF(OR($D487="Continuing",$D487="Fixed-Term"),"Fortnight",IF($D487="Casual","Casual",)),
$E487,
IF(OR($D487="Continuing",$D487="Fixed-Term"),
IF(LEFT($F487,6)="UOM 10","UOM 10",(LEFT($F487,LEN($F487)-1)&amp;MIN(RIGHT($F487,1)+COUNTIFS($J488:O488,"&gt;0")/2,VLOOKUP(LEFT($F487,LEN($F487)-2),tSalaryMax,2,FALSE)))),
IF($D487="Casual",
$F487,))
),tSalaryRate,5,FALSE)*VLOOKUP($G487,tSalaryRateMultiplier,2,FALSE)*'PART B Staff Costs'!P$10),0)*new_xrate</f>
        <v>0</v>
      </c>
      <c r="Q487" s="449"/>
      <c r="R487" s="333">
        <f>_xlfn.IFNA(IF(pStartYear+4&gt;pEndYear,0,VLOOKUP(CONCATENATE(
IF(OR($D487="Continuing",$D487="Fixed-Term"),"Fortnight",IF($D487="Casual","Casual",)),
$E487,
IF(OR($D487="Continuing",$D487="Fixed-Term"),
IF(LEFT($F487,6)="UOM 10","UOM 10",(LEFT($F487,LEN($F487)-1)&amp;MIN(RIGHT($F487,1)+COUNTIFS($J488:Q488,"&gt;0")/2,VLOOKUP(LEFT($F487,LEN($F487)-2),tSalaryMax,2,FALSE)))),
IF($D487="Casual",
$F487,))
),tSalaryRate,5,FALSE)*VLOOKUP($G487,tSalaryRateMultiplier,2,FALSE)*'PART B Staff Costs'!R$10),0)*new_xrate</f>
        <v>0</v>
      </c>
      <c r="S487" s="441"/>
      <c r="T487" s="334">
        <f>_xlfn.IFNA(IF(pStartYear+5&gt;pEndYear,0,VLOOKUP(CONCATENATE(
IF(OR($D487="Continuing",$D487="Fixed-Term"),"Fortnight",IF($D487="Casual","Casual",)),
$E487,
IF(OR($D487="Continuing",$D487="Fixed-Term"),
IF(LEFT($F487,6)="UOM 10","UOM 10",(LEFT($F487,LEN($F487)-1)&amp;MIN(RIGHT($F487,1)+COUNTIFS($J488:S488,"&gt;0")/2,VLOOKUP(LEFT($F487,LEN($F487)-2),tSalaryMax,2,FALSE)))),
IF($D487="Casual",
$F487,))
),tSalaryRate,5,FALSE)*VLOOKUP($G487,tSalaryRateMultiplier,2,FALSE)*'PART B Staff Costs'!T$10),0)*new_xrate</f>
        <v>0</v>
      </c>
      <c r="U487" s="449"/>
      <c r="V487" s="333">
        <f>_xlfn.IFNA(IF(pStartYear+6&gt;pEndYear,0,VLOOKUP(CONCATENATE(
IF(OR($D487="Continuing",$D487="Fixed-Term"),"Fortnight",IF($D487="Casual","Casual",)),
$E487,
IF(OR($D487="Continuing",$D487="Fixed-Term"),
IF(LEFT($F487,6)="UOM 10","UOM 10",(LEFT($F487,LEN($F487)-1)&amp;MIN(RIGHT($F487,1)+COUNTIFS($J488:U488,"&gt;0")/2,VLOOKUP(LEFT($F487,LEN($F487)-2),tSalaryMax,2,FALSE)))),
IF($D487="Casual",
$F487,))
),tSalaryRate,5,FALSE)*VLOOKUP($G487,tSalaryRateMultiplier,2,FALSE)*'PART B Staff Costs'!V$10),0)*new_xrate</f>
        <v>0</v>
      </c>
      <c r="W487" s="441"/>
      <c r="X487" s="334">
        <f>_xlfn.IFNA(IF(pStartYear+7&gt;pEndYear,0,VLOOKUP(CONCATENATE(
IF(OR($D487="Continuing",$D487="Fixed-Term"),"Fortnight",IF($D487="Casual","Casual",)),
$E487,
IF(OR($D487="Continuing",$D487="Fixed-Term"),
IF(LEFT($F487,6)="UOM 10","UOM 10",(LEFT($F487,LEN($F487)-1)&amp;MIN(RIGHT($F487,1)+COUNTIFS($J488:W488,"&gt;0")/2,VLOOKUP(LEFT($F487,LEN($F487)-2),tSalaryMax,2,FALSE)))),
IF($D487="Casual",
$F487,))
),tSalaryRate,5,FALSE)*VLOOKUP($G487,tSalaryRateMultiplier,2,FALSE)*'PART B Staff Costs'!X$10),0)*new_xrate</f>
        <v>0</v>
      </c>
      <c r="Y487" s="449"/>
      <c r="Z487" s="333">
        <f>_xlfn.IFNA(IF(pStartYear+8&gt;pEndYear,0,VLOOKUP(CONCATENATE(
IF(OR($D487="Continuing",$D487="Fixed-Term"),"Fortnight",IF($D487="Casual","Casual",)),
$E487,
IF(OR($D487="Continuing",$D487="Fixed-Term"),
IF(LEFT($F487,6)="UOM 10","UOM 10",(LEFT($F487,LEN($F487)-1)&amp;MIN(RIGHT($F487,1)+COUNTIFS($J488:Y488,"&gt;0")/2,VLOOKUP(LEFT($F487,LEN($F487)-2),tSalaryMax,2,FALSE)))),
IF($D487="Casual",
$F487,))
),tSalaryRate,5,FALSE)*VLOOKUP($G487,tSalaryRateMultiplier,2,FALSE)*'PART B Staff Costs'!Z$10),0)*new_xrate</f>
        <v>0</v>
      </c>
      <c r="AA487" s="441"/>
      <c r="AB487" s="334">
        <f>_xlfn.IFNA(IF(pStartYear+9&gt;pEndYear,0,VLOOKUP(CONCATENATE(
IF(OR($D487="Continuing",$D487="Fixed-Term"),"Fortnight",IF($D487="Casual","Casual",)),
$E487,
IF(OR($D487="Continuing",$D487="Fixed-Term"),
IF(LEFT($F487,6)="UOM 10","UOM 10",(LEFT($F487,LEN($F487)-1)&amp;MIN(RIGHT($F487,1)+COUNTIFS($J488:AA488,"&gt;0")/2,VLOOKUP(LEFT($F487,LEN($F487)-2),tSalaryMax,2,FALSE)))),
IF($D487="Casual",
$F487,))
),tSalaryRate,5,FALSE)*VLOOKUP($G487,tSalaryRateMultiplier,2,FALSE)*'PART B Staff Costs'!AB$10),0)*new_xrate</f>
        <v>0</v>
      </c>
      <c r="AC487" s="449"/>
      <c r="AD487" s="335"/>
      <c r="AE487" s="1152"/>
      <c r="AF487" s="1152"/>
      <c r="AG487" s="1152"/>
      <c r="AH487" s="1152"/>
      <c r="AI487" s="1152"/>
      <c r="AJ487" s="1152"/>
      <c r="AK487" s="1152"/>
      <c r="AL487" s="1152"/>
      <c r="AM487" s="1152"/>
      <c r="AN487" s="1152"/>
      <c r="AO487" s="1152"/>
      <c r="AP487" s="1152"/>
      <c r="AQ487" s="1152"/>
      <c r="AR487" s="1152"/>
      <c r="AS487" s="1152"/>
      <c r="AT487" s="1152"/>
      <c r="AU487" s="1152"/>
      <c r="AV487" s="1152"/>
      <c r="AW487" s="1152"/>
      <c r="AX487" s="1152"/>
      <c r="AY487" s="1152"/>
      <c r="AZ487" s="1152"/>
      <c r="BA487" s="1152"/>
      <c r="BB487" s="1152"/>
      <c r="BC487" s="1152"/>
      <c r="BD487" s="1152"/>
    </row>
    <row r="488" spans="1:56" hidden="1" outlineLevel="1" x14ac:dyDescent="0.3">
      <c r="A488" s="1182"/>
      <c r="B488" s="1377"/>
      <c r="C488" s="1377"/>
      <c r="D488" s="1377"/>
      <c r="E488" s="1377"/>
      <c r="F488" s="1377"/>
      <c r="G488" s="1377"/>
      <c r="H488" s="1378"/>
      <c r="I488" s="455" t="str">
        <f>IF('PART B Staff Costs'!G483&lt;&gt;"",CONCATENATE("Time/Requested salary"," (",'PART B Staff Costs'!G483,")"),"Time/Requested salary")</f>
        <v>Time/Requested salary</v>
      </c>
      <c r="J488" s="337">
        <f>_xlfn.IFNA('PART B Staff Costs'!I58,0)</f>
        <v>0</v>
      </c>
      <c r="K488" s="442">
        <f>IF('PART B Staff Costs'!$G$58="FTE",J488*J487*(First_year_fraction/12),J488*J487)</f>
        <v>0</v>
      </c>
      <c r="L488" s="338">
        <f>_xlfn.IFNA('PART B Staff Costs'!K58,0)</f>
        <v>0</v>
      </c>
      <c r="M488" s="450">
        <f>IF(pStartYear+1=pEndYear,IF('PART B Staff Costs'!$G$58="FTE",(L488*L487)*Last_Year_Fraction/12,L488*L487),L488*L487)</f>
        <v>0</v>
      </c>
      <c r="N488" s="337">
        <f>_xlfn.IFNA('PART B Staff Costs'!M58,0)</f>
        <v>0</v>
      </c>
      <c r="O488" s="442">
        <f>IF(pStartYear+2=pEndYear,IF('PART B Staff Costs'!$G$58="FTE",(N488*N487)*Last_Year_Fraction/12,N488*N487),N488*N487)</f>
        <v>0</v>
      </c>
      <c r="P488" s="338">
        <f>_xlfn.IFNA('PART B Staff Costs'!O58,0)</f>
        <v>0</v>
      </c>
      <c r="Q488" s="450">
        <f>IF(pStartYear+3=pEndYear,IF('PART B Staff Costs'!$G$58="FTE",(P488*P487)*Last_Year_Fraction/12,P488*P487),P488*P487)</f>
        <v>0</v>
      </c>
      <c r="R488" s="337">
        <f>_xlfn.IFNA('PART B Staff Costs'!Q58,0)</f>
        <v>0</v>
      </c>
      <c r="S488" s="442">
        <f>IF(pStartYear+4=pEndYear,IF('PART B Staff Costs'!$G$58="FTE",(R488*R487)*Last_Year_Fraction/12,R488*R487),R488*R487)</f>
        <v>0</v>
      </c>
      <c r="T488" s="338">
        <f>_xlfn.IFNA('PART B Staff Costs'!S58,0)</f>
        <v>0</v>
      </c>
      <c r="U488" s="450">
        <f>IF(pStartYear+5=pEndYear,IF('PART B Staff Costs'!$G$58="FTE",(T488*T487)*Last_Year_Fraction/12,T488*T487),T488*T487)</f>
        <v>0</v>
      </c>
      <c r="V488" s="337">
        <f>_xlfn.IFNA('PART B Staff Costs'!U58,0)</f>
        <v>0</v>
      </c>
      <c r="W488" s="442">
        <f>IF(pStartYear+6=pEndYear,IF('PART B Staff Costs'!$G$58="FTE",(V488*V487)*Last_Year_Fraction/12,V488*V487),V488*V487)</f>
        <v>0</v>
      </c>
      <c r="X488" s="338">
        <f>_xlfn.IFNA('PART B Staff Costs'!W58,0)</f>
        <v>0</v>
      </c>
      <c r="Y488" s="450">
        <f>IF(pStartYear+7=pEndYear,IF('PART B Staff Costs'!$G$58="FTE",(X488*X487)*Last_Year_Fraction/12,X488*X487),X488*X487)</f>
        <v>0</v>
      </c>
      <c r="Z488" s="337">
        <f>_xlfn.IFNA('PART B Staff Costs'!Y58,0)</f>
        <v>0</v>
      </c>
      <c r="AA488" s="442">
        <f>IF(pStartYear+8=pEndYear,IF('PART B Staff Costs'!$G$58="FTE",(Z488*Z487)*Last_Year_Fraction/12,Z488*Z487),Z488*Z487)</f>
        <v>0</v>
      </c>
      <c r="AB488" s="338">
        <f>_xlfn.IFNA('PART B Staff Costs'!AA58,0)</f>
        <v>0</v>
      </c>
      <c r="AC488" s="450">
        <f>IF(pStartYear+9=pEndYear,IF('PART B Staff Costs'!$G$58="FTE",(AB488*AB487)*Last_Year_Fraction/12,AB488*AB487),AB488*AB487)</f>
        <v>0</v>
      </c>
      <c r="AD488" s="335"/>
      <c r="AE488" s="1152"/>
      <c r="AF488" s="1152"/>
      <c r="AG488" s="1152"/>
      <c r="AH488" s="1152"/>
      <c r="AI488" s="1152"/>
      <c r="AJ488" s="1152"/>
      <c r="AK488" s="1152"/>
      <c r="AL488" s="1152"/>
      <c r="AM488" s="1152"/>
      <c r="AN488" s="1152"/>
      <c r="AO488" s="1152"/>
      <c r="AP488" s="1152"/>
      <c r="AQ488" s="1152"/>
      <c r="AR488" s="1152"/>
      <c r="AS488" s="1152"/>
      <c r="AT488" s="1152"/>
      <c r="AU488" s="1152"/>
      <c r="AV488" s="1152"/>
      <c r="AW488" s="1152"/>
      <c r="AX488" s="1152"/>
      <c r="AY488" s="1152"/>
      <c r="AZ488" s="1152"/>
      <c r="BA488" s="1152"/>
      <c r="BB488" s="1152"/>
      <c r="BC488" s="1152"/>
      <c r="BD488" s="1152"/>
    </row>
    <row r="489" spans="1:56" hidden="1" outlineLevel="1" x14ac:dyDescent="0.3">
      <c r="A489" s="1182"/>
      <c r="B489" s="1379"/>
      <c r="C489" s="1379"/>
      <c r="D489" s="1379"/>
      <c r="E489" s="1379"/>
      <c r="F489" s="1379"/>
      <c r="G489" s="1379"/>
      <c r="H489" s="1380"/>
      <c r="I489" s="455" t="str">
        <f>IF(tbBudgetCurrency="AUD - Australian Dollar",CONCATENATE("Leave Loading (max of AU$",vl_Max_Leave_Loading,")"),CONCATENATE("Leave Loading (max of ",ROUND(vl_Max_Leave_Loading*new_xrate,2)," ",LEFT(tbBudgetCurrency,3),")"))</f>
        <v>Leave Loading (max of AU$1611.3)</v>
      </c>
      <c r="J489" s="339">
        <f>_xlfn.IFNA(VLOOKUP($D487,tbLeaveLoading,2,FALSE),0)</f>
        <v>0</v>
      </c>
      <c r="K489" s="443">
        <f>IF(K488*J489&gt;vl_Max_Leave_Loading*new_xrate,vl_Max_Leave_Loading*new_xrate,K488*J489)</f>
        <v>0</v>
      </c>
      <c r="L489" s="340">
        <f>_xlfn.IFNA(VLOOKUP($D487,tbLeaveLoading,2,FALSE),0)</f>
        <v>0</v>
      </c>
      <c r="M489" s="451">
        <f>IF(M488*L489&gt;vl_Max_Leave_Loading*new_xrate,vl_Max_Leave_Loading*new_xrate,M488*L489)</f>
        <v>0</v>
      </c>
      <c r="N489" s="339">
        <f>_xlfn.IFNA(VLOOKUP($D487,tbLeaveLoading,2,FALSE),0)</f>
        <v>0</v>
      </c>
      <c r="O489" s="443">
        <f>IF(O488*N489&gt;vl_Max_Leave_Loading*new_xrate,vl_Max_Leave_Loading*new_xrate,O488*N489)</f>
        <v>0</v>
      </c>
      <c r="P489" s="340">
        <f>_xlfn.IFNA(VLOOKUP($D487,tbLeaveLoading,2,FALSE),0)</f>
        <v>0</v>
      </c>
      <c r="Q489" s="451">
        <f>IF(Q488*P489&gt;vl_Max_Leave_Loading*new_xrate,vl_Max_Leave_Loading*new_xrate,Q488*P489)</f>
        <v>0</v>
      </c>
      <c r="R489" s="339">
        <f>_xlfn.IFNA(VLOOKUP($D487,tbLeaveLoading,2,FALSE),0)</f>
        <v>0</v>
      </c>
      <c r="S489" s="443">
        <f>IF(S488*R489&gt;vl_Max_Leave_Loading*new_xrate,vl_Max_Leave_Loading*new_xrate,S488*R489)</f>
        <v>0</v>
      </c>
      <c r="T489" s="340">
        <f>_xlfn.IFNA(VLOOKUP($D487,tbLeaveLoading,2,FALSE),0)</f>
        <v>0</v>
      </c>
      <c r="U489" s="451">
        <f>IF(U488*T489&gt;vl_Max_Leave_Loading*new_xrate,vl_Max_Leave_Loading*new_xrate,U488*T489)</f>
        <v>0</v>
      </c>
      <c r="V489" s="339">
        <f>_xlfn.IFNA(VLOOKUP($D487,tbLeaveLoading,2,FALSE),0)</f>
        <v>0</v>
      </c>
      <c r="W489" s="443">
        <f>IF(W488*V489&gt;vl_Max_Leave_Loading*new_xrate,vl_Max_Leave_Loading*new_xrate,W488*V489)</f>
        <v>0</v>
      </c>
      <c r="X489" s="340">
        <f>_xlfn.IFNA(VLOOKUP($D487,tbLeaveLoading,2,FALSE),0)</f>
        <v>0</v>
      </c>
      <c r="Y489" s="451">
        <f>IF(Y488*X489&gt;vl_Max_Leave_Loading*new_xrate,vl_Max_Leave_Loading*new_xrate,Y488*X489)</f>
        <v>0</v>
      </c>
      <c r="Z489" s="339">
        <f>_xlfn.IFNA(VLOOKUP($D487,tbLeaveLoading,2,FALSE),0)</f>
        <v>0</v>
      </c>
      <c r="AA489" s="443">
        <f>IF(AA488*Z489&gt;vl_Max_Leave_Loading*new_xrate,vl_Max_Leave_Loading*new_xrate,AA488*Z489)</f>
        <v>0</v>
      </c>
      <c r="AB489" s="340">
        <f>_xlfn.IFNA(VLOOKUP($D487,tbLeaveLoading,2,FALSE),0)</f>
        <v>0</v>
      </c>
      <c r="AC489" s="451">
        <f>IF(AC488*AB489&gt;vl_Max_Leave_Loading*new_xrate,vl_Max_Leave_Loading*new_xrate,AC488*AB489)</f>
        <v>0</v>
      </c>
      <c r="AD489" s="335"/>
      <c r="AE489" s="1152"/>
      <c r="AF489" s="1152"/>
      <c r="AG489" s="1152"/>
      <c r="AH489" s="1152"/>
      <c r="AI489" s="1152"/>
      <c r="AJ489" s="1152"/>
      <c r="AK489" s="1152"/>
      <c r="AL489" s="1152"/>
      <c r="AM489" s="1152"/>
      <c r="AN489" s="1152"/>
      <c r="AO489" s="1152"/>
      <c r="AP489" s="1152"/>
      <c r="AQ489" s="1152"/>
      <c r="AR489" s="1152"/>
      <c r="AS489" s="1152"/>
      <c r="AT489" s="1152"/>
      <c r="AU489" s="1152"/>
      <c r="AV489" s="1152"/>
      <c r="AW489" s="1152"/>
      <c r="AX489" s="1152"/>
      <c r="AY489" s="1152"/>
      <c r="AZ489" s="1152"/>
      <c r="BA489" s="1152"/>
      <c r="BB489" s="1152"/>
      <c r="BC489" s="1152"/>
      <c r="BD489" s="1152"/>
    </row>
    <row r="490" spans="1:56" hidden="1" outlineLevel="1" x14ac:dyDescent="0.3">
      <c r="A490" s="1182"/>
      <c r="B490" s="1379"/>
      <c r="C490" s="1379"/>
      <c r="D490" s="1379"/>
      <c r="E490" s="1379"/>
      <c r="F490" s="1379"/>
      <c r="G490" s="1379"/>
      <c r="H490" s="1380"/>
      <c r="I490" s="455" t="s">
        <v>314</v>
      </c>
      <c r="J490" s="339">
        <f>_xlfn.IFNA(_xlfn.IFNA(VLOOKUP(CONCATENATE(pStartYear,$D487),tbSuperannuation,4,FALSE),VLOOKUP($D487,tbSuperannuation2026onwards,2,FALSE)),0)</f>
        <v>0</v>
      </c>
      <c r="K490" s="443">
        <f>K488*J490</f>
        <v>0</v>
      </c>
      <c r="L490" s="340">
        <f>_xlfn.IFNA(_xlfn.IFNA(VLOOKUP(CONCATENATE(pStartYear+1,$D487),tbSuperannuation,4,FALSE),VLOOKUP($D487,tbSuperannuation2026onwards,2,FALSE)),0)</f>
        <v>0</v>
      </c>
      <c r="M490" s="451">
        <f t="shared" ref="M490" si="2106">M488*L490</f>
        <v>0</v>
      </c>
      <c r="N490" s="339">
        <f>_xlfn.IFNA(_xlfn.IFNA(VLOOKUP(CONCATENATE(pStartYear+2,$D487),tbSuperannuation,4,FALSE),VLOOKUP($D487,tbSuperannuation2026onwards,2,FALSE)),0)</f>
        <v>0</v>
      </c>
      <c r="O490" s="443">
        <f>O488*N490</f>
        <v>0</v>
      </c>
      <c r="P490" s="340">
        <f>_xlfn.IFNA(_xlfn.IFNA(VLOOKUP(CONCATENATE(pStartYear+3,$D487),tbSuperannuation,4,FALSE),VLOOKUP($D487,tbSuperannuation2026onwards,2,FALSE)),0)</f>
        <v>0</v>
      </c>
      <c r="Q490" s="451">
        <f t="shared" ref="Q490" si="2107">Q488*P490</f>
        <v>0</v>
      </c>
      <c r="R490" s="339">
        <f>_xlfn.IFNA(_xlfn.IFNA(VLOOKUP(CONCATENATE(pStartYear+4,$D487),tbSuperannuation,4,FALSE),VLOOKUP($D487,tbSuperannuation2026onwards,2,FALSE)),0)</f>
        <v>0</v>
      </c>
      <c r="S490" s="443">
        <f>S488*R490</f>
        <v>0</v>
      </c>
      <c r="T490" s="340">
        <f>_xlfn.IFNA(_xlfn.IFNA(VLOOKUP(CONCATENATE(pStartYear+5,$D487),tbSuperannuation,4,FALSE),VLOOKUP($D487,tbSuperannuation2026onwards,2,FALSE)),0)</f>
        <v>0</v>
      </c>
      <c r="U490" s="451">
        <f t="shared" ref="U490" si="2108">U488*T490</f>
        <v>0</v>
      </c>
      <c r="V490" s="339">
        <f>_xlfn.IFNA(_xlfn.IFNA(VLOOKUP(CONCATENATE(pStartYear+6,$D487),tbSuperannuation,4,FALSE),VLOOKUP($D487,tbSuperannuation2026onwards,2,FALSE)),0)</f>
        <v>0</v>
      </c>
      <c r="W490" s="443">
        <f>W488*V490</f>
        <v>0</v>
      </c>
      <c r="X490" s="340">
        <f>_xlfn.IFNA(_xlfn.IFNA(VLOOKUP(CONCATENATE(pStartYear+7,$D487),tbSuperannuation,4,FALSE),VLOOKUP($D487,tbSuperannuation2026onwards,2,FALSE)),0)</f>
        <v>0</v>
      </c>
      <c r="Y490" s="451">
        <f t="shared" ref="Y490" si="2109">Y488*X490</f>
        <v>0</v>
      </c>
      <c r="Z490" s="339">
        <f>_xlfn.IFNA(_xlfn.IFNA(VLOOKUP(CONCATENATE(pStartYear+8,$D487),tbSuperannuation,4,FALSE),VLOOKUP($D487,tbSuperannuation2026onwards,2,FALSE)),0)</f>
        <v>0</v>
      </c>
      <c r="AA490" s="443">
        <f>AA488*Z490</f>
        <v>0</v>
      </c>
      <c r="AB490" s="340">
        <f>_xlfn.IFNA(_xlfn.IFNA(VLOOKUP(CONCATENATE(pStartYear+9,$D487),tbSuperannuation,4,FALSE),VLOOKUP($D487,tbSuperannuation2026onwards,2,FALSE)),0)</f>
        <v>0</v>
      </c>
      <c r="AC490" s="451">
        <f t="shared" ref="AC490" si="2110">AC488*AB490</f>
        <v>0</v>
      </c>
      <c r="AD490" s="335"/>
      <c r="AE490" s="1152"/>
      <c r="AF490" s="1152"/>
      <c r="AG490" s="1152"/>
      <c r="AH490" s="1152"/>
      <c r="AI490" s="1152"/>
      <c r="AJ490" s="1152"/>
      <c r="AK490" s="1152"/>
      <c r="AL490" s="1152"/>
      <c r="AM490" s="1152"/>
      <c r="AN490" s="1152"/>
      <c r="AO490" s="1152"/>
      <c r="AP490" s="1152"/>
      <c r="AQ490" s="1152"/>
      <c r="AR490" s="1152"/>
      <c r="AS490" s="1152"/>
      <c r="AT490" s="1152"/>
      <c r="AU490" s="1152"/>
      <c r="AV490" s="1152"/>
      <c r="AW490" s="1152"/>
      <c r="AX490" s="1152"/>
      <c r="AY490" s="1152"/>
      <c r="AZ490" s="1152"/>
      <c r="BA490" s="1152"/>
      <c r="BB490" s="1152"/>
      <c r="BC490" s="1152"/>
      <c r="BD490" s="1152"/>
    </row>
    <row r="491" spans="1:56" hidden="1" outlineLevel="1" x14ac:dyDescent="0.3">
      <c r="A491" s="1182"/>
      <c r="B491" s="1379"/>
      <c r="C491" s="1379"/>
      <c r="D491" s="1379"/>
      <c r="E491" s="1379"/>
      <c r="F491" s="1379"/>
      <c r="G491" s="1379"/>
      <c r="H491" s="1380"/>
      <c r="I491" s="341" t="s">
        <v>315</v>
      </c>
      <c r="J491" s="342"/>
      <c r="K491" s="444">
        <f>K489+K490+K488</f>
        <v>0</v>
      </c>
      <c r="L491" s="342"/>
      <c r="M491" s="444">
        <f t="shared" ref="M491" si="2111">M489+M490+M488</f>
        <v>0</v>
      </c>
      <c r="N491" s="342"/>
      <c r="O491" s="444">
        <f>O489+O490+O488</f>
        <v>0</v>
      </c>
      <c r="P491" s="342"/>
      <c r="Q491" s="444">
        <f t="shared" ref="Q491" si="2112">Q489+Q490+Q488</f>
        <v>0</v>
      </c>
      <c r="R491" s="342"/>
      <c r="S491" s="444">
        <f>S489+S490+S488</f>
        <v>0</v>
      </c>
      <c r="T491" s="342"/>
      <c r="U491" s="444">
        <f t="shared" ref="U491" si="2113">U489+U490+U488</f>
        <v>0</v>
      </c>
      <c r="V491" s="342"/>
      <c r="W491" s="444">
        <f>W489+W490+W488</f>
        <v>0</v>
      </c>
      <c r="X491" s="342"/>
      <c r="Y491" s="444">
        <f t="shared" ref="Y491" si="2114">Y489+Y490+Y488</f>
        <v>0</v>
      </c>
      <c r="Z491" s="342"/>
      <c r="AA491" s="444">
        <f>AA489+AA490+AA488</f>
        <v>0</v>
      </c>
      <c r="AB491" s="342"/>
      <c r="AC491" s="444">
        <f t="shared" ref="AC491" si="2115">AC489+AC490+AC488</f>
        <v>0</v>
      </c>
      <c r="AD491" s="335">
        <f t="shared" ref="AD491:AD561" si="2116">IFERROR($K491+$M491+$O491+$Q491+$S491+$U491+$W491+$Y491+$AA491+$AC491,0)</f>
        <v>0</v>
      </c>
      <c r="AE491" s="1152"/>
      <c r="AF491" s="1152"/>
      <c r="AG491" s="1152"/>
      <c r="AH491" s="1152"/>
      <c r="AI491" s="1152"/>
      <c r="AJ491" s="1152"/>
      <c r="AK491" s="1152"/>
      <c r="AL491" s="1152"/>
      <c r="AM491" s="1152"/>
      <c r="AN491" s="1152"/>
      <c r="AO491" s="1152"/>
      <c r="AP491" s="1152"/>
      <c r="AQ491" s="1152"/>
      <c r="AR491" s="1152"/>
      <c r="AS491" s="1152"/>
      <c r="AT491" s="1152"/>
      <c r="AU491" s="1152"/>
      <c r="AV491" s="1152"/>
      <c r="AW491" s="1152"/>
      <c r="AX491" s="1152"/>
      <c r="AY491" s="1152"/>
      <c r="AZ491" s="1152"/>
      <c r="BA491" s="1152"/>
      <c r="BB491" s="1152"/>
      <c r="BC491" s="1152"/>
      <c r="BD491" s="1152"/>
    </row>
    <row r="492" spans="1:56" hidden="1" outlineLevel="1" x14ac:dyDescent="0.3">
      <c r="A492" s="1182"/>
      <c r="B492" s="1379"/>
      <c r="C492" s="1379"/>
      <c r="D492" s="1379"/>
      <c r="E492" s="1379"/>
      <c r="F492" s="1379"/>
      <c r="G492" s="1379"/>
      <c r="H492" s="1380"/>
      <c r="I492" s="455" t="s">
        <v>316</v>
      </c>
      <c r="J492" s="339">
        <f>_xlfn.IFNA(_xlfn.IFNA(VLOOKUP(pStartYear,tbPayrollTax,2,FALSE),vl_MaxPayrollTax),0)</f>
        <v>5.8500000000000003E-2</v>
      </c>
      <c r="K492" s="443">
        <f>J492*K491</f>
        <v>0</v>
      </c>
      <c r="L492" s="340">
        <f>_xlfn.IFNA(_xlfn.IFNA(VLOOKUP(pStartYear+1,tbPayrollTax,2,FALSE),vl_MaxPayrollTax),0)</f>
        <v>5.8500000000000003E-2</v>
      </c>
      <c r="M492" s="451">
        <f t="shared" ref="M492" si="2117">L492*M491</f>
        <v>0</v>
      </c>
      <c r="N492" s="339">
        <f>_xlfn.IFNA(_xlfn.IFNA(VLOOKUP(pStartYear+2,tbPayrollTax,2,FALSE),vl_MaxPayrollTax),0)</f>
        <v>5.8500000000000003E-2</v>
      </c>
      <c r="O492" s="443">
        <f>N492*O491</f>
        <v>0</v>
      </c>
      <c r="P492" s="340">
        <f>_xlfn.IFNA(_xlfn.IFNA(VLOOKUP(pStartYear+3,tbPayrollTax,2,FALSE),vl_MaxPayrollTax),0)</f>
        <v>5.8500000000000003E-2</v>
      </c>
      <c r="Q492" s="451">
        <f t="shared" ref="Q492" si="2118">P492*Q491</f>
        <v>0</v>
      </c>
      <c r="R492" s="339">
        <f>_xlfn.IFNA(_xlfn.IFNA(VLOOKUP(pStartYear+4,tbPayrollTax,2,FALSE),vl_MaxPayrollTax),0)</f>
        <v>5.8500000000000003E-2</v>
      </c>
      <c r="S492" s="443">
        <f>R492*S491</f>
        <v>0</v>
      </c>
      <c r="T492" s="340">
        <f>_xlfn.IFNA(_xlfn.IFNA(VLOOKUP(pStartYear+5,tbPayrollTax,2,FALSE),vl_MaxPayrollTax),0)</f>
        <v>5.8500000000000003E-2</v>
      </c>
      <c r="U492" s="451">
        <f t="shared" ref="U492" si="2119">T492*U491</f>
        <v>0</v>
      </c>
      <c r="V492" s="339">
        <f>_xlfn.IFNA(_xlfn.IFNA(VLOOKUP(pStartYear+6,tbPayrollTax,2,FALSE),vl_MaxPayrollTax),0)</f>
        <v>5.8500000000000003E-2</v>
      </c>
      <c r="W492" s="443">
        <f>V492*W491</f>
        <v>0</v>
      </c>
      <c r="X492" s="340">
        <f>_xlfn.IFNA(_xlfn.IFNA(VLOOKUP(pStartYear+7,tbPayrollTax,2,FALSE),vl_MaxPayrollTax),0)</f>
        <v>5.8500000000000003E-2</v>
      </c>
      <c r="Y492" s="451">
        <f t="shared" ref="Y492" si="2120">X492*Y491</f>
        <v>0</v>
      </c>
      <c r="Z492" s="339">
        <f>_xlfn.IFNA(_xlfn.IFNA(VLOOKUP(pStartYear+8,tbPayrollTax,2,FALSE),vl_MaxPayrollTax),0)</f>
        <v>5.8500000000000003E-2</v>
      </c>
      <c r="AA492" s="443">
        <f>Z492*AA491</f>
        <v>0</v>
      </c>
      <c r="AB492" s="340">
        <f>_xlfn.IFNA(_xlfn.IFNA(VLOOKUP(pStartYear+9,tbPayrollTax,2,FALSE),vl_MaxPayrollTax),0)</f>
        <v>5.8500000000000003E-2</v>
      </c>
      <c r="AC492" s="451">
        <f t="shared" ref="AC492" si="2121">AB492*AC491</f>
        <v>0</v>
      </c>
      <c r="AD492" s="335"/>
      <c r="AE492" s="1152"/>
      <c r="AF492" s="1152"/>
      <c r="AG492" s="1152"/>
      <c r="AH492" s="1152"/>
      <c r="AI492" s="1152"/>
      <c r="AJ492" s="1152"/>
      <c r="AK492" s="1152"/>
      <c r="AL492" s="1152"/>
      <c r="AM492" s="1152"/>
      <c r="AN492" s="1152"/>
      <c r="AO492" s="1152"/>
      <c r="AP492" s="1152"/>
      <c r="AQ492" s="1152"/>
      <c r="AR492" s="1152"/>
      <c r="AS492" s="1152"/>
      <c r="AT492" s="1152"/>
      <c r="AU492" s="1152"/>
      <c r="AV492" s="1152"/>
      <c r="AW492" s="1152"/>
      <c r="AX492" s="1152"/>
      <c r="AY492" s="1152"/>
      <c r="AZ492" s="1152"/>
      <c r="BA492" s="1152"/>
      <c r="BB492" s="1152"/>
      <c r="BC492" s="1152"/>
      <c r="BD492" s="1152"/>
    </row>
    <row r="493" spans="1:56" hidden="1" outlineLevel="1" x14ac:dyDescent="0.3">
      <c r="A493" s="1182"/>
      <c r="B493" s="1379"/>
      <c r="C493" s="1379"/>
      <c r="D493" s="1379"/>
      <c r="E493" s="1379"/>
      <c r="F493" s="1379"/>
      <c r="G493" s="1379"/>
      <c r="H493" s="1380"/>
      <c r="I493" s="455" t="s">
        <v>317</v>
      </c>
      <c r="J493" s="339">
        <f>_xlfn.IFNA(VLOOKUP($D487,tbWorkCover,2,FALSE),0)</f>
        <v>0</v>
      </c>
      <c r="K493" s="443">
        <f>J493*K491</f>
        <v>0</v>
      </c>
      <c r="L493" s="340">
        <f>_xlfn.IFNA(VLOOKUP($D487,tbWorkCover,2,FALSE),0)</f>
        <v>0</v>
      </c>
      <c r="M493" s="451">
        <f t="shared" ref="M493" si="2122">L493*M491</f>
        <v>0</v>
      </c>
      <c r="N493" s="339">
        <f>_xlfn.IFNA(VLOOKUP($D487,tbWorkCover,2,FALSE),0)</f>
        <v>0</v>
      </c>
      <c r="O493" s="443">
        <f>N493*O491</f>
        <v>0</v>
      </c>
      <c r="P493" s="340">
        <f>_xlfn.IFNA(VLOOKUP($D487,tbWorkCover,2,FALSE),0)</f>
        <v>0</v>
      </c>
      <c r="Q493" s="451">
        <f t="shared" ref="Q493" si="2123">P493*Q491</f>
        <v>0</v>
      </c>
      <c r="R493" s="339">
        <f>_xlfn.IFNA(VLOOKUP($D487,tbWorkCover,2,FALSE),0)</f>
        <v>0</v>
      </c>
      <c r="S493" s="443">
        <f>R493*S491</f>
        <v>0</v>
      </c>
      <c r="T493" s="340">
        <f>_xlfn.IFNA(VLOOKUP($D487,tbWorkCover,2,FALSE),0)</f>
        <v>0</v>
      </c>
      <c r="U493" s="451">
        <f t="shared" ref="U493" si="2124">T493*U491</f>
        <v>0</v>
      </c>
      <c r="V493" s="339">
        <f>_xlfn.IFNA(VLOOKUP($D487,tbWorkCover,2,FALSE),0)</f>
        <v>0</v>
      </c>
      <c r="W493" s="443">
        <f>V493*W491</f>
        <v>0</v>
      </c>
      <c r="X493" s="340">
        <f>_xlfn.IFNA(VLOOKUP($D487,tbWorkCover,2,FALSE),0)</f>
        <v>0</v>
      </c>
      <c r="Y493" s="451">
        <f t="shared" ref="Y493" si="2125">X493*Y491</f>
        <v>0</v>
      </c>
      <c r="Z493" s="339">
        <f>_xlfn.IFNA(VLOOKUP($D487,tbWorkCover,2,FALSE),0)</f>
        <v>0</v>
      </c>
      <c r="AA493" s="443">
        <f>Z493*AA491</f>
        <v>0</v>
      </c>
      <c r="AB493" s="340">
        <f>_xlfn.IFNA(VLOOKUP($D487,tbWorkCover,2,FALSE),0)</f>
        <v>0</v>
      </c>
      <c r="AC493" s="451">
        <f t="shared" ref="AC493" si="2126">AB493*AC491</f>
        <v>0</v>
      </c>
      <c r="AD493" s="335"/>
      <c r="AE493" s="1152"/>
      <c r="AF493" s="1152"/>
      <c r="AG493" s="1152"/>
      <c r="AH493" s="1152"/>
      <c r="AI493" s="1152"/>
      <c r="AJ493" s="1152"/>
      <c r="AK493" s="1152"/>
      <c r="AL493" s="1152"/>
      <c r="AM493" s="1152"/>
      <c r="AN493" s="1152"/>
      <c r="AO493" s="1152"/>
      <c r="AP493" s="1152"/>
      <c r="AQ493" s="1152"/>
      <c r="AR493" s="1152"/>
      <c r="AS493" s="1152"/>
      <c r="AT493" s="1152"/>
      <c r="AU493" s="1152"/>
      <c r="AV493" s="1152"/>
      <c r="AW493" s="1152"/>
      <c r="AX493" s="1152"/>
      <c r="AY493" s="1152"/>
      <c r="AZ493" s="1152"/>
      <c r="BA493" s="1152"/>
      <c r="BB493" s="1152"/>
      <c r="BC493" s="1152"/>
      <c r="BD493" s="1152"/>
    </row>
    <row r="494" spans="1:56" hidden="1" outlineLevel="1" x14ac:dyDescent="0.3">
      <c r="A494" s="1182"/>
      <c r="B494" s="1379"/>
      <c r="C494" s="1379"/>
      <c r="D494" s="1379"/>
      <c r="E494" s="1379"/>
      <c r="F494" s="1379"/>
      <c r="G494" s="1379"/>
      <c r="H494" s="1380"/>
      <c r="I494" s="455" t="s">
        <v>318</v>
      </c>
      <c r="J494" s="339">
        <f>_xlfn.IFNA(VLOOKUP($D487,tbLongServiceLeave,2,FALSE),0)</f>
        <v>0</v>
      </c>
      <c r="K494" s="443">
        <f>J494*K488</f>
        <v>0</v>
      </c>
      <c r="L494" s="340">
        <f>_xlfn.IFNA(VLOOKUP($D487,tbLongServiceLeave,2,FALSE),0)</f>
        <v>0</v>
      </c>
      <c r="M494" s="451">
        <f t="shared" ref="M494" si="2127">L494*M488</f>
        <v>0</v>
      </c>
      <c r="N494" s="339">
        <f>_xlfn.IFNA(VLOOKUP($D487,tbLongServiceLeave,2,FALSE),0)</f>
        <v>0</v>
      </c>
      <c r="O494" s="443">
        <f>N494*O488</f>
        <v>0</v>
      </c>
      <c r="P494" s="340">
        <f>_xlfn.IFNA(VLOOKUP($D487,tbLongServiceLeave,2,FALSE),0)</f>
        <v>0</v>
      </c>
      <c r="Q494" s="451">
        <f t="shared" ref="Q494" si="2128">P494*Q488</f>
        <v>0</v>
      </c>
      <c r="R494" s="339">
        <f>_xlfn.IFNA(VLOOKUP($D487,tbLongServiceLeave,2,FALSE),0)</f>
        <v>0</v>
      </c>
      <c r="S494" s="443">
        <f>R494*S488</f>
        <v>0</v>
      </c>
      <c r="T494" s="340">
        <f>_xlfn.IFNA(VLOOKUP($D487,tbLongServiceLeave,2,FALSE),0)</f>
        <v>0</v>
      </c>
      <c r="U494" s="451">
        <f t="shared" ref="U494" si="2129">T494*U488</f>
        <v>0</v>
      </c>
      <c r="V494" s="339">
        <f>_xlfn.IFNA(VLOOKUP($D487,tbLongServiceLeave,2,FALSE),0)</f>
        <v>0</v>
      </c>
      <c r="W494" s="443">
        <f>V494*W488</f>
        <v>0</v>
      </c>
      <c r="X494" s="340">
        <f>_xlfn.IFNA(VLOOKUP($D487,tbLongServiceLeave,2,FALSE),0)</f>
        <v>0</v>
      </c>
      <c r="Y494" s="451">
        <f t="shared" ref="Y494" si="2130">X494*Y488</f>
        <v>0</v>
      </c>
      <c r="Z494" s="339">
        <f>_xlfn.IFNA(VLOOKUP($D487,tbLongServiceLeave,2,FALSE),0)</f>
        <v>0</v>
      </c>
      <c r="AA494" s="443">
        <f>Z494*AA488</f>
        <v>0</v>
      </c>
      <c r="AB494" s="340">
        <f>_xlfn.IFNA(VLOOKUP($D487,tbLongServiceLeave,2,FALSE),0)</f>
        <v>0</v>
      </c>
      <c r="AC494" s="451">
        <f t="shared" ref="AC494" si="2131">AB494*AC488</f>
        <v>0</v>
      </c>
      <c r="AD494" s="335"/>
      <c r="AE494" s="1152"/>
      <c r="AF494" s="1152"/>
      <c r="AG494" s="1152"/>
      <c r="AH494" s="1152"/>
      <c r="AI494" s="1152"/>
      <c r="AJ494" s="1152"/>
      <c r="AK494" s="1152"/>
      <c r="AL494" s="1152"/>
      <c r="AM494" s="1152"/>
      <c r="AN494" s="1152"/>
      <c r="AO494" s="1152"/>
      <c r="AP494" s="1152"/>
      <c r="AQ494" s="1152"/>
      <c r="AR494" s="1152"/>
      <c r="AS494" s="1152"/>
      <c r="AT494" s="1152"/>
      <c r="AU494" s="1152"/>
      <c r="AV494" s="1152"/>
      <c r="AW494" s="1152"/>
      <c r="AX494" s="1152"/>
      <c r="AY494" s="1152"/>
      <c r="AZ494" s="1152"/>
      <c r="BA494" s="1152"/>
      <c r="BB494" s="1152"/>
      <c r="BC494" s="1152"/>
      <c r="BD494" s="1152"/>
    </row>
    <row r="495" spans="1:56" hidden="1" outlineLevel="1" x14ac:dyDescent="0.3">
      <c r="A495" s="1182"/>
      <c r="B495" s="1379"/>
      <c r="C495" s="1379"/>
      <c r="D495" s="1379"/>
      <c r="E495" s="1379"/>
      <c r="F495" s="1379"/>
      <c r="G495" s="1379"/>
      <c r="H495" s="1380"/>
      <c r="I495" s="455" t="s">
        <v>319</v>
      </c>
      <c r="J495" s="339">
        <f>_xlfn.IFNA(VLOOKUP($D487,tbParentalLeave,2,FALSE),0)</f>
        <v>0</v>
      </c>
      <c r="K495" s="443">
        <f>J495*K488</f>
        <v>0</v>
      </c>
      <c r="L495" s="340">
        <f>_xlfn.IFNA(VLOOKUP($D487,tbParentalLeave,2,FALSE),0)</f>
        <v>0</v>
      </c>
      <c r="M495" s="451">
        <f t="shared" ref="M495" si="2132">L495*M488</f>
        <v>0</v>
      </c>
      <c r="N495" s="339">
        <f>_xlfn.IFNA(VLOOKUP($D487,tbParentalLeave,2,FALSE),0)</f>
        <v>0</v>
      </c>
      <c r="O495" s="443">
        <f>N495*O488</f>
        <v>0</v>
      </c>
      <c r="P495" s="340">
        <f>_xlfn.IFNA(VLOOKUP($D487,tbParentalLeave,2,FALSE),0)</f>
        <v>0</v>
      </c>
      <c r="Q495" s="451">
        <f t="shared" ref="Q495" si="2133">P495*Q488</f>
        <v>0</v>
      </c>
      <c r="R495" s="339">
        <f>_xlfn.IFNA(VLOOKUP($D487,tbParentalLeave,2,FALSE),0)</f>
        <v>0</v>
      </c>
      <c r="S495" s="443">
        <f>R495*S488</f>
        <v>0</v>
      </c>
      <c r="T495" s="340">
        <f>_xlfn.IFNA(VLOOKUP($D487,tbParentalLeave,2,FALSE),0)</f>
        <v>0</v>
      </c>
      <c r="U495" s="451">
        <f t="shared" ref="U495" si="2134">T495*U488</f>
        <v>0</v>
      </c>
      <c r="V495" s="339">
        <f>_xlfn.IFNA(VLOOKUP($D487,tbParentalLeave,2,FALSE),0)</f>
        <v>0</v>
      </c>
      <c r="W495" s="443">
        <f>V495*W488</f>
        <v>0</v>
      </c>
      <c r="X495" s="340">
        <f>_xlfn.IFNA(VLOOKUP($D487,tbParentalLeave,2,FALSE),0)</f>
        <v>0</v>
      </c>
      <c r="Y495" s="451">
        <f t="shared" ref="Y495" si="2135">X495*Y488</f>
        <v>0</v>
      </c>
      <c r="Z495" s="339">
        <f>_xlfn.IFNA(VLOOKUP($D487,tbParentalLeave,2,FALSE),0)</f>
        <v>0</v>
      </c>
      <c r="AA495" s="443">
        <f>Z495*AA488</f>
        <v>0</v>
      </c>
      <c r="AB495" s="340">
        <f>_xlfn.IFNA(VLOOKUP($D487,tbParentalLeave,2,FALSE),0)</f>
        <v>0</v>
      </c>
      <c r="AC495" s="451">
        <f t="shared" ref="AC495" si="2136">AB495*AC488</f>
        <v>0</v>
      </c>
      <c r="AD495" s="335"/>
      <c r="AE495" s="1152"/>
      <c r="AF495" s="1152"/>
      <c r="AG495" s="1152"/>
      <c r="AH495" s="1152"/>
      <c r="AI495" s="1152"/>
      <c r="AJ495" s="1152"/>
      <c r="AK495" s="1152"/>
      <c r="AL495" s="1152"/>
      <c r="AM495" s="1152"/>
      <c r="AN495" s="1152"/>
      <c r="AO495" s="1152"/>
      <c r="AP495" s="1152"/>
      <c r="AQ495" s="1152"/>
      <c r="AR495" s="1152"/>
      <c r="AS495" s="1152"/>
      <c r="AT495" s="1152"/>
      <c r="AU495" s="1152"/>
      <c r="AV495" s="1152"/>
      <c r="AW495" s="1152"/>
      <c r="AX495" s="1152"/>
      <c r="AY495" s="1152"/>
      <c r="AZ495" s="1152"/>
      <c r="BA495" s="1152"/>
      <c r="BB495" s="1152"/>
      <c r="BC495" s="1152"/>
      <c r="BD495" s="1152"/>
    </row>
    <row r="496" spans="1:56" hidden="1" outlineLevel="1" x14ac:dyDescent="0.3">
      <c r="A496" s="1182"/>
      <c r="B496" s="1379"/>
      <c r="C496" s="1379"/>
      <c r="D496" s="1379"/>
      <c r="E496" s="1379"/>
      <c r="F496" s="1379"/>
      <c r="G496" s="1379"/>
      <c r="H496" s="1380"/>
      <c r="I496" s="437" t="s">
        <v>320</v>
      </c>
      <c r="J496" s="438">
        <f>vl_overridden_uom_oncosts_per</f>
        <v>0</v>
      </c>
      <c r="K496" s="445">
        <f>J496*K488</f>
        <v>0</v>
      </c>
      <c r="L496" s="438">
        <f>vl_overridden_uom_oncosts_per</f>
        <v>0</v>
      </c>
      <c r="M496" s="445">
        <f>L496*M488</f>
        <v>0</v>
      </c>
      <c r="N496" s="438">
        <f>vl_overridden_uom_oncosts_per</f>
        <v>0</v>
      </c>
      <c r="O496" s="445">
        <f t="shared" ref="O496" si="2137">N496*O488</f>
        <v>0</v>
      </c>
      <c r="P496" s="438">
        <f>vl_overridden_uom_oncosts_per</f>
        <v>0</v>
      </c>
      <c r="Q496" s="445">
        <f t="shared" ref="Q496" si="2138">P496*Q488</f>
        <v>0</v>
      </c>
      <c r="R496" s="438">
        <f>vl_overridden_uom_oncosts_per</f>
        <v>0</v>
      </c>
      <c r="S496" s="445">
        <f t="shared" ref="S496" si="2139">R496*S488</f>
        <v>0</v>
      </c>
      <c r="T496" s="438">
        <f>vl_overridden_uom_oncosts_per</f>
        <v>0</v>
      </c>
      <c r="U496" s="445">
        <f t="shared" ref="U496" si="2140">T496*U488</f>
        <v>0</v>
      </c>
      <c r="V496" s="438">
        <f>vl_overridden_uom_oncosts_per</f>
        <v>0</v>
      </c>
      <c r="W496" s="445">
        <f t="shared" ref="W496" si="2141">V496*W488</f>
        <v>0</v>
      </c>
      <c r="X496" s="438">
        <f>vl_overridden_uom_oncosts_per</f>
        <v>0</v>
      </c>
      <c r="Y496" s="445">
        <f t="shared" ref="Y496" si="2142">X496*Y488</f>
        <v>0</v>
      </c>
      <c r="Z496" s="438">
        <f>vl_overridden_uom_oncosts_per</f>
        <v>0</v>
      </c>
      <c r="AA496" s="445">
        <f t="shared" ref="AA496" si="2143">Z496*AA488</f>
        <v>0</v>
      </c>
      <c r="AB496" s="438">
        <f>vl_overridden_uom_oncosts_per</f>
        <v>0</v>
      </c>
      <c r="AC496" s="445">
        <f t="shared" ref="AC496" si="2144">AB496*AC488</f>
        <v>0</v>
      </c>
      <c r="AD496" s="335"/>
      <c r="AE496" s="1152"/>
      <c r="AF496" s="1152"/>
      <c r="AG496" s="1152"/>
      <c r="AH496" s="1152"/>
      <c r="AI496" s="1152"/>
      <c r="AJ496" s="1152"/>
      <c r="AK496" s="1152"/>
      <c r="AL496" s="1152"/>
      <c r="AM496" s="1152"/>
      <c r="AN496" s="1152"/>
      <c r="AO496" s="1152"/>
      <c r="AP496" s="1152"/>
      <c r="AQ496" s="1152"/>
      <c r="AR496" s="1152"/>
      <c r="AS496" s="1152"/>
      <c r="AT496" s="1152"/>
      <c r="AU496" s="1152"/>
      <c r="AV496" s="1152"/>
      <c r="AW496" s="1152"/>
      <c r="AX496" s="1152"/>
      <c r="AY496" s="1152"/>
      <c r="AZ496" s="1152"/>
      <c r="BA496" s="1152"/>
      <c r="BB496" s="1152"/>
      <c r="BC496" s="1152"/>
      <c r="BD496" s="1152"/>
    </row>
    <row r="497" spans="1:56" hidden="1" outlineLevel="1" x14ac:dyDescent="0.3">
      <c r="A497" s="1182"/>
      <c r="B497" s="1379"/>
      <c r="C497" s="1379"/>
      <c r="D497" s="1379"/>
      <c r="E497" s="1379"/>
      <c r="F497" s="1379"/>
      <c r="G497" s="1379"/>
      <c r="H497" s="1380"/>
      <c r="I497" s="341" t="s">
        <v>321</v>
      </c>
      <c r="J497" s="342"/>
      <c r="K497" s="444">
        <f>SUM(K491:K496)</f>
        <v>0</v>
      </c>
      <c r="L497" s="342"/>
      <c r="M497" s="444">
        <f t="shared" ref="M497" si="2145">SUM(M491:M496)</f>
        <v>0</v>
      </c>
      <c r="N497" s="342"/>
      <c r="O497" s="444">
        <f t="shared" ref="O497" si="2146">SUM(O491:O496)</f>
        <v>0</v>
      </c>
      <c r="P497" s="342"/>
      <c r="Q497" s="444">
        <f t="shared" ref="Q497" si="2147">SUM(Q491:Q496)</f>
        <v>0</v>
      </c>
      <c r="R497" s="342"/>
      <c r="S497" s="444">
        <f t="shared" ref="S497" si="2148">SUM(S491:S496)</f>
        <v>0</v>
      </c>
      <c r="T497" s="342"/>
      <c r="U497" s="444">
        <f t="shared" ref="U497" si="2149">SUM(U491:U496)</f>
        <v>0</v>
      </c>
      <c r="V497" s="342"/>
      <c r="W497" s="444">
        <f t="shared" ref="W497" si="2150">SUM(W491:W496)</f>
        <v>0</v>
      </c>
      <c r="X497" s="342"/>
      <c r="Y497" s="444">
        <f t="shared" ref="Y497" si="2151">SUM(Y491:Y496)</f>
        <v>0</v>
      </c>
      <c r="Z497" s="342"/>
      <c r="AA497" s="444">
        <f t="shared" ref="AA497" si="2152">SUM(AA491:AA496)</f>
        <v>0</v>
      </c>
      <c r="AB497" s="342"/>
      <c r="AC497" s="444">
        <f t="shared" ref="AC497" si="2153">SUM(AC491:AC496)</f>
        <v>0</v>
      </c>
      <c r="AD497" s="335">
        <f t="shared" si="2116"/>
        <v>0</v>
      </c>
      <c r="AE497" s="1152"/>
      <c r="AF497" s="1152"/>
      <c r="AG497" s="1152"/>
      <c r="AH497" s="1152"/>
      <c r="AI497" s="1152"/>
      <c r="AJ497" s="1152"/>
      <c r="AK497" s="1152"/>
      <c r="AL497" s="1152"/>
      <c r="AM497" s="1152"/>
      <c r="AN497" s="1152"/>
      <c r="AO497" s="1152"/>
      <c r="AP497" s="1152"/>
      <c r="AQ497" s="1152"/>
      <c r="AR497" s="1152"/>
      <c r="AS497" s="1152"/>
      <c r="AT497" s="1152"/>
      <c r="AU497" s="1152"/>
      <c r="AV497" s="1152"/>
      <c r="AW497" s="1152"/>
      <c r="AX497" s="1152"/>
      <c r="AY497" s="1152"/>
      <c r="AZ497" s="1152"/>
      <c r="BA497" s="1152"/>
      <c r="BB497" s="1152"/>
      <c r="BC497" s="1152"/>
      <c r="BD497" s="1152"/>
    </row>
    <row r="498" spans="1:56" hidden="1" outlineLevel="1" x14ac:dyDescent="0.3">
      <c r="A498" s="1182"/>
      <c r="B498" s="1379"/>
      <c r="C498" s="1379"/>
      <c r="D498" s="1379"/>
      <c r="E498" s="1379"/>
      <c r="F498" s="1379"/>
      <c r="G498" s="1379"/>
      <c r="H498" s="1380"/>
      <c r="I498" s="455" t="s">
        <v>322</v>
      </c>
      <c r="J498" s="339">
        <f>_xlfn.IFNA(VLOOKUP($D487,tbAnnualLeaveProvision,2,FALSE),0)</f>
        <v>0</v>
      </c>
      <c r="K498" s="443">
        <f>J498*K488</f>
        <v>0</v>
      </c>
      <c r="L498" s="340">
        <f>_xlfn.IFNA(VLOOKUP($D487,tbAnnualLeaveProvision,2,FALSE),0)</f>
        <v>0</v>
      </c>
      <c r="M498" s="451">
        <f t="shared" ref="M498" si="2154">L498*M488</f>
        <v>0</v>
      </c>
      <c r="N498" s="339">
        <f>_xlfn.IFNA(VLOOKUP($D487,tbAnnualLeaveProvision,2,FALSE),0)</f>
        <v>0</v>
      </c>
      <c r="O498" s="443">
        <f>N498*O488</f>
        <v>0</v>
      </c>
      <c r="P498" s="340">
        <f>_xlfn.IFNA(VLOOKUP($D487,tbAnnualLeaveProvision,2,FALSE),0)</f>
        <v>0</v>
      </c>
      <c r="Q498" s="451">
        <f t="shared" ref="Q498" si="2155">P498*Q488</f>
        <v>0</v>
      </c>
      <c r="R498" s="339">
        <f>_xlfn.IFNA(VLOOKUP($D487,tbAnnualLeaveProvision,2,FALSE),0)</f>
        <v>0</v>
      </c>
      <c r="S498" s="443">
        <f>R498*S488</f>
        <v>0</v>
      </c>
      <c r="T498" s="340">
        <f>_xlfn.IFNA(VLOOKUP($D487,tbAnnualLeaveProvision,2,FALSE),0)</f>
        <v>0</v>
      </c>
      <c r="U498" s="451">
        <f t="shared" ref="U498" si="2156">T498*U488</f>
        <v>0</v>
      </c>
      <c r="V498" s="339">
        <f>_xlfn.IFNA(VLOOKUP($D487,tbAnnualLeaveProvision,2,FALSE),0)</f>
        <v>0</v>
      </c>
      <c r="W498" s="443">
        <f>V498*W488</f>
        <v>0</v>
      </c>
      <c r="X498" s="340">
        <f>_xlfn.IFNA(VLOOKUP($D487,tbAnnualLeaveProvision,2,FALSE),0)</f>
        <v>0</v>
      </c>
      <c r="Y498" s="451">
        <f t="shared" ref="Y498" si="2157">X498*Y488</f>
        <v>0</v>
      </c>
      <c r="Z498" s="339">
        <f>_xlfn.IFNA(VLOOKUP($D487,tbAnnualLeaveProvision,2,FALSE),0)</f>
        <v>0</v>
      </c>
      <c r="AA498" s="443">
        <f>Z498*AA488</f>
        <v>0</v>
      </c>
      <c r="AB498" s="340">
        <f>_xlfn.IFNA(VLOOKUP($D487,tbAnnualLeaveProvision,2,FALSE),0)</f>
        <v>0</v>
      </c>
      <c r="AC498" s="451">
        <f t="shared" ref="AC498" si="2158">AB498*AC488</f>
        <v>0</v>
      </c>
      <c r="AD498" s="335"/>
      <c r="AE498" s="1152"/>
      <c r="AF498" s="1152"/>
      <c r="AG498" s="1152"/>
      <c r="AH498" s="1152"/>
      <c r="AI498" s="1152"/>
      <c r="AJ498" s="1152"/>
      <c r="AK498" s="1152"/>
      <c r="AL498" s="1152"/>
      <c r="AM498" s="1152"/>
      <c r="AN498" s="1152"/>
      <c r="AO498" s="1152"/>
      <c r="AP498" s="1152"/>
      <c r="AQ498" s="1152"/>
      <c r="AR498" s="1152"/>
      <c r="AS498" s="1152"/>
      <c r="AT498" s="1152"/>
      <c r="AU498" s="1152"/>
      <c r="AV498" s="1152"/>
      <c r="AW498" s="1152"/>
      <c r="AX498" s="1152"/>
      <c r="AY498" s="1152"/>
      <c r="AZ498" s="1152"/>
      <c r="BA498" s="1152"/>
      <c r="BB498" s="1152"/>
      <c r="BC498" s="1152"/>
      <c r="BD498" s="1152"/>
    </row>
    <row r="499" spans="1:56" hidden="1" outlineLevel="1" x14ac:dyDescent="0.3">
      <c r="A499" s="1182"/>
      <c r="B499" s="1379"/>
      <c r="C499" s="1379"/>
      <c r="D499" s="1379"/>
      <c r="E499" s="1379"/>
      <c r="F499" s="1379"/>
      <c r="G499" s="1379"/>
      <c r="H499" s="1380"/>
      <c r="I499" s="455" t="s">
        <v>330</v>
      </c>
      <c r="J499" s="339"/>
      <c r="K499" s="446">
        <f>K497+K498</f>
        <v>0</v>
      </c>
      <c r="L499" s="340"/>
      <c r="M499" s="452">
        <f t="shared" ref="M499" si="2159">M497+M498</f>
        <v>0</v>
      </c>
      <c r="N499" s="339"/>
      <c r="O499" s="446">
        <f>O497+O498</f>
        <v>0</v>
      </c>
      <c r="P499" s="340"/>
      <c r="Q499" s="452">
        <f t="shared" ref="Q499" si="2160">Q497+Q498</f>
        <v>0</v>
      </c>
      <c r="R499" s="339"/>
      <c r="S499" s="446">
        <f>S497+S498</f>
        <v>0</v>
      </c>
      <c r="T499" s="340"/>
      <c r="U499" s="452">
        <f t="shared" ref="U499" si="2161">U497+U498</f>
        <v>0</v>
      </c>
      <c r="V499" s="339"/>
      <c r="W499" s="446">
        <f>W497+W498</f>
        <v>0</v>
      </c>
      <c r="X499" s="340"/>
      <c r="Y499" s="452">
        <f t="shared" ref="Y499" si="2162">Y497+Y498</f>
        <v>0</v>
      </c>
      <c r="Z499" s="339"/>
      <c r="AA499" s="446">
        <f>AA497+AA498</f>
        <v>0</v>
      </c>
      <c r="AB499" s="340"/>
      <c r="AC499" s="452">
        <f t="shared" ref="AC499" si="2163">AC497+AC498</f>
        <v>0</v>
      </c>
      <c r="AD499" s="335"/>
      <c r="AE499" s="1152"/>
      <c r="AF499" s="1152"/>
      <c r="AG499" s="1152"/>
      <c r="AH499" s="1152"/>
      <c r="AI499" s="1152"/>
      <c r="AJ499" s="1152"/>
      <c r="AK499" s="1152"/>
      <c r="AL499" s="1152"/>
      <c r="AM499" s="1152"/>
      <c r="AN499" s="1152"/>
      <c r="AO499" s="1152"/>
      <c r="AP499" s="1152"/>
      <c r="AQ499" s="1152"/>
      <c r="AR499" s="1152"/>
      <c r="AS499" s="1152"/>
      <c r="AT499" s="1152"/>
      <c r="AU499" s="1152"/>
      <c r="AV499" s="1152"/>
      <c r="AW499" s="1152"/>
      <c r="AX499" s="1152"/>
      <c r="AY499" s="1152"/>
      <c r="AZ499" s="1152"/>
      <c r="BA499" s="1152"/>
      <c r="BB499" s="1152"/>
      <c r="BC499" s="1152"/>
      <c r="BD499" s="1152"/>
    </row>
    <row r="500" spans="1:56" hidden="1" outlineLevel="1" x14ac:dyDescent="0.3">
      <c r="A500" s="1182"/>
      <c r="B500" s="1379"/>
      <c r="C500" s="1379"/>
      <c r="D500" s="1379"/>
      <c r="E500" s="1379"/>
      <c r="F500" s="1379"/>
      <c r="G500" s="1379"/>
      <c r="H500" s="1380"/>
      <c r="I500" s="462" t="s">
        <v>324</v>
      </c>
      <c r="J500" s="344"/>
      <c r="K500" s="443">
        <f>-(K497/vl_working_days_per_year)*J500</f>
        <v>0</v>
      </c>
      <c r="L500" s="345"/>
      <c r="M500" s="451">
        <f>-(M497/vl_working_days_per_year)*L500</f>
        <v>0</v>
      </c>
      <c r="N500" s="344"/>
      <c r="O500" s="443">
        <f>-(O497/vl_working_days_per_year)*N500</f>
        <v>0</v>
      </c>
      <c r="P500" s="345"/>
      <c r="Q500" s="451">
        <f>-(Q497/vl_working_days_per_year)*P500</f>
        <v>0</v>
      </c>
      <c r="R500" s="344"/>
      <c r="S500" s="443">
        <f>-(S497/vl_working_days_per_year)*R500</f>
        <v>0</v>
      </c>
      <c r="T500" s="345"/>
      <c r="U500" s="451">
        <f>-(U497/vl_working_days_per_year)*T500</f>
        <v>0</v>
      </c>
      <c r="V500" s="344"/>
      <c r="W500" s="443">
        <f>-(W497/vl_working_days_per_year)*V500</f>
        <v>0</v>
      </c>
      <c r="X500" s="345"/>
      <c r="Y500" s="451">
        <f>-(Y497/vl_working_days_per_year)*X500</f>
        <v>0</v>
      </c>
      <c r="Z500" s="344"/>
      <c r="AA500" s="443">
        <f>-(AA497/vl_working_days_per_year)*Z500</f>
        <v>0</v>
      </c>
      <c r="AB500" s="345"/>
      <c r="AC500" s="451">
        <f>-(AC497/vl_working_days_per_year)*AB500</f>
        <v>0</v>
      </c>
      <c r="AD500" s="335">
        <f t="shared" si="2116"/>
        <v>0</v>
      </c>
      <c r="AE500" s="1152"/>
      <c r="AF500" s="1152"/>
      <c r="AG500" s="1152"/>
      <c r="AH500" s="1152"/>
      <c r="AI500" s="1152"/>
      <c r="AJ500" s="1152"/>
      <c r="AK500" s="1152"/>
      <c r="AL500" s="1152"/>
      <c r="AM500" s="1152"/>
      <c r="AN500" s="1152"/>
      <c r="AO500" s="1152"/>
      <c r="AP500" s="1152"/>
      <c r="AQ500" s="1152"/>
      <c r="AR500" s="1152"/>
      <c r="AS500" s="1152"/>
      <c r="AT500" s="1152"/>
      <c r="AU500" s="1152"/>
      <c r="AV500" s="1152"/>
      <c r="AW500" s="1152"/>
      <c r="AX500" s="1152"/>
      <c r="AY500" s="1152"/>
      <c r="AZ500" s="1152"/>
      <c r="BA500" s="1152"/>
      <c r="BB500" s="1152"/>
      <c r="BC500" s="1152"/>
      <c r="BD500" s="1152"/>
    </row>
    <row r="501" spans="1:56" hidden="1" outlineLevel="1" x14ac:dyDescent="0.3">
      <c r="A501" s="1182"/>
      <c r="B501" s="1379"/>
      <c r="C501" s="1379"/>
      <c r="D501" s="1379"/>
      <c r="E501" s="1379"/>
      <c r="F501" s="1379"/>
      <c r="G501" s="1379"/>
      <c r="H501" s="1380"/>
      <c r="I501" s="341" t="s">
        <v>325</v>
      </c>
      <c r="J501" s="346"/>
      <c r="K501" s="444">
        <f>K499+K500</f>
        <v>0</v>
      </c>
      <c r="L501" s="346"/>
      <c r="M501" s="444">
        <f t="shared" ref="M501" si="2164">M499+M500</f>
        <v>0</v>
      </c>
      <c r="N501" s="346"/>
      <c r="O501" s="444">
        <f>O499+O500</f>
        <v>0</v>
      </c>
      <c r="P501" s="346"/>
      <c r="Q501" s="444">
        <f t="shared" ref="Q501" si="2165">Q499+Q500</f>
        <v>0</v>
      </c>
      <c r="R501" s="346"/>
      <c r="S501" s="444">
        <f>S499+S500</f>
        <v>0</v>
      </c>
      <c r="T501" s="346"/>
      <c r="U501" s="444">
        <f t="shared" ref="U501" si="2166">U499+U500</f>
        <v>0</v>
      </c>
      <c r="V501" s="346"/>
      <c r="W501" s="444">
        <f>W499+W500</f>
        <v>0</v>
      </c>
      <c r="X501" s="346"/>
      <c r="Y501" s="444">
        <f t="shared" ref="Y501" si="2167">Y499+Y500</f>
        <v>0</v>
      </c>
      <c r="Z501" s="346"/>
      <c r="AA501" s="444">
        <f>AA499+AA500</f>
        <v>0</v>
      </c>
      <c r="AB501" s="346"/>
      <c r="AC501" s="444">
        <f t="shared" ref="AC501" si="2168">AC499+AC500</f>
        <v>0</v>
      </c>
      <c r="AD501" s="335">
        <f t="shared" si="2116"/>
        <v>0</v>
      </c>
      <c r="AE501" s="1152"/>
      <c r="AF501" s="1152"/>
      <c r="AG501" s="1152"/>
      <c r="AH501" s="1152"/>
      <c r="AI501" s="1152"/>
      <c r="AJ501" s="1152"/>
      <c r="AK501" s="1152"/>
      <c r="AL501" s="1152"/>
      <c r="AM501" s="1152"/>
      <c r="AN501" s="1152"/>
      <c r="AO501" s="1152"/>
      <c r="AP501" s="1152"/>
      <c r="AQ501" s="1152"/>
      <c r="AR501" s="1152"/>
      <c r="AS501" s="1152"/>
      <c r="AT501" s="1152"/>
      <c r="AU501" s="1152"/>
      <c r="AV501" s="1152"/>
      <c r="AW501" s="1152"/>
      <c r="AX501" s="1152"/>
      <c r="AY501" s="1152"/>
      <c r="AZ501" s="1152"/>
      <c r="BA501" s="1152"/>
      <c r="BB501" s="1152"/>
      <c r="BC501" s="1152"/>
      <c r="BD501" s="1152"/>
    </row>
    <row r="502" spans="1:56" s="1" customFormat="1" ht="15" hidden="1" customHeight="1" outlineLevel="1" x14ac:dyDescent="0.3">
      <c r="A502" s="727"/>
      <c r="B502" s="1379"/>
      <c r="C502" s="1379"/>
      <c r="D502" s="1379"/>
      <c r="E502" s="1379"/>
      <c r="F502" s="1379"/>
      <c r="G502" s="1379"/>
      <c r="H502" s="1380"/>
      <c r="I502" s="463" t="s">
        <v>326</v>
      </c>
      <c r="J502" s="383">
        <f>IFERROR(K502/K488,0)</f>
        <v>0</v>
      </c>
      <c r="K502" s="447">
        <f>SUM(K489:K490,K492:K495,K498)</f>
        <v>0</v>
      </c>
      <c r="L502" s="434">
        <f>IFERROR(M502/M488,0)</f>
        <v>0</v>
      </c>
      <c r="M502" s="453">
        <f t="shared" ref="M502" si="2169">SUM(M489:M490,M492:M495,M498)</f>
        <v>0</v>
      </c>
      <c r="N502" s="383">
        <f t="shared" ref="N502" si="2170">IFERROR(O502/O488,0)</f>
        <v>0</v>
      </c>
      <c r="O502" s="447">
        <f t="shared" ref="O502" si="2171">SUM(O489:O490,O492:O495,O498)</f>
        <v>0</v>
      </c>
      <c r="P502" s="434">
        <f t="shared" ref="P502" si="2172">IFERROR(Q502/Q488,0)</f>
        <v>0</v>
      </c>
      <c r="Q502" s="453">
        <f t="shared" ref="Q502" si="2173">SUM(Q489:Q490,Q492:Q495,Q498)</f>
        <v>0</v>
      </c>
      <c r="R502" s="383">
        <f t="shared" ref="R502" si="2174">IFERROR(S502/S488,0)</f>
        <v>0</v>
      </c>
      <c r="S502" s="447">
        <f t="shared" ref="S502" si="2175">SUM(S489:S490,S492:S495,S498)</f>
        <v>0</v>
      </c>
      <c r="T502" s="434">
        <f t="shared" ref="T502" si="2176">IFERROR(U502/U488,0)</f>
        <v>0</v>
      </c>
      <c r="U502" s="453">
        <f t="shared" ref="U502" si="2177">SUM(U489:U490,U492:U495,U498)</f>
        <v>0</v>
      </c>
      <c r="V502" s="383">
        <f t="shared" ref="V502" si="2178">IFERROR(W502/W488,0)</f>
        <v>0</v>
      </c>
      <c r="W502" s="447">
        <f t="shared" ref="W502" si="2179">SUM(W489:W490,W492:W495,W498)</f>
        <v>0</v>
      </c>
      <c r="X502" s="434">
        <f t="shared" ref="X502" si="2180">IFERROR(Y502/Y488,0)</f>
        <v>0</v>
      </c>
      <c r="Y502" s="453">
        <f t="shared" ref="Y502" si="2181">SUM(Y489:Y490,Y492:Y495,Y498)</f>
        <v>0</v>
      </c>
      <c r="Z502" s="383">
        <f t="shared" ref="Z502" si="2182">IFERROR(AA502/AA488,0)</f>
        <v>0</v>
      </c>
      <c r="AA502" s="447">
        <f t="shared" ref="AA502" si="2183">SUM(AA489:AA490,AA492:AA495,AA498)</f>
        <v>0</v>
      </c>
      <c r="AB502" s="434">
        <f t="shared" ref="AB502" si="2184">IFERROR(AC502/AC488,0)</f>
        <v>0</v>
      </c>
      <c r="AC502" s="453">
        <f t="shared" ref="AC502" si="2185">SUM(AC489:AC490,AC492:AC495,AC498)</f>
        <v>0</v>
      </c>
      <c r="AD502" s="377">
        <f t="shared" si="2116"/>
        <v>0</v>
      </c>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row>
    <row r="503" spans="1:56" hidden="1" outlineLevel="1" x14ac:dyDescent="0.3">
      <c r="A503" s="1182"/>
      <c r="B503" s="1379"/>
      <c r="C503" s="1379"/>
      <c r="D503" s="1379"/>
      <c r="E503" s="1379"/>
      <c r="F503" s="1379"/>
      <c r="G503" s="1379"/>
      <c r="H503" s="1380"/>
      <c r="I503" s="463" t="s">
        <v>327</v>
      </c>
      <c r="J503" s="384">
        <f>pCRInKind</f>
        <v>2.5</v>
      </c>
      <c r="K503" s="447"/>
      <c r="L503" s="435">
        <f>pCRInKind</f>
        <v>2.5</v>
      </c>
      <c r="M503" s="453"/>
      <c r="N503" s="384">
        <f>pCRInKind</f>
        <v>2.5</v>
      </c>
      <c r="O503" s="447"/>
      <c r="P503" s="435">
        <f>pCRInKind</f>
        <v>2.5</v>
      </c>
      <c r="Q503" s="453"/>
      <c r="R503" s="384">
        <f>pCRInKind</f>
        <v>2.5</v>
      </c>
      <c r="S503" s="447"/>
      <c r="T503" s="435">
        <f>pCRInKind</f>
        <v>2.5</v>
      </c>
      <c r="U503" s="453"/>
      <c r="V503" s="384">
        <f>pCRInKind</f>
        <v>2.5</v>
      </c>
      <c r="W503" s="447"/>
      <c r="X503" s="435">
        <f>pCRInKind</f>
        <v>2.5</v>
      </c>
      <c r="Y503" s="453"/>
      <c r="Z503" s="384">
        <f>pCRInKind</f>
        <v>2.5</v>
      </c>
      <c r="AA503" s="447"/>
      <c r="AB503" s="435">
        <f>pCRInKind</f>
        <v>2.5</v>
      </c>
      <c r="AC503" s="453"/>
      <c r="AD503" s="335"/>
      <c r="AE503" s="1152"/>
      <c r="AF503" s="1152"/>
      <c r="AG503" s="1152"/>
      <c r="AH503" s="1152"/>
      <c r="AI503" s="1152"/>
      <c r="AJ503" s="1152"/>
      <c r="AK503" s="1152"/>
      <c r="AL503" s="1152"/>
      <c r="AM503" s="1152"/>
      <c r="AN503" s="1152"/>
      <c r="AO503" s="1152"/>
      <c r="AP503" s="1152"/>
      <c r="AQ503" s="1152"/>
      <c r="AR503" s="1152"/>
      <c r="AS503" s="1152"/>
      <c r="AT503" s="1152"/>
      <c r="AU503" s="1152"/>
      <c r="AV503" s="1152"/>
      <c r="AW503" s="1152"/>
      <c r="AX503" s="1152"/>
      <c r="AY503" s="1152"/>
      <c r="AZ503" s="1152"/>
      <c r="BA503" s="1152"/>
      <c r="BB503" s="1152"/>
      <c r="BC503" s="1152"/>
      <c r="BD503" s="1152"/>
    </row>
    <row r="504" spans="1:56" ht="16.2" hidden="1" outlineLevel="1" thickBot="1" x14ac:dyDescent="0.35">
      <c r="A504" s="1182"/>
      <c r="B504" s="710"/>
      <c r="C504" s="347"/>
      <c r="D504" s="347"/>
      <c r="E504" s="347"/>
      <c r="F504" s="347"/>
      <c r="G504" s="347"/>
      <c r="H504" s="347"/>
      <c r="I504" s="436" t="s">
        <v>329</v>
      </c>
      <c r="J504" s="348"/>
      <c r="K504" s="349">
        <f>J503*K499</f>
        <v>0</v>
      </c>
      <c r="L504" s="348"/>
      <c r="M504" s="349">
        <f t="shared" ref="M504" si="2186">L503*M499</f>
        <v>0</v>
      </c>
      <c r="N504" s="348"/>
      <c r="O504" s="349">
        <f>N503*O499</f>
        <v>0</v>
      </c>
      <c r="P504" s="348"/>
      <c r="Q504" s="349">
        <f t="shared" ref="Q504" si="2187">P503*Q499</f>
        <v>0</v>
      </c>
      <c r="R504" s="348"/>
      <c r="S504" s="349">
        <f>R503*S499</f>
        <v>0</v>
      </c>
      <c r="T504" s="348"/>
      <c r="U504" s="349">
        <f t="shared" ref="U504" si="2188">T503*U499</f>
        <v>0</v>
      </c>
      <c r="V504" s="348"/>
      <c r="W504" s="349">
        <f>V503*W499</f>
        <v>0</v>
      </c>
      <c r="X504" s="348"/>
      <c r="Y504" s="349">
        <f t="shared" ref="Y504" si="2189">X503*Y499</f>
        <v>0</v>
      </c>
      <c r="Z504" s="348"/>
      <c r="AA504" s="349">
        <f>Z503*AA499</f>
        <v>0</v>
      </c>
      <c r="AB504" s="348"/>
      <c r="AC504" s="349">
        <f t="shared" ref="AC504" si="2190">AB503*AC499</f>
        <v>0</v>
      </c>
      <c r="AD504" s="335">
        <f t="shared" si="2116"/>
        <v>0</v>
      </c>
      <c r="AE504" s="1152"/>
      <c r="AF504" s="1152"/>
      <c r="AG504" s="1152"/>
      <c r="AH504" s="1152"/>
      <c r="AI504" s="1152"/>
      <c r="AJ504" s="1152"/>
      <c r="AK504" s="1152"/>
      <c r="AL504" s="1152"/>
      <c r="AM504" s="1152"/>
      <c r="AN504" s="1152"/>
      <c r="AO504" s="1152"/>
      <c r="AP504" s="1152"/>
      <c r="AQ504" s="1152"/>
      <c r="AR504" s="1152"/>
      <c r="AS504" s="1152"/>
      <c r="AT504" s="1152"/>
      <c r="AU504" s="1152"/>
      <c r="AV504" s="1152"/>
      <c r="AW504" s="1152"/>
      <c r="AX504" s="1152"/>
      <c r="AY504" s="1152"/>
      <c r="AZ504" s="1152"/>
      <c r="BA504" s="1152"/>
      <c r="BB504" s="1152"/>
      <c r="BC504" s="1152"/>
      <c r="BD504" s="1152"/>
    </row>
    <row r="505" spans="1:56" ht="15" hidden="1" outlineLevel="1" thickBot="1" x14ac:dyDescent="0.35">
      <c r="A505" s="1182"/>
      <c r="B505" s="1181"/>
      <c r="C505" s="1181"/>
      <c r="D505" s="1181"/>
      <c r="E505" s="1181"/>
      <c r="F505" s="1181"/>
      <c r="G505" s="1181"/>
      <c r="H505" s="1181"/>
      <c r="I505" s="350"/>
      <c r="J505" s="351"/>
      <c r="K505" s="351"/>
      <c r="L505" s="351"/>
      <c r="M505" s="352"/>
      <c r="N505" s="351"/>
      <c r="O505" s="352"/>
      <c r="P505" s="351"/>
      <c r="Q505" s="352"/>
      <c r="R505" s="351"/>
      <c r="S505" s="352"/>
      <c r="T505" s="351"/>
      <c r="U505" s="352"/>
      <c r="V505" s="351"/>
      <c r="W505" s="352"/>
      <c r="X505" s="351"/>
      <c r="Y505" s="352"/>
      <c r="Z505" s="351"/>
      <c r="AA505" s="352"/>
      <c r="AB505" s="351"/>
      <c r="AC505" s="352"/>
      <c r="AD505" s="353" t="str">
        <f>IF(tbBudgetCurrency="AUD - Australian Dollar","",IFERROR(K505+M505+O505+Q505+S505+U505+W505+Y505+AA505+AC505,0))</f>
        <v/>
      </c>
      <c r="AE505" s="1152"/>
      <c r="AF505" s="1152"/>
      <c r="AG505" s="1152"/>
      <c r="AH505" s="1152"/>
      <c r="AI505" s="1152"/>
      <c r="AJ505" s="1152"/>
      <c r="AK505" s="1152"/>
      <c r="AL505" s="1152"/>
      <c r="AM505" s="1152"/>
      <c r="AN505" s="1152"/>
      <c r="AO505" s="1152"/>
      <c r="AP505" s="1152"/>
      <c r="AQ505" s="1152"/>
      <c r="AR505" s="1152"/>
      <c r="AS505" s="1152"/>
      <c r="AT505" s="1152"/>
      <c r="AU505" s="1152"/>
      <c r="AV505" s="1152"/>
      <c r="AW505" s="1152"/>
      <c r="AX505" s="1152"/>
      <c r="AY505" s="1152"/>
      <c r="AZ505" s="1152"/>
      <c r="BA505" s="1152"/>
      <c r="BB505" s="1152"/>
      <c r="BC505" s="1152"/>
      <c r="BD505" s="1152"/>
    </row>
    <row r="506" spans="1:56" hidden="1" outlineLevel="1" x14ac:dyDescent="0.3">
      <c r="A506" s="1182"/>
      <c r="B506" s="460" t="str">
        <f>IF('PART B Staff Costs'!B59="","",'PART B Staff Costs'!B59)</f>
        <v/>
      </c>
      <c r="C506" s="460" t="str">
        <f>IF('PART B Staff Costs'!C59="","",'PART B Staff Costs'!C59)</f>
        <v xml:space="preserve"> </v>
      </c>
      <c r="D506" s="461" t="str">
        <f>IF('PART B Staff Costs'!D59="","",'PART B Staff Costs'!D59)</f>
        <v/>
      </c>
      <c r="E506" s="461" t="str">
        <f>IF('PART B Staff Costs'!E59="","",'PART B Staff Costs'!E59)</f>
        <v/>
      </c>
      <c r="F506" s="461" t="str">
        <f>IF('PART B Staff Costs'!F59="","",'PART B Staff Costs'!F59)</f>
        <v/>
      </c>
      <c r="G506" s="461" t="str">
        <f>IF('PART B Staff Costs'!G59="","",'PART B Staff Costs'!G59)</f>
        <v/>
      </c>
      <c r="H506" s="454" t="str">
        <f t="shared" ref="H506" si="2191">CONCATENATE(IF(D506=0,"",D506)," ",IF(E506=0,"",E506)," ",IF(F506=0,"",F506),,IF(OR(G506=0,G506=""),"",CONCATENATE(" (",G506,")")))</f>
        <v xml:space="preserve">  </v>
      </c>
      <c r="I506" s="454" t="s">
        <v>313</v>
      </c>
      <c r="J506" s="333">
        <f>_xlfn.IFNA('PART B Staff Costs'!H59*'PART B Staff Costs'!J$10,0)*new_xrate</f>
        <v>0</v>
      </c>
      <c r="K506" s="441"/>
      <c r="L506" s="334">
        <f>_xlfn.IFNA(IF(pStartYear+1&gt;pEndYear,0,VLOOKUP(CONCATENATE(
IF(OR($D506="Continuing",$D506="Fixed-Term"),"Fortnight",IF($D506="Casual","Casual",)),
$E506,
IF(OR($D506="Continuing",$D506="Fixed-Term"),
IF(LEFT($F506,6)="UOM 10","UOM 10",(LEFT($F506,LEN($F506)-1)&amp;MIN(RIGHT($F506,1)+COUNTIFS($J507:K507,"&gt;0")/2,VLOOKUP(LEFT($F506,LEN($F506)-2),tSalaryMax,2,FALSE)))),
IF($D506="Casual",
$F506,))
),tSalaryRate,5,FALSE)*VLOOKUP($G506,tSalaryRateMultiplier,2,FALSE)*'PART B Staff Costs'!L$10),0)*new_xrate</f>
        <v>0</v>
      </c>
      <c r="M506" s="449"/>
      <c r="N506" s="333">
        <f>_xlfn.IFNA(IF(pStartYear+2&gt;pEndYear,0,VLOOKUP(CONCATENATE(
IF(OR($D506="Continuing",$D506="Fixed-Term"),"Fortnight",IF($D506="Casual","Casual",)),
$E506,
IF(OR($D506="Continuing",$D506="Fixed-Term"),
IF(LEFT($F506,6)="UOM 10","UOM 10",(LEFT($F506,LEN($F506)-1)&amp;MIN(RIGHT($F506,1)+COUNTIFS($J507:M507,"&gt;0")/2,VLOOKUP(LEFT($F506,LEN($F506)-2),tSalaryMax,2,FALSE)))),
IF($D506="Casual",
$F506,))
),tSalaryRate,5,FALSE)*VLOOKUP($G506,tSalaryRateMultiplier,2,FALSE)*'PART B Staff Costs'!N$10),0)*new_xrate</f>
        <v>0</v>
      </c>
      <c r="O506" s="441"/>
      <c r="P506" s="334">
        <f>_xlfn.IFNA(IF(pStartYear+3&gt;pEndYear,0,VLOOKUP(CONCATENATE(
IF(OR($D506="Continuing",$D506="Fixed-Term"),"Fortnight",IF($D506="Casual","Casual",)),
$E506,
IF(OR($D506="Continuing",$D506="Fixed-Term"),
IF(LEFT($F506,6)="UOM 10","UOM 10",(LEFT($F506,LEN($F506)-1)&amp;MIN(RIGHT($F506,1)+COUNTIFS($J507:O507,"&gt;0")/2,VLOOKUP(LEFT($F506,LEN($F506)-2),tSalaryMax,2,FALSE)))),
IF($D506="Casual",
$F506,))
),tSalaryRate,5,FALSE)*VLOOKUP($G506,tSalaryRateMultiplier,2,FALSE)*'PART B Staff Costs'!P$10),0)*new_xrate</f>
        <v>0</v>
      </c>
      <c r="Q506" s="449"/>
      <c r="R506" s="333">
        <f>_xlfn.IFNA(IF(pStartYear+4&gt;pEndYear,0,VLOOKUP(CONCATENATE(
IF(OR($D506="Continuing",$D506="Fixed-Term"),"Fortnight",IF($D506="Casual","Casual",)),
$E506,
IF(OR($D506="Continuing",$D506="Fixed-Term"),
IF(LEFT($F506,6)="UOM 10","UOM 10",(LEFT($F506,LEN($F506)-1)&amp;MIN(RIGHT($F506,1)+COUNTIFS($J507:Q507,"&gt;0")/2,VLOOKUP(LEFT($F506,LEN($F506)-2),tSalaryMax,2,FALSE)))),
IF($D506="Casual",
$F506,))
),tSalaryRate,5,FALSE)*VLOOKUP($G506,tSalaryRateMultiplier,2,FALSE)*'PART B Staff Costs'!R$10),0)*new_xrate</f>
        <v>0</v>
      </c>
      <c r="S506" s="441"/>
      <c r="T506" s="334">
        <f>_xlfn.IFNA(IF(pStartYear+5&gt;pEndYear,0,VLOOKUP(CONCATENATE(
IF(OR($D506="Continuing",$D506="Fixed-Term"),"Fortnight",IF($D506="Casual","Casual",)),
$E506,
IF(OR($D506="Continuing",$D506="Fixed-Term"),
IF(LEFT($F506,6)="UOM 10","UOM 10",(LEFT($F506,LEN($F506)-1)&amp;MIN(RIGHT($F506,1)+COUNTIFS($J507:S507,"&gt;0")/2,VLOOKUP(LEFT($F506,LEN($F506)-2),tSalaryMax,2,FALSE)))),
IF($D506="Casual",
$F506,))
),tSalaryRate,5,FALSE)*VLOOKUP($G506,tSalaryRateMultiplier,2,FALSE)*'PART B Staff Costs'!T$10),0)*new_xrate</f>
        <v>0</v>
      </c>
      <c r="U506" s="449"/>
      <c r="V506" s="333">
        <f>_xlfn.IFNA(IF(pStartYear+6&gt;pEndYear,0,VLOOKUP(CONCATENATE(
IF(OR($D506="Continuing",$D506="Fixed-Term"),"Fortnight",IF($D506="Casual","Casual",)),
$E506,
IF(OR($D506="Continuing",$D506="Fixed-Term"),
IF(LEFT($F506,6)="UOM 10","UOM 10",(LEFT($F506,LEN($F506)-1)&amp;MIN(RIGHT($F506,1)+COUNTIFS($J507:U507,"&gt;0")/2,VLOOKUP(LEFT($F506,LEN($F506)-2),tSalaryMax,2,FALSE)))),
IF($D506="Casual",
$F506,))
),tSalaryRate,5,FALSE)*VLOOKUP($G506,tSalaryRateMultiplier,2,FALSE)*'PART B Staff Costs'!V$10),0)*new_xrate</f>
        <v>0</v>
      </c>
      <c r="W506" s="441"/>
      <c r="X506" s="334">
        <f>_xlfn.IFNA(IF(pStartYear+7&gt;pEndYear,0,VLOOKUP(CONCATENATE(
IF(OR($D506="Continuing",$D506="Fixed-Term"),"Fortnight",IF($D506="Casual","Casual",)),
$E506,
IF(OR($D506="Continuing",$D506="Fixed-Term"),
IF(LEFT($F506,6)="UOM 10","UOM 10",(LEFT($F506,LEN($F506)-1)&amp;MIN(RIGHT($F506,1)+COUNTIFS($J507:W507,"&gt;0")/2,VLOOKUP(LEFT($F506,LEN($F506)-2),tSalaryMax,2,FALSE)))),
IF($D506="Casual",
$F506,))
),tSalaryRate,5,FALSE)*VLOOKUP($G506,tSalaryRateMultiplier,2,FALSE)*'PART B Staff Costs'!X$10),0)*new_xrate</f>
        <v>0</v>
      </c>
      <c r="Y506" s="449"/>
      <c r="Z506" s="333">
        <f>_xlfn.IFNA(IF(pStartYear+8&gt;pEndYear,0,VLOOKUP(CONCATENATE(
IF(OR($D506="Continuing",$D506="Fixed-Term"),"Fortnight",IF($D506="Casual","Casual",)),
$E506,
IF(OR($D506="Continuing",$D506="Fixed-Term"),
IF(LEFT($F506,6)="UOM 10","UOM 10",(LEFT($F506,LEN($F506)-1)&amp;MIN(RIGHT($F506,1)+COUNTIFS($J507:Y507,"&gt;0")/2,VLOOKUP(LEFT($F506,LEN($F506)-2),tSalaryMax,2,FALSE)))),
IF($D506="Casual",
$F506,))
),tSalaryRate,5,FALSE)*VLOOKUP($G506,tSalaryRateMultiplier,2,FALSE)*'PART B Staff Costs'!Z$10),0)*new_xrate</f>
        <v>0</v>
      </c>
      <c r="AA506" s="441"/>
      <c r="AB506" s="334">
        <f>_xlfn.IFNA(IF(pStartYear+9&gt;pEndYear,0,VLOOKUP(CONCATENATE(
IF(OR($D506="Continuing",$D506="Fixed-Term"),"Fortnight",IF($D506="Casual","Casual",)),
$E506,
IF(OR($D506="Continuing",$D506="Fixed-Term"),
IF(LEFT($F506,6)="UOM 10","UOM 10",(LEFT($F506,LEN($F506)-1)&amp;MIN(RIGHT($F506,1)+COUNTIFS($J507:AA507,"&gt;0")/2,VLOOKUP(LEFT($F506,LEN($F506)-2),tSalaryMax,2,FALSE)))),
IF($D506="Casual",
$F506,))
),tSalaryRate,5,FALSE)*VLOOKUP($G506,tSalaryRateMultiplier,2,FALSE)*'PART B Staff Costs'!AB$10),0)*new_xrate</f>
        <v>0</v>
      </c>
      <c r="AC506" s="449"/>
      <c r="AD506" s="335"/>
      <c r="AE506" s="1152"/>
      <c r="AF506" s="1152"/>
      <c r="AG506" s="1152"/>
      <c r="AH506" s="1152"/>
      <c r="AI506" s="1152"/>
      <c r="AJ506" s="1152"/>
      <c r="AK506" s="1152"/>
      <c r="AL506" s="1152"/>
      <c r="AM506" s="1152"/>
      <c r="AN506" s="1152"/>
      <c r="AO506" s="1152"/>
      <c r="AP506" s="1152"/>
      <c r="AQ506" s="1152"/>
      <c r="AR506" s="1152"/>
      <c r="AS506" s="1152"/>
      <c r="AT506" s="1152"/>
      <c r="AU506" s="1152"/>
      <c r="AV506" s="1152"/>
      <c r="AW506" s="1152"/>
      <c r="AX506" s="1152"/>
      <c r="AY506" s="1152"/>
      <c r="AZ506" s="1152"/>
      <c r="BA506" s="1152"/>
      <c r="BB506" s="1152"/>
      <c r="BC506" s="1152"/>
      <c r="BD506" s="1152"/>
    </row>
    <row r="507" spans="1:56" hidden="1" outlineLevel="1" x14ac:dyDescent="0.3">
      <c r="A507" s="1182"/>
      <c r="B507" s="1377"/>
      <c r="C507" s="1377"/>
      <c r="D507" s="1377"/>
      <c r="E507" s="1377"/>
      <c r="F507" s="1377"/>
      <c r="G507" s="1377"/>
      <c r="H507" s="1378"/>
      <c r="I507" s="455" t="str">
        <f>IF('PART B Staff Costs'!G502&lt;&gt;"",CONCATENATE("Time/Requested salary"," (",'PART B Staff Costs'!G502,")"),"Time/Requested salary")</f>
        <v>Time/Requested salary</v>
      </c>
      <c r="J507" s="337">
        <f>_xlfn.IFNA('PART B Staff Costs'!I59,0)</f>
        <v>0</v>
      </c>
      <c r="K507" s="442">
        <f>IF('PART B Staff Costs'!$G$59="FTE",J507*J506*(First_year_fraction/12),J507*J506)</f>
        <v>0</v>
      </c>
      <c r="L507" s="338">
        <f>_xlfn.IFNA('PART B Staff Costs'!K59,0)</f>
        <v>0</v>
      </c>
      <c r="M507" s="450">
        <f>IF(pStartYear+1=pEndYear,IF('PART B Staff Costs'!$G$59="FTE",(L507*L506)*Last_Year_Fraction/12,L507*L506),L507*L506)</f>
        <v>0</v>
      </c>
      <c r="N507" s="337">
        <f>_xlfn.IFNA('PART B Staff Costs'!M59,0)</f>
        <v>0</v>
      </c>
      <c r="O507" s="442">
        <f>IF(pStartYear+2=pEndYear,IF('PART B Staff Costs'!$G$59="FTE",(N507*N506)*Last_Year_Fraction/12,N507*N506),N507*N506)</f>
        <v>0</v>
      </c>
      <c r="P507" s="338">
        <f>_xlfn.IFNA('PART B Staff Costs'!O59,0)</f>
        <v>0</v>
      </c>
      <c r="Q507" s="450">
        <f>IF(pStartYear+3=pEndYear,IF('PART B Staff Costs'!$G$59="FTE",(P507*P506)*Last_Year_Fraction/12,P507*P506),P507*P506)</f>
        <v>0</v>
      </c>
      <c r="R507" s="337">
        <f>_xlfn.IFNA('PART B Staff Costs'!Q59,0)</f>
        <v>0</v>
      </c>
      <c r="S507" s="442">
        <f>IF(pStartYear+4=pEndYear,IF('PART B Staff Costs'!$G$59="FTE",(R507*R506)*Last_Year_Fraction/12,R507*R506),R507*R506)</f>
        <v>0</v>
      </c>
      <c r="T507" s="338">
        <f>_xlfn.IFNA('PART B Staff Costs'!S59,0)</f>
        <v>0</v>
      </c>
      <c r="U507" s="450">
        <f>IF(pStartYear+5=pEndYear,IF('PART B Staff Costs'!$G$59="FTE",(T507*T506)*Last_Year_Fraction/12,T507*T506),T507*T506)</f>
        <v>0</v>
      </c>
      <c r="V507" s="337">
        <f>_xlfn.IFNA('PART B Staff Costs'!U59,0)</f>
        <v>0</v>
      </c>
      <c r="W507" s="442">
        <f>IF(pStartYear+6=pEndYear,IF('PART B Staff Costs'!$G$59="FTE",(V507*V506)*Last_Year_Fraction/12,V507*V506),V507*V506)</f>
        <v>0</v>
      </c>
      <c r="X507" s="338">
        <f>_xlfn.IFNA('PART B Staff Costs'!W59,0)</f>
        <v>0</v>
      </c>
      <c r="Y507" s="450">
        <f>IF(pStartYear+7=pEndYear,IF('PART B Staff Costs'!$G$59="FTE",(X507*X506)*Last_Year_Fraction/12,X507*X506),X507*X506)</f>
        <v>0</v>
      </c>
      <c r="Z507" s="337">
        <f>_xlfn.IFNA('PART B Staff Costs'!Y59,0)</f>
        <v>0</v>
      </c>
      <c r="AA507" s="442">
        <f>IF(pStartYear+8=pEndYear,IF('PART B Staff Costs'!$G$59="FTE",(Z507*Z506)*Last_Year_Fraction/12,Z507*Z506),Z507*Z506)</f>
        <v>0</v>
      </c>
      <c r="AB507" s="338">
        <f>_xlfn.IFNA('PART B Staff Costs'!AA59,0)</f>
        <v>0</v>
      </c>
      <c r="AC507" s="450">
        <f>IF(pStartYear+9=pEndYear,IF('PART B Staff Costs'!$G$59="FTE",(AB507*AB506)*Last_Year_Fraction/12,AB507*AB506),AB507*AB506)</f>
        <v>0</v>
      </c>
      <c r="AD507" s="335"/>
      <c r="AE507" s="1152"/>
      <c r="AF507" s="1152"/>
      <c r="AG507" s="1152"/>
      <c r="AH507" s="1152"/>
      <c r="AI507" s="1152"/>
      <c r="AJ507" s="1152"/>
      <c r="AK507" s="1152"/>
      <c r="AL507" s="1152"/>
      <c r="AM507" s="1152"/>
      <c r="AN507" s="1152"/>
      <c r="AO507" s="1152"/>
      <c r="AP507" s="1152"/>
      <c r="AQ507" s="1152"/>
      <c r="AR507" s="1152"/>
      <c r="AS507" s="1152"/>
      <c r="AT507" s="1152"/>
      <c r="AU507" s="1152"/>
      <c r="AV507" s="1152"/>
      <c r="AW507" s="1152"/>
      <c r="AX507" s="1152"/>
      <c r="AY507" s="1152"/>
      <c r="AZ507" s="1152"/>
      <c r="BA507" s="1152"/>
      <c r="BB507" s="1152"/>
      <c r="BC507" s="1152"/>
      <c r="BD507" s="1152"/>
    </row>
    <row r="508" spans="1:56" hidden="1" outlineLevel="1" x14ac:dyDescent="0.3">
      <c r="A508" s="1182"/>
      <c r="B508" s="1379"/>
      <c r="C508" s="1379"/>
      <c r="D508" s="1379"/>
      <c r="E508" s="1379"/>
      <c r="F508" s="1379"/>
      <c r="G508" s="1379"/>
      <c r="H508" s="1380"/>
      <c r="I508" s="455" t="str">
        <f>IF(tbBudgetCurrency="AUD - Australian Dollar",CONCATENATE("Leave Loading (max of AU$",vl_Max_Leave_Loading,")"),CONCATENATE("Leave Loading (max of ",ROUND(vl_Max_Leave_Loading*new_xrate,2)," ",LEFT(tbBudgetCurrency,3),")"))</f>
        <v>Leave Loading (max of AU$1611.3)</v>
      </c>
      <c r="J508" s="339">
        <f>_xlfn.IFNA(VLOOKUP($D506,tbLeaveLoading,2,FALSE),0)</f>
        <v>0</v>
      </c>
      <c r="K508" s="443">
        <f>IF(K507*J508&gt;vl_Max_Leave_Loading*new_xrate,vl_Max_Leave_Loading*new_xrate,K507*J508)</f>
        <v>0</v>
      </c>
      <c r="L508" s="340">
        <f>_xlfn.IFNA(VLOOKUP($D506,tbLeaveLoading,2,FALSE),0)</f>
        <v>0</v>
      </c>
      <c r="M508" s="451">
        <f>IF(M507*L508&gt;vl_Max_Leave_Loading*new_xrate,vl_Max_Leave_Loading*new_xrate,M507*L508)</f>
        <v>0</v>
      </c>
      <c r="N508" s="339">
        <f>_xlfn.IFNA(VLOOKUP($D506,tbLeaveLoading,2,FALSE),0)</f>
        <v>0</v>
      </c>
      <c r="O508" s="443">
        <f>IF(O507*N508&gt;vl_Max_Leave_Loading*new_xrate,vl_Max_Leave_Loading*new_xrate,O507*N508)</f>
        <v>0</v>
      </c>
      <c r="P508" s="340">
        <f>_xlfn.IFNA(VLOOKUP($D506,tbLeaveLoading,2,FALSE),0)</f>
        <v>0</v>
      </c>
      <c r="Q508" s="451">
        <f>IF(Q507*P508&gt;vl_Max_Leave_Loading*new_xrate,vl_Max_Leave_Loading*new_xrate,Q507*P508)</f>
        <v>0</v>
      </c>
      <c r="R508" s="339">
        <f>_xlfn.IFNA(VLOOKUP($D506,tbLeaveLoading,2,FALSE),0)</f>
        <v>0</v>
      </c>
      <c r="S508" s="443">
        <f>IF(S507*R508&gt;vl_Max_Leave_Loading*new_xrate,vl_Max_Leave_Loading*new_xrate,S507*R508)</f>
        <v>0</v>
      </c>
      <c r="T508" s="340">
        <f>_xlfn.IFNA(VLOOKUP($D506,tbLeaveLoading,2,FALSE),0)</f>
        <v>0</v>
      </c>
      <c r="U508" s="451">
        <f>IF(U507*T508&gt;vl_Max_Leave_Loading*new_xrate,vl_Max_Leave_Loading*new_xrate,U507*T508)</f>
        <v>0</v>
      </c>
      <c r="V508" s="339">
        <f>_xlfn.IFNA(VLOOKUP($D506,tbLeaveLoading,2,FALSE),0)</f>
        <v>0</v>
      </c>
      <c r="W508" s="443">
        <f>IF(W507*V508&gt;vl_Max_Leave_Loading*new_xrate,vl_Max_Leave_Loading*new_xrate,W507*V508)</f>
        <v>0</v>
      </c>
      <c r="X508" s="340">
        <f>_xlfn.IFNA(VLOOKUP($D506,tbLeaveLoading,2,FALSE),0)</f>
        <v>0</v>
      </c>
      <c r="Y508" s="451">
        <f>IF(Y507*X508&gt;vl_Max_Leave_Loading*new_xrate,vl_Max_Leave_Loading*new_xrate,Y507*X508)</f>
        <v>0</v>
      </c>
      <c r="Z508" s="339">
        <f>_xlfn.IFNA(VLOOKUP($D506,tbLeaveLoading,2,FALSE),0)</f>
        <v>0</v>
      </c>
      <c r="AA508" s="443">
        <f>IF(AA507*Z508&gt;vl_Max_Leave_Loading*new_xrate,vl_Max_Leave_Loading*new_xrate,AA507*Z508)</f>
        <v>0</v>
      </c>
      <c r="AB508" s="340">
        <f>_xlfn.IFNA(VLOOKUP($D506,tbLeaveLoading,2,FALSE),0)</f>
        <v>0</v>
      </c>
      <c r="AC508" s="451">
        <f>IF(AC507*AB508&gt;vl_Max_Leave_Loading*new_xrate,vl_Max_Leave_Loading*new_xrate,AC507*AB508)</f>
        <v>0</v>
      </c>
      <c r="AD508" s="335"/>
      <c r="AE508" s="1152"/>
      <c r="AF508" s="1152"/>
      <c r="AG508" s="1152"/>
      <c r="AH508" s="1152"/>
      <c r="AI508" s="1152"/>
      <c r="AJ508" s="1152"/>
      <c r="AK508" s="1152"/>
      <c r="AL508" s="1152"/>
      <c r="AM508" s="1152"/>
      <c r="AN508" s="1152"/>
      <c r="AO508" s="1152"/>
      <c r="AP508" s="1152"/>
      <c r="AQ508" s="1152"/>
      <c r="AR508" s="1152"/>
      <c r="AS508" s="1152"/>
      <c r="AT508" s="1152"/>
      <c r="AU508" s="1152"/>
      <c r="AV508" s="1152"/>
      <c r="AW508" s="1152"/>
      <c r="AX508" s="1152"/>
      <c r="AY508" s="1152"/>
      <c r="AZ508" s="1152"/>
      <c r="BA508" s="1152"/>
      <c r="BB508" s="1152"/>
      <c r="BC508" s="1152"/>
      <c r="BD508" s="1152"/>
    </row>
    <row r="509" spans="1:56" hidden="1" outlineLevel="1" x14ac:dyDescent="0.3">
      <c r="A509" s="1182"/>
      <c r="B509" s="1379"/>
      <c r="C509" s="1379"/>
      <c r="D509" s="1379"/>
      <c r="E509" s="1379"/>
      <c r="F509" s="1379"/>
      <c r="G509" s="1379"/>
      <c r="H509" s="1380"/>
      <c r="I509" s="455" t="s">
        <v>314</v>
      </c>
      <c r="J509" s="339">
        <f>_xlfn.IFNA(_xlfn.IFNA(VLOOKUP(CONCATENATE(pStartYear,$D506),tbSuperannuation,4,FALSE),VLOOKUP($D506,tbSuperannuation2026onwards,2,FALSE)),0)</f>
        <v>0</v>
      </c>
      <c r="K509" s="443">
        <f>K507*J509</f>
        <v>0</v>
      </c>
      <c r="L509" s="340">
        <f>_xlfn.IFNA(_xlfn.IFNA(VLOOKUP(CONCATENATE(pStartYear+1,$D506),tbSuperannuation,4,FALSE),VLOOKUP($D506,tbSuperannuation2026onwards,2,FALSE)),0)</f>
        <v>0</v>
      </c>
      <c r="M509" s="451">
        <f t="shared" ref="M509" si="2192">M507*L509</f>
        <v>0</v>
      </c>
      <c r="N509" s="339">
        <f>_xlfn.IFNA(_xlfn.IFNA(VLOOKUP(CONCATENATE(pStartYear+2,$D506),tbSuperannuation,4,FALSE),VLOOKUP($D506,tbSuperannuation2026onwards,2,FALSE)),0)</f>
        <v>0</v>
      </c>
      <c r="O509" s="443">
        <f>O507*N509</f>
        <v>0</v>
      </c>
      <c r="P509" s="340">
        <f>_xlfn.IFNA(_xlfn.IFNA(VLOOKUP(CONCATENATE(pStartYear+3,$D506),tbSuperannuation,4,FALSE),VLOOKUP($D506,tbSuperannuation2026onwards,2,FALSE)),0)</f>
        <v>0</v>
      </c>
      <c r="Q509" s="451">
        <f t="shared" ref="Q509" si="2193">Q507*P509</f>
        <v>0</v>
      </c>
      <c r="R509" s="339">
        <f>_xlfn.IFNA(_xlfn.IFNA(VLOOKUP(CONCATENATE(pStartYear+4,$D506),tbSuperannuation,4,FALSE),VLOOKUP($D506,tbSuperannuation2026onwards,2,FALSE)),0)</f>
        <v>0</v>
      </c>
      <c r="S509" s="443">
        <f>S507*R509</f>
        <v>0</v>
      </c>
      <c r="T509" s="340">
        <f>_xlfn.IFNA(_xlfn.IFNA(VLOOKUP(CONCATENATE(pStartYear+5,$D506),tbSuperannuation,4,FALSE),VLOOKUP($D506,tbSuperannuation2026onwards,2,FALSE)),0)</f>
        <v>0</v>
      </c>
      <c r="U509" s="451">
        <f t="shared" ref="U509" si="2194">U507*T509</f>
        <v>0</v>
      </c>
      <c r="V509" s="339">
        <f>_xlfn.IFNA(_xlfn.IFNA(VLOOKUP(CONCATENATE(pStartYear+6,$D506),tbSuperannuation,4,FALSE),VLOOKUP($D506,tbSuperannuation2026onwards,2,FALSE)),0)</f>
        <v>0</v>
      </c>
      <c r="W509" s="443">
        <f>W507*V509</f>
        <v>0</v>
      </c>
      <c r="X509" s="340">
        <f>_xlfn.IFNA(_xlfn.IFNA(VLOOKUP(CONCATENATE(pStartYear+7,$D506),tbSuperannuation,4,FALSE),VLOOKUP($D506,tbSuperannuation2026onwards,2,FALSE)),0)</f>
        <v>0</v>
      </c>
      <c r="Y509" s="451">
        <f t="shared" ref="Y509" si="2195">Y507*X509</f>
        <v>0</v>
      </c>
      <c r="Z509" s="339">
        <f>_xlfn.IFNA(_xlfn.IFNA(VLOOKUP(CONCATENATE(pStartYear+8,$D506),tbSuperannuation,4,FALSE),VLOOKUP($D506,tbSuperannuation2026onwards,2,FALSE)),0)</f>
        <v>0</v>
      </c>
      <c r="AA509" s="443">
        <f>AA507*Z509</f>
        <v>0</v>
      </c>
      <c r="AB509" s="340">
        <f>_xlfn.IFNA(_xlfn.IFNA(VLOOKUP(CONCATENATE(pStartYear+9,$D506),tbSuperannuation,4,FALSE),VLOOKUP($D506,tbSuperannuation2026onwards,2,FALSE)),0)</f>
        <v>0</v>
      </c>
      <c r="AC509" s="451">
        <f t="shared" ref="AC509" si="2196">AC507*AB509</f>
        <v>0</v>
      </c>
      <c r="AD509" s="335"/>
      <c r="AE509" s="1152"/>
      <c r="AF509" s="1152"/>
      <c r="AG509" s="1152"/>
      <c r="AH509" s="1152"/>
      <c r="AI509" s="1152"/>
      <c r="AJ509" s="1152"/>
      <c r="AK509" s="1152"/>
      <c r="AL509" s="1152"/>
      <c r="AM509" s="1152"/>
      <c r="AN509" s="1152"/>
      <c r="AO509" s="1152"/>
      <c r="AP509" s="1152"/>
      <c r="AQ509" s="1152"/>
      <c r="AR509" s="1152"/>
      <c r="AS509" s="1152"/>
      <c r="AT509" s="1152"/>
      <c r="AU509" s="1152"/>
      <c r="AV509" s="1152"/>
      <c r="AW509" s="1152"/>
      <c r="AX509" s="1152"/>
      <c r="AY509" s="1152"/>
      <c r="AZ509" s="1152"/>
      <c r="BA509" s="1152"/>
      <c r="BB509" s="1152"/>
      <c r="BC509" s="1152"/>
      <c r="BD509" s="1152"/>
    </row>
    <row r="510" spans="1:56" hidden="1" outlineLevel="1" x14ac:dyDescent="0.3">
      <c r="A510" s="1182"/>
      <c r="B510" s="1379"/>
      <c r="C510" s="1379"/>
      <c r="D510" s="1379"/>
      <c r="E510" s="1379"/>
      <c r="F510" s="1379"/>
      <c r="G510" s="1379"/>
      <c r="H510" s="1380"/>
      <c r="I510" s="341" t="s">
        <v>315</v>
      </c>
      <c r="J510" s="342"/>
      <c r="K510" s="444">
        <f>K508+K509+K507</f>
        <v>0</v>
      </c>
      <c r="L510" s="342"/>
      <c r="M510" s="444">
        <f t="shared" ref="M510" si="2197">M508+M509+M507</f>
        <v>0</v>
      </c>
      <c r="N510" s="342"/>
      <c r="O510" s="444">
        <f>O508+O509+O507</f>
        <v>0</v>
      </c>
      <c r="P510" s="342"/>
      <c r="Q510" s="444">
        <f t="shared" ref="Q510" si="2198">Q508+Q509+Q507</f>
        <v>0</v>
      </c>
      <c r="R510" s="342"/>
      <c r="S510" s="444">
        <f>S508+S509+S507</f>
        <v>0</v>
      </c>
      <c r="T510" s="342"/>
      <c r="U510" s="444">
        <f t="shared" ref="U510" si="2199">U508+U509+U507</f>
        <v>0</v>
      </c>
      <c r="V510" s="342"/>
      <c r="W510" s="444">
        <f>W508+W509+W507</f>
        <v>0</v>
      </c>
      <c r="X510" s="342"/>
      <c r="Y510" s="444">
        <f t="shared" ref="Y510" si="2200">Y508+Y509+Y507</f>
        <v>0</v>
      </c>
      <c r="Z510" s="342"/>
      <c r="AA510" s="444">
        <f>AA508+AA509+AA507</f>
        <v>0</v>
      </c>
      <c r="AB510" s="342"/>
      <c r="AC510" s="444">
        <f t="shared" ref="AC510" si="2201">AC508+AC509+AC507</f>
        <v>0</v>
      </c>
      <c r="AD510" s="335">
        <f>IFERROR($K330+$M330+$O330+$Q330+$S330+$U330+$W330+$Y330+$AA330+$AC330,0)</f>
        <v>0</v>
      </c>
      <c r="AE510" s="1152"/>
      <c r="AF510" s="1152"/>
      <c r="AG510" s="1152"/>
      <c r="AH510" s="1152"/>
      <c r="AI510" s="1152"/>
      <c r="AJ510" s="1152"/>
      <c r="AK510" s="1152"/>
      <c r="AL510" s="1152"/>
      <c r="AM510" s="1152"/>
      <c r="AN510" s="1152"/>
      <c r="AO510" s="1152"/>
      <c r="AP510" s="1152"/>
      <c r="AQ510" s="1152"/>
      <c r="AR510" s="1152"/>
      <c r="AS510" s="1152"/>
      <c r="AT510" s="1152"/>
      <c r="AU510" s="1152"/>
      <c r="AV510" s="1152"/>
      <c r="AW510" s="1152"/>
      <c r="AX510" s="1152"/>
      <c r="AY510" s="1152"/>
      <c r="AZ510" s="1152"/>
      <c r="BA510" s="1152"/>
      <c r="BB510" s="1152"/>
      <c r="BC510" s="1152"/>
      <c r="BD510" s="1152"/>
    </row>
    <row r="511" spans="1:56" hidden="1" outlineLevel="1" x14ac:dyDescent="0.3">
      <c r="A511" s="1182"/>
      <c r="B511" s="1379"/>
      <c r="C511" s="1379"/>
      <c r="D511" s="1379"/>
      <c r="E511" s="1379"/>
      <c r="F511" s="1379"/>
      <c r="G511" s="1379"/>
      <c r="H511" s="1380"/>
      <c r="I511" s="455" t="s">
        <v>316</v>
      </c>
      <c r="J511" s="339">
        <f>_xlfn.IFNA(_xlfn.IFNA(VLOOKUP(pStartYear,tbPayrollTax,2,FALSE),vl_MaxPayrollTax),0)</f>
        <v>5.8500000000000003E-2</v>
      </c>
      <c r="K511" s="443">
        <f>J511*K510</f>
        <v>0</v>
      </c>
      <c r="L511" s="340">
        <f>_xlfn.IFNA(_xlfn.IFNA(VLOOKUP(pStartYear+1,tbPayrollTax,2,FALSE),vl_MaxPayrollTax),0)</f>
        <v>5.8500000000000003E-2</v>
      </c>
      <c r="M511" s="451">
        <f t="shared" ref="M511" si="2202">L511*M510</f>
        <v>0</v>
      </c>
      <c r="N511" s="339">
        <f>_xlfn.IFNA(_xlfn.IFNA(VLOOKUP(pStartYear+2,tbPayrollTax,2,FALSE),vl_MaxPayrollTax),0)</f>
        <v>5.8500000000000003E-2</v>
      </c>
      <c r="O511" s="443">
        <f>N511*O510</f>
        <v>0</v>
      </c>
      <c r="P511" s="340">
        <f>_xlfn.IFNA(_xlfn.IFNA(VLOOKUP(pStartYear+3,tbPayrollTax,2,FALSE),vl_MaxPayrollTax),0)</f>
        <v>5.8500000000000003E-2</v>
      </c>
      <c r="Q511" s="451">
        <f t="shared" ref="Q511" si="2203">P511*Q510</f>
        <v>0</v>
      </c>
      <c r="R511" s="339">
        <f>_xlfn.IFNA(_xlfn.IFNA(VLOOKUP(pStartYear+4,tbPayrollTax,2,FALSE),vl_MaxPayrollTax),0)</f>
        <v>5.8500000000000003E-2</v>
      </c>
      <c r="S511" s="443">
        <f>R511*S510</f>
        <v>0</v>
      </c>
      <c r="T511" s="340">
        <f>_xlfn.IFNA(_xlfn.IFNA(VLOOKUP(pStartYear+5,tbPayrollTax,2,FALSE),vl_MaxPayrollTax),0)</f>
        <v>5.8500000000000003E-2</v>
      </c>
      <c r="U511" s="451">
        <f t="shared" ref="U511" si="2204">T511*U510</f>
        <v>0</v>
      </c>
      <c r="V511" s="339">
        <f>_xlfn.IFNA(_xlfn.IFNA(VLOOKUP(pStartYear+6,tbPayrollTax,2,FALSE),vl_MaxPayrollTax),0)</f>
        <v>5.8500000000000003E-2</v>
      </c>
      <c r="W511" s="443">
        <f>V511*W510</f>
        <v>0</v>
      </c>
      <c r="X511" s="340">
        <f>_xlfn.IFNA(_xlfn.IFNA(VLOOKUP(pStartYear+7,tbPayrollTax,2,FALSE),vl_MaxPayrollTax),0)</f>
        <v>5.8500000000000003E-2</v>
      </c>
      <c r="Y511" s="451">
        <f t="shared" ref="Y511" si="2205">X511*Y510</f>
        <v>0</v>
      </c>
      <c r="Z511" s="339">
        <f>_xlfn.IFNA(_xlfn.IFNA(VLOOKUP(pStartYear+8,tbPayrollTax,2,FALSE),vl_MaxPayrollTax),0)</f>
        <v>5.8500000000000003E-2</v>
      </c>
      <c r="AA511" s="443">
        <f>Z511*AA510</f>
        <v>0</v>
      </c>
      <c r="AB511" s="340">
        <f>_xlfn.IFNA(_xlfn.IFNA(VLOOKUP(pStartYear+9,tbPayrollTax,2,FALSE),vl_MaxPayrollTax),0)</f>
        <v>5.8500000000000003E-2</v>
      </c>
      <c r="AC511" s="451">
        <f t="shared" ref="AC511" si="2206">AB511*AC510</f>
        <v>0</v>
      </c>
      <c r="AD511" s="335"/>
      <c r="AE511" s="1152"/>
      <c r="AF511" s="1152"/>
      <c r="AG511" s="1152"/>
      <c r="AH511" s="1152"/>
      <c r="AI511" s="1152"/>
      <c r="AJ511" s="1152"/>
      <c r="AK511" s="1152"/>
      <c r="AL511" s="1152"/>
      <c r="AM511" s="1152"/>
      <c r="AN511" s="1152"/>
      <c r="AO511" s="1152"/>
      <c r="AP511" s="1152"/>
      <c r="AQ511" s="1152"/>
      <c r="AR511" s="1152"/>
      <c r="AS511" s="1152"/>
      <c r="AT511" s="1152"/>
      <c r="AU511" s="1152"/>
      <c r="AV511" s="1152"/>
      <c r="AW511" s="1152"/>
      <c r="AX511" s="1152"/>
      <c r="AY511" s="1152"/>
      <c r="AZ511" s="1152"/>
      <c r="BA511" s="1152"/>
      <c r="BB511" s="1152"/>
      <c r="BC511" s="1152"/>
      <c r="BD511" s="1152"/>
    </row>
    <row r="512" spans="1:56" hidden="1" outlineLevel="1" x14ac:dyDescent="0.3">
      <c r="A512" s="1182"/>
      <c r="B512" s="1379"/>
      <c r="C512" s="1379"/>
      <c r="D512" s="1379"/>
      <c r="E512" s="1379"/>
      <c r="F512" s="1379"/>
      <c r="G512" s="1379"/>
      <c r="H512" s="1380"/>
      <c r="I512" s="455" t="s">
        <v>317</v>
      </c>
      <c r="J512" s="339">
        <f>_xlfn.IFNA(VLOOKUP($D506,tbWorkCover,2,FALSE),0)</f>
        <v>0</v>
      </c>
      <c r="K512" s="443">
        <f>J512*K510</f>
        <v>0</v>
      </c>
      <c r="L512" s="340">
        <f>_xlfn.IFNA(VLOOKUP($D506,tbWorkCover,2,FALSE),0)</f>
        <v>0</v>
      </c>
      <c r="M512" s="451">
        <f t="shared" ref="M512" si="2207">L512*M510</f>
        <v>0</v>
      </c>
      <c r="N512" s="339">
        <f>_xlfn.IFNA(VLOOKUP($D506,tbWorkCover,2,FALSE),0)</f>
        <v>0</v>
      </c>
      <c r="O512" s="443">
        <f>N512*O510</f>
        <v>0</v>
      </c>
      <c r="P512" s="340">
        <f>_xlfn.IFNA(VLOOKUP($D506,tbWorkCover,2,FALSE),0)</f>
        <v>0</v>
      </c>
      <c r="Q512" s="451">
        <f t="shared" ref="Q512" si="2208">P512*Q510</f>
        <v>0</v>
      </c>
      <c r="R512" s="339">
        <f>_xlfn.IFNA(VLOOKUP($D506,tbWorkCover,2,FALSE),0)</f>
        <v>0</v>
      </c>
      <c r="S512" s="443">
        <f>R512*S510</f>
        <v>0</v>
      </c>
      <c r="T512" s="340">
        <f>_xlfn.IFNA(VLOOKUP($D506,tbWorkCover,2,FALSE),0)</f>
        <v>0</v>
      </c>
      <c r="U512" s="451">
        <f t="shared" ref="U512" si="2209">T512*U510</f>
        <v>0</v>
      </c>
      <c r="V512" s="339">
        <f>_xlfn.IFNA(VLOOKUP($D506,tbWorkCover,2,FALSE),0)</f>
        <v>0</v>
      </c>
      <c r="W512" s="443">
        <f>V512*W510</f>
        <v>0</v>
      </c>
      <c r="X512" s="340">
        <f>_xlfn.IFNA(VLOOKUP($D506,tbWorkCover,2,FALSE),0)</f>
        <v>0</v>
      </c>
      <c r="Y512" s="451">
        <f t="shared" ref="Y512" si="2210">X512*Y510</f>
        <v>0</v>
      </c>
      <c r="Z512" s="339">
        <f>_xlfn.IFNA(VLOOKUP($D506,tbWorkCover,2,FALSE),0)</f>
        <v>0</v>
      </c>
      <c r="AA512" s="443">
        <f>Z512*AA510</f>
        <v>0</v>
      </c>
      <c r="AB512" s="340">
        <f>_xlfn.IFNA(VLOOKUP($D506,tbWorkCover,2,FALSE),0)</f>
        <v>0</v>
      </c>
      <c r="AC512" s="451">
        <f t="shared" ref="AC512" si="2211">AB512*AC510</f>
        <v>0</v>
      </c>
      <c r="AD512" s="335"/>
      <c r="AE512" s="1152"/>
      <c r="AF512" s="1152"/>
      <c r="AG512" s="1152"/>
      <c r="AH512" s="1152"/>
      <c r="AI512" s="1152"/>
      <c r="AJ512" s="1152"/>
      <c r="AK512" s="1152"/>
      <c r="AL512" s="1152"/>
      <c r="AM512" s="1152"/>
      <c r="AN512" s="1152"/>
      <c r="AO512" s="1152"/>
      <c r="AP512" s="1152"/>
      <c r="AQ512" s="1152"/>
      <c r="AR512" s="1152"/>
      <c r="AS512" s="1152"/>
      <c r="AT512" s="1152"/>
      <c r="AU512" s="1152"/>
      <c r="AV512" s="1152"/>
      <c r="AW512" s="1152"/>
      <c r="AX512" s="1152"/>
      <c r="AY512" s="1152"/>
      <c r="AZ512" s="1152"/>
      <c r="BA512" s="1152"/>
      <c r="BB512" s="1152"/>
      <c r="BC512" s="1152"/>
      <c r="BD512" s="1152"/>
    </row>
    <row r="513" spans="1:56" hidden="1" outlineLevel="1" x14ac:dyDescent="0.3">
      <c r="A513" s="1182"/>
      <c r="B513" s="1379"/>
      <c r="C513" s="1379"/>
      <c r="D513" s="1379"/>
      <c r="E513" s="1379"/>
      <c r="F513" s="1379"/>
      <c r="G513" s="1379"/>
      <c r="H513" s="1380"/>
      <c r="I513" s="455" t="s">
        <v>318</v>
      </c>
      <c r="J513" s="339">
        <f>_xlfn.IFNA(VLOOKUP($D506,tbLongServiceLeave,2,FALSE),0)</f>
        <v>0</v>
      </c>
      <c r="K513" s="443">
        <f>J513*K507</f>
        <v>0</v>
      </c>
      <c r="L513" s="340">
        <f>_xlfn.IFNA(VLOOKUP($D506,tbLongServiceLeave,2,FALSE),0)</f>
        <v>0</v>
      </c>
      <c r="M513" s="451">
        <f t="shared" ref="M513" si="2212">L513*M507</f>
        <v>0</v>
      </c>
      <c r="N513" s="339">
        <f>_xlfn.IFNA(VLOOKUP($D506,tbLongServiceLeave,2,FALSE),0)</f>
        <v>0</v>
      </c>
      <c r="O513" s="443">
        <f>N513*O507</f>
        <v>0</v>
      </c>
      <c r="P513" s="340">
        <f>_xlfn.IFNA(VLOOKUP($D506,tbLongServiceLeave,2,FALSE),0)</f>
        <v>0</v>
      </c>
      <c r="Q513" s="451">
        <f t="shared" ref="Q513" si="2213">P513*Q507</f>
        <v>0</v>
      </c>
      <c r="R513" s="339">
        <f>_xlfn.IFNA(VLOOKUP($D506,tbLongServiceLeave,2,FALSE),0)</f>
        <v>0</v>
      </c>
      <c r="S513" s="443">
        <f>R513*S507</f>
        <v>0</v>
      </c>
      <c r="T513" s="340">
        <f>_xlfn.IFNA(VLOOKUP($D506,tbLongServiceLeave,2,FALSE),0)</f>
        <v>0</v>
      </c>
      <c r="U513" s="451">
        <f t="shared" ref="U513" si="2214">T513*U507</f>
        <v>0</v>
      </c>
      <c r="V513" s="339">
        <f>_xlfn.IFNA(VLOOKUP($D506,tbLongServiceLeave,2,FALSE),0)</f>
        <v>0</v>
      </c>
      <c r="W513" s="443">
        <f>V513*W507</f>
        <v>0</v>
      </c>
      <c r="X513" s="340">
        <f>_xlfn.IFNA(VLOOKUP($D506,tbLongServiceLeave,2,FALSE),0)</f>
        <v>0</v>
      </c>
      <c r="Y513" s="451">
        <f t="shared" ref="Y513" si="2215">X513*Y507</f>
        <v>0</v>
      </c>
      <c r="Z513" s="339">
        <f>_xlfn.IFNA(VLOOKUP($D506,tbLongServiceLeave,2,FALSE),0)</f>
        <v>0</v>
      </c>
      <c r="AA513" s="443">
        <f>Z513*AA507</f>
        <v>0</v>
      </c>
      <c r="AB513" s="340">
        <f>_xlfn.IFNA(VLOOKUP($D506,tbLongServiceLeave,2,FALSE),0)</f>
        <v>0</v>
      </c>
      <c r="AC513" s="451">
        <f t="shared" ref="AC513" si="2216">AB513*AC507</f>
        <v>0</v>
      </c>
      <c r="AD513" s="335"/>
      <c r="AE513" s="1152"/>
      <c r="AF513" s="1152"/>
      <c r="AG513" s="1152"/>
      <c r="AH513" s="1152"/>
      <c r="AI513" s="1152"/>
      <c r="AJ513" s="1152"/>
      <c r="AK513" s="1152"/>
      <c r="AL513" s="1152"/>
      <c r="AM513" s="1152"/>
      <c r="AN513" s="1152"/>
      <c r="AO513" s="1152"/>
      <c r="AP513" s="1152"/>
      <c r="AQ513" s="1152"/>
      <c r="AR513" s="1152"/>
      <c r="AS513" s="1152"/>
      <c r="AT513" s="1152"/>
      <c r="AU513" s="1152"/>
      <c r="AV513" s="1152"/>
      <c r="AW513" s="1152"/>
      <c r="AX513" s="1152"/>
      <c r="AY513" s="1152"/>
      <c r="AZ513" s="1152"/>
      <c r="BA513" s="1152"/>
      <c r="BB513" s="1152"/>
      <c r="BC513" s="1152"/>
      <c r="BD513" s="1152"/>
    </row>
    <row r="514" spans="1:56" hidden="1" outlineLevel="1" x14ac:dyDescent="0.3">
      <c r="A514" s="1182"/>
      <c r="B514" s="1379"/>
      <c r="C514" s="1379"/>
      <c r="D514" s="1379"/>
      <c r="E514" s="1379"/>
      <c r="F514" s="1379"/>
      <c r="G514" s="1379"/>
      <c r="H514" s="1380"/>
      <c r="I514" s="455" t="s">
        <v>319</v>
      </c>
      <c r="J514" s="339">
        <f>_xlfn.IFNA(VLOOKUP($D506,tbParentalLeave,2,FALSE),0)</f>
        <v>0</v>
      </c>
      <c r="K514" s="443">
        <f>J514*K507</f>
        <v>0</v>
      </c>
      <c r="L514" s="340">
        <f>_xlfn.IFNA(VLOOKUP($D506,tbParentalLeave,2,FALSE),0)</f>
        <v>0</v>
      </c>
      <c r="M514" s="451">
        <f t="shared" ref="M514" si="2217">L514*M507</f>
        <v>0</v>
      </c>
      <c r="N514" s="339">
        <f>_xlfn.IFNA(VLOOKUP($D506,tbParentalLeave,2,FALSE),0)</f>
        <v>0</v>
      </c>
      <c r="O514" s="443">
        <f>N514*O507</f>
        <v>0</v>
      </c>
      <c r="P514" s="340">
        <f>_xlfn.IFNA(VLOOKUP($D506,tbParentalLeave,2,FALSE),0)</f>
        <v>0</v>
      </c>
      <c r="Q514" s="451">
        <f t="shared" ref="Q514" si="2218">P514*Q507</f>
        <v>0</v>
      </c>
      <c r="R514" s="339">
        <f>_xlfn.IFNA(VLOOKUP($D506,tbParentalLeave,2,FALSE),0)</f>
        <v>0</v>
      </c>
      <c r="S514" s="443">
        <f>R514*S507</f>
        <v>0</v>
      </c>
      <c r="T514" s="340">
        <f>_xlfn.IFNA(VLOOKUP($D506,tbParentalLeave,2,FALSE),0)</f>
        <v>0</v>
      </c>
      <c r="U514" s="451">
        <f t="shared" ref="U514" si="2219">T514*U507</f>
        <v>0</v>
      </c>
      <c r="V514" s="339">
        <f>_xlfn.IFNA(VLOOKUP($D506,tbParentalLeave,2,FALSE),0)</f>
        <v>0</v>
      </c>
      <c r="W514" s="443">
        <f>V514*W507</f>
        <v>0</v>
      </c>
      <c r="X514" s="340">
        <f>_xlfn.IFNA(VLOOKUP($D506,tbParentalLeave,2,FALSE),0)</f>
        <v>0</v>
      </c>
      <c r="Y514" s="451">
        <f t="shared" ref="Y514" si="2220">X514*Y507</f>
        <v>0</v>
      </c>
      <c r="Z514" s="339">
        <f>_xlfn.IFNA(VLOOKUP($D506,tbParentalLeave,2,FALSE),0)</f>
        <v>0</v>
      </c>
      <c r="AA514" s="443">
        <f>Z514*AA507</f>
        <v>0</v>
      </c>
      <c r="AB514" s="340">
        <f>_xlfn.IFNA(VLOOKUP($D506,tbParentalLeave,2,FALSE),0)</f>
        <v>0</v>
      </c>
      <c r="AC514" s="451">
        <f t="shared" ref="AC514" si="2221">AB514*AC507</f>
        <v>0</v>
      </c>
      <c r="AD514" s="335"/>
      <c r="AE514" s="1152"/>
      <c r="AF514" s="1152"/>
      <c r="AG514" s="1152"/>
      <c r="AH514" s="1152"/>
      <c r="AI514" s="1152"/>
      <c r="AJ514" s="1152"/>
      <c r="AK514" s="1152"/>
      <c r="AL514" s="1152"/>
      <c r="AM514" s="1152"/>
      <c r="AN514" s="1152"/>
      <c r="AO514" s="1152"/>
      <c r="AP514" s="1152"/>
      <c r="AQ514" s="1152"/>
      <c r="AR514" s="1152"/>
      <c r="AS514" s="1152"/>
      <c r="AT514" s="1152"/>
      <c r="AU514" s="1152"/>
      <c r="AV514" s="1152"/>
      <c r="AW514" s="1152"/>
      <c r="AX514" s="1152"/>
      <c r="AY514" s="1152"/>
      <c r="AZ514" s="1152"/>
      <c r="BA514" s="1152"/>
      <c r="BB514" s="1152"/>
      <c r="BC514" s="1152"/>
      <c r="BD514" s="1152"/>
    </row>
    <row r="515" spans="1:56" hidden="1" outlineLevel="1" x14ac:dyDescent="0.3">
      <c r="A515" s="1182"/>
      <c r="B515" s="1379"/>
      <c r="C515" s="1379"/>
      <c r="D515" s="1379"/>
      <c r="E515" s="1379"/>
      <c r="F515" s="1379"/>
      <c r="G515" s="1379"/>
      <c r="H515" s="1380"/>
      <c r="I515" s="437" t="s">
        <v>320</v>
      </c>
      <c r="J515" s="438">
        <f>vl_overridden_uom_oncosts_per</f>
        <v>0</v>
      </c>
      <c r="K515" s="445">
        <f>J515*K507</f>
        <v>0</v>
      </c>
      <c r="L515" s="438">
        <f>vl_overridden_uom_oncosts_per</f>
        <v>0</v>
      </c>
      <c r="M515" s="445">
        <f>L515*M507</f>
        <v>0</v>
      </c>
      <c r="N515" s="438">
        <f>vl_overridden_uom_oncosts_per</f>
        <v>0</v>
      </c>
      <c r="O515" s="445">
        <f t="shared" ref="O515" si="2222">N515*O507</f>
        <v>0</v>
      </c>
      <c r="P515" s="438">
        <f>vl_overridden_uom_oncosts_per</f>
        <v>0</v>
      </c>
      <c r="Q515" s="445">
        <f t="shared" ref="Q515" si="2223">P515*Q507</f>
        <v>0</v>
      </c>
      <c r="R515" s="438">
        <f>vl_overridden_uom_oncosts_per</f>
        <v>0</v>
      </c>
      <c r="S515" s="445">
        <f t="shared" ref="S515" si="2224">R515*S507</f>
        <v>0</v>
      </c>
      <c r="T515" s="438">
        <f>vl_overridden_uom_oncosts_per</f>
        <v>0</v>
      </c>
      <c r="U515" s="445">
        <f t="shared" ref="U515" si="2225">T515*U507</f>
        <v>0</v>
      </c>
      <c r="V515" s="438">
        <f>vl_overridden_uom_oncosts_per</f>
        <v>0</v>
      </c>
      <c r="W515" s="445">
        <f t="shared" ref="W515" si="2226">V515*W507</f>
        <v>0</v>
      </c>
      <c r="X515" s="438">
        <f>vl_overridden_uom_oncosts_per</f>
        <v>0</v>
      </c>
      <c r="Y515" s="445">
        <f t="shared" ref="Y515" si="2227">X515*Y507</f>
        <v>0</v>
      </c>
      <c r="Z515" s="438">
        <f>vl_overridden_uom_oncosts_per</f>
        <v>0</v>
      </c>
      <c r="AA515" s="445">
        <f t="shared" ref="AA515" si="2228">Z515*AA507</f>
        <v>0</v>
      </c>
      <c r="AB515" s="438">
        <f>vl_overridden_uom_oncosts_per</f>
        <v>0</v>
      </c>
      <c r="AC515" s="445">
        <f t="shared" ref="AC515" si="2229">AB515*AC507</f>
        <v>0</v>
      </c>
      <c r="AD515" s="335"/>
      <c r="AE515" s="1152"/>
      <c r="AF515" s="1152"/>
      <c r="AG515" s="1152"/>
      <c r="AH515" s="1152"/>
      <c r="AI515" s="1152"/>
      <c r="AJ515" s="1152"/>
      <c r="AK515" s="1152"/>
      <c r="AL515" s="1152"/>
      <c r="AM515" s="1152"/>
      <c r="AN515" s="1152"/>
      <c r="AO515" s="1152"/>
      <c r="AP515" s="1152"/>
      <c r="AQ515" s="1152"/>
      <c r="AR515" s="1152"/>
      <c r="AS515" s="1152"/>
      <c r="AT515" s="1152"/>
      <c r="AU515" s="1152"/>
      <c r="AV515" s="1152"/>
      <c r="AW515" s="1152"/>
      <c r="AX515" s="1152"/>
      <c r="AY515" s="1152"/>
      <c r="AZ515" s="1152"/>
      <c r="BA515" s="1152"/>
      <c r="BB515" s="1152"/>
      <c r="BC515" s="1152"/>
      <c r="BD515" s="1152"/>
    </row>
    <row r="516" spans="1:56" hidden="1" outlineLevel="1" x14ac:dyDescent="0.3">
      <c r="A516" s="1182"/>
      <c r="B516" s="1379"/>
      <c r="C516" s="1379"/>
      <c r="D516" s="1379"/>
      <c r="E516" s="1379"/>
      <c r="F516" s="1379"/>
      <c r="G516" s="1379"/>
      <c r="H516" s="1380"/>
      <c r="I516" s="341" t="s">
        <v>321</v>
      </c>
      <c r="J516" s="342"/>
      <c r="K516" s="444">
        <f>SUM(K510:K515)</f>
        <v>0</v>
      </c>
      <c r="L516" s="342"/>
      <c r="M516" s="444">
        <f t="shared" ref="M516" si="2230">SUM(M510:M515)</f>
        <v>0</v>
      </c>
      <c r="N516" s="342"/>
      <c r="O516" s="444">
        <f t="shared" ref="O516" si="2231">SUM(O510:O515)</f>
        <v>0</v>
      </c>
      <c r="P516" s="342"/>
      <c r="Q516" s="444">
        <f t="shared" ref="Q516" si="2232">SUM(Q510:Q515)</f>
        <v>0</v>
      </c>
      <c r="R516" s="342"/>
      <c r="S516" s="444">
        <f t="shared" ref="S516" si="2233">SUM(S510:S515)</f>
        <v>0</v>
      </c>
      <c r="T516" s="342"/>
      <c r="U516" s="444">
        <f t="shared" ref="U516" si="2234">SUM(U510:U515)</f>
        <v>0</v>
      </c>
      <c r="V516" s="342"/>
      <c r="W516" s="444">
        <f t="shared" ref="W516" si="2235">SUM(W510:W515)</f>
        <v>0</v>
      </c>
      <c r="X516" s="342"/>
      <c r="Y516" s="444">
        <f t="shared" ref="Y516" si="2236">SUM(Y510:Y515)</f>
        <v>0</v>
      </c>
      <c r="Z516" s="342"/>
      <c r="AA516" s="444">
        <f t="shared" ref="AA516" si="2237">SUM(AA510:AA515)</f>
        <v>0</v>
      </c>
      <c r="AB516" s="342"/>
      <c r="AC516" s="444">
        <f t="shared" ref="AC516" si="2238">SUM(AC510:AC515)</f>
        <v>0</v>
      </c>
      <c r="AD516" s="335">
        <f>IFERROR($K336+$M336+$O336+$Q336+$S336+$U336+$W336+$Y336+$AA336+$AC336,0)</f>
        <v>0</v>
      </c>
      <c r="AE516" s="1152"/>
      <c r="AF516" s="1152"/>
      <c r="AG516" s="1152"/>
      <c r="AH516" s="1152"/>
      <c r="AI516" s="1152"/>
      <c r="AJ516" s="1152"/>
      <c r="AK516" s="1152"/>
      <c r="AL516" s="1152"/>
      <c r="AM516" s="1152"/>
      <c r="AN516" s="1152"/>
      <c r="AO516" s="1152"/>
      <c r="AP516" s="1152"/>
      <c r="AQ516" s="1152"/>
      <c r="AR516" s="1152"/>
      <c r="AS516" s="1152"/>
      <c r="AT516" s="1152"/>
      <c r="AU516" s="1152"/>
      <c r="AV516" s="1152"/>
      <c r="AW516" s="1152"/>
      <c r="AX516" s="1152"/>
      <c r="AY516" s="1152"/>
      <c r="AZ516" s="1152"/>
      <c r="BA516" s="1152"/>
      <c r="BB516" s="1152"/>
      <c r="BC516" s="1152"/>
      <c r="BD516" s="1152"/>
    </row>
    <row r="517" spans="1:56" hidden="1" outlineLevel="1" x14ac:dyDescent="0.3">
      <c r="A517" s="1182"/>
      <c r="B517" s="1379"/>
      <c r="C517" s="1379"/>
      <c r="D517" s="1379"/>
      <c r="E517" s="1379"/>
      <c r="F517" s="1379"/>
      <c r="G517" s="1379"/>
      <c r="H517" s="1380"/>
      <c r="I517" s="455" t="s">
        <v>322</v>
      </c>
      <c r="J517" s="339">
        <f>_xlfn.IFNA(VLOOKUP($D506,tbAnnualLeaveProvision,2,FALSE),0)</f>
        <v>0</v>
      </c>
      <c r="K517" s="443">
        <f>J517*K507</f>
        <v>0</v>
      </c>
      <c r="L517" s="340">
        <f>_xlfn.IFNA(VLOOKUP($D506,tbAnnualLeaveProvision,2,FALSE),0)</f>
        <v>0</v>
      </c>
      <c r="M517" s="451">
        <f t="shared" ref="M517" si="2239">L517*M507</f>
        <v>0</v>
      </c>
      <c r="N517" s="339">
        <f>_xlfn.IFNA(VLOOKUP($D506,tbAnnualLeaveProvision,2,FALSE),0)</f>
        <v>0</v>
      </c>
      <c r="O517" s="443">
        <f>N517*O507</f>
        <v>0</v>
      </c>
      <c r="P517" s="340">
        <f>_xlfn.IFNA(VLOOKUP($D506,tbAnnualLeaveProvision,2,FALSE),0)</f>
        <v>0</v>
      </c>
      <c r="Q517" s="451">
        <f t="shared" ref="Q517" si="2240">P517*Q507</f>
        <v>0</v>
      </c>
      <c r="R517" s="339">
        <f>_xlfn.IFNA(VLOOKUP($D506,tbAnnualLeaveProvision,2,FALSE),0)</f>
        <v>0</v>
      </c>
      <c r="S517" s="443">
        <f>R517*S507</f>
        <v>0</v>
      </c>
      <c r="T517" s="340">
        <f>_xlfn.IFNA(VLOOKUP($D506,tbAnnualLeaveProvision,2,FALSE),0)</f>
        <v>0</v>
      </c>
      <c r="U517" s="451">
        <f t="shared" ref="U517" si="2241">T517*U507</f>
        <v>0</v>
      </c>
      <c r="V517" s="339">
        <f>_xlfn.IFNA(VLOOKUP($D506,tbAnnualLeaveProvision,2,FALSE),0)</f>
        <v>0</v>
      </c>
      <c r="W517" s="443">
        <f>V517*W507</f>
        <v>0</v>
      </c>
      <c r="X517" s="340">
        <f>_xlfn.IFNA(VLOOKUP($D506,tbAnnualLeaveProvision,2,FALSE),0)</f>
        <v>0</v>
      </c>
      <c r="Y517" s="451">
        <f t="shared" ref="Y517" si="2242">X517*Y507</f>
        <v>0</v>
      </c>
      <c r="Z517" s="339">
        <f>_xlfn.IFNA(VLOOKUP($D506,tbAnnualLeaveProvision,2,FALSE),0)</f>
        <v>0</v>
      </c>
      <c r="AA517" s="443">
        <f>Z517*AA507</f>
        <v>0</v>
      </c>
      <c r="AB517" s="340">
        <f>_xlfn.IFNA(VLOOKUP($D506,tbAnnualLeaveProvision,2,FALSE),0)</f>
        <v>0</v>
      </c>
      <c r="AC517" s="451">
        <f t="shared" ref="AC517" si="2243">AB517*AC507</f>
        <v>0</v>
      </c>
      <c r="AD517" s="335"/>
      <c r="AE517" s="1152"/>
      <c r="AF517" s="1152"/>
      <c r="AG517" s="1152"/>
      <c r="AH517" s="1152"/>
      <c r="AI517" s="1152"/>
      <c r="AJ517" s="1152"/>
      <c r="AK517" s="1152"/>
      <c r="AL517" s="1152"/>
      <c r="AM517" s="1152"/>
      <c r="AN517" s="1152"/>
      <c r="AO517" s="1152"/>
      <c r="AP517" s="1152"/>
      <c r="AQ517" s="1152"/>
      <c r="AR517" s="1152"/>
      <c r="AS517" s="1152"/>
      <c r="AT517" s="1152"/>
      <c r="AU517" s="1152"/>
      <c r="AV517" s="1152"/>
      <c r="AW517" s="1152"/>
      <c r="AX517" s="1152"/>
      <c r="AY517" s="1152"/>
      <c r="AZ517" s="1152"/>
      <c r="BA517" s="1152"/>
      <c r="BB517" s="1152"/>
      <c r="BC517" s="1152"/>
      <c r="BD517" s="1152"/>
    </row>
    <row r="518" spans="1:56" hidden="1" outlineLevel="1" x14ac:dyDescent="0.3">
      <c r="A518" s="1182"/>
      <c r="B518" s="1379"/>
      <c r="C518" s="1379"/>
      <c r="D518" s="1379"/>
      <c r="E518" s="1379"/>
      <c r="F518" s="1379"/>
      <c r="G518" s="1379"/>
      <c r="H518" s="1380"/>
      <c r="I518" s="455" t="s">
        <v>330</v>
      </c>
      <c r="J518" s="339"/>
      <c r="K518" s="446">
        <f>K516+K517</f>
        <v>0</v>
      </c>
      <c r="L518" s="340"/>
      <c r="M518" s="452">
        <f t="shared" ref="M518" si="2244">M516+M517</f>
        <v>0</v>
      </c>
      <c r="N518" s="339"/>
      <c r="O518" s="446">
        <f>O516+O517</f>
        <v>0</v>
      </c>
      <c r="P518" s="340"/>
      <c r="Q518" s="452">
        <f t="shared" ref="Q518" si="2245">Q516+Q517</f>
        <v>0</v>
      </c>
      <c r="R518" s="339"/>
      <c r="S518" s="446">
        <f>S516+S517</f>
        <v>0</v>
      </c>
      <c r="T518" s="340"/>
      <c r="U518" s="452">
        <f t="shared" ref="U518" si="2246">U516+U517</f>
        <v>0</v>
      </c>
      <c r="V518" s="339"/>
      <c r="W518" s="446">
        <f>W516+W517</f>
        <v>0</v>
      </c>
      <c r="X518" s="340"/>
      <c r="Y518" s="452">
        <f t="shared" ref="Y518" si="2247">Y516+Y517</f>
        <v>0</v>
      </c>
      <c r="Z518" s="339"/>
      <c r="AA518" s="446">
        <f>AA516+AA517</f>
        <v>0</v>
      </c>
      <c r="AB518" s="340"/>
      <c r="AC518" s="452">
        <f t="shared" ref="AC518" si="2248">AC516+AC517</f>
        <v>0</v>
      </c>
      <c r="AD518" s="335"/>
      <c r="AE518" s="1152"/>
      <c r="AF518" s="1152"/>
      <c r="AG518" s="1152"/>
      <c r="AH518" s="1152"/>
      <c r="AI518" s="1152"/>
      <c r="AJ518" s="1152"/>
      <c r="AK518" s="1152"/>
      <c r="AL518" s="1152"/>
      <c r="AM518" s="1152"/>
      <c r="AN518" s="1152"/>
      <c r="AO518" s="1152"/>
      <c r="AP518" s="1152"/>
      <c r="AQ518" s="1152"/>
      <c r="AR518" s="1152"/>
      <c r="AS518" s="1152"/>
      <c r="AT518" s="1152"/>
      <c r="AU518" s="1152"/>
      <c r="AV518" s="1152"/>
      <c r="AW518" s="1152"/>
      <c r="AX518" s="1152"/>
      <c r="AY518" s="1152"/>
      <c r="AZ518" s="1152"/>
      <c r="BA518" s="1152"/>
      <c r="BB518" s="1152"/>
      <c r="BC518" s="1152"/>
      <c r="BD518" s="1152"/>
    </row>
    <row r="519" spans="1:56" hidden="1" outlineLevel="1" x14ac:dyDescent="0.3">
      <c r="A519" s="1182"/>
      <c r="B519" s="1379"/>
      <c r="C519" s="1379"/>
      <c r="D519" s="1379"/>
      <c r="E519" s="1379"/>
      <c r="F519" s="1379"/>
      <c r="G519" s="1379"/>
      <c r="H519" s="1380"/>
      <c r="I519" s="462" t="s">
        <v>324</v>
      </c>
      <c r="J519" s="344"/>
      <c r="K519" s="443">
        <f>-(K516/vl_working_days_per_year)*J519</f>
        <v>0</v>
      </c>
      <c r="L519" s="345"/>
      <c r="M519" s="451">
        <f>-(M516/vl_working_days_per_year)*L519</f>
        <v>0</v>
      </c>
      <c r="N519" s="344"/>
      <c r="O519" s="443">
        <f>-(O516/vl_working_days_per_year)*N519</f>
        <v>0</v>
      </c>
      <c r="P519" s="345"/>
      <c r="Q519" s="451">
        <f>-(Q516/vl_working_days_per_year)*P519</f>
        <v>0</v>
      </c>
      <c r="R519" s="344"/>
      <c r="S519" s="443">
        <f>-(S516/vl_working_days_per_year)*R519</f>
        <v>0</v>
      </c>
      <c r="T519" s="345"/>
      <c r="U519" s="451">
        <f>-(U516/vl_working_days_per_year)*T519</f>
        <v>0</v>
      </c>
      <c r="V519" s="344"/>
      <c r="W519" s="443">
        <f>-(W516/vl_working_days_per_year)*V519</f>
        <v>0</v>
      </c>
      <c r="X519" s="345"/>
      <c r="Y519" s="451">
        <f>-(Y516/vl_working_days_per_year)*X519</f>
        <v>0</v>
      </c>
      <c r="Z519" s="344"/>
      <c r="AA519" s="443">
        <f>-(AA516/vl_working_days_per_year)*Z519</f>
        <v>0</v>
      </c>
      <c r="AB519" s="345"/>
      <c r="AC519" s="451">
        <f>-(AC516/vl_working_days_per_year)*AB519</f>
        <v>0</v>
      </c>
      <c r="AD519" s="335">
        <f>IFERROR($K339+$M339+$O339+$Q339+$S339+$U339+$W339+$Y339+$AA339+$AC339,0)</f>
        <v>0</v>
      </c>
      <c r="AE519" s="1152"/>
      <c r="AF519" s="1152"/>
      <c r="AG519" s="1152"/>
      <c r="AH519" s="1152"/>
      <c r="AI519" s="1152"/>
      <c r="AJ519" s="1152"/>
      <c r="AK519" s="1152"/>
      <c r="AL519" s="1152"/>
      <c r="AM519" s="1152"/>
      <c r="AN519" s="1152"/>
      <c r="AO519" s="1152"/>
      <c r="AP519" s="1152"/>
      <c r="AQ519" s="1152"/>
      <c r="AR519" s="1152"/>
      <c r="AS519" s="1152"/>
      <c r="AT519" s="1152"/>
      <c r="AU519" s="1152"/>
      <c r="AV519" s="1152"/>
      <c r="AW519" s="1152"/>
      <c r="AX519" s="1152"/>
      <c r="AY519" s="1152"/>
      <c r="AZ519" s="1152"/>
      <c r="BA519" s="1152"/>
      <c r="BB519" s="1152"/>
      <c r="BC519" s="1152"/>
      <c r="BD519" s="1152"/>
    </row>
    <row r="520" spans="1:56" hidden="1" outlineLevel="1" x14ac:dyDescent="0.3">
      <c r="A520" s="1182"/>
      <c r="B520" s="1379"/>
      <c r="C520" s="1379"/>
      <c r="D520" s="1379"/>
      <c r="E520" s="1379"/>
      <c r="F520" s="1379"/>
      <c r="G520" s="1379"/>
      <c r="H520" s="1380"/>
      <c r="I520" s="341" t="s">
        <v>325</v>
      </c>
      <c r="J520" s="346"/>
      <c r="K520" s="444">
        <f>K518+K519</f>
        <v>0</v>
      </c>
      <c r="L520" s="346"/>
      <c r="M520" s="444">
        <f t="shared" ref="M520" si="2249">M518+M519</f>
        <v>0</v>
      </c>
      <c r="N520" s="346"/>
      <c r="O520" s="444">
        <f>O518+O519</f>
        <v>0</v>
      </c>
      <c r="P520" s="346"/>
      <c r="Q520" s="444">
        <f t="shared" ref="Q520" si="2250">Q518+Q519</f>
        <v>0</v>
      </c>
      <c r="R520" s="346"/>
      <c r="S520" s="444">
        <f>S518+S519</f>
        <v>0</v>
      </c>
      <c r="T520" s="346"/>
      <c r="U520" s="444">
        <f t="shared" ref="U520" si="2251">U518+U519</f>
        <v>0</v>
      </c>
      <c r="V520" s="346"/>
      <c r="W520" s="444">
        <f>W518+W519</f>
        <v>0</v>
      </c>
      <c r="X520" s="346"/>
      <c r="Y520" s="444">
        <f t="shared" ref="Y520" si="2252">Y518+Y519</f>
        <v>0</v>
      </c>
      <c r="Z520" s="346"/>
      <c r="AA520" s="444">
        <f>AA518+AA519</f>
        <v>0</v>
      </c>
      <c r="AB520" s="346"/>
      <c r="AC520" s="444">
        <f t="shared" ref="AC520" si="2253">AC518+AC519</f>
        <v>0</v>
      </c>
      <c r="AD520" s="335">
        <f t="shared" si="2116"/>
        <v>0</v>
      </c>
      <c r="AE520" s="1152"/>
      <c r="AF520" s="1152"/>
      <c r="AG520" s="1152"/>
      <c r="AH520" s="1152"/>
      <c r="AI520" s="1152"/>
      <c r="AJ520" s="1152"/>
      <c r="AK520" s="1152"/>
      <c r="AL520" s="1152"/>
      <c r="AM520" s="1152"/>
      <c r="AN520" s="1152"/>
      <c r="AO520" s="1152"/>
      <c r="AP520" s="1152"/>
      <c r="AQ520" s="1152"/>
      <c r="AR520" s="1152"/>
      <c r="AS520" s="1152"/>
      <c r="AT520" s="1152"/>
      <c r="AU520" s="1152"/>
      <c r="AV520" s="1152"/>
      <c r="AW520" s="1152"/>
      <c r="AX520" s="1152"/>
      <c r="AY520" s="1152"/>
      <c r="AZ520" s="1152"/>
      <c r="BA520" s="1152"/>
      <c r="BB520" s="1152"/>
      <c r="BC520" s="1152"/>
      <c r="BD520" s="1152"/>
    </row>
    <row r="521" spans="1:56" s="1" customFormat="1" ht="15" hidden="1" customHeight="1" outlineLevel="1" x14ac:dyDescent="0.3">
      <c r="A521" s="727"/>
      <c r="B521" s="1379"/>
      <c r="C521" s="1379"/>
      <c r="D521" s="1379"/>
      <c r="E521" s="1379"/>
      <c r="F521" s="1379"/>
      <c r="G521" s="1379"/>
      <c r="H521" s="1380"/>
      <c r="I521" s="463" t="s">
        <v>326</v>
      </c>
      <c r="J521" s="383">
        <f>IFERROR(K521/K507,0)</f>
        <v>0</v>
      </c>
      <c r="K521" s="447">
        <f>SUM(K508:K509,K511:K514,K517)</f>
        <v>0</v>
      </c>
      <c r="L521" s="434">
        <f>IFERROR(M521/M507,0)</f>
        <v>0</v>
      </c>
      <c r="M521" s="453">
        <f t="shared" ref="M521" si="2254">SUM(M508:M509,M511:M514,M517)</f>
        <v>0</v>
      </c>
      <c r="N521" s="383">
        <f t="shared" ref="N521" si="2255">IFERROR(O521/O507,0)</f>
        <v>0</v>
      </c>
      <c r="O521" s="447">
        <f t="shared" ref="O521" si="2256">SUM(O508:O509,O511:O514,O517)</f>
        <v>0</v>
      </c>
      <c r="P521" s="434">
        <f t="shared" ref="P521" si="2257">IFERROR(Q521/Q507,0)</f>
        <v>0</v>
      </c>
      <c r="Q521" s="453">
        <f t="shared" ref="Q521" si="2258">SUM(Q508:Q509,Q511:Q514,Q517)</f>
        <v>0</v>
      </c>
      <c r="R521" s="383">
        <f t="shared" ref="R521" si="2259">IFERROR(S521/S507,0)</f>
        <v>0</v>
      </c>
      <c r="S521" s="447">
        <f t="shared" ref="S521" si="2260">SUM(S508:S509,S511:S514,S517)</f>
        <v>0</v>
      </c>
      <c r="T521" s="434">
        <f t="shared" ref="T521" si="2261">IFERROR(U521/U507,0)</f>
        <v>0</v>
      </c>
      <c r="U521" s="453">
        <f t="shared" ref="U521" si="2262">SUM(U508:U509,U511:U514,U517)</f>
        <v>0</v>
      </c>
      <c r="V521" s="383">
        <f t="shared" ref="V521" si="2263">IFERROR(W521/W507,0)</f>
        <v>0</v>
      </c>
      <c r="W521" s="447">
        <f t="shared" ref="W521" si="2264">SUM(W508:W509,W511:W514,W517)</f>
        <v>0</v>
      </c>
      <c r="X521" s="434">
        <f t="shared" ref="X521" si="2265">IFERROR(Y521/Y507,0)</f>
        <v>0</v>
      </c>
      <c r="Y521" s="453">
        <f t="shared" ref="Y521" si="2266">SUM(Y508:Y509,Y511:Y514,Y517)</f>
        <v>0</v>
      </c>
      <c r="Z521" s="383">
        <f t="shared" ref="Z521" si="2267">IFERROR(AA521/AA507,0)</f>
        <v>0</v>
      </c>
      <c r="AA521" s="447">
        <f t="shared" ref="AA521" si="2268">SUM(AA508:AA509,AA511:AA514,AA517)</f>
        <v>0</v>
      </c>
      <c r="AB521" s="434">
        <f t="shared" ref="AB521" si="2269">IFERROR(AC521/AC507,0)</f>
        <v>0</v>
      </c>
      <c r="AC521" s="453">
        <f t="shared" ref="AC521" si="2270">SUM(AC508:AC509,AC511:AC514,AC517)</f>
        <v>0</v>
      </c>
      <c r="AD521" s="377">
        <f t="shared" si="2116"/>
        <v>0</v>
      </c>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row>
    <row r="522" spans="1:56" hidden="1" outlineLevel="1" x14ac:dyDescent="0.3">
      <c r="A522" s="1182"/>
      <c r="B522" s="1379"/>
      <c r="C522" s="1379"/>
      <c r="D522" s="1379"/>
      <c r="E522" s="1379"/>
      <c r="F522" s="1379"/>
      <c r="G522" s="1379"/>
      <c r="H522" s="1380"/>
      <c r="I522" s="463" t="s">
        <v>327</v>
      </c>
      <c r="J522" s="384">
        <f>pCRInKind</f>
        <v>2.5</v>
      </c>
      <c r="K522" s="447"/>
      <c r="L522" s="435">
        <f>pCRInKind</f>
        <v>2.5</v>
      </c>
      <c r="M522" s="453"/>
      <c r="N522" s="384">
        <f>pCRInKind</f>
        <v>2.5</v>
      </c>
      <c r="O522" s="447"/>
      <c r="P522" s="435">
        <f>pCRInKind</f>
        <v>2.5</v>
      </c>
      <c r="Q522" s="453"/>
      <c r="R522" s="384">
        <f>pCRInKind</f>
        <v>2.5</v>
      </c>
      <c r="S522" s="447"/>
      <c r="T522" s="435">
        <f>pCRInKind</f>
        <v>2.5</v>
      </c>
      <c r="U522" s="453"/>
      <c r="V522" s="384">
        <f>pCRInKind</f>
        <v>2.5</v>
      </c>
      <c r="W522" s="447"/>
      <c r="X522" s="435">
        <f>pCRInKind</f>
        <v>2.5</v>
      </c>
      <c r="Y522" s="453"/>
      <c r="Z522" s="384">
        <f>pCRInKind</f>
        <v>2.5</v>
      </c>
      <c r="AA522" s="447"/>
      <c r="AB522" s="435">
        <f>pCRInKind</f>
        <v>2.5</v>
      </c>
      <c r="AC522" s="453"/>
      <c r="AD522" s="335"/>
      <c r="AE522" s="1152"/>
      <c r="AF522" s="1152"/>
      <c r="AG522" s="1152"/>
      <c r="AH522" s="1152"/>
      <c r="AI522" s="1152"/>
      <c r="AJ522" s="1152"/>
      <c r="AK522" s="1152"/>
      <c r="AL522" s="1152"/>
      <c r="AM522" s="1152"/>
      <c r="AN522" s="1152"/>
      <c r="AO522" s="1152"/>
      <c r="AP522" s="1152"/>
      <c r="AQ522" s="1152"/>
      <c r="AR522" s="1152"/>
      <c r="AS522" s="1152"/>
      <c r="AT522" s="1152"/>
      <c r="AU522" s="1152"/>
      <c r="AV522" s="1152"/>
      <c r="AW522" s="1152"/>
      <c r="AX522" s="1152"/>
      <c r="AY522" s="1152"/>
      <c r="AZ522" s="1152"/>
      <c r="BA522" s="1152"/>
      <c r="BB522" s="1152"/>
      <c r="BC522" s="1152"/>
      <c r="BD522" s="1152"/>
    </row>
    <row r="523" spans="1:56" ht="16.2" hidden="1" outlineLevel="1" thickBot="1" x14ac:dyDescent="0.35">
      <c r="A523" s="1182"/>
      <c r="B523" s="710"/>
      <c r="C523" s="347"/>
      <c r="D523" s="347"/>
      <c r="E523" s="347"/>
      <c r="F523" s="347"/>
      <c r="G523" s="347"/>
      <c r="H523" s="347"/>
      <c r="I523" s="436" t="s">
        <v>329</v>
      </c>
      <c r="J523" s="348"/>
      <c r="K523" s="349">
        <f>J522*K518</f>
        <v>0</v>
      </c>
      <c r="L523" s="348"/>
      <c r="M523" s="349">
        <f t="shared" ref="M523" si="2271">L522*M518</f>
        <v>0</v>
      </c>
      <c r="N523" s="348"/>
      <c r="O523" s="349">
        <f>N522*O518</f>
        <v>0</v>
      </c>
      <c r="P523" s="348"/>
      <c r="Q523" s="349">
        <f t="shared" ref="Q523" si="2272">P522*Q518</f>
        <v>0</v>
      </c>
      <c r="R523" s="348"/>
      <c r="S523" s="349">
        <f>R522*S518</f>
        <v>0</v>
      </c>
      <c r="T523" s="348"/>
      <c r="U523" s="349">
        <f t="shared" ref="U523" si="2273">T522*U518</f>
        <v>0</v>
      </c>
      <c r="V523" s="348"/>
      <c r="W523" s="349">
        <f>V522*W518</f>
        <v>0</v>
      </c>
      <c r="X523" s="348"/>
      <c r="Y523" s="349">
        <f t="shared" ref="Y523" si="2274">X522*Y518</f>
        <v>0</v>
      </c>
      <c r="Z523" s="348"/>
      <c r="AA523" s="349">
        <f>Z522*AA518</f>
        <v>0</v>
      </c>
      <c r="AB523" s="348"/>
      <c r="AC523" s="349">
        <f t="shared" ref="AC523" si="2275">AB522*AC518</f>
        <v>0</v>
      </c>
      <c r="AD523" s="335">
        <f t="shared" si="2116"/>
        <v>0</v>
      </c>
      <c r="AE523" s="1152"/>
      <c r="AF523" s="1152"/>
      <c r="AG523" s="1152"/>
      <c r="AH523" s="1152"/>
      <c r="AI523" s="1152"/>
      <c r="AJ523" s="1152"/>
      <c r="AK523" s="1152"/>
      <c r="AL523" s="1152"/>
      <c r="AM523" s="1152"/>
      <c r="AN523" s="1152"/>
      <c r="AO523" s="1152"/>
      <c r="AP523" s="1152"/>
      <c r="AQ523" s="1152"/>
      <c r="AR523" s="1152"/>
      <c r="AS523" s="1152"/>
      <c r="AT523" s="1152"/>
      <c r="AU523" s="1152"/>
      <c r="AV523" s="1152"/>
      <c r="AW523" s="1152"/>
      <c r="AX523" s="1152"/>
      <c r="AY523" s="1152"/>
      <c r="AZ523" s="1152"/>
      <c r="BA523" s="1152"/>
      <c r="BB523" s="1152"/>
      <c r="BC523" s="1152"/>
      <c r="BD523" s="1152"/>
    </row>
    <row r="524" spans="1:56" ht="15" hidden="1" outlineLevel="1" thickBot="1" x14ac:dyDescent="0.35">
      <c r="A524" s="1182"/>
      <c r="B524" s="1181"/>
      <c r="C524" s="1181"/>
      <c r="D524" s="1181"/>
      <c r="E524" s="1181"/>
      <c r="F524" s="1181"/>
      <c r="G524" s="1181"/>
      <c r="H524" s="1181"/>
      <c r="I524" s="350"/>
      <c r="J524" s="351"/>
      <c r="K524" s="351"/>
      <c r="L524" s="351"/>
      <c r="M524" s="352"/>
      <c r="N524" s="351"/>
      <c r="O524" s="352"/>
      <c r="P524" s="351"/>
      <c r="Q524" s="352"/>
      <c r="R524" s="351"/>
      <c r="S524" s="352"/>
      <c r="T524" s="351"/>
      <c r="U524" s="352"/>
      <c r="V524" s="351"/>
      <c r="W524" s="352"/>
      <c r="X524" s="351"/>
      <c r="Y524" s="352"/>
      <c r="Z524" s="351"/>
      <c r="AA524" s="352"/>
      <c r="AB524" s="351"/>
      <c r="AC524" s="352"/>
      <c r="AD524" s="353" t="str">
        <f>IF(tbBudgetCurrency="AUD - Australian Dollar","",IFERROR(K524+M524+O524+Q524+S524+U524+W524+Y524+AA524+AC524,0))</f>
        <v/>
      </c>
      <c r="AE524" s="1152"/>
      <c r="AF524" s="1152"/>
      <c r="AG524" s="1152"/>
      <c r="AH524" s="1152"/>
      <c r="AI524" s="1152"/>
      <c r="AJ524" s="1152"/>
      <c r="AK524" s="1152"/>
      <c r="AL524" s="1152"/>
      <c r="AM524" s="1152"/>
      <c r="AN524" s="1152"/>
      <c r="AO524" s="1152"/>
      <c r="AP524" s="1152"/>
      <c r="AQ524" s="1152"/>
      <c r="AR524" s="1152"/>
      <c r="AS524" s="1152"/>
      <c r="AT524" s="1152"/>
      <c r="AU524" s="1152"/>
      <c r="AV524" s="1152"/>
      <c r="AW524" s="1152"/>
      <c r="AX524" s="1152"/>
      <c r="AY524" s="1152"/>
      <c r="AZ524" s="1152"/>
      <c r="BA524" s="1152"/>
      <c r="BB524" s="1152"/>
      <c r="BC524" s="1152"/>
      <c r="BD524" s="1152"/>
    </row>
    <row r="525" spans="1:56" hidden="1" outlineLevel="1" x14ac:dyDescent="0.3">
      <c r="A525" s="1182"/>
      <c r="B525" s="460" t="str">
        <f>IF('PART B Staff Costs'!B60="","",'PART B Staff Costs'!B60)</f>
        <v/>
      </c>
      <c r="C525" s="460" t="str">
        <f>IF('PART B Staff Costs'!C60="","",'PART B Staff Costs'!C60)</f>
        <v xml:space="preserve"> </v>
      </c>
      <c r="D525" s="461" t="str">
        <f>IF('PART B Staff Costs'!D60="","",'PART B Staff Costs'!D60)</f>
        <v/>
      </c>
      <c r="E525" s="461" t="str">
        <f>IF('PART B Staff Costs'!E60="","",'PART B Staff Costs'!E60)</f>
        <v/>
      </c>
      <c r="F525" s="461" t="str">
        <f>IF('PART B Staff Costs'!F60="","",'PART B Staff Costs'!F60)</f>
        <v/>
      </c>
      <c r="G525" s="461" t="str">
        <f>IF('PART B Staff Costs'!G60="","",'PART B Staff Costs'!G60)</f>
        <v/>
      </c>
      <c r="H525" s="454" t="str">
        <f t="shared" ref="H525" si="2276">CONCATENATE(IF(D525=0,"",D525)," ",IF(E525=0,"",E525)," ",IF(F525=0,"",F525),,IF(OR(G525=0,G525=""),"",CONCATENATE(" (",G525,")")))</f>
        <v xml:space="preserve">  </v>
      </c>
      <c r="I525" s="454" t="s">
        <v>313</v>
      </c>
      <c r="J525" s="333">
        <f>_xlfn.IFNA('PART B Staff Costs'!H60*'PART B Staff Costs'!J$10,0)*new_xrate</f>
        <v>0</v>
      </c>
      <c r="K525" s="441"/>
      <c r="L525" s="334">
        <f>_xlfn.IFNA(IF(pStartYear+1&gt;pEndYear,0,VLOOKUP(CONCATENATE(
IF(OR($D525="Continuing",$D525="Fixed-Term"),"Fortnight",IF($D525="Casual","Casual",)),
$E525,
IF(OR($D525="Continuing",$D525="Fixed-Term"),
IF(LEFT($F525,6)="UOM 10","UOM 10",(LEFT($F525,LEN($F525)-1)&amp;MIN(RIGHT($F525,1)+COUNTIFS($J526:K526,"&gt;0")/2,VLOOKUP(LEFT($F525,LEN($F525)-2),tSalaryMax,2,FALSE)))),
IF($D525="Casual",
$F525,))
),tSalaryRate,5,FALSE)*VLOOKUP($G525,tSalaryRateMultiplier,2,FALSE)*'PART B Staff Costs'!L$10),0)*new_xrate</f>
        <v>0</v>
      </c>
      <c r="M525" s="449"/>
      <c r="N525" s="333">
        <f>_xlfn.IFNA(IF(pStartYear+2&gt;pEndYear,0,VLOOKUP(CONCATENATE(
IF(OR($D525="Continuing",$D525="Fixed-Term"),"Fortnight",IF($D525="Casual","Casual",)),
$E525,
IF(OR($D525="Continuing",$D525="Fixed-Term"),
IF(LEFT($F525,6)="UOM 10","UOM 10",(LEFT($F525,LEN($F525)-1)&amp;MIN(RIGHT($F525,1)+COUNTIFS($J526:M526,"&gt;0")/2,VLOOKUP(LEFT($F525,LEN($F525)-2),tSalaryMax,2,FALSE)))),
IF($D525="Casual",
$F525,))
),tSalaryRate,5,FALSE)*VLOOKUP($G525,tSalaryRateMultiplier,2,FALSE)*'PART B Staff Costs'!N$10),0)*new_xrate</f>
        <v>0</v>
      </c>
      <c r="O525" s="441"/>
      <c r="P525" s="334">
        <f>_xlfn.IFNA(IF(pStartYear+3&gt;pEndYear,0,VLOOKUP(CONCATENATE(
IF(OR($D525="Continuing",$D525="Fixed-Term"),"Fortnight",IF($D525="Casual","Casual",)),
$E525,
IF(OR($D525="Continuing",$D525="Fixed-Term"),
IF(LEFT($F525,6)="UOM 10","UOM 10",(LEFT($F525,LEN($F525)-1)&amp;MIN(RIGHT($F525,1)+COUNTIFS($J526:O526,"&gt;0")/2,VLOOKUP(LEFT($F525,LEN($F525)-2),tSalaryMax,2,FALSE)))),
IF($D525="Casual",
$F525,))
),tSalaryRate,5,FALSE)*VLOOKUP($G525,tSalaryRateMultiplier,2,FALSE)*'PART B Staff Costs'!P$10),0)*new_xrate</f>
        <v>0</v>
      </c>
      <c r="Q525" s="449"/>
      <c r="R525" s="333">
        <f>_xlfn.IFNA(IF(pStartYear+4&gt;pEndYear,0,VLOOKUP(CONCATENATE(
IF(OR($D525="Continuing",$D525="Fixed-Term"),"Fortnight",IF($D525="Casual","Casual",)),
$E525,
IF(OR($D525="Continuing",$D525="Fixed-Term"),
IF(LEFT($F525,6)="UOM 10","UOM 10",(LEFT($F525,LEN($F525)-1)&amp;MIN(RIGHT($F525,1)+COUNTIFS($J526:Q526,"&gt;0")/2,VLOOKUP(LEFT($F525,LEN($F525)-2),tSalaryMax,2,FALSE)))),
IF($D525="Casual",
$F525,))
),tSalaryRate,5,FALSE)*VLOOKUP($G525,tSalaryRateMultiplier,2,FALSE)*'PART B Staff Costs'!R$10),0)*new_xrate</f>
        <v>0</v>
      </c>
      <c r="S525" s="441"/>
      <c r="T525" s="334">
        <f>_xlfn.IFNA(IF(pStartYear+5&gt;pEndYear,0,VLOOKUP(CONCATENATE(
IF(OR($D525="Continuing",$D525="Fixed-Term"),"Fortnight",IF($D525="Casual","Casual",)),
$E525,
IF(OR($D525="Continuing",$D525="Fixed-Term"),
IF(LEFT($F525,6)="UOM 10","UOM 10",(LEFT($F525,LEN($F525)-1)&amp;MIN(RIGHT($F525,1)+COUNTIFS($J526:S526,"&gt;0")/2,VLOOKUP(LEFT($F525,LEN($F525)-2),tSalaryMax,2,FALSE)))),
IF($D525="Casual",
$F525,))
),tSalaryRate,5,FALSE)*VLOOKUP($G525,tSalaryRateMultiplier,2,FALSE)*'PART B Staff Costs'!T$10),0)*new_xrate</f>
        <v>0</v>
      </c>
      <c r="U525" s="449"/>
      <c r="V525" s="333">
        <f>_xlfn.IFNA(IF(pStartYear+6&gt;pEndYear,0,VLOOKUP(CONCATENATE(
IF(OR($D525="Continuing",$D525="Fixed-Term"),"Fortnight",IF($D525="Casual","Casual",)),
$E525,
IF(OR($D525="Continuing",$D525="Fixed-Term"),
IF(LEFT($F525,6)="UOM 10","UOM 10",(LEFT($F525,LEN($F525)-1)&amp;MIN(RIGHT($F525,1)+COUNTIFS($J526:U526,"&gt;0")/2,VLOOKUP(LEFT($F525,LEN($F525)-2),tSalaryMax,2,FALSE)))),
IF($D525="Casual",
$F525,))
),tSalaryRate,5,FALSE)*VLOOKUP($G525,tSalaryRateMultiplier,2,FALSE)*'PART B Staff Costs'!V$10),0)*new_xrate</f>
        <v>0</v>
      </c>
      <c r="W525" s="441"/>
      <c r="X525" s="334">
        <f>_xlfn.IFNA(IF(pStartYear+7&gt;pEndYear,0,VLOOKUP(CONCATENATE(
IF(OR($D525="Continuing",$D525="Fixed-Term"),"Fortnight",IF($D525="Casual","Casual",)),
$E525,
IF(OR($D525="Continuing",$D525="Fixed-Term"),
IF(LEFT($F525,6)="UOM 10","UOM 10",(LEFT($F525,LEN($F525)-1)&amp;MIN(RIGHT($F525,1)+COUNTIFS($J526:W526,"&gt;0")/2,VLOOKUP(LEFT($F525,LEN($F525)-2),tSalaryMax,2,FALSE)))),
IF($D525="Casual",
$F525,))
),tSalaryRate,5,FALSE)*VLOOKUP($G525,tSalaryRateMultiplier,2,FALSE)*'PART B Staff Costs'!X$10),0)*new_xrate</f>
        <v>0</v>
      </c>
      <c r="Y525" s="449"/>
      <c r="Z525" s="333">
        <f>_xlfn.IFNA(IF(pStartYear+8&gt;pEndYear,0,VLOOKUP(CONCATENATE(
IF(OR($D525="Continuing",$D525="Fixed-Term"),"Fortnight",IF($D525="Casual","Casual",)),
$E525,
IF(OR($D525="Continuing",$D525="Fixed-Term"),
IF(LEFT($F525,6)="UOM 10","UOM 10",(LEFT($F525,LEN($F525)-1)&amp;MIN(RIGHT($F525,1)+COUNTIFS($J526:Y526,"&gt;0")/2,VLOOKUP(LEFT($F525,LEN($F525)-2),tSalaryMax,2,FALSE)))),
IF($D525="Casual",
$F525,))
),tSalaryRate,5,FALSE)*VLOOKUP($G525,tSalaryRateMultiplier,2,FALSE)*'PART B Staff Costs'!Z$10),0)*new_xrate</f>
        <v>0</v>
      </c>
      <c r="AA525" s="441"/>
      <c r="AB525" s="334">
        <f>_xlfn.IFNA(IF(pStartYear+9&gt;pEndYear,0,VLOOKUP(CONCATENATE(
IF(OR($D525="Continuing",$D525="Fixed-Term"),"Fortnight",IF($D525="Casual","Casual",)),
$E525,
IF(OR($D525="Continuing",$D525="Fixed-Term"),
IF(LEFT($F525,6)="UOM 10","UOM 10",(LEFT($F525,LEN($F525)-1)&amp;MIN(RIGHT($F525,1)+COUNTIFS($J526:AA526,"&gt;0")/2,VLOOKUP(LEFT($F525,LEN($F525)-2),tSalaryMax,2,FALSE)))),
IF($D525="Casual",
$F525,))
),tSalaryRate,5,FALSE)*VLOOKUP($G525,tSalaryRateMultiplier,2,FALSE)*'PART B Staff Costs'!AB$10),0)*new_xrate</f>
        <v>0</v>
      </c>
      <c r="AC525" s="449"/>
      <c r="AD525" s="335"/>
      <c r="AE525" s="1152"/>
      <c r="AF525" s="1152"/>
      <c r="AG525" s="1152"/>
      <c r="AH525" s="1152"/>
      <c r="AI525" s="1152"/>
      <c r="AJ525" s="1152"/>
      <c r="AK525" s="1152"/>
      <c r="AL525" s="1152"/>
      <c r="AM525" s="1152"/>
      <c r="AN525" s="1152"/>
      <c r="AO525" s="1152"/>
      <c r="AP525" s="1152"/>
      <c r="AQ525" s="1152"/>
      <c r="AR525" s="1152"/>
      <c r="AS525" s="1152"/>
      <c r="AT525" s="1152"/>
      <c r="AU525" s="1152"/>
      <c r="AV525" s="1152"/>
      <c r="AW525" s="1152"/>
      <c r="AX525" s="1152"/>
      <c r="AY525" s="1152"/>
      <c r="AZ525" s="1152"/>
      <c r="BA525" s="1152"/>
      <c r="BB525" s="1152"/>
      <c r="BC525" s="1152"/>
      <c r="BD525" s="1152"/>
    </row>
    <row r="526" spans="1:56" hidden="1" outlineLevel="1" x14ac:dyDescent="0.3">
      <c r="A526" s="1182"/>
      <c r="B526" s="1377"/>
      <c r="C526" s="1377"/>
      <c r="D526" s="1377"/>
      <c r="E526" s="1377"/>
      <c r="F526" s="1377"/>
      <c r="G526" s="1377"/>
      <c r="H526" s="1378"/>
      <c r="I526" s="455" t="str">
        <f>IF('PART B Staff Costs'!G521&lt;&gt;"",CONCATENATE("Time/Requested salary"," (",'PART B Staff Costs'!G521,")"),"Time/Requested salary")</f>
        <v>Time/Requested salary</v>
      </c>
      <c r="J526" s="337">
        <f>_xlfn.IFNA('PART B Staff Costs'!I60,0)</f>
        <v>0</v>
      </c>
      <c r="K526" s="442">
        <f>IF('PART B Staff Costs'!$G$60="FTE",J526*J525*(First_year_fraction/12),J526*J525)</f>
        <v>0</v>
      </c>
      <c r="L526" s="338">
        <f>_xlfn.IFNA('PART B Staff Costs'!K60,0)</f>
        <v>0</v>
      </c>
      <c r="M526" s="450">
        <f>IF(pStartYear+1=pEndYear,IF('PART B Staff Costs'!$G$60="FTE",(L526*L525)*Last_Year_Fraction/12,L526*L525),L526*L525)</f>
        <v>0</v>
      </c>
      <c r="N526" s="337">
        <f>_xlfn.IFNA('PART B Staff Costs'!M60,0)</f>
        <v>0</v>
      </c>
      <c r="O526" s="442">
        <f>IF(pStartYear+2=pEndYear,IF('PART B Staff Costs'!$G$60="FTE",(N526*N525)*Last_Year_Fraction/12,N526*N525),N526*N525)</f>
        <v>0</v>
      </c>
      <c r="P526" s="338">
        <f>_xlfn.IFNA('PART B Staff Costs'!O60,0)</f>
        <v>0</v>
      </c>
      <c r="Q526" s="450">
        <f>IF(pStartYear+3=pEndYear,IF('PART B Staff Costs'!$G$60="FTE",(P526*P525)*Last_Year_Fraction/12,P526*P525),P526*P525)</f>
        <v>0</v>
      </c>
      <c r="R526" s="337">
        <f>_xlfn.IFNA('PART B Staff Costs'!Q60,0)</f>
        <v>0</v>
      </c>
      <c r="S526" s="442">
        <f>IF(pStartYear+4=pEndYear,IF('PART B Staff Costs'!$G$60="FTE",(R526*R525)*Last_Year_Fraction/12,R526*R525),R526*R525)</f>
        <v>0</v>
      </c>
      <c r="T526" s="338">
        <f>_xlfn.IFNA('PART B Staff Costs'!S60,0)</f>
        <v>0</v>
      </c>
      <c r="U526" s="450">
        <f>IF(pStartYear+5=pEndYear,IF('PART B Staff Costs'!$G$60="FTE",(T526*T525)*Last_Year_Fraction/12,T526*T525),T526*T525)</f>
        <v>0</v>
      </c>
      <c r="V526" s="337">
        <f>_xlfn.IFNA('PART B Staff Costs'!U60,0)</f>
        <v>0</v>
      </c>
      <c r="W526" s="442">
        <f>IF(pStartYear+6=pEndYear,IF('PART B Staff Costs'!$G$60="FTE",(V526*V525)*Last_Year_Fraction/12,V526*V525),V526*V525)</f>
        <v>0</v>
      </c>
      <c r="X526" s="338">
        <f>_xlfn.IFNA('PART B Staff Costs'!W60,0)</f>
        <v>0</v>
      </c>
      <c r="Y526" s="450">
        <f>IF(pStartYear+7=pEndYear,IF('PART B Staff Costs'!$G$60="FTE",(X526*X525)*Last_Year_Fraction/12,X526*X525),X526*X525)</f>
        <v>0</v>
      </c>
      <c r="Z526" s="337">
        <f>_xlfn.IFNA('PART B Staff Costs'!Y60,0)</f>
        <v>0</v>
      </c>
      <c r="AA526" s="442">
        <f>IF(pStartYear+8=pEndYear,IF('PART B Staff Costs'!$G$60="FTE",(Z526*Z525)*Last_Year_Fraction/12,Z526*Z525),Z526*Z525)</f>
        <v>0</v>
      </c>
      <c r="AB526" s="338">
        <f>_xlfn.IFNA('PART B Staff Costs'!AA60,0)</f>
        <v>0</v>
      </c>
      <c r="AC526" s="450">
        <f>IF(pStartYear+9=pEndYear,IF('PART B Staff Costs'!$G$60="FTE",(AB526*AB525)*Last_Year_Fraction/12,AB526*AB525),AB526*AB525)</f>
        <v>0</v>
      </c>
      <c r="AD526" s="335"/>
      <c r="AE526" s="1152"/>
      <c r="AF526" s="1152"/>
      <c r="AG526" s="1152"/>
      <c r="AH526" s="1152"/>
      <c r="AI526" s="1152"/>
      <c r="AJ526" s="1152"/>
      <c r="AK526" s="1152"/>
      <c r="AL526" s="1152"/>
      <c r="AM526" s="1152"/>
      <c r="AN526" s="1152"/>
      <c r="AO526" s="1152"/>
      <c r="AP526" s="1152"/>
      <c r="AQ526" s="1152"/>
      <c r="AR526" s="1152"/>
      <c r="AS526" s="1152"/>
      <c r="AT526" s="1152"/>
      <c r="AU526" s="1152"/>
      <c r="AV526" s="1152"/>
      <c r="AW526" s="1152"/>
      <c r="AX526" s="1152"/>
      <c r="AY526" s="1152"/>
      <c r="AZ526" s="1152"/>
      <c r="BA526" s="1152"/>
      <c r="BB526" s="1152"/>
      <c r="BC526" s="1152"/>
      <c r="BD526" s="1152"/>
    </row>
    <row r="527" spans="1:56" hidden="1" outlineLevel="1" x14ac:dyDescent="0.3">
      <c r="A527" s="1182"/>
      <c r="B527" s="1379"/>
      <c r="C527" s="1379"/>
      <c r="D527" s="1379"/>
      <c r="E527" s="1379"/>
      <c r="F527" s="1379"/>
      <c r="G527" s="1379"/>
      <c r="H527" s="1380"/>
      <c r="I527" s="455" t="str">
        <f>IF(tbBudgetCurrency="AUD - Australian Dollar",CONCATENATE("Leave Loading (max of AU$",vl_Max_Leave_Loading,")"),CONCATENATE("Leave Loading (max of ",ROUND(vl_Max_Leave_Loading*new_xrate,2)," ",LEFT(tbBudgetCurrency,3),")"))</f>
        <v>Leave Loading (max of AU$1611.3)</v>
      </c>
      <c r="J527" s="339">
        <f>_xlfn.IFNA(VLOOKUP($D525,tbLeaveLoading,2,FALSE),0)</f>
        <v>0</v>
      </c>
      <c r="K527" s="443">
        <f>IF(K526*J527&gt;vl_Max_Leave_Loading*new_xrate,vl_Max_Leave_Loading*new_xrate,K526*J527)</f>
        <v>0</v>
      </c>
      <c r="L527" s="340">
        <f>_xlfn.IFNA(VLOOKUP($D525,tbLeaveLoading,2,FALSE),0)</f>
        <v>0</v>
      </c>
      <c r="M527" s="451">
        <f>IF(M526*L527&gt;vl_Max_Leave_Loading*new_xrate,vl_Max_Leave_Loading*new_xrate,M526*L527)</f>
        <v>0</v>
      </c>
      <c r="N527" s="339">
        <f>_xlfn.IFNA(VLOOKUP($D525,tbLeaveLoading,2,FALSE),0)</f>
        <v>0</v>
      </c>
      <c r="O527" s="443">
        <f>IF(O526*N527&gt;vl_Max_Leave_Loading*new_xrate,vl_Max_Leave_Loading*new_xrate,O526*N527)</f>
        <v>0</v>
      </c>
      <c r="P527" s="340">
        <f>_xlfn.IFNA(VLOOKUP($D525,tbLeaveLoading,2,FALSE),0)</f>
        <v>0</v>
      </c>
      <c r="Q527" s="451">
        <f>IF(Q526*P527&gt;vl_Max_Leave_Loading*new_xrate,vl_Max_Leave_Loading*new_xrate,Q526*P527)</f>
        <v>0</v>
      </c>
      <c r="R527" s="339">
        <f>_xlfn.IFNA(VLOOKUP($D525,tbLeaveLoading,2,FALSE),0)</f>
        <v>0</v>
      </c>
      <c r="S527" s="443">
        <f>IF(S526*R527&gt;vl_Max_Leave_Loading*new_xrate,vl_Max_Leave_Loading*new_xrate,S526*R527)</f>
        <v>0</v>
      </c>
      <c r="T527" s="340">
        <f>_xlfn.IFNA(VLOOKUP($D525,tbLeaveLoading,2,FALSE),0)</f>
        <v>0</v>
      </c>
      <c r="U527" s="451">
        <f>IF(U526*T527&gt;vl_Max_Leave_Loading*new_xrate,vl_Max_Leave_Loading*new_xrate,U526*T527)</f>
        <v>0</v>
      </c>
      <c r="V527" s="339">
        <f>_xlfn.IFNA(VLOOKUP($D525,tbLeaveLoading,2,FALSE),0)</f>
        <v>0</v>
      </c>
      <c r="W527" s="443">
        <f>IF(W526*V527&gt;vl_Max_Leave_Loading*new_xrate,vl_Max_Leave_Loading*new_xrate,W526*V527)</f>
        <v>0</v>
      </c>
      <c r="X527" s="340">
        <f>_xlfn.IFNA(VLOOKUP($D525,tbLeaveLoading,2,FALSE),0)</f>
        <v>0</v>
      </c>
      <c r="Y527" s="451">
        <f>IF(Y526*X527&gt;vl_Max_Leave_Loading*new_xrate,vl_Max_Leave_Loading*new_xrate,Y526*X527)</f>
        <v>0</v>
      </c>
      <c r="Z527" s="339">
        <f>_xlfn.IFNA(VLOOKUP($D525,tbLeaveLoading,2,FALSE),0)</f>
        <v>0</v>
      </c>
      <c r="AA527" s="443">
        <f>IF(AA526*Z527&gt;vl_Max_Leave_Loading*new_xrate,vl_Max_Leave_Loading*new_xrate,AA526*Z527)</f>
        <v>0</v>
      </c>
      <c r="AB527" s="340">
        <f>_xlfn.IFNA(VLOOKUP($D525,tbLeaveLoading,2,FALSE),0)</f>
        <v>0</v>
      </c>
      <c r="AC527" s="451">
        <f>IF(AC526*AB527&gt;vl_Max_Leave_Loading*new_xrate,vl_Max_Leave_Loading*new_xrate,AC526*AB527)</f>
        <v>0</v>
      </c>
      <c r="AD527" s="335"/>
      <c r="AE527" s="1152"/>
      <c r="AF527" s="1152"/>
      <c r="AG527" s="1152"/>
      <c r="AH527" s="1152"/>
      <c r="AI527" s="1152"/>
      <c r="AJ527" s="1152"/>
      <c r="AK527" s="1152"/>
      <c r="AL527" s="1152"/>
      <c r="AM527" s="1152"/>
      <c r="AN527" s="1152"/>
      <c r="AO527" s="1152"/>
      <c r="AP527" s="1152"/>
      <c r="AQ527" s="1152"/>
      <c r="AR527" s="1152"/>
      <c r="AS527" s="1152"/>
      <c r="AT527" s="1152"/>
      <c r="AU527" s="1152"/>
      <c r="AV527" s="1152"/>
      <c r="AW527" s="1152"/>
      <c r="AX527" s="1152"/>
      <c r="AY527" s="1152"/>
      <c r="AZ527" s="1152"/>
      <c r="BA527" s="1152"/>
      <c r="BB527" s="1152"/>
      <c r="BC527" s="1152"/>
      <c r="BD527" s="1152"/>
    </row>
    <row r="528" spans="1:56" hidden="1" outlineLevel="1" x14ac:dyDescent="0.3">
      <c r="A528" s="1182"/>
      <c r="B528" s="1379"/>
      <c r="C528" s="1379"/>
      <c r="D528" s="1379"/>
      <c r="E528" s="1379"/>
      <c r="F528" s="1379"/>
      <c r="G528" s="1379"/>
      <c r="H528" s="1380"/>
      <c r="I528" s="455" t="s">
        <v>314</v>
      </c>
      <c r="J528" s="339">
        <f>_xlfn.IFNA(_xlfn.IFNA(VLOOKUP(CONCATENATE(pStartYear,$D525),tbSuperannuation,4,FALSE),VLOOKUP($D525,tbSuperannuation2026onwards,2,FALSE)),0)</f>
        <v>0</v>
      </c>
      <c r="K528" s="443">
        <f>K526*J528</f>
        <v>0</v>
      </c>
      <c r="L528" s="340">
        <f>_xlfn.IFNA(_xlfn.IFNA(VLOOKUP(CONCATENATE(pStartYear+1,$D525),tbSuperannuation,4,FALSE),VLOOKUP($D525,tbSuperannuation2026onwards,2,FALSE)),0)</f>
        <v>0</v>
      </c>
      <c r="M528" s="451">
        <f t="shared" ref="M528" si="2277">M526*L528</f>
        <v>0</v>
      </c>
      <c r="N528" s="339">
        <f>_xlfn.IFNA(_xlfn.IFNA(VLOOKUP(CONCATENATE(pStartYear+2,$D525),tbSuperannuation,4,FALSE),VLOOKUP($D525,tbSuperannuation2026onwards,2,FALSE)),0)</f>
        <v>0</v>
      </c>
      <c r="O528" s="443">
        <f>O526*N528</f>
        <v>0</v>
      </c>
      <c r="P528" s="340">
        <f>_xlfn.IFNA(_xlfn.IFNA(VLOOKUP(CONCATENATE(pStartYear+3,$D525),tbSuperannuation,4,FALSE),VLOOKUP($D525,tbSuperannuation2026onwards,2,FALSE)),0)</f>
        <v>0</v>
      </c>
      <c r="Q528" s="451">
        <f t="shared" ref="Q528" si="2278">Q526*P528</f>
        <v>0</v>
      </c>
      <c r="R528" s="339">
        <f>_xlfn.IFNA(_xlfn.IFNA(VLOOKUP(CONCATENATE(pStartYear+4,$D525),tbSuperannuation,4,FALSE),VLOOKUP($D525,tbSuperannuation2026onwards,2,FALSE)),0)</f>
        <v>0</v>
      </c>
      <c r="S528" s="443">
        <f>S526*R528</f>
        <v>0</v>
      </c>
      <c r="T528" s="340">
        <f>_xlfn.IFNA(_xlfn.IFNA(VLOOKUP(CONCATENATE(pStartYear+5,$D525),tbSuperannuation,4,FALSE),VLOOKUP($D525,tbSuperannuation2026onwards,2,FALSE)),0)</f>
        <v>0</v>
      </c>
      <c r="U528" s="451">
        <f t="shared" ref="U528" si="2279">U526*T528</f>
        <v>0</v>
      </c>
      <c r="V528" s="339">
        <f>_xlfn.IFNA(_xlfn.IFNA(VLOOKUP(CONCATENATE(pStartYear+6,$D525),tbSuperannuation,4,FALSE),VLOOKUP($D525,tbSuperannuation2026onwards,2,FALSE)),0)</f>
        <v>0</v>
      </c>
      <c r="W528" s="443">
        <f>W526*V528</f>
        <v>0</v>
      </c>
      <c r="X528" s="340">
        <f>_xlfn.IFNA(_xlfn.IFNA(VLOOKUP(CONCATENATE(pStartYear+7,$D525),tbSuperannuation,4,FALSE),VLOOKUP($D525,tbSuperannuation2026onwards,2,FALSE)),0)</f>
        <v>0</v>
      </c>
      <c r="Y528" s="451">
        <f t="shared" ref="Y528" si="2280">Y526*X528</f>
        <v>0</v>
      </c>
      <c r="Z528" s="339">
        <f>_xlfn.IFNA(_xlfn.IFNA(VLOOKUP(CONCATENATE(pStartYear+8,$D525),tbSuperannuation,4,FALSE),VLOOKUP($D525,tbSuperannuation2026onwards,2,FALSE)),0)</f>
        <v>0</v>
      </c>
      <c r="AA528" s="443">
        <f>AA526*Z528</f>
        <v>0</v>
      </c>
      <c r="AB528" s="340">
        <f>_xlfn.IFNA(_xlfn.IFNA(VLOOKUP(CONCATENATE(pStartYear+9,$D525),tbSuperannuation,4,FALSE),VLOOKUP($D525,tbSuperannuation2026onwards,2,FALSE)),0)</f>
        <v>0</v>
      </c>
      <c r="AC528" s="451">
        <f t="shared" ref="AC528" si="2281">AC526*AB528</f>
        <v>0</v>
      </c>
      <c r="AD528" s="335"/>
      <c r="AE528" s="1152"/>
      <c r="AF528" s="1152"/>
      <c r="AG528" s="1152"/>
      <c r="AH528" s="1152"/>
      <c r="AI528" s="1152"/>
      <c r="AJ528" s="1152"/>
      <c r="AK528" s="1152"/>
      <c r="AL528" s="1152"/>
      <c r="AM528" s="1152"/>
      <c r="AN528" s="1152"/>
      <c r="AO528" s="1152"/>
      <c r="AP528" s="1152"/>
      <c r="AQ528" s="1152"/>
      <c r="AR528" s="1152"/>
      <c r="AS528" s="1152"/>
      <c r="AT528" s="1152"/>
      <c r="AU528" s="1152"/>
      <c r="AV528" s="1152"/>
      <c r="AW528" s="1152"/>
      <c r="AX528" s="1152"/>
      <c r="AY528" s="1152"/>
      <c r="AZ528" s="1152"/>
      <c r="BA528" s="1152"/>
      <c r="BB528" s="1152"/>
      <c r="BC528" s="1152"/>
      <c r="BD528" s="1152"/>
    </row>
    <row r="529" spans="1:56" hidden="1" outlineLevel="1" x14ac:dyDescent="0.3">
      <c r="A529" s="1182"/>
      <c r="B529" s="1379"/>
      <c r="C529" s="1379"/>
      <c r="D529" s="1379"/>
      <c r="E529" s="1379"/>
      <c r="F529" s="1379"/>
      <c r="G529" s="1379"/>
      <c r="H529" s="1380"/>
      <c r="I529" s="341" t="s">
        <v>315</v>
      </c>
      <c r="J529" s="342"/>
      <c r="K529" s="444">
        <f>K527+K528+K526</f>
        <v>0</v>
      </c>
      <c r="L529" s="342"/>
      <c r="M529" s="444">
        <f t="shared" ref="M529" si="2282">M527+M528+M526</f>
        <v>0</v>
      </c>
      <c r="N529" s="342"/>
      <c r="O529" s="444">
        <f>O527+O528+O526</f>
        <v>0</v>
      </c>
      <c r="P529" s="342"/>
      <c r="Q529" s="444">
        <f t="shared" ref="Q529" si="2283">Q527+Q528+Q526</f>
        <v>0</v>
      </c>
      <c r="R529" s="342"/>
      <c r="S529" s="444">
        <f>S527+S528+S526</f>
        <v>0</v>
      </c>
      <c r="T529" s="342"/>
      <c r="U529" s="444">
        <f t="shared" ref="U529" si="2284">U527+U528+U526</f>
        <v>0</v>
      </c>
      <c r="V529" s="342"/>
      <c r="W529" s="444">
        <f>W527+W528+W526</f>
        <v>0</v>
      </c>
      <c r="X529" s="342"/>
      <c r="Y529" s="444">
        <f t="shared" ref="Y529" si="2285">Y527+Y528+Y526</f>
        <v>0</v>
      </c>
      <c r="Z529" s="342"/>
      <c r="AA529" s="444">
        <f>AA527+AA528+AA526</f>
        <v>0</v>
      </c>
      <c r="AB529" s="342"/>
      <c r="AC529" s="444">
        <f t="shared" ref="AC529" si="2286">AC527+AC528+AC526</f>
        <v>0</v>
      </c>
      <c r="AD529" s="335">
        <f t="shared" si="2116"/>
        <v>0</v>
      </c>
      <c r="AE529" s="1152"/>
      <c r="AF529" s="1152"/>
      <c r="AG529" s="1152"/>
      <c r="AH529" s="1152"/>
      <c r="AI529" s="1152"/>
      <c r="AJ529" s="1152"/>
      <c r="AK529" s="1152"/>
      <c r="AL529" s="1152"/>
      <c r="AM529" s="1152"/>
      <c r="AN529" s="1152"/>
      <c r="AO529" s="1152"/>
      <c r="AP529" s="1152"/>
      <c r="AQ529" s="1152"/>
      <c r="AR529" s="1152"/>
      <c r="AS529" s="1152"/>
      <c r="AT529" s="1152"/>
      <c r="AU529" s="1152"/>
      <c r="AV529" s="1152"/>
      <c r="AW529" s="1152"/>
      <c r="AX529" s="1152"/>
      <c r="AY529" s="1152"/>
      <c r="AZ529" s="1152"/>
      <c r="BA529" s="1152"/>
      <c r="BB529" s="1152"/>
      <c r="BC529" s="1152"/>
      <c r="BD529" s="1152"/>
    </row>
    <row r="530" spans="1:56" hidden="1" outlineLevel="1" x14ac:dyDescent="0.3">
      <c r="A530" s="1182"/>
      <c r="B530" s="1379"/>
      <c r="C530" s="1379"/>
      <c r="D530" s="1379"/>
      <c r="E530" s="1379"/>
      <c r="F530" s="1379"/>
      <c r="G530" s="1379"/>
      <c r="H530" s="1380"/>
      <c r="I530" s="455" t="s">
        <v>316</v>
      </c>
      <c r="J530" s="339">
        <f>_xlfn.IFNA(_xlfn.IFNA(VLOOKUP(pStartYear,tbPayrollTax,2,FALSE),vl_MaxPayrollTax),0)</f>
        <v>5.8500000000000003E-2</v>
      </c>
      <c r="K530" s="443">
        <f>J530*K529</f>
        <v>0</v>
      </c>
      <c r="L530" s="340">
        <f>_xlfn.IFNA(_xlfn.IFNA(VLOOKUP(pStartYear+1,tbPayrollTax,2,FALSE),vl_MaxPayrollTax),0)</f>
        <v>5.8500000000000003E-2</v>
      </c>
      <c r="M530" s="451">
        <f t="shared" ref="M530" si="2287">L530*M529</f>
        <v>0</v>
      </c>
      <c r="N530" s="339">
        <f>_xlfn.IFNA(_xlfn.IFNA(VLOOKUP(pStartYear+2,tbPayrollTax,2,FALSE),vl_MaxPayrollTax),0)</f>
        <v>5.8500000000000003E-2</v>
      </c>
      <c r="O530" s="443">
        <f>N530*O529</f>
        <v>0</v>
      </c>
      <c r="P530" s="340">
        <f>_xlfn.IFNA(_xlfn.IFNA(VLOOKUP(pStartYear+3,tbPayrollTax,2,FALSE),vl_MaxPayrollTax),0)</f>
        <v>5.8500000000000003E-2</v>
      </c>
      <c r="Q530" s="451">
        <f t="shared" ref="Q530" si="2288">P530*Q529</f>
        <v>0</v>
      </c>
      <c r="R530" s="339">
        <f>_xlfn.IFNA(_xlfn.IFNA(VLOOKUP(pStartYear+4,tbPayrollTax,2,FALSE),vl_MaxPayrollTax),0)</f>
        <v>5.8500000000000003E-2</v>
      </c>
      <c r="S530" s="443">
        <f>R530*S529</f>
        <v>0</v>
      </c>
      <c r="T530" s="340">
        <f>_xlfn.IFNA(_xlfn.IFNA(VLOOKUP(pStartYear+5,tbPayrollTax,2,FALSE),vl_MaxPayrollTax),0)</f>
        <v>5.8500000000000003E-2</v>
      </c>
      <c r="U530" s="451">
        <f t="shared" ref="U530" si="2289">T530*U529</f>
        <v>0</v>
      </c>
      <c r="V530" s="339">
        <f>_xlfn.IFNA(_xlfn.IFNA(VLOOKUP(pStartYear+6,tbPayrollTax,2,FALSE),vl_MaxPayrollTax),0)</f>
        <v>5.8500000000000003E-2</v>
      </c>
      <c r="W530" s="443">
        <f>V530*W529</f>
        <v>0</v>
      </c>
      <c r="X530" s="340">
        <f>_xlfn.IFNA(_xlfn.IFNA(VLOOKUP(pStartYear+7,tbPayrollTax,2,FALSE),vl_MaxPayrollTax),0)</f>
        <v>5.8500000000000003E-2</v>
      </c>
      <c r="Y530" s="451">
        <f t="shared" ref="Y530" si="2290">X530*Y529</f>
        <v>0</v>
      </c>
      <c r="Z530" s="339">
        <f>_xlfn.IFNA(_xlfn.IFNA(VLOOKUP(pStartYear+8,tbPayrollTax,2,FALSE),vl_MaxPayrollTax),0)</f>
        <v>5.8500000000000003E-2</v>
      </c>
      <c r="AA530" s="443">
        <f>Z530*AA529</f>
        <v>0</v>
      </c>
      <c r="AB530" s="340">
        <f>_xlfn.IFNA(_xlfn.IFNA(VLOOKUP(pStartYear+9,tbPayrollTax,2,FALSE),vl_MaxPayrollTax),0)</f>
        <v>5.8500000000000003E-2</v>
      </c>
      <c r="AC530" s="451">
        <f t="shared" ref="AC530" si="2291">AB530*AC529</f>
        <v>0</v>
      </c>
      <c r="AD530" s="335"/>
      <c r="AE530" s="1152"/>
      <c r="AF530" s="1152"/>
      <c r="AG530" s="1152"/>
      <c r="AH530" s="1152"/>
      <c r="AI530" s="1152"/>
      <c r="AJ530" s="1152"/>
      <c r="AK530" s="1152"/>
      <c r="AL530" s="1152"/>
      <c r="AM530" s="1152"/>
      <c r="AN530" s="1152"/>
      <c r="AO530" s="1152"/>
      <c r="AP530" s="1152"/>
      <c r="AQ530" s="1152"/>
      <c r="AR530" s="1152"/>
      <c r="AS530" s="1152"/>
      <c r="AT530" s="1152"/>
      <c r="AU530" s="1152"/>
      <c r="AV530" s="1152"/>
      <c r="AW530" s="1152"/>
      <c r="AX530" s="1152"/>
      <c r="AY530" s="1152"/>
      <c r="AZ530" s="1152"/>
      <c r="BA530" s="1152"/>
      <c r="BB530" s="1152"/>
      <c r="BC530" s="1152"/>
      <c r="BD530" s="1152"/>
    </row>
    <row r="531" spans="1:56" hidden="1" outlineLevel="1" x14ac:dyDescent="0.3">
      <c r="A531" s="1182"/>
      <c r="B531" s="1379"/>
      <c r="C531" s="1379"/>
      <c r="D531" s="1379"/>
      <c r="E531" s="1379"/>
      <c r="F531" s="1379"/>
      <c r="G531" s="1379"/>
      <c r="H531" s="1380"/>
      <c r="I531" s="455" t="s">
        <v>317</v>
      </c>
      <c r="J531" s="339">
        <f>_xlfn.IFNA(VLOOKUP($D525,tbWorkCover,2,FALSE),0)</f>
        <v>0</v>
      </c>
      <c r="K531" s="443">
        <f>J531*K529</f>
        <v>0</v>
      </c>
      <c r="L531" s="340">
        <f>_xlfn.IFNA(VLOOKUP($D525,tbWorkCover,2,FALSE),0)</f>
        <v>0</v>
      </c>
      <c r="M531" s="451">
        <f t="shared" ref="M531" si="2292">L531*M529</f>
        <v>0</v>
      </c>
      <c r="N531" s="339">
        <f>_xlfn.IFNA(VLOOKUP($D525,tbWorkCover,2,FALSE),0)</f>
        <v>0</v>
      </c>
      <c r="O531" s="443">
        <f>N531*O529</f>
        <v>0</v>
      </c>
      <c r="P531" s="340">
        <f>_xlfn.IFNA(VLOOKUP($D525,tbWorkCover,2,FALSE),0)</f>
        <v>0</v>
      </c>
      <c r="Q531" s="451">
        <f t="shared" ref="Q531" si="2293">P531*Q529</f>
        <v>0</v>
      </c>
      <c r="R531" s="339">
        <f>_xlfn.IFNA(VLOOKUP($D525,tbWorkCover,2,FALSE),0)</f>
        <v>0</v>
      </c>
      <c r="S531" s="443">
        <f>R531*S529</f>
        <v>0</v>
      </c>
      <c r="T531" s="340">
        <f>_xlfn.IFNA(VLOOKUP($D525,tbWorkCover,2,FALSE),0)</f>
        <v>0</v>
      </c>
      <c r="U531" s="451">
        <f t="shared" ref="U531" si="2294">T531*U529</f>
        <v>0</v>
      </c>
      <c r="V531" s="339">
        <f>_xlfn.IFNA(VLOOKUP($D525,tbWorkCover,2,FALSE),0)</f>
        <v>0</v>
      </c>
      <c r="W531" s="443">
        <f>V531*W529</f>
        <v>0</v>
      </c>
      <c r="X531" s="340">
        <f>_xlfn.IFNA(VLOOKUP($D525,tbWorkCover,2,FALSE),0)</f>
        <v>0</v>
      </c>
      <c r="Y531" s="451">
        <f t="shared" ref="Y531" si="2295">X531*Y529</f>
        <v>0</v>
      </c>
      <c r="Z531" s="339">
        <f>_xlfn.IFNA(VLOOKUP($D525,tbWorkCover,2,FALSE),0)</f>
        <v>0</v>
      </c>
      <c r="AA531" s="443">
        <f>Z531*AA529</f>
        <v>0</v>
      </c>
      <c r="AB531" s="340">
        <f>_xlfn.IFNA(VLOOKUP($D525,tbWorkCover,2,FALSE),0)</f>
        <v>0</v>
      </c>
      <c r="AC531" s="451">
        <f t="shared" ref="AC531" si="2296">AB531*AC529</f>
        <v>0</v>
      </c>
      <c r="AD531" s="335"/>
      <c r="AE531" s="1152"/>
      <c r="AF531" s="1152"/>
      <c r="AG531" s="1152"/>
      <c r="AH531" s="1152"/>
      <c r="AI531" s="1152"/>
      <c r="AJ531" s="1152"/>
      <c r="AK531" s="1152"/>
      <c r="AL531" s="1152"/>
      <c r="AM531" s="1152"/>
      <c r="AN531" s="1152"/>
      <c r="AO531" s="1152"/>
      <c r="AP531" s="1152"/>
      <c r="AQ531" s="1152"/>
      <c r="AR531" s="1152"/>
      <c r="AS531" s="1152"/>
      <c r="AT531" s="1152"/>
      <c r="AU531" s="1152"/>
      <c r="AV531" s="1152"/>
      <c r="AW531" s="1152"/>
      <c r="AX531" s="1152"/>
      <c r="AY531" s="1152"/>
      <c r="AZ531" s="1152"/>
      <c r="BA531" s="1152"/>
      <c r="BB531" s="1152"/>
      <c r="BC531" s="1152"/>
      <c r="BD531" s="1152"/>
    </row>
    <row r="532" spans="1:56" hidden="1" outlineLevel="1" x14ac:dyDescent="0.3">
      <c r="A532" s="1182"/>
      <c r="B532" s="1379"/>
      <c r="C532" s="1379"/>
      <c r="D532" s="1379"/>
      <c r="E532" s="1379"/>
      <c r="F532" s="1379"/>
      <c r="G532" s="1379"/>
      <c r="H532" s="1380"/>
      <c r="I532" s="455" t="s">
        <v>318</v>
      </c>
      <c r="J532" s="339">
        <f>_xlfn.IFNA(VLOOKUP($D525,tbLongServiceLeave,2,FALSE),0)</f>
        <v>0</v>
      </c>
      <c r="K532" s="443">
        <f>J532*K526</f>
        <v>0</v>
      </c>
      <c r="L532" s="340">
        <f>_xlfn.IFNA(VLOOKUP($D525,tbLongServiceLeave,2,FALSE),0)</f>
        <v>0</v>
      </c>
      <c r="M532" s="451">
        <f t="shared" ref="M532" si="2297">L532*M526</f>
        <v>0</v>
      </c>
      <c r="N532" s="339">
        <f>_xlfn.IFNA(VLOOKUP($D525,tbLongServiceLeave,2,FALSE),0)</f>
        <v>0</v>
      </c>
      <c r="O532" s="443">
        <f>N532*O526</f>
        <v>0</v>
      </c>
      <c r="P532" s="340">
        <f>_xlfn.IFNA(VLOOKUP($D525,tbLongServiceLeave,2,FALSE),0)</f>
        <v>0</v>
      </c>
      <c r="Q532" s="451">
        <f t="shared" ref="Q532" si="2298">P532*Q526</f>
        <v>0</v>
      </c>
      <c r="R532" s="339">
        <f>_xlfn.IFNA(VLOOKUP($D525,tbLongServiceLeave,2,FALSE),0)</f>
        <v>0</v>
      </c>
      <c r="S532" s="443">
        <f>R532*S526</f>
        <v>0</v>
      </c>
      <c r="T532" s="340">
        <f>_xlfn.IFNA(VLOOKUP($D525,tbLongServiceLeave,2,FALSE),0)</f>
        <v>0</v>
      </c>
      <c r="U532" s="451">
        <f t="shared" ref="U532" si="2299">T532*U526</f>
        <v>0</v>
      </c>
      <c r="V532" s="339">
        <f>_xlfn.IFNA(VLOOKUP($D525,tbLongServiceLeave,2,FALSE),0)</f>
        <v>0</v>
      </c>
      <c r="W532" s="443">
        <f>V532*W526</f>
        <v>0</v>
      </c>
      <c r="X532" s="340">
        <f>_xlfn.IFNA(VLOOKUP($D525,tbLongServiceLeave,2,FALSE),0)</f>
        <v>0</v>
      </c>
      <c r="Y532" s="451">
        <f t="shared" ref="Y532" si="2300">X532*Y526</f>
        <v>0</v>
      </c>
      <c r="Z532" s="339">
        <f>_xlfn.IFNA(VLOOKUP($D525,tbLongServiceLeave,2,FALSE),0)</f>
        <v>0</v>
      </c>
      <c r="AA532" s="443">
        <f>Z532*AA526</f>
        <v>0</v>
      </c>
      <c r="AB532" s="340">
        <f>_xlfn.IFNA(VLOOKUP($D525,tbLongServiceLeave,2,FALSE),0)</f>
        <v>0</v>
      </c>
      <c r="AC532" s="451">
        <f t="shared" ref="AC532" si="2301">AB532*AC526</f>
        <v>0</v>
      </c>
      <c r="AD532" s="335"/>
      <c r="AE532" s="1152"/>
      <c r="AF532" s="1152"/>
      <c r="AG532" s="1152"/>
      <c r="AH532" s="1152"/>
      <c r="AI532" s="1152"/>
      <c r="AJ532" s="1152"/>
      <c r="AK532" s="1152"/>
      <c r="AL532" s="1152"/>
      <c r="AM532" s="1152"/>
      <c r="AN532" s="1152"/>
      <c r="AO532" s="1152"/>
      <c r="AP532" s="1152"/>
      <c r="AQ532" s="1152"/>
      <c r="AR532" s="1152"/>
      <c r="AS532" s="1152"/>
      <c r="AT532" s="1152"/>
      <c r="AU532" s="1152"/>
      <c r="AV532" s="1152"/>
      <c r="AW532" s="1152"/>
      <c r="AX532" s="1152"/>
      <c r="AY532" s="1152"/>
      <c r="AZ532" s="1152"/>
      <c r="BA532" s="1152"/>
      <c r="BB532" s="1152"/>
      <c r="BC532" s="1152"/>
      <c r="BD532" s="1152"/>
    </row>
    <row r="533" spans="1:56" hidden="1" outlineLevel="1" x14ac:dyDescent="0.3">
      <c r="A533" s="1182"/>
      <c r="B533" s="1379"/>
      <c r="C533" s="1379"/>
      <c r="D533" s="1379"/>
      <c r="E533" s="1379"/>
      <c r="F533" s="1379"/>
      <c r="G533" s="1379"/>
      <c r="H533" s="1380"/>
      <c r="I533" s="455" t="s">
        <v>319</v>
      </c>
      <c r="J533" s="339">
        <f>_xlfn.IFNA(VLOOKUP($D525,tbParentalLeave,2,FALSE),0)</f>
        <v>0</v>
      </c>
      <c r="K533" s="443">
        <f>J533*K526</f>
        <v>0</v>
      </c>
      <c r="L533" s="340">
        <f>_xlfn.IFNA(VLOOKUP($D525,tbParentalLeave,2,FALSE),0)</f>
        <v>0</v>
      </c>
      <c r="M533" s="451">
        <f t="shared" ref="M533" si="2302">L533*M526</f>
        <v>0</v>
      </c>
      <c r="N533" s="339">
        <f>_xlfn.IFNA(VLOOKUP($D525,tbParentalLeave,2,FALSE),0)</f>
        <v>0</v>
      </c>
      <c r="O533" s="443">
        <f>N533*O526</f>
        <v>0</v>
      </c>
      <c r="P533" s="340">
        <f>_xlfn.IFNA(VLOOKUP($D525,tbParentalLeave,2,FALSE),0)</f>
        <v>0</v>
      </c>
      <c r="Q533" s="451">
        <f t="shared" ref="Q533" si="2303">P533*Q526</f>
        <v>0</v>
      </c>
      <c r="R533" s="339">
        <f>_xlfn.IFNA(VLOOKUP($D525,tbParentalLeave,2,FALSE),0)</f>
        <v>0</v>
      </c>
      <c r="S533" s="443">
        <f>R533*S526</f>
        <v>0</v>
      </c>
      <c r="T533" s="340">
        <f>_xlfn.IFNA(VLOOKUP($D525,tbParentalLeave,2,FALSE),0)</f>
        <v>0</v>
      </c>
      <c r="U533" s="451">
        <f t="shared" ref="U533" si="2304">T533*U526</f>
        <v>0</v>
      </c>
      <c r="V533" s="339">
        <f>_xlfn.IFNA(VLOOKUP($D525,tbParentalLeave,2,FALSE),0)</f>
        <v>0</v>
      </c>
      <c r="W533" s="443">
        <f>V533*W526</f>
        <v>0</v>
      </c>
      <c r="X533" s="340">
        <f>_xlfn.IFNA(VLOOKUP($D525,tbParentalLeave,2,FALSE),0)</f>
        <v>0</v>
      </c>
      <c r="Y533" s="451">
        <f t="shared" ref="Y533" si="2305">X533*Y526</f>
        <v>0</v>
      </c>
      <c r="Z533" s="339">
        <f>_xlfn.IFNA(VLOOKUP($D525,tbParentalLeave,2,FALSE),0)</f>
        <v>0</v>
      </c>
      <c r="AA533" s="443">
        <f>Z533*AA526</f>
        <v>0</v>
      </c>
      <c r="AB533" s="340">
        <f>_xlfn.IFNA(VLOOKUP($D525,tbParentalLeave,2,FALSE),0)</f>
        <v>0</v>
      </c>
      <c r="AC533" s="451">
        <f t="shared" ref="AC533" si="2306">AB533*AC526</f>
        <v>0</v>
      </c>
      <c r="AD533" s="335"/>
      <c r="AE533" s="1152"/>
      <c r="AF533" s="1152"/>
      <c r="AG533" s="1152"/>
      <c r="AH533" s="1152"/>
      <c r="AI533" s="1152"/>
      <c r="AJ533" s="1152"/>
      <c r="AK533" s="1152"/>
      <c r="AL533" s="1152"/>
      <c r="AM533" s="1152"/>
      <c r="AN533" s="1152"/>
      <c r="AO533" s="1152"/>
      <c r="AP533" s="1152"/>
      <c r="AQ533" s="1152"/>
      <c r="AR533" s="1152"/>
      <c r="AS533" s="1152"/>
      <c r="AT533" s="1152"/>
      <c r="AU533" s="1152"/>
      <c r="AV533" s="1152"/>
      <c r="AW533" s="1152"/>
      <c r="AX533" s="1152"/>
      <c r="AY533" s="1152"/>
      <c r="AZ533" s="1152"/>
      <c r="BA533" s="1152"/>
      <c r="BB533" s="1152"/>
      <c r="BC533" s="1152"/>
      <c r="BD533" s="1152"/>
    </row>
    <row r="534" spans="1:56" hidden="1" outlineLevel="1" x14ac:dyDescent="0.3">
      <c r="A534" s="1182"/>
      <c r="B534" s="1379"/>
      <c r="C534" s="1379"/>
      <c r="D534" s="1379"/>
      <c r="E534" s="1379"/>
      <c r="F534" s="1379"/>
      <c r="G534" s="1379"/>
      <c r="H534" s="1380"/>
      <c r="I534" s="437" t="s">
        <v>320</v>
      </c>
      <c r="J534" s="438">
        <f>vl_overridden_uom_oncosts_per</f>
        <v>0</v>
      </c>
      <c r="K534" s="445">
        <f>J534*K526</f>
        <v>0</v>
      </c>
      <c r="L534" s="438">
        <f>vl_overridden_uom_oncosts_per</f>
        <v>0</v>
      </c>
      <c r="M534" s="445">
        <f>L534*M526</f>
        <v>0</v>
      </c>
      <c r="N534" s="438">
        <f>vl_overridden_uom_oncosts_per</f>
        <v>0</v>
      </c>
      <c r="O534" s="445">
        <f t="shared" ref="O534" si="2307">N534*O526</f>
        <v>0</v>
      </c>
      <c r="P534" s="438">
        <f>vl_overridden_uom_oncosts_per</f>
        <v>0</v>
      </c>
      <c r="Q534" s="445">
        <f t="shared" ref="Q534" si="2308">P534*Q526</f>
        <v>0</v>
      </c>
      <c r="R534" s="438">
        <f>vl_overridden_uom_oncosts_per</f>
        <v>0</v>
      </c>
      <c r="S534" s="445">
        <f t="shared" ref="S534" si="2309">R534*S526</f>
        <v>0</v>
      </c>
      <c r="T534" s="438">
        <f>vl_overridden_uom_oncosts_per</f>
        <v>0</v>
      </c>
      <c r="U534" s="445">
        <f t="shared" ref="U534" si="2310">T534*U526</f>
        <v>0</v>
      </c>
      <c r="V534" s="438">
        <f>vl_overridden_uom_oncosts_per</f>
        <v>0</v>
      </c>
      <c r="W534" s="445">
        <f t="shared" ref="W534" si="2311">V534*W526</f>
        <v>0</v>
      </c>
      <c r="X534" s="438">
        <f>vl_overridden_uom_oncosts_per</f>
        <v>0</v>
      </c>
      <c r="Y534" s="445">
        <f t="shared" ref="Y534" si="2312">X534*Y526</f>
        <v>0</v>
      </c>
      <c r="Z534" s="438">
        <f>vl_overridden_uom_oncosts_per</f>
        <v>0</v>
      </c>
      <c r="AA534" s="445">
        <f t="shared" ref="AA534" si="2313">Z534*AA526</f>
        <v>0</v>
      </c>
      <c r="AB534" s="438">
        <f>vl_overridden_uom_oncosts_per</f>
        <v>0</v>
      </c>
      <c r="AC534" s="445">
        <f t="shared" ref="AC534" si="2314">AB534*AC526</f>
        <v>0</v>
      </c>
      <c r="AD534" s="335"/>
      <c r="AE534" s="1152"/>
      <c r="AF534" s="1152"/>
      <c r="AG534" s="1152"/>
      <c r="AH534" s="1152"/>
      <c r="AI534" s="1152"/>
      <c r="AJ534" s="1152"/>
      <c r="AK534" s="1152"/>
      <c r="AL534" s="1152"/>
      <c r="AM534" s="1152"/>
      <c r="AN534" s="1152"/>
      <c r="AO534" s="1152"/>
      <c r="AP534" s="1152"/>
      <c r="AQ534" s="1152"/>
      <c r="AR534" s="1152"/>
      <c r="AS534" s="1152"/>
      <c r="AT534" s="1152"/>
      <c r="AU534" s="1152"/>
      <c r="AV534" s="1152"/>
      <c r="AW534" s="1152"/>
      <c r="AX534" s="1152"/>
      <c r="AY534" s="1152"/>
      <c r="AZ534" s="1152"/>
      <c r="BA534" s="1152"/>
      <c r="BB534" s="1152"/>
      <c r="BC534" s="1152"/>
      <c r="BD534" s="1152"/>
    </row>
    <row r="535" spans="1:56" hidden="1" outlineLevel="1" x14ac:dyDescent="0.3">
      <c r="A535" s="1182"/>
      <c r="B535" s="1379"/>
      <c r="C535" s="1379"/>
      <c r="D535" s="1379"/>
      <c r="E535" s="1379"/>
      <c r="F535" s="1379"/>
      <c r="G535" s="1379"/>
      <c r="H535" s="1380"/>
      <c r="I535" s="341" t="s">
        <v>321</v>
      </c>
      <c r="J535" s="342"/>
      <c r="K535" s="444">
        <f>SUM(K529:K534)</f>
        <v>0</v>
      </c>
      <c r="L535" s="342"/>
      <c r="M535" s="444">
        <f t="shared" ref="M535" si="2315">SUM(M529:M534)</f>
        <v>0</v>
      </c>
      <c r="N535" s="342"/>
      <c r="O535" s="444">
        <f t="shared" ref="O535" si="2316">SUM(O529:O534)</f>
        <v>0</v>
      </c>
      <c r="P535" s="342"/>
      <c r="Q535" s="444">
        <f t="shared" ref="Q535" si="2317">SUM(Q529:Q534)</f>
        <v>0</v>
      </c>
      <c r="R535" s="342"/>
      <c r="S535" s="444">
        <f t="shared" ref="S535" si="2318">SUM(S529:S534)</f>
        <v>0</v>
      </c>
      <c r="T535" s="342"/>
      <c r="U535" s="444">
        <f t="shared" ref="U535" si="2319">SUM(U529:U534)</f>
        <v>0</v>
      </c>
      <c r="V535" s="342"/>
      <c r="W535" s="444">
        <f t="shared" ref="W535" si="2320">SUM(W529:W534)</f>
        <v>0</v>
      </c>
      <c r="X535" s="342"/>
      <c r="Y535" s="444">
        <f t="shared" ref="Y535" si="2321">SUM(Y529:Y534)</f>
        <v>0</v>
      </c>
      <c r="Z535" s="342"/>
      <c r="AA535" s="444">
        <f t="shared" ref="AA535" si="2322">SUM(AA529:AA534)</f>
        <v>0</v>
      </c>
      <c r="AB535" s="342"/>
      <c r="AC535" s="444">
        <f t="shared" ref="AC535" si="2323">SUM(AC529:AC534)</f>
        <v>0</v>
      </c>
      <c r="AD535" s="335">
        <f t="shared" si="2116"/>
        <v>0</v>
      </c>
      <c r="AE535" s="1152"/>
      <c r="AF535" s="1152"/>
      <c r="AG535" s="1152"/>
      <c r="AH535" s="1152"/>
      <c r="AI535" s="1152"/>
      <c r="AJ535" s="1152"/>
      <c r="AK535" s="1152"/>
      <c r="AL535" s="1152"/>
      <c r="AM535" s="1152"/>
      <c r="AN535" s="1152"/>
      <c r="AO535" s="1152"/>
      <c r="AP535" s="1152"/>
      <c r="AQ535" s="1152"/>
      <c r="AR535" s="1152"/>
      <c r="AS535" s="1152"/>
      <c r="AT535" s="1152"/>
      <c r="AU535" s="1152"/>
      <c r="AV535" s="1152"/>
      <c r="AW535" s="1152"/>
      <c r="AX535" s="1152"/>
      <c r="AY535" s="1152"/>
      <c r="AZ535" s="1152"/>
      <c r="BA535" s="1152"/>
      <c r="BB535" s="1152"/>
      <c r="BC535" s="1152"/>
      <c r="BD535" s="1152"/>
    </row>
    <row r="536" spans="1:56" hidden="1" outlineLevel="1" x14ac:dyDescent="0.3">
      <c r="A536" s="1182"/>
      <c r="B536" s="1379"/>
      <c r="C536" s="1379"/>
      <c r="D536" s="1379"/>
      <c r="E536" s="1379"/>
      <c r="F536" s="1379"/>
      <c r="G536" s="1379"/>
      <c r="H536" s="1380"/>
      <c r="I536" s="455" t="s">
        <v>322</v>
      </c>
      <c r="J536" s="339">
        <f>_xlfn.IFNA(VLOOKUP($D525,tbAnnualLeaveProvision,2,FALSE),0)</f>
        <v>0</v>
      </c>
      <c r="K536" s="443">
        <f>J536*K526</f>
        <v>0</v>
      </c>
      <c r="L536" s="340">
        <f>_xlfn.IFNA(VLOOKUP($D525,tbAnnualLeaveProvision,2,FALSE),0)</f>
        <v>0</v>
      </c>
      <c r="M536" s="451">
        <f t="shared" ref="M536" si="2324">L536*M526</f>
        <v>0</v>
      </c>
      <c r="N536" s="339">
        <f>_xlfn.IFNA(VLOOKUP($D525,tbAnnualLeaveProvision,2,FALSE),0)</f>
        <v>0</v>
      </c>
      <c r="O536" s="443">
        <f>N536*O526</f>
        <v>0</v>
      </c>
      <c r="P536" s="340">
        <f>_xlfn.IFNA(VLOOKUP($D525,tbAnnualLeaveProvision,2,FALSE),0)</f>
        <v>0</v>
      </c>
      <c r="Q536" s="451">
        <f t="shared" ref="Q536" si="2325">P536*Q526</f>
        <v>0</v>
      </c>
      <c r="R536" s="339">
        <f>_xlfn.IFNA(VLOOKUP($D525,tbAnnualLeaveProvision,2,FALSE),0)</f>
        <v>0</v>
      </c>
      <c r="S536" s="443">
        <f>R536*S526</f>
        <v>0</v>
      </c>
      <c r="T536" s="340">
        <f>_xlfn.IFNA(VLOOKUP($D525,tbAnnualLeaveProvision,2,FALSE),0)</f>
        <v>0</v>
      </c>
      <c r="U536" s="451">
        <f t="shared" ref="U536" si="2326">T536*U526</f>
        <v>0</v>
      </c>
      <c r="V536" s="339">
        <f>_xlfn.IFNA(VLOOKUP($D525,tbAnnualLeaveProvision,2,FALSE),0)</f>
        <v>0</v>
      </c>
      <c r="W536" s="443">
        <f>V536*W526</f>
        <v>0</v>
      </c>
      <c r="X536" s="340">
        <f>_xlfn.IFNA(VLOOKUP($D525,tbAnnualLeaveProvision,2,FALSE),0)</f>
        <v>0</v>
      </c>
      <c r="Y536" s="451">
        <f t="shared" ref="Y536" si="2327">X536*Y526</f>
        <v>0</v>
      </c>
      <c r="Z536" s="339">
        <f>_xlfn.IFNA(VLOOKUP($D525,tbAnnualLeaveProvision,2,FALSE),0)</f>
        <v>0</v>
      </c>
      <c r="AA536" s="443">
        <f>Z536*AA526</f>
        <v>0</v>
      </c>
      <c r="AB536" s="340">
        <f>_xlfn.IFNA(VLOOKUP($D525,tbAnnualLeaveProvision,2,FALSE),0)</f>
        <v>0</v>
      </c>
      <c r="AC536" s="451">
        <f t="shared" ref="AC536" si="2328">AB536*AC526</f>
        <v>0</v>
      </c>
      <c r="AD536" s="335"/>
      <c r="AE536" s="1152"/>
      <c r="AF536" s="1152"/>
      <c r="AG536" s="1152"/>
      <c r="AH536" s="1152"/>
      <c r="AI536" s="1152"/>
      <c r="AJ536" s="1152"/>
      <c r="AK536" s="1152"/>
      <c r="AL536" s="1152"/>
      <c r="AM536" s="1152"/>
      <c r="AN536" s="1152"/>
      <c r="AO536" s="1152"/>
      <c r="AP536" s="1152"/>
      <c r="AQ536" s="1152"/>
      <c r="AR536" s="1152"/>
      <c r="AS536" s="1152"/>
      <c r="AT536" s="1152"/>
      <c r="AU536" s="1152"/>
      <c r="AV536" s="1152"/>
      <c r="AW536" s="1152"/>
      <c r="AX536" s="1152"/>
      <c r="AY536" s="1152"/>
      <c r="AZ536" s="1152"/>
      <c r="BA536" s="1152"/>
      <c r="BB536" s="1152"/>
      <c r="BC536" s="1152"/>
      <c r="BD536" s="1152"/>
    </row>
    <row r="537" spans="1:56" hidden="1" outlineLevel="1" x14ac:dyDescent="0.3">
      <c r="A537" s="1182"/>
      <c r="B537" s="1379"/>
      <c r="C537" s="1379"/>
      <c r="D537" s="1379"/>
      <c r="E537" s="1379"/>
      <c r="F537" s="1379"/>
      <c r="G537" s="1379"/>
      <c r="H537" s="1380"/>
      <c r="I537" s="455" t="s">
        <v>330</v>
      </c>
      <c r="J537" s="339"/>
      <c r="K537" s="446">
        <f>K535+K536</f>
        <v>0</v>
      </c>
      <c r="L537" s="340"/>
      <c r="M537" s="452">
        <f t="shared" ref="M537" si="2329">M535+M536</f>
        <v>0</v>
      </c>
      <c r="N537" s="339"/>
      <c r="O537" s="446">
        <f>O535+O536</f>
        <v>0</v>
      </c>
      <c r="P537" s="340"/>
      <c r="Q537" s="452">
        <f t="shared" ref="Q537" si="2330">Q535+Q536</f>
        <v>0</v>
      </c>
      <c r="R537" s="339"/>
      <c r="S537" s="446">
        <f>S535+S536</f>
        <v>0</v>
      </c>
      <c r="T537" s="340"/>
      <c r="U537" s="452">
        <f t="shared" ref="U537" si="2331">U535+U536</f>
        <v>0</v>
      </c>
      <c r="V537" s="339"/>
      <c r="W537" s="446">
        <f>W535+W536</f>
        <v>0</v>
      </c>
      <c r="X537" s="340"/>
      <c r="Y537" s="452">
        <f t="shared" ref="Y537" si="2332">Y535+Y536</f>
        <v>0</v>
      </c>
      <c r="Z537" s="339"/>
      <c r="AA537" s="446">
        <f>AA535+AA536</f>
        <v>0</v>
      </c>
      <c r="AB537" s="340"/>
      <c r="AC537" s="452">
        <f t="shared" ref="AC537" si="2333">AC535+AC536</f>
        <v>0</v>
      </c>
      <c r="AD537" s="335"/>
      <c r="AE537" s="1152"/>
      <c r="AF537" s="1152"/>
      <c r="AG537" s="1152"/>
      <c r="AH537" s="1152"/>
      <c r="AI537" s="1152"/>
      <c r="AJ537" s="1152"/>
      <c r="AK537" s="1152"/>
      <c r="AL537" s="1152"/>
      <c r="AM537" s="1152"/>
      <c r="AN537" s="1152"/>
      <c r="AO537" s="1152"/>
      <c r="AP537" s="1152"/>
      <c r="AQ537" s="1152"/>
      <c r="AR537" s="1152"/>
      <c r="AS537" s="1152"/>
      <c r="AT537" s="1152"/>
      <c r="AU537" s="1152"/>
      <c r="AV537" s="1152"/>
      <c r="AW537" s="1152"/>
      <c r="AX537" s="1152"/>
      <c r="AY537" s="1152"/>
      <c r="AZ537" s="1152"/>
      <c r="BA537" s="1152"/>
      <c r="BB537" s="1152"/>
      <c r="BC537" s="1152"/>
      <c r="BD537" s="1152"/>
    </row>
    <row r="538" spans="1:56" hidden="1" outlineLevel="1" x14ac:dyDescent="0.3">
      <c r="A538" s="1182"/>
      <c r="B538" s="1379"/>
      <c r="C538" s="1379"/>
      <c r="D538" s="1379"/>
      <c r="E538" s="1379"/>
      <c r="F538" s="1379"/>
      <c r="G538" s="1379"/>
      <c r="H538" s="1380"/>
      <c r="I538" s="462" t="s">
        <v>324</v>
      </c>
      <c r="J538" s="344"/>
      <c r="K538" s="443">
        <f>-(K535/vl_working_days_per_year)*J538</f>
        <v>0</v>
      </c>
      <c r="L538" s="345"/>
      <c r="M538" s="451">
        <f>-(M535/vl_working_days_per_year)*L538</f>
        <v>0</v>
      </c>
      <c r="N538" s="344"/>
      <c r="O538" s="443">
        <f>-(O535/vl_working_days_per_year)*N538</f>
        <v>0</v>
      </c>
      <c r="P538" s="345"/>
      <c r="Q538" s="451">
        <f>-(Q535/vl_working_days_per_year)*P538</f>
        <v>0</v>
      </c>
      <c r="R538" s="344"/>
      <c r="S538" s="443">
        <f>-(S535/vl_working_days_per_year)*R538</f>
        <v>0</v>
      </c>
      <c r="T538" s="345"/>
      <c r="U538" s="451">
        <f>-(U535/vl_working_days_per_year)*T538</f>
        <v>0</v>
      </c>
      <c r="V538" s="344"/>
      <c r="W538" s="443">
        <f>-(W535/vl_working_days_per_year)*V538</f>
        <v>0</v>
      </c>
      <c r="X538" s="345"/>
      <c r="Y538" s="451">
        <f>-(Y535/vl_working_days_per_year)*X538</f>
        <v>0</v>
      </c>
      <c r="Z538" s="344"/>
      <c r="AA538" s="443">
        <f>-(AA535/vl_working_days_per_year)*Z538</f>
        <v>0</v>
      </c>
      <c r="AB538" s="345"/>
      <c r="AC538" s="451">
        <f>-(AC535/vl_working_days_per_year)*AB538</f>
        <v>0</v>
      </c>
      <c r="AD538" s="335">
        <f t="shared" si="2116"/>
        <v>0</v>
      </c>
      <c r="AE538" s="1152"/>
      <c r="AF538" s="1152"/>
      <c r="AG538" s="1152"/>
      <c r="AH538" s="1152"/>
      <c r="AI538" s="1152"/>
      <c r="AJ538" s="1152"/>
      <c r="AK538" s="1152"/>
      <c r="AL538" s="1152"/>
      <c r="AM538" s="1152"/>
      <c r="AN538" s="1152"/>
      <c r="AO538" s="1152"/>
      <c r="AP538" s="1152"/>
      <c r="AQ538" s="1152"/>
      <c r="AR538" s="1152"/>
      <c r="AS538" s="1152"/>
      <c r="AT538" s="1152"/>
      <c r="AU538" s="1152"/>
      <c r="AV538" s="1152"/>
      <c r="AW538" s="1152"/>
      <c r="AX538" s="1152"/>
      <c r="AY538" s="1152"/>
      <c r="AZ538" s="1152"/>
      <c r="BA538" s="1152"/>
      <c r="BB538" s="1152"/>
      <c r="BC538" s="1152"/>
      <c r="BD538" s="1152"/>
    </row>
    <row r="539" spans="1:56" hidden="1" outlineLevel="1" x14ac:dyDescent="0.3">
      <c r="A539" s="1182"/>
      <c r="B539" s="1379"/>
      <c r="C539" s="1379"/>
      <c r="D539" s="1379"/>
      <c r="E539" s="1379"/>
      <c r="F539" s="1379"/>
      <c r="G539" s="1379"/>
      <c r="H539" s="1380"/>
      <c r="I539" s="341" t="s">
        <v>325</v>
      </c>
      <c r="J539" s="346"/>
      <c r="K539" s="444">
        <f>K537+K538</f>
        <v>0</v>
      </c>
      <c r="L539" s="346"/>
      <c r="M539" s="444">
        <f t="shared" ref="M539" si="2334">M537+M538</f>
        <v>0</v>
      </c>
      <c r="N539" s="346"/>
      <c r="O539" s="444">
        <f>O537+O538</f>
        <v>0</v>
      </c>
      <c r="P539" s="346"/>
      <c r="Q539" s="444">
        <f t="shared" ref="Q539" si="2335">Q537+Q538</f>
        <v>0</v>
      </c>
      <c r="R539" s="346"/>
      <c r="S539" s="444">
        <f>S537+S538</f>
        <v>0</v>
      </c>
      <c r="T539" s="346"/>
      <c r="U539" s="444">
        <f t="shared" ref="U539" si="2336">U537+U538</f>
        <v>0</v>
      </c>
      <c r="V539" s="346"/>
      <c r="W539" s="444">
        <f>W537+W538</f>
        <v>0</v>
      </c>
      <c r="X539" s="346"/>
      <c r="Y539" s="444">
        <f t="shared" ref="Y539" si="2337">Y537+Y538</f>
        <v>0</v>
      </c>
      <c r="Z539" s="346"/>
      <c r="AA539" s="444">
        <f>AA537+AA538</f>
        <v>0</v>
      </c>
      <c r="AB539" s="346"/>
      <c r="AC539" s="444">
        <f t="shared" ref="AC539" si="2338">AC537+AC538</f>
        <v>0</v>
      </c>
      <c r="AD539" s="335">
        <f t="shared" si="2116"/>
        <v>0</v>
      </c>
      <c r="AE539" s="1152"/>
      <c r="AF539" s="1152"/>
      <c r="AG539" s="1152"/>
      <c r="AH539" s="1152"/>
      <c r="AI539" s="1152"/>
      <c r="AJ539" s="1152"/>
      <c r="AK539" s="1152"/>
      <c r="AL539" s="1152"/>
      <c r="AM539" s="1152"/>
      <c r="AN539" s="1152"/>
      <c r="AO539" s="1152"/>
      <c r="AP539" s="1152"/>
      <c r="AQ539" s="1152"/>
      <c r="AR539" s="1152"/>
      <c r="AS539" s="1152"/>
      <c r="AT539" s="1152"/>
      <c r="AU539" s="1152"/>
      <c r="AV539" s="1152"/>
      <c r="AW539" s="1152"/>
      <c r="AX539" s="1152"/>
      <c r="AY539" s="1152"/>
      <c r="AZ539" s="1152"/>
      <c r="BA539" s="1152"/>
      <c r="BB539" s="1152"/>
      <c r="BC539" s="1152"/>
      <c r="BD539" s="1152"/>
    </row>
    <row r="540" spans="1:56" s="1" customFormat="1" ht="15" hidden="1" customHeight="1" outlineLevel="1" x14ac:dyDescent="0.3">
      <c r="A540" s="727"/>
      <c r="B540" s="1379"/>
      <c r="C540" s="1379"/>
      <c r="D540" s="1379"/>
      <c r="E540" s="1379"/>
      <c r="F540" s="1379"/>
      <c r="G540" s="1379"/>
      <c r="H540" s="1380"/>
      <c r="I540" s="463" t="s">
        <v>326</v>
      </c>
      <c r="J540" s="383">
        <f>IFERROR(K540/K526,0)</f>
        <v>0</v>
      </c>
      <c r="K540" s="447">
        <f>SUM(K527:K528,K530:K533,K536)</f>
        <v>0</v>
      </c>
      <c r="L540" s="434">
        <f>IFERROR(M540/M526,0)</f>
        <v>0</v>
      </c>
      <c r="M540" s="453">
        <f t="shared" ref="M540" si="2339">SUM(M527:M528,M530:M533,M536)</f>
        <v>0</v>
      </c>
      <c r="N540" s="383">
        <f t="shared" ref="N540" si="2340">IFERROR(O540/O526,0)</f>
        <v>0</v>
      </c>
      <c r="O540" s="447">
        <f t="shared" ref="O540" si="2341">SUM(O527:O528,O530:O533,O536)</f>
        <v>0</v>
      </c>
      <c r="P540" s="434">
        <f t="shared" ref="P540" si="2342">IFERROR(Q540/Q526,0)</f>
        <v>0</v>
      </c>
      <c r="Q540" s="453">
        <f t="shared" ref="Q540" si="2343">SUM(Q527:Q528,Q530:Q533,Q536)</f>
        <v>0</v>
      </c>
      <c r="R540" s="383">
        <f t="shared" ref="R540" si="2344">IFERROR(S540/S526,0)</f>
        <v>0</v>
      </c>
      <c r="S540" s="447">
        <f t="shared" ref="S540" si="2345">SUM(S527:S528,S530:S533,S536)</f>
        <v>0</v>
      </c>
      <c r="T540" s="434">
        <f t="shared" ref="T540" si="2346">IFERROR(U540/U526,0)</f>
        <v>0</v>
      </c>
      <c r="U540" s="453">
        <f t="shared" ref="U540" si="2347">SUM(U527:U528,U530:U533,U536)</f>
        <v>0</v>
      </c>
      <c r="V540" s="383">
        <f t="shared" ref="V540" si="2348">IFERROR(W540/W526,0)</f>
        <v>0</v>
      </c>
      <c r="W540" s="447">
        <f t="shared" ref="W540" si="2349">SUM(W527:W528,W530:W533,W536)</f>
        <v>0</v>
      </c>
      <c r="X540" s="434">
        <f t="shared" ref="X540" si="2350">IFERROR(Y540/Y526,0)</f>
        <v>0</v>
      </c>
      <c r="Y540" s="453">
        <f t="shared" ref="Y540" si="2351">SUM(Y527:Y528,Y530:Y533,Y536)</f>
        <v>0</v>
      </c>
      <c r="Z540" s="383">
        <f t="shared" ref="Z540" si="2352">IFERROR(AA540/AA526,0)</f>
        <v>0</v>
      </c>
      <c r="AA540" s="447">
        <f t="shared" ref="AA540" si="2353">SUM(AA527:AA528,AA530:AA533,AA536)</f>
        <v>0</v>
      </c>
      <c r="AB540" s="434">
        <f t="shared" ref="AB540" si="2354">IFERROR(AC540/AC526,0)</f>
        <v>0</v>
      </c>
      <c r="AC540" s="453">
        <f t="shared" ref="AC540" si="2355">SUM(AC527:AC528,AC530:AC533,AC536)</f>
        <v>0</v>
      </c>
      <c r="AD540" s="377">
        <f t="shared" si="2116"/>
        <v>0</v>
      </c>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row>
    <row r="541" spans="1:56" hidden="1" outlineLevel="1" x14ac:dyDescent="0.3">
      <c r="A541" s="1182"/>
      <c r="B541" s="1379"/>
      <c r="C541" s="1379"/>
      <c r="D541" s="1379"/>
      <c r="E541" s="1379"/>
      <c r="F541" s="1379"/>
      <c r="G541" s="1379"/>
      <c r="H541" s="1380"/>
      <c r="I541" s="463" t="s">
        <v>327</v>
      </c>
      <c r="J541" s="384">
        <f>pCRInKind</f>
        <v>2.5</v>
      </c>
      <c r="K541" s="447"/>
      <c r="L541" s="435">
        <f>pCRInKind</f>
        <v>2.5</v>
      </c>
      <c r="M541" s="453"/>
      <c r="N541" s="384">
        <f>pCRInKind</f>
        <v>2.5</v>
      </c>
      <c r="O541" s="447"/>
      <c r="P541" s="435">
        <f>pCRInKind</f>
        <v>2.5</v>
      </c>
      <c r="Q541" s="453"/>
      <c r="R541" s="384">
        <f>pCRInKind</f>
        <v>2.5</v>
      </c>
      <c r="S541" s="447"/>
      <c r="T541" s="435">
        <f>pCRInKind</f>
        <v>2.5</v>
      </c>
      <c r="U541" s="453"/>
      <c r="V541" s="384">
        <f>pCRInKind</f>
        <v>2.5</v>
      </c>
      <c r="W541" s="447"/>
      <c r="X541" s="435">
        <f>pCRInKind</f>
        <v>2.5</v>
      </c>
      <c r="Y541" s="453"/>
      <c r="Z541" s="384">
        <f>pCRInKind</f>
        <v>2.5</v>
      </c>
      <c r="AA541" s="447"/>
      <c r="AB541" s="435">
        <f>pCRInKind</f>
        <v>2.5</v>
      </c>
      <c r="AC541" s="453"/>
      <c r="AD541" s="335"/>
      <c r="AE541" s="1152"/>
      <c r="AF541" s="1152"/>
      <c r="AG541" s="1152"/>
      <c r="AH541" s="1152"/>
      <c r="AI541" s="1152"/>
      <c r="AJ541" s="1152"/>
      <c r="AK541" s="1152"/>
      <c r="AL541" s="1152"/>
      <c r="AM541" s="1152"/>
      <c r="AN541" s="1152"/>
      <c r="AO541" s="1152"/>
      <c r="AP541" s="1152"/>
      <c r="AQ541" s="1152"/>
      <c r="AR541" s="1152"/>
      <c r="AS541" s="1152"/>
      <c r="AT541" s="1152"/>
      <c r="AU541" s="1152"/>
      <c r="AV541" s="1152"/>
      <c r="AW541" s="1152"/>
      <c r="AX541" s="1152"/>
      <c r="AY541" s="1152"/>
      <c r="AZ541" s="1152"/>
      <c r="BA541" s="1152"/>
      <c r="BB541" s="1152"/>
      <c r="BC541" s="1152"/>
      <c r="BD541" s="1152"/>
    </row>
    <row r="542" spans="1:56" ht="16.2" hidden="1" outlineLevel="1" thickBot="1" x14ac:dyDescent="0.35">
      <c r="A542" s="1182"/>
      <c r="B542" s="710"/>
      <c r="C542" s="347"/>
      <c r="D542" s="347"/>
      <c r="E542" s="347"/>
      <c r="F542" s="347"/>
      <c r="G542" s="347"/>
      <c r="H542" s="347"/>
      <c r="I542" s="436" t="s">
        <v>329</v>
      </c>
      <c r="J542" s="348"/>
      <c r="K542" s="349">
        <f>J541*K537</f>
        <v>0</v>
      </c>
      <c r="L542" s="348"/>
      <c r="M542" s="349">
        <f t="shared" ref="M542" si="2356">L541*M537</f>
        <v>0</v>
      </c>
      <c r="N542" s="348"/>
      <c r="O542" s="349">
        <f>N541*O537</f>
        <v>0</v>
      </c>
      <c r="P542" s="348"/>
      <c r="Q542" s="349">
        <f t="shared" ref="Q542" si="2357">P541*Q537</f>
        <v>0</v>
      </c>
      <c r="R542" s="348"/>
      <c r="S542" s="349">
        <f>R541*S537</f>
        <v>0</v>
      </c>
      <c r="T542" s="348"/>
      <c r="U542" s="349">
        <f t="shared" ref="U542" si="2358">T541*U537</f>
        <v>0</v>
      </c>
      <c r="V542" s="348"/>
      <c r="W542" s="349">
        <f>V541*W537</f>
        <v>0</v>
      </c>
      <c r="X542" s="348"/>
      <c r="Y542" s="349">
        <f t="shared" ref="Y542" si="2359">X541*Y537</f>
        <v>0</v>
      </c>
      <c r="Z542" s="348"/>
      <c r="AA542" s="349">
        <f>Z541*AA537</f>
        <v>0</v>
      </c>
      <c r="AB542" s="348"/>
      <c r="AC542" s="349">
        <f t="shared" ref="AC542" si="2360">AB541*AC537</f>
        <v>0</v>
      </c>
      <c r="AD542" s="335">
        <f t="shared" si="2116"/>
        <v>0</v>
      </c>
      <c r="AE542" s="1152"/>
      <c r="AF542" s="1152"/>
      <c r="AG542" s="1152"/>
      <c r="AH542" s="1152"/>
      <c r="AI542" s="1152"/>
      <c r="AJ542" s="1152"/>
      <c r="AK542" s="1152"/>
      <c r="AL542" s="1152"/>
      <c r="AM542" s="1152"/>
      <c r="AN542" s="1152"/>
      <c r="AO542" s="1152"/>
      <c r="AP542" s="1152"/>
      <c r="AQ542" s="1152"/>
      <c r="AR542" s="1152"/>
      <c r="AS542" s="1152"/>
      <c r="AT542" s="1152"/>
      <c r="AU542" s="1152"/>
      <c r="AV542" s="1152"/>
      <c r="AW542" s="1152"/>
      <c r="AX542" s="1152"/>
      <c r="AY542" s="1152"/>
      <c r="AZ542" s="1152"/>
      <c r="BA542" s="1152"/>
      <c r="BB542" s="1152"/>
      <c r="BC542" s="1152"/>
      <c r="BD542" s="1152"/>
    </row>
    <row r="543" spans="1:56" ht="15" hidden="1" outlineLevel="1" thickBot="1" x14ac:dyDescent="0.35">
      <c r="A543" s="1182"/>
      <c r="B543" s="1181"/>
      <c r="C543" s="1181"/>
      <c r="D543" s="1181"/>
      <c r="E543" s="1181"/>
      <c r="F543" s="1181"/>
      <c r="G543" s="1181"/>
      <c r="H543" s="1181"/>
      <c r="I543" s="350"/>
      <c r="J543" s="351"/>
      <c r="K543" s="351"/>
      <c r="L543" s="351"/>
      <c r="M543" s="352"/>
      <c r="N543" s="351"/>
      <c r="O543" s="352"/>
      <c r="P543" s="351"/>
      <c r="Q543" s="352"/>
      <c r="R543" s="351"/>
      <c r="S543" s="352"/>
      <c r="T543" s="351"/>
      <c r="U543" s="352"/>
      <c r="V543" s="351"/>
      <c r="W543" s="352"/>
      <c r="X543" s="351"/>
      <c r="Y543" s="352"/>
      <c r="Z543" s="351"/>
      <c r="AA543" s="352"/>
      <c r="AB543" s="351"/>
      <c r="AC543" s="352"/>
      <c r="AD543" s="353" t="str">
        <f>IF(tbBudgetCurrency="AUD - Australian Dollar","",IFERROR(K543+M543+O543+Q543+S543+U543+W543+Y543+AA543+AC543,0))</f>
        <v/>
      </c>
      <c r="AE543" s="1152"/>
      <c r="AF543" s="1152"/>
      <c r="AG543" s="1152"/>
      <c r="AH543" s="1152"/>
      <c r="AI543" s="1152"/>
      <c r="AJ543" s="1152"/>
      <c r="AK543" s="1152"/>
      <c r="AL543" s="1152"/>
      <c r="AM543" s="1152"/>
      <c r="AN543" s="1152"/>
      <c r="AO543" s="1152"/>
      <c r="AP543" s="1152"/>
      <c r="AQ543" s="1152"/>
      <c r="AR543" s="1152"/>
      <c r="AS543" s="1152"/>
      <c r="AT543" s="1152"/>
      <c r="AU543" s="1152"/>
      <c r="AV543" s="1152"/>
      <c r="AW543" s="1152"/>
      <c r="AX543" s="1152"/>
      <c r="AY543" s="1152"/>
      <c r="AZ543" s="1152"/>
      <c r="BA543" s="1152"/>
      <c r="BB543" s="1152"/>
      <c r="BC543" s="1152"/>
      <c r="BD543" s="1152"/>
    </row>
    <row r="544" spans="1:56" hidden="1" outlineLevel="1" x14ac:dyDescent="0.3">
      <c r="A544" s="1182"/>
      <c r="B544" s="460" t="str">
        <f>IF('PART B Staff Costs'!B61="","",'PART B Staff Costs'!B61)</f>
        <v/>
      </c>
      <c r="C544" s="460" t="str">
        <f>IF('PART B Staff Costs'!C61="","",'PART B Staff Costs'!C61)</f>
        <v xml:space="preserve"> </v>
      </c>
      <c r="D544" s="461" t="str">
        <f>IF('PART B Staff Costs'!D61="","",'PART B Staff Costs'!D61)</f>
        <v/>
      </c>
      <c r="E544" s="461" t="str">
        <f>IF('PART B Staff Costs'!E61="","",'PART B Staff Costs'!E61)</f>
        <v/>
      </c>
      <c r="F544" s="461" t="str">
        <f>IF('PART B Staff Costs'!F61="","",'PART B Staff Costs'!F61)</f>
        <v/>
      </c>
      <c r="G544" s="461" t="str">
        <f>IF('PART B Staff Costs'!G61="","",'PART B Staff Costs'!G61)</f>
        <v/>
      </c>
      <c r="H544" s="454" t="str">
        <f t="shared" ref="H544" si="2361">CONCATENATE(IF(D544=0,"",D544)," ",IF(E544=0,"",E544)," ",IF(F544=0,"",F544),,IF(OR(G544=0,G544=""),"",CONCATENATE(" (",G544,")")))</f>
        <v xml:space="preserve">  </v>
      </c>
      <c r="I544" s="454" t="s">
        <v>313</v>
      </c>
      <c r="J544" s="333">
        <f>_xlfn.IFNA('PART B Staff Costs'!H61*'PART B Staff Costs'!J$10,0)*new_xrate</f>
        <v>0</v>
      </c>
      <c r="K544" s="441"/>
      <c r="L544" s="334">
        <f>_xlfn.IFNA(IF(pStartYear+1&gt;pEndYear,0,VLOOKUP(CONCATENATE(
IF(OR($D544="Continuing",$D544="Fixed-Term"),"Fortnight",IF($D544="Casual","Casual",)),
$E544,
IF(OR($D544="Continuing",$D544="Fixed-Term"),
IF(LEFT($F544,6)="UOM 10","UOM 10",(LEFT($F544,LEN($F544)-1)&amp;MIN(RIGHT($F544,1)+COUNTIFS($J545:K545,"&gt;0")/2,VLOOKUP(LEFT($F544,LEN($F544)-2),tSalaryMax,2,FALSE)))),
IF($D544="Casual",
$F544,))
),tSalaryRate,5,FALSE)*VLOOKUP($G544,tSalaryRateMultiplier,2,FALSE)*'PART B Staff Costs'!L$10),0)*new_xrate</f>
        <v>0</v>
      </c>
      <c r="M544" s="449"/>
      <c r="N544" s="333">
        <f>_xlfn.IFNA(IF(pStartYear+2&gt;pEndYear,0,VLOOKUP(CONCATENATE(
IF(OR($D544="Continuing",$D544="Fixed-Term"),"Fortnight",IF($D544="Casual","Casual",)),
$E544,
IF(OR($D544="Continuing",$D544="Fixed-Term"),
IF(LEFT($F544,6)="UOM 10","UOM 10",(LEFT($F544,LEN($F544)-1)&amp;MIN(RIGHT($F544,1)+COUNTIFS($J545:M545,"&gt;0")/2,VLOOKUP(LEFT($F544,LEN($F544)-2),tSalaryMax,2,FALSE)))),
IF($D544="Casual",
$F544,))
),tSalaryRate,5,FALSE)*VLOOKUP($G544,tSalaryRateMultiplier,2,FALSE)*'PART B Staff Costs'!N$10),0)*new_xrate</f>
        <v>0</v>
      </c>
      <c r="O544" s="441"/>
      <c r="P544" s="334">
        <f>_xlfn.IFNA(IF(pStartYear+3&gt;pEndYear,0,VLOOKUP(CONCATENATE(
IF(OR($D544="Continuing",$D544="Fixed-Term"),"Fortnight",IF($D544="Casual","Casual",)),
$E544,
IF(OR($D544="Continuing",$D544="Fixed-Term"),
IF(LEFT($F544,6)="UOM 10","UOM 10",(LEFT($F544,LEN($F544)-1)&amp;MIN(RIGHT($F544,1)+COUNTIFS($J545:O545,"&gt;0")/2,VLOOKUP(LEFT($F544,LEN($F544)-2),tSalaryMax,2,FALSE)))),
IF($D544="Casual",
$F544,))
),tSalaryRate,5,FALSE)*VLOOKUP($G544,tSalaryRateMultiplier,2,FALSE)*'PART B Staff Costs'!P$10),0)*new_xrate</f>
        <v>0</v>
      </c>
      <c r="Q544" s="449"/>
      <c r="R544" s="333">
        <f>_xlfn.IFNA(IF(pStartYear+4&gt;pEndYear,0,VLOOKUP(CONCATENATE(
IF(OR($D544="Continuing",$D544="Fixed-Term"),"Fortnight",IF($D544="Casual","Casual",)),
$E544,
IF(OR($D544="Continuing",$D544="Fixed-Term"),
IF(LEFT($F544,6)="UOM 10","UOM 10",(LEFT($F544,LEN($F544)-1)&amp;MIN(RIGHT($F544,1)+COUNTIFS($J545:Q545,"&gt;0")/2,VLOOKUP(LEFT($F544,LEN($F544)-2),tSalaryMax,2,FALSE)))),
IF($D544="Casual",
$F544,))
),tSalaryRate,5,FALSE)*VLOOKUP($G544,tSalaryRateMultiplier,2,FALSE)*'PART B Staff Costs'!R$10),0)*new_xrate</f>
        <v>0</v>
      </c>
      <c r="S544" s="441"/>
      <c r="T544" s="334">
        <f>_xlfn.IFNA(IF(pStartYear+5&gt;pEndYear,0,VLOOKUP(CONCATENATE(
IF(OR($D544="Continuing",$D544="Fixed-Term"),"Fortnight",IF($D544="Casual","Casual",)),
$E544,
IF(OR($D544="Continuing",$D544="Fixed-Term"),
IF(LEFT($F544,6)="UOM 10","UOM 10",(LEFT($F544,LEN($F544)-1)&amp;MIN(RIGHT($F544,1)+COUNTIFS($J545:S545,"&gt;0")/2,VLOOKUP(LEFT($F544,LEN($F544)-2),tSalaryMax,2,FALSE)))),
IF($D544="Casual",
$F544,))
),tSalaryRate,5,FALSE)*VLOOKUP($G544,tSalaryRateMultiplier,2,FALSE)*'PART B Staff Costs'!T$10),0)*new_xrate</f>
        <v>0</v>
      </c>
      <c r="U544" s="449"/>
      <c r="V544" s="333">
        <f>_xlfn.IFNA(IF(pStartYear+6&gt;pEndYear,0,VLOOKUP(CONCATENATE(
IF(OR($D544="Continuing",$D544="Fixed-Term"),"Fortnight",IF($D544="Casual","Casual",)),
$E544,
IF(OR($D544="Continuing",$D544="Fixed-Term"),
IF(LEFT($F544,6)="UOM 10","UOM 10",(LEFT($F544,LEN($F544)-1)&amp;MIN(RIGHT($F544,1)+COUNTIFS($J545:U545,"&gt;0")/2,VLOOKUP(LEFT($F544,LEN($F544)-2),tSalaryMax,2,FALSE)))),
IF($D544="Casual",
$F544,))
),tSalaryRate,5,FALSE)*VLOOKUP($G544,tSalaryRateMultiplier,2,FALSE)*'PART B Staff Costs'!V$10),0)*new_xrate</f>
        <v>0</v>
      </c>
      <c r="W544" s="441"/>
      <c r="X544" s="334">
        <f>_xlfn.IFNA(IF(pStartYear+7&gt;pEndYear,0,VLOOKUP(CONCATENATE(
IF(OR($D544="Continuing",$D544="Fixed-Term"),"Fortnight",IF($D544="Casual","Casual",)),
$E544,
IF(OR($D544="Continuing",$D544="Fixed-Term"),
IF(LEFT($F544,6)="UOM 10","UOM 10",(LEFT($F544,LEN($F544)-1)&amp;MIN(RIGHT($F544,1)+COUNTIFS($J545:W545,"&gt;0")/2,VLOOKUP(LEFT($F544,LEN($F544)-2),tSalaryMax,2,FALSE)))),
IF($D544="Casual",
$F544,))
),tSalaryRate,5,FALSE)*VLOOKUP($G544,tSalaryRateMultiplier,2,FALSE)*'PART B Staff Costs'!X$10),0)*new_xrate</f>
        <v>0</v>
      </c>
      <c r="Y544" s="449"/>
      <c r="Z544" s="333">
        <f>_xlfn.IFNA(IF(pStartYear+8&gt;pEndYear,0,VLOOKUP(CONCATENATE(
IF(OR($D544="Continuing",$D544="Fixed-Term"),"Fortnight",IF($D544="Casual","Casual",)),
$E544,
IF(OR($D544="Continuing",$D544="Fixed-Term"),
IF(LEFT($F544,6)="UOM 10","UOM 10",(LEFT($F544,LEN($F544)-1)&amp;MIN(RIGHT($F544,1)+COUNTIFS($J545:Y545,"&gt;0")/2,VLOOKUP(LEFT($F544,LEN($F544)-2),tSalaryMax,2,FALSE)))),
IF($D544="Casual",
$F544,))
),tSalaryRate,5,FALSE)*VLOOKUP($G544,tSalaryRateMultiplier,2,FALSE)*'PART B Staff Costs'!Z$10),0)*new_xrate</f>
        <v>0</v>
      </c>
      <c r="AA544" s="441"/>
      <c r="AB544" s="334">
        <f>_xlfn.IFNA(IF(pStartYear+9&gt;pEndYear,0,VLOOKUP(CONCATENATE(
IF(OR($D544="Continuing",$D544="Fixed-Term"),"Fortnight",IF($D544="Casual","Casual",)),
$E544,
IF(OR($D544="Continuing",$D544="Fixed-Term"),
IF(LEFT($F544,6)="UOM 10","UOM 10",(LEFT($F544,LEN($F544)-1)&amp;MIN(RIGHT($F544,1)+COUNTIFS($J545:AA545,"&gt;0")/2,VLOOKUP(LEFT($F544,LEN($F544)-2),tSalaryMax,2,FALSE)))),
IF($D544="Casual",
$F544,))
),tSalaryRate,5,FALSE)*VLOOKUP($G544,tSalaryRateMultiplier,2,FALSE)*'PART B Staff Costs'!AB$10),0)*new_xrate</f>
        <v>0</v>
      </c>
      <c r="AC544" s="449"/>
      <c r="AD544" s="335"/>
      <c r="AE544" s="1152"/>
      <c r="AF544" s="1152"/>
      <c r="AG544" s="1152"/>
      <c r="AH544" s="1152"/>
      <c r="AI544" s="1152"/>
      <c r="AJ544" s="1152"/>
      <c r="AK544" s="1152"/>
      <c r="AL544" s="1152"/>
      <c r="AM544" s="1152"/>
      <c r="AN544" s="1152"/>
      <c r="AO544" s="1152"/>
      <c r="AP544" s="1152"/>
      <c r="AQ544" s="1152"/>
      <c r="AR544" s="1152"/>
      <c r="AS544" s="1152"/>
      <c r="AT544" s="1152"/>
      <c r="AU544" s="1152"/>
      <c r="AV544" s="1152"/>
      <c r="AW544" s="1152"/>
      <c r="AX544" s="1152"/>
      <c r="AY544" s="1152"/>
      <c r="AZ544" s="1152"/>
      <c r="BA544" s="1152"/>
      <c r="BB544" s="1152"/>
      <c r="BC544" s="1152"/>
      <c r="BD544" s="1152"/>
    </row>
    <row r="545" spans="1:56" hidden="1" outlineLevel="1" x14ac:dyDescent="0.3">
      <c r="A545" s="1182"/>
      <c r="B545" s="1377"/>
      <c r="C545" s="1377"/>
      <c r="D545" s="1377"/>
      <c r="E545" s="1377"/>
      <c r="F545" s="1377"/>
      <c r="G545" s="1377"/>
      <c r="H545" s="1378"/>
      <c r="I545" s="455" t="str">
        <f>IF('PART B Staff Costs'!G540&lt;&gt;"",CONCATENATE("Time/Requested salary"," (",'PART B Staff Costs'!G540,")"),"Time/Requested salary")</f>
        <v>Time/Requested salary</v>
      </c>
      <c r="J545" s="337">
        <f>_xlfn.IFNA('PART B Staff Costs'!I61,0)</f>
        <v>0</v>
      </c>
      <c r="K545" s="442">
        <f>IF('PART B Staff Costs'!$G$61="FTE",J545*J544*(First_year_fraction/12),J545*J544)</f>
        <v>0</v>
      </c>
      <c r="L545" s="338">
        <f>_xlfn.IFNA('PART B Staff Costs'!K61,0)</f>
        <v>0</v>
      </c>
      <c r="M545" s="450">
        <f>IF(pStartYear+1=pEndYear,IF('PART B Staff Costs'!$G$61="FTE",(L545*L544)*Last_Year_Fraction/12,L545*L544),L545*L544)</f>
        <v>0</v>
      </c>
      <c r="N545" s="337">
        <f>_xlfn.IFNA('PART B Staff Costs'!M61,0)</f>
        <v>0</v>
      </c>
      <c r="O545" s="442">
        <f>IF(pStartYear+2=pEndYear,IF('PART B Staff Costs'!$G$61="FTE",(N545*N544)*Last_Year_Fraction/12,N545*N544),N545*N544)</f>
        <v>0</v>
      </c>
      <c r="P545" s="338">
        <f>_xlfn.IFNA('PART B Staff Costs'!O61,0)</f>
        <v>0</v>
      </c>
      <c r="Q545" s="450">
        <f>IF(pStartYear+3=pEndYear,IF('PART B Staff Costs'!$G$61="FTE",(P545*P544)*Last_Year_Fraction/12,P545*P544),P545*P544)</f>
        <v>0</v>
      </c>
      <c r="R545" s="337">
        <f>_xlfn.IFNA('PART B Staff Costs'!Q61,0)</f>
        <v>0</v>
      </c>
      <c r="S545" s="442">
        <f>IF(pStartYear+4=pEndYear,IF('PART B Staff Costs'!$G$61="FTE",(R545*R544)*Last_Year_Fraction/12,R545*R544),R545*R544)</f>
        <v>0</v>
      </c>
      <c r="T545" s="338">
        <f>_xlfn.IFNA('PART B Staff Costs'!S61,0)</f>
        <v>0</v>
      </c>
      <c r="U545" s="450">
        <f>IF(pStartYear+5=pEndYear,IF('PART B Staff Costs'!$G$61="FTE",(T545*T544)*Last_Year_Fraction/12,T545*T544),T545*T544)</f>
        <v>0</v>
      </c>
      <c r="V545" s="337">
        <f>_xlfn.IFNA('PART B Staff Costs'!U61,0)</f>
        <v>0</v>
      </c>
      <c r="W545" s="442">
        <f>IF(pStartYear+6=pEndYear,IF('PART B Staff Costs'!$G$61="FTE",(V545*V544)*Last_Year_Fraction/12,V545*V544),V545*V544)</f>
        <v>0</v>
      </c>
      <c r="X545" s="338">
        <f>_xlfn.IFNA('PART B Staff Costs'!W61,0)</f>
        <v>0</v>
      </c>
      <c r="Y545" s="450">
        <f>IF(pStartYear+7=pEndYear,IF('PART B Staff Costs'!$G$61="FTE",(X545*X544)*Last_Year_Fraction/12,X545*X544),X545*X544)</f>
        <v>0</v>
      </c>
      <c r="Z545" s="337">
        <f>_xlfn.IFNA('PART B Staff Costs'!Y61,0)</f>
        <v>0</v>
      </c>
      <c r="AA545" s="442">
        <f>IF(pStartYear+8=pEndYear,IF('PART B Staff Costs'!$G$61="FTE",(Z545*Z544)*Last_Year_Fraction/12,Z545*Z544),Z545*Z544)</f>
        <v>0</v>
      </c>
      <c r="AB545" s="338">
        <f>_xlfn.IFNA('PART B Staff Costs'!AA61,0)</f>
        <v>0</v>
      </c>
      <c r="AC545" s="450">
        <f>IF(pStartYear+9=pEndYear,IF('PART B Staff Costs'!$G$61="FTE",(AB545*AB544)*Last_Year_Fraction/12,AB545*AB544),AB545*AB544)</f>
        <v>0</v>
      </c>
      <c r="AD545" s="335"/>
      <c r="AE545" s="1152"/>
      <c r="AF545" s="1152"/>
      <c r="AG545" s="1152"/>
      <c r="AH545" s="1152"/>
      <c r="AI545" s="1152"/>
      <c r="AJ545" s="1152"/>
      <c r="AK545" s="1152"/>
      <c r="AL545" s="1152"/>
      <c r="AM545" s="1152"/>
      <c r="AN545" s="1152"/>
      <c r="AO545" s="1152"/>
      <c r="AP545" s="1152"/>
      <c r="AQ545" s="1152"/>
      <c r="AR545" s="1152"/>
      <c r="AS545" s="1152"/>
      <c r="AT545" s="1152"/>
      <c r="AU545" s="1152"/>
      <c r="AV545" s="1152"/>
      <c r="AW545" s="1152"/>
      <c r="AX545" s="1152"/>
      <c r="AY545" s="1152"/>
      <c r="AZ545" s="1152"/>
      <c r="BA545" s="1152"/>
      <c r="BB545" s="1152"/>
      <c r="BC545" s="1152"/>
      <c r="BD545" s="1152"/>
    </row>
    <row r="546" spans="1:56" hidden="1" outlineLevel="1" x14ac:dyDescent="0.3">
      <c r="A546" s="1182"/>
      <c r="B546" s="1379"/>
      <c r="C546" s="1379"/>
      <c r="D546" s="1379"/>
      <c r="E546" s="1379"/>
      <c r="F546" s="1379"/>
      <c r="G546" s="1379"/>
      <c r="H546" s="1380"/>
      <c r="I546" s="455" t="str">
        <f>IF(tbBudgetCurrency="AUD - Australian Dollar",CONCATENATE("Leave Loading (max of AU$",vl_Max_Leave_Loading,")"),CONCATENATE("Leave Loading (max of ",ROUND(vl_Max_Leave_Loading*new_xrate,2)," ",LEFT(tbBudgetCurrency,3),")"))</f>
        <v>Leave Loading (max of AU$1611.3)</v>
      </c>
      <c r="J546" s="339">
        <f>_xlfn.IFNA(VLOOKUP($D544,tbLeaveLoading,2,FALSE),0)</f>
        <v>0</v>
      </c>
      <c r="K546" s="443">
        <f>IF(K545*J546&gt;vl_Max_Leave_Loading*new_xrate,vl_Max_Leave_Loading*new_xrate,K545*J546)</f>
        <v>0</v>
      </c>
      <c r="L546" s="340">
        <f>_xlfn.IFNA(VLOOKUP($D544,tbLeaveLoading,2,FALSE),0)</f>
        <v>0</v>
      </c>
      <c r="M546" s="451">
        <f>IF(M545*L546&gt;vl_Max_Leave_Loading*new_xrate,vl_Max_Leave_Loading*new_xrate,M545*L546)</f>
        <v>0</v>
      </c>
      <c r="N546" s="339">
        <f>_xlfn.IFNA(VLOOKUP($D544,tbLeaveLoading,2,FALSE),0)</f>
        <v>0</v>
      </c>
      <c r="O546" s="443">
        <f>IF(O545*N546&gt;vl_Max_Leave_Loading*new_xrate,vl_Max_Leave_Loading*new_xrate,O545*N546)</f>
        <v>0</v>
      </c>
      <c r="P546" s="340">
        <f>_xlfn.IFNA(VLOOKUP($D544,tbLeaveLoading,2,FALSE),0)</f>
        <v>0</v>
      </c>
      <c r="Q546" s="451">
        <f>IF(Q545*P546&gt;vl_Max_Leave_Loading*new_xrate,vl_Max_Leave_Loading*new_xrate,Q545*P546)</f>
        <v>0</v>
      </c>
      <c r="R546" s="339">
        <f>_xlfn.IFNA(VLOOKUP($D544,tbLeaveLoading,2,FALSE),0)</f>
        <v>0</v>
      </c>
      <c r="S546" s="443">
        <f>IF(S545*R546&gt;vl_Max_Leave_Loading*new_xrate,vl_Max_Leave_Loading*new_xrate,S545*R546)</f>
        <v>0</v>
      </c>
      <c r="T546" s="340">
        <f>_xlfn.IFNA(VLOOKUP($D544,tbLeaveLoading,2,FALSE),0)</f>
        <v>0</v>
      </c>
      <c r="U546" s="451">
        <f>IF(U545*T546&gt;vl_Max_Leave_Loading*new_xrate,vl_Max_Leave_Loading*new_xrate,U545*T546)</f>
        <v>0</v>
      </c>
      <c r="V546" s="339">
        <f>_xlfn.IFNA(VLOOKUP($D544,tbLeaveLoading,2,FALSE),0)</f>
        <v>0</v>
      </c>
      <c r="W546" s="443">
        <f>IF(W545*V546&gt;vl_Max_Leave_Loading*new_xrate,vl_Max_Leave_Loading*new_xrate,W545*V546)</f>
        <v>0</v>
      </c>
      <c r="X546" s="340">
        <f>_xlfn.IFNA(VLOOKUP($D544,tbLeaveLoading,2,FALSE),0)</f>
        <v>0</v>
      </c>
      <c r="Y546" s="451">
        <f>IF(Y545*X546&gt;vl_Max_Leave_Loading*new_xrate,vl_Max_Leave_Loading*new_xrate,Y545*X546)</f>
        <v>0</v>
      </c>
      <c r="Z546" s="339">
        <f>_xlfn.IFNA(VLOOKUP($D544,tbLeaveLoading,2,FALSE),0)</f>
        <v>0</v>
      </c>
      <c r="AA546" s="443">
        <f>IF(AA545*Z546&gt;vl_Max_Leave_Loading*new_xrate,vl_Max_Leave_Loading*new_xrate,AA545*Z546)</f>
        <v>0</v>
      </c>
      <c r="AB546" s="340">
        <f>_xlfn.IFNA(VLOOKUP($D544,tbLeaveLoading,2,FALSE),0)</f>
        <v>0</v>
      </c>
      <c r="AC546" s="451">
        <f>IF(AC545*AB546&gt;vl_Max_Leave_Loading*new_xrate,vl_Max_Leave_Loading*new_xrate,AC545*AB546)</f>
        <v>0</v>
      </c>
      <c r="AD546" s="335"/>
      <c r="AE546" s="1152"/>
      <c r="AF546" s="1152"/>
      <c r="AG546" s="1152"/>
      <c r="AH546" s="1152"/>
      <c r="AI546" s="1152"/>
      <c r="AJ546" s="1152"/>
      <c r="AK546" s="1152"/>
      <c r="AL546" s="1152"/>
      <c r="AM546" s="1152"/>
      <c r="AN546" s="1152"/>
      <c r="AO546" s="1152"/>
      <c r="AP546" s="1152"/>
      <c r="AQ546" s="1152"/>
      <c r="AR546" s="1152"/>
      <c r="AS546" s="1152"/>
      <c r="AT546" s="1152"/>
      <c r="AU546" s="1152"/>
      <c r="AV546" s="1152"/>
      <c r="AW546" s="1152"/>
      <c r="AX546" s="1152"/>
      <c r="AY546" s="1152"/>
      <c r="AZ546" s="1152"/>
      <c r="BA546" s="1152"/>
      <c r="BB546" s="1152"/>
      <c r="BC546" s="1152"/>
      <c r="BD546" s="1152"/>
    </row>
    <row r="547" spans="1:56" hidden="1" outlineLevel="1" x14ac:dyDescent="0.3">
      <c r="A547" s="1182"/>
      <c r="B547" s="1379"/>
      <c r="C547" s="1379"/>
      <c r="D547" s="1379"/>
      <c r="E547" s="1379"/>
      <c r="F547" s="1379"/>
      <c r="G547" s="1379"/>
      <c r="H547" s="1380"/>
      <c r="I547" s="455" t="s">
        <v>314</v>
      </c>
      <c r="J547" s="339">
        <f>_xlfn.IFNA(_xlfn.IFNA(VLOOKUP(CONCATENATE(pStartYear,$D544),tbSuperannuation,4,FALSE),VLOOKUP($D544,tbSuperannuation2026onwards,2,FALSE)),0)</f>
        <v>0</v>
      </c>
      <c r="K547" s="443">
        <f>K545*J547</f>
        <v>0</v>
      </c>
      <c r="L547" s="340">
        <f>_xlfn.IFNA(_xlfn.IFNA(VLOOKUP(CONCATENATE(pStartYear+1,$D544),tbSuperannuation,4,FALSE),VLOOKUP($D544,tbSuperannuation2026onwards,2,FALSE)),0)</f>
        <v>0</v>
      </c>
      <c r="M547" s="451">
        <f t="shared" ref="M547" si="2362">M545*L547</f>
        <v>0</v>
      </c>
      <c r="N547" s="339">
        <f>_xlfn.IFNA(_xlfn.IFNA(VLOOKUP(CONCATENATE(pStartYear+2,$D544),tbSuperannuation,4,FALSE),VLOOKUP($D544,tbSuperannuation2026onwards,2,FALSE)),0)</f>
        <v>0</v>
      </c>
      <c r="O547" s="443">
        <f>O545*N547</f>
        <v>0</v>
      </c>
      <c r="P547" s="340">
        <f>_xlfn.IFNA(_xlfn.IFNA(VLOOKUP(CONCATENATE(pStartYear+3,$D544),tbSuperannuation,4,FALSE),VLOOKUP($D544,tbSuperannuation2026onwards,2,FALSE)),0)</f>
        <v>0</v>
      </c>
      <c r="Q547" s="451">
        <f t="shared" ref="Q547" si="2363">Q545*P547</f>
        <v>0</v>
      </c>
      <c r="R547" s="339">
        <f>_xlfn.IFNA(_xlfn.IFNA(VLOOKUP(CONCATENATE(pStartYear+4,$D544),tbSuperannuation,4,FALSE),VLOOKUP($D544,tbSuperannuation2026onwards,2,FALSE)),0)</f>
        <v>0</v>
      </c>
      <c r="S547" s="443">
        <f>S545*R547</f>
        <v>0</v>
      </c>
      <c r="T547" s="340">
        <f>_xlfn.IFNA(_xlfn.IFNA(VLOOKUP(CONCATENATE(pStartYear+5,$D544),tbSuperannuation,4,FALSE),VLOOKUP($D544,tbSuperannuation2026onwards,2,FALSE)),0)</f>
        <v>0</v>
      </c>
      <c r="U547" s="451">
        <f t="shared" ref="U547" si="2364">U545*T547</f>
        <v>0</v>
      </c>
      <c r="V547" s="339">
        <f>_xlfn.IFNA(_xlfn.IFNA(VLOOKUP(CONCATENATE(pStartYear+6,$D544),tbSuperannuation,4,FALSE),VLOOKUP($D544,tbSuperannuation2026onwards,2,FALSE)),0)</f>
        <v>0</v>
      </c>
      <c r="W547" s="443">
        <f>W545*V547</f>
        <v>0</v>
      </c>
      <c r="X547" s="340">
        <f>_xlfn.IFNA(_xlfn.IFNA(VLOOKUP(CONCATENATE(pStartYear+7,$D544),tbSuperannuation,4,FALSE),VLOOKUP($D544,tbSuperannuation2026onwards,2,FALSE)),0)</f>
        <v>0</v>
      </c>
      <c r="Y547" s="451">
        <f t="shared" ref="Y547" si="2365">Y545*X547</f>
        <v>0</v>
      </c>
      <c r="Z547" s="339">
        <f>_xlfn.IFNA(_xlfn.IFNA(VLOOKUP(CONCATENATE(pStartYear+8,$D544),tbSuperannuation,4,FALSE),VLOOKUP($D544,tbSuperannuation2026onwards,2,FALSE)),0)</f>
        <v>0</v>
      </c>
      <c r="AA547" s="443">
        <f>AA545*Z547</f>
        <v>0</v>
      </c>
      <c r="AB547" s="340">
        <f>_xlfn.IFNA(_xlfn.IFNA(VLOOKUP(CONCATENATE(pStartYear+9,$D544),tbSuperannuation,4,FALSE),VLOOKUP($D544,tbSuperannuation2026onwards,2,FALSE)),0)</f>
        <v>0</v>
      </c>
      <c r="AC547" s="451">
        <f t="shared" ref="AC547" si="2366">AC545*AB547</f>
        <v>0</v>
      </c>
      <c r="AD547" s="335"/>
      <c r="AE547" s="1152"/>
      <c r="AF547" s="1152"/>
      <c r="AG547" s="1152"/>
      <c r="AH547" s="1152"/>
      <c r="AI547" s="1152"/>
      <c r="AJ547" s="1152"/>
      <c r="AK547" s="1152"/>
      <c r="AL547" s="1152"/>
      <c r="AM547" s="1152"/>
      <c r="AN547" s="1152"/>
      <c r="AO547" s="1152"/>
      <c r="AP547" s="1152"/>
      <c r="AQ547" s="1152"/>
      <c r="AR547" s="1152"/>
      <c r="AS547" s="1152"/>
      <c r="AT547" s="1152"/>
      <c r="AU547" s="1152"/>
      <c r="AV547" s="1152"/>
      <c r="AW547" s="1152"/>
      <c r="AX547" s="1152"/>
      <c r="AY547" s="1152"/>
      <c r="AZ547" s="1152"/>
      <c r="BA547" s="1152"/>
      <c r="BB547" s="1152"/>
      <c r="BC547" s="1152"/>
      <c r="BD547" s="1152"/>
    </row>
    <row r="548" spans="1:56" hidden="1" outlineLevel="1" x14ac:dyDescent="0.3">
      <c r="A548" s="1182"/>
      <c r="B548" s="1379"/>
      <c r="C548" s="1379"/>
      <c r="D548" s="1379"/>
      <c r="E548" s="1379"/>
      <c r="F548" s="1379"/>
      <c r="G548" s="1379"/>
      <c r="H548" s="1380"/>
      <c r="I548" s="341" t="s">
        <v>315</v>
      </c>
      <c r="J548" s="342"/>
      <c r="K548" s="444">
        <f>K546+K547+K545</f>
        <v>0</v>
      </c>
      <c r="L548" s="342"/>
      <c r="M548" s="444">
        <f t="shared" ref="M548" si="2367">M546+M547+M545</f>
        <v>0</v>
      </c>
      <c r="N548" s="342"/>
      <c r="O548" s="444">
        <f>O546+O547+O545</f>
        <v>0</v>
      </c>
      <c r="P548" s="342"/>
      <c r="Q548" s="444">
        <f t="shared" ref="Q548" si="2368">Q546+Q547+Q545</f>
        <v>0</v>
      </c>
      <c r="R548" s="342"/>
      <c r="S548" s="444">
        <f>S546+S547+S545</f>
        <v>0</v>
      </c>
      <c r="T548" s="342"/>
      <c r="U548" s="444">
        <f t="shared" ref="U548" si="2369">U546+U547+U545</f>
        <v>0</v>
      </c>
      <c r="V548" s="342"/>
      <c r="W548" s="444">
        <f>W546+W547+W545</f>
        <v>0</v>
      </c>
      <c r="X548" s="342"/>
      <c r="Y548" s="444">
        <f t="shared" ref="Y548" si="2370">Y546+Y547+Y545</f>
        <v>0</v>
      </c>
      <c r="Z548" s="342"/>
      <c r="AA548" s="444">
        <f>AA546+AA547+AA545</f>
        <v>0</v>
      </c>
      <c r="AB548" s="342"/>
      <c r="AC548" s="444">
        <f t="shared" ref="AC548" si="2371">AC546+AC547+AC545</f>
        <v>0</v>
      </c>
      <c r="AD548" s="335">
        <f t="shared" si="2116"/>
        <v>0</v>
      </c>
      <c r="AE548" s="1152"/>
      <c r="AF548" s="1152"/>
      <c r="AG548" s="1152"/>
      <c r="AH548" s="1152"/>
      <c r="AI548" s="1152"/>
      <c r="AJ548" s="1152"/>
      <c r="AK548" s="1152"/>
      <c r="AL548" s="1152"/>
      <c r="AM548" s="1152"/>
      <c r="AN548" s="1152"/>
      <c r="AO548" s="1152"/>
      <c r="AP548" s="1152"/>
      <c r="AQ548" s="1152"/>
      <c r="AR548" s="1152"/>
      <c r="AS548" s="1152"/>
      <c r="AT548" s="1152"/>
      <c r="AU548" s="1152"/>
      <c r="AV548" s="1152"/>
      <c r="AW548" s="1152"/>
      <c r="AX548" s="1152"/>
      <c r="AY548" s="1152"/>
      <c r="AZ548" s="1152"/>
      <c r="BA548" s="1152"/>
      <c r="BB548" s="1152"/>
      <c r="BC548" s="1152"/>
      <c r="BD548" s="1152"/>
    </row>
    <row r="549" spans="1:56" hidden="1" outlineLevel="1" x14ac:dyDescent="0.3">
      <c r="A549" s="1182"/>
      <c r="B549" s="1379"/>
      <c r="C549" s="1379"/>
      <c r="D549" s="1379"/>
      <c r="E549" s="1379"/>
      <c r="F549" s="1379"/>
      <c r="G549" s="1379"/>
      <c r="H549" s="1380"/>
      <c r="I549" s="455" t="s">
        <v>316</v>
      </c>
      <c r="J549" s="339">
        <f>_xlfn.IFNA(_xlfn.IFNA(VLOOKUP(pStartYear,tbPayrollTax,2,FALSE),vl_MaxPayrollTax),0)</f>
        <v>5.8500000000000003E-2</v>
      </c>
      <c r="K549" s="443">
        <f>J549*K548</f>
        <v>0</v>
      </c>
      <c r="L549" s="340">
        <f>_xlfn.IFNA(_xlfn.IFNA(VLOOKUP(pStartYear+1,tbPayrollTax,2,FALSE),vl_MaxPayrollTax),0)</f>
        <v>5.8500000000000003E-2</v>
      </c>
      <c r="M549" s="451">
        <f t="shared" ref="M549" si="2372">L549*M548</f>
        <v>0</v>
      </c>
      <c r="N549" s="339">
        <f>_xlfn.IFNA(_xlfn.IFNA(VLOOKUP(pStartYear+2,tbPayrollTax,2,FALSE),vl_MaxPayrollTax),0)</f>
        <v>5.8500000000000003E-2</v>
      </c>
      <c r="O549" s="443">
        <f>N549*O548</f>
        <v>0</v>
      </c>
      <c r="P549" s="340">
        <f>_xlfn.IFNA(_xlfn.IFNA(VLOOKUP(pStartYear+3,tbPayrollTax,2,FALSE),vl_MaxPayrollTax),0)</f>
        <v>5.8500000000000003E-2</v>
      </c>
      <c r="Q549" s="451">
        <f t="shared" ref="Q549" si="2373">P549*Q548</f>
        <v>0</v>
      </c>
      <c r="R549" s="339">
        <f>_xlfn.IFNA(_xlfn.IFNA(VLOOKUP(pStartYear+4,tbPayrollTax,2,FALSE),vl_MaxPayrollTax),0)</f>
        <v>5.8500000000000003E-2</v>
      </c>
      <c r="S549" s="443">
        <f>R549*S548</f>
        <v>0</v>
      </c>
      <c r="T549" s="340">
        <f>_xlfn.IFNA(_xlfn.IFNA(VLOOKUP(pStartYear+5,tbPayrollTax,2,FALSE),vl_MaxPayrollTax),0)</f>
        <v>5.8500000000000003E-2</v>
      </c>
      <c r="U549" s="451">
        <f t="shared" ref="U549" si="2374">T549*U548</f>
        <v>0</v>
      </c>
      <c r="V549" s="339">
        <f>_xlfn.IFNA(_xlfn.IFNA(VLOOKUP(pStartYear+6,tbPayrollTax,2,FALSE),vl_MaxPayrollTax),0)</f>
        <v>5.8500000000000003E-2</v>
      </c>
      <c r="W549" s="443">
        <f>V549*W548</f>
        <v>0</v>
      </c>
      <c r="X549" s="340">
        <f>_xlfn.IFNA(_xlfn.IFNA(VLOOKUP(pStartYear+7,tbPayrollTax,2,FALSE),vl_MaxPayrollTax),0)</f>
        <v>5.8500000000000003E-2</v>
      </c>
      <c r="Y549" s="451">
        <f t="shared" ref="Y549" si="2375">X549*Y548</f>
        <v>0</v>
      </c>
      <c r="Z549" s="339">
        <f>_xlfn.IFNA(_xlfn.IFNA(VLOOKUP(pStartYear+8,tbPayrollTax,2,FALSE),vl_MaxPayrollTax),0)</f>
        <v>5.8500000000000003E-2</v>
      </c>
      <c r="AA549" s="443">
        <f>Z549*AA548</f>
        <v>0</v>
      </c>
      <c r="AB549" s="340">
        <f>_xlfn.IFNA(_xlfn.IFNA(VLOOKUP(pStartYear+9,tbPayrollTax,2,FALSE),vl_MaxPayrollTax),0)</f>
        <v>5.8500000000000003E-2</v>
      </c>
      <c r="AC549" s="451">
        <f t="shared" ref="AC549" si="2376">AB549*AC548</f>
        <v>0</v>
      </c>
      <c r="AD549" s="335"/>
      <c r="AE549" s="1152"/>
      <c r="AF549" s="1152"/>
      <c r="AG549" s="1152"/>
      <c r="AH549" s="1152"/>
      <c r="AI549" s="1152"/>
      <c r="AJ549" s="1152"/>
      <c r="AK549" s="1152"/>
      <c r="AL549" s="1152"/>
      <c r="AM549" s="1152"/>
      <c r="AN549" s="1152"/>
      <c r="AO549" s="1152"/>
      <c r="AP549" s="1152"/>
      <c r="AQ549" s="1152"/>
      <c r="AR549" s="1152"/>
      <c r="AS549" s="1152"/>
      <c r="AT549" s="1152"/>
      <c r="AU549" s="1152"/>
      <c r="AV549" s="1152"/>
      <c r="AW549" s="1152"/>
      <c r="AX549" s="1152"/>
      <c r="AY549" s="1152"/>
      <c r="AZ549" s="1152"/>
      <c r="BA549" s="1152"/>
      <c r="BB549" s="1152"/>
      <c r="BC549" s="1152"/>
      <c r="BD549" s="1152"/>
    </row>
    <row r="550" spans="1:56" hidden="1" outlineLevel="1" x14ac:dyDescent="0.3">
      <c r="A550" s="1182"/>
      <c r="B550" s="1379"/>
      <c r="C550" s="1379"/>
      <c r="D550" s="1379"/>
      <c r="E550" s="1379"/>
      <c r="F550" s="1379"/>
      <c r="G550" s="1379"/>
      <c r="H550" s="1380"/>
      <c r="I550" s="455" t="s">
        <v>317</v>
      </c>
      <c r="J550" s="339">
        <f>_xlfn.IFNA(VLOOKUP($D544,tbWorkCover,2,FALSE),0)</f>
        <v>0</v>
      </c>
      <c r="K550" s="443">
        <f>J550*K548</f>
        <v>0</v>
      </c>
      <c r="L550" s="340">
        <f>_xlfn.IFNA(VLOOKUP($D544,tbWorkCover,2,FALSE),0)</f>
        <v>0</v>
      </c>
      <c r="M550" s="451">
        <f t="shared" ref="M550" si="2377">L550*M548</f>
        <v>0</v>
      </c>
      <c r="N550" s="339">
        <f>_xlfn.IFNA(VLOOKUP($D544,tbWorkCover,2,FALSE),0)</f>
        <v>0</v>
      </c>
      <c r="O550" s="443">
        <f>N550*O548</f>
        <v>0</v>
      </c>
      <c r="P550" s="340">
        <f>_xlfn.IFNA(VLOOKUP($D544,tbWorkCover,2,FALSE),0)</f>
        <v>0</v>
      </c>
      <c r="Q550" s="451">
        <f t="shared" ref="Q550" si="2378">P550*Q548</f>
        <v>0</v>
      </c>
      <c r="R550" s="339">
        <f>_xlfn.IFNA(VLOOKUP($D544,tbWorkCover,2,FALSE),0)</f>
        <v>0</v>
      </c>
      <c r="S550" s="443">
        <f>R550*S548</f>
        <v>0</v>
      </c>
      <c r="T550" s="340">
        <f>_xlfn.IFNA(VLOOKUP($D544,tbWorkCover,2,FALSE),0)</f>
        <v>0</v>
      </c>
      <c r="U550" s="451">
        <f t="shared" ref="U550" si="2379">T550*U548</f>
        <v>0</v>
      </c>
      <c r="V550" s="339">
        <f>_xlfn.IFNA(VLOOKUP($D544,tbWorkCover,2,FALSE),0)</f>
        <v>0</v>
      </c>
      <c r="W550" s="443">
        <f>V550*W548</f>
        <v>0</v>
      </c>
      <c r="X550" s="340">
        <f>_xlfn.IFNA(VLOOKUP($D544,tbWorkCover,2,FALSE),0)</f>
        <v>0</v>
      </c>
      <c r="Y550" s="451">
        <f t="shared" ref="Y550" si="2380">X550*Y548</f>
        <v>0</v>
      </c>
      <c r="Z550" s="339">
        <f>_xlfn.IFNA(VLOOKUP($D544,tbWorkCover,2,FALSE),0)</f>
        <v>0</v>
      </c>
      <c r="AA550" s="443">
        <f>Z550*AA548</f>
        <v>0</v>
      </c>
      <c r="AB550" s="340">
        <f>_xlfn.IFNA(VLOOKUP($D544,tbWorkCover,2,FALSE),0)</f>
        <v>0</v>
      </c>
      <c r="AC550" s="451">
        <f t="shared" ref="AC550" si="2381">AB550*AC548</f>
        <v>0</v>
      </c>
      <c r="AD550" s="335"/>
      <c r="AE550" s="1152"/>
      <c r="AF550" s="1152"/>
      <c r="AG550" s="1152"/>
      <c r="AH550" s="1152"/>
      <c r="AI550" s="1152"/>
      <c r="AJ550" s="1152"/>
      <c r="AK550" s="1152"/>
      <c r="AL550" s="1152"/>
      <c r="AM550" s="1152"/>
      <c r="AN550" s="1152"/>
      <c r="AO550" s="1152"/>
      <c r="AP550" s="1152"/>
      <c r="AQ550" s="1152"/>
      <c r="AR550" s="1152"/>
      <c r="AS550" s="1152"/>
      <c r="AT550" s="1152"/>
      <c r="AU550" s="1152"/>
      <c r="AV550" s="1152"/>
      <c r="AW550" s="1152"/>
      <c r="AX550" s="1152"/>
      <c r="AY550" s="1152"/>
      <c r="AZ550" s="1152"/>
      <c r="BA550" s="1152"/>
      <c r="BB550" s="1152"/>
      <c r="BC550" s="1152"/>
      <c r="BD550" s="1152"/>
    </row>
    <row r="551" spans="1:56" hidden="1" outlineLevel="1" x14ac:dyDescent="0.3">
      <c r="A551" s="1182"/>
      <c r="B551" s="1379"/>
      <c r="C551" s="1379"/>
      <c r="D551" s="1379"/>
      <c r="E551" s="1379"/>
      <c r="F551" s="1379"/>
      <c r="G551" s="1379"/>
      <c r="H551" s="1380"/>
      <c r="I551" s="455" t="s">
        <v>318</v>
      </c>
      <c r="J551" s="339">
        <f>_xlfn.IFNA(VLOOKUP($D544,tbLongServiceLeave,2,FALSE),0)</f>
        <v>0</v>
      </c>
      <c r="K551" s="443">
        <f>J551*K545</f>
        <v>0</v>
      </c>
      <c r="L551" s="340">
        <f>_xlfn.IFNA(VLOOKUP($D544,tbLongServiceLeave,2,FALSE),0)</f>
        <v>0</v>
      </c>
      <c r="M551" s="451">
        <f t="shared" ref="M551" si="2382">L551*M545</f>
        <v>0</v>
      </c>
      <c r="N551" s="339">
        <f>_xlfn.IFNA(VLOOKUP($D544,tbLongServiceLeave,2,FALSE),0)</f>
        <v>0</v>
      </c>
      <c r="O551" s="443">
        <f>N551*O545</f>
        <v>0</v>
      </c>
      <c r="P551" s="340">
        <f>_xlfn.IFNA(VLOOKUP($D544,tbLongServiceLeave,2,FALSE),0)</f>
        <v>0</v>
      </c>
      <c r="Q551" s="451">
        <f t="shared" ref="Q551" si="2383">P551*Q545</f>
        <v>0</v>
      </c>
      <c r="R551" s="339">
        <f>_xlfn.IFNA(VLOOKUP($D544,tbLongServiceLeave,2,FALSE),0)</f>
        <v>0</v>
      </c>
      <c r="S551" s="443">
        <f>R551*S545</f>
        <v>0</v>
      </c>
      <c r="T551" s="340">
        <f>_xlfn.IFNA(VLOOKUP($D544,tbLongServiceLeave,2,FALSE),0)</f>
        <v>0</v>
      </c>
      <c r="U551" s="451">
        <f t="shared" ref="U551" si="2384">T551*U545</f>
        <v>0</v>
      </c>
      <c r="V551" s="339">
        <f>_xlfn.IFNA(VLOOKUP($D544,tbLongServiceLeave,2,FALSE),0)</f>
        <v>0</v>
      </c>
      <c r="W551" s="443">
        <f>V551*W545</f>
        <v>0</v>
      </c>
      <c r="X551" s="340">
        <f>_xlfn.IFNA(VLOOKUP($D544,tbLongServiceLeave,2,FALSE),0)</f>
        <v>0</v>
      </c>
      <c r="Y551" s="451">
        <f t="shared" ref="Y551" si="2385">X551*Y545</f>
        <v>0</v>
      </c>
      <c r="Z551" s="339">
        <f>_xlfn.IFNA(VLOOKUP($D544,tbLongServiceLeave,2,FALSE),0)</f>
        <v>0</v>
      </c>
      <c r="AA551" s="443">
        <f>Z551*AA545</f>
        <v>0</v>
      </c>
      <c r="AB551" s="340">
        <f>_xlfn.IFNA(VLOOKUP($D544,tbLongServiceLeave,2,FALSE),0)</f>
        <v>0</v>
      </c>
      <c r="AC551" s="451">
        <f t="shared" ref="AC551" si="2386">AB551*AC545</f>
        <v>0</v>
      </c>
      <c r="AD551" s="335"/>
      <c r="AE551" s="1152"/>
      <c r="AF551" s="1152"/>
      <c r="AG551" s="1152"/>
      <c r="AH551" s="1152"/>
      <c r="AI551" s="1152"/>
      <c r="AJ551" s="1152"/>
      <c r="AK551" s="1152"/>
      <c r="AL551" s="1152"/>
      <c r="AM551" s="1152"/>
      <c r="AN551" s="1152"/>
      <c r="AO551" s="1152"/>
      <c r="AP551" s="1152"/>
      <c r="AQ551" s="1152"/>
      <c r="AR551" s="1152"/>
      <c r="AS551" s="1152"/>
      <c r="AT551" s="1152"/>
      <c r="AU551" s="1152"/>
      <c r="AV551" s="1152"/>
      <c r="AW551" s="1152"/>
      <c r="AX551" s="1152"/>
      <c r="AY551" s="1152"/>
      <c r="AZ551" s="1152"/>
      <c r="BA551" s="1152"/>
      <c r="BB551" s="1152"/>
      <c r="BC551" s="1152"/>
      <c r="BD551" s="1152"/>
    </row>
    <row r="552" spans="1:56" hidden="1" outlineLevel="1" x14ac:dyDescent="0.3">
      <c r="A552" s="1182"/>
      <c r="B552" s="1379"/>
      <c r="C552" s="1379"/>
      <c r="D552" s="1379"/>
      <c r="E552" s="1379"/>
      <c r="F552" s="1379"/>
      <c r="G552" s="1379"/>
      <c r="H552" s="1380"/>
      <c r="I552" s="455" t="s">
        <v>319</v>
      </c>
      <c r="J552" s="339">
        <f>_xlfn.IFNA(VLOOKUP($D544,tbParentalLeave,2,FALSE),0)</f>
        <v>0</v>
      </c>
      <c r="K552" s="443">
        <f>J552*K545</f>
        <v>0</v>
      </c>
      <c r="L552" s="340">
        <f>_xlfn.IFNA(VLOOKUP($D544,tbParentalLeave,2,FALSE),0)</f>
        <v>0</v>
      </c>
      <c r="M552" s="451">
        <f t="shared" ref="M552" si="2387">L552*M545</f>
        <v>0</v>
      </c>
      <c r="N552" s="339">
        <f>_xlfn.IFNA(VLOOKUP($D544,tbParentalLeave,2,FALSE),0)</f>
        <v>0</v>
      </c>
      <c r="O552" s="443">
        <f>N552*O545</f>
        <v>0</v>
      </c>
      <c r="P552" s="340">
        <f>_xlfn.IFNA(VLOOKUP($D544,tbParentalLeave,2,FALSE),0)</f>
        <v>0</v>
      </c>
      <c r="Q552" s="451">
        <f t="shared" ref="Q552" si="2388">P552*Q545</f>
        <v>0</v>
      </c>
      <c r="R552" s="339">
        <f>_xlfn.IFNA(VLOOKUP($D544,tbParentalLeave,2,FALSE),0)</f>
        <v>0</v>
      </c>
      <c r="S552" s="443">
        <f>R552*S545</f>
        <v>0</v>
      </c>
      <c r="T552" s="340">
        <f>_xlfn.IFNA(VLOOKUP($D544,tbParentalLeave,2,FALSE),0)</f>
        <v>0</v>
      </c>
      <c r="U552" s="451">
        <f t="shared" ref="U552" si="2389">T552*U545</f>
        <v>0</v>
      </c>
      <c r="V552" s="339">
        <f>_xlfn.IFNA(VLOOKUP($D544,tbParentalLeave,2,FALSE),0)</f>
        <v>0</v>
      </c>
      <c r="W552" s="443">
        <f>V552*W545</f>
        <v>0</v>
      </c>
      <c r="X552" s="340">
        <f>_xlfn.IFNA(VLOOKUP($D544,tbParentalLeave,2,FALSE),0)</f>
        <v>0</v>
      </c>
      <c r="Y552" s="451">
        <f t="shared" ref="Y552" si="2390">X552*Y545</f>
        <v>0</v>
      </c>
      <c r="Z552" s="339">
        <f>_xlfn.IFNA(VLOOKUP($D544,tbParentalLeave,2,FALSE),0)</f>
        <v>0</v>
      </c>
      <c r="AA552" s="443">
        <f>Z552*AA545</f>
        <v>0</v>
      </c>
      <c r="AB552" s="340">
        <f>_xlfn.IFNA(VLOOKUP($D544,tbParentalLeave,2,FALSE),0)</f>
        <v>0</v>
      </c>
      <c r="AC552" s="451">
        <f t="shared" ref="AC552" si="2391">AB552*AC545</f>
        <v>0</v>
      </c>
      <c r="AD552" s="335"/>
      <c r="AE552" s="1152"/>
      <c r="AF552" s="1152"/>
      <c r="AG552" s="1152"/>
      <c r="AH552" s="1152"/>
      <c r="AI552" s="1152"/>
      <c r="AJ552" s="1152"/>
      <c r="AK552" s="1152"/>
      <c r="AL552" s="1152"/>
      <c r="AM552" s="1152"/>
      <c r="AN552" s="1152"/>
      <c r="AO552" s="1152"/>
      <c r="AP552" s="1152"/>
      <c r="AQ552" s="1152"/>
      <c r="AR552" s="1152"/>
      <c r="AS552" s="1152"/>
      <c r="AT552" s="1152"/>
      <c r="AU552" s="1152"/>
      <c r="AV552" s="1152"/>
      <c r="AW552" s="1152"/>
      <c r="AX552" s="1152"/>
      <c r="AY552" s="1152"/>
      <c r="AZ552" s="1152"/>
      <c r="BA552" s="1152"/>
      <c r="BB552" s="1152"/>
      <c r="BC552" s="1152"/>
      <c r="BD552" s="1152"/>
    </row>
    <row r="553" spans="1:56" hidden="1" outlineLevel="1" x14ac:dyDescent="0.3">
      <c r="A553" s="1182"/>
      <c r="B553" s="1379"/>
      <c r="C553" s="1379"/>
      <c r="D553" s="1379"/>
      <c r="E553" s="1379"/>
      <c r="F553" s="1379"/>
      <c r="G553" s="1379"/>
      <c r="H553" s="1380"/>
      <c r="I553" s="437" t="s">
        <v>320</v>
      </c>
      <c r="J553" s="438">
        <f>vl_overridden_uom_oncosts_per</f>
        <v>0</v>
      </c>
      <c r="K553" s="445">
        <f>J553*K545</f>
        <v>0</v>
      </c>
      <c r="L553" s="438">
        <f>vl_overridden_uom_oncosts_per</f>
        <v>0</v>
      </c>
      <c r="M553" s="445">
        <f>L553*M545</f>
        <v>0</v>
      </c>
      <c r="N553" s="438">
        <f>vl_overridden_uom_oncosts_per</f>
        <v>0</v>
      </c>
      <c r="O553" s="445">
        <f t="shared" ref="O553" si="2392">N553*O545</f>
        <v>0</v>
      </c>
      <c r="P553" s="438">
        <f>vl_overridden_uom_oncosts_per</f>
        <v>0</v>
      </c>
      <c r="Q553" s="445">
        <f t="shared" ref="Q553" si="2393">P553*Q545</f>
        <v>0</v>
      </c>
      <c r="R553" s="438">
        <f>vl_overridden_uom_oncosts_per</f>
        <v>0</v>
      </c>
      <c r="S553" s="445">
        <f t="shared" ref="S553" si="2394">R553*S545</f>
        <v>0</v>
      </c>
      <c r="T553" s="438">
        <f>vl_overridden_uom_oncosts_per</f>
        <v>0</v>
      </c>
      <c r="U553" s="445">
        <f t="shared" ref="U553" si="2395">T553*U545</f>
        <v>0</v>
      </c>
      <c r="V553" s="438">
        <f>vl_overridden_uom_oncosts_per</f>
        <v>0</v>
      </c>
      <c r="W553" s="445">
        <f t="shared" ref="W553" si="2396">V553*W545</f>
        <v>0</v>
      </c>
      <c r="X553" s="438">
        <f>vl_overridden_uom_oncosts_per</f>
        <v>0</v>
      </c>
      <c r="Y553" s="445">
        <f t="shared" ref="Y553" si="2397">X553*Y545</f>
        <v>0</v>
      </c>
      <c r="Z553" s="438">
        <f>vl_overridden_uom_oncosts_per</f>
        <v>0</v>
      </c>
      <c r="AA553" s="445">
        <f t="shared" ref="AA553" si="2398">Z553*AA545</f>
        <v>0</v>
      </c>
      <c r="AB553" s="438">
        <f>vl_overridden_uom_oncosts_per</f>
        <v>0</v>
      </c>
      <c r="AC553" s="445">
        <f t="shared" ref="AC553" si="2399">AB553*AC545</f>
        <v>0</v>
      </c>
      <c r="AD553" s="335"/>
      <c r="AE553" s="1152"/>
      <c r="AF553" s="1152"/>
      <c r="AG553" s="1152"/>
      <c r="AH553" s="1152"/>
      <c r="AI553" s="1152"/>
      <c r="AJ553" s="1152"/>
      <c r="AK553" s="1152"/>
      <c r="AL553" s="1152"/>
      <c r="AM553" s="1152"/>
      <c r="AN553" s="1152"/>
      <c r="AO553" s="1152"/>
      <c r="AP553" s="1152"/>
      <c r="AQ553" s="1152"/>
      <c r="AR553" s="1152"/>
      <c r="AS553" s="1152"/>
      <c r="AT553" s="1152"/>
      <c r="AU553" s="1152"/>
      <c r="AV553" s="1152"/>
      <c r="AW553" s="1152"/>
      <c r="AX553" s="1152"/>
      <c r="AY553" s="1152"/>
      <c r="AZ553" s="1152"/>
      <c r="BA553" s="1152"/>
      <c r="BB553" s="1152"/>
      <c r="BC553" s="1152"/>
      <c r="BD553" s="1152"/>
    </row>
    <row r="554" spans="1:56" hidden="1" outlineLevel="1" x14ac:dyDescent="0.3">
      <c r="A554" s="1182"/>
      <c r="B554" s="1379"/>
      <c r="C554" s="1379"/>
      <c r="D554" s="1379"/>
      <c r="E554" s="1379"/>
      <c r="F554" s="1379"/>
      <c r="G554" s="1379"/>
      <c r="H554" s="1380"/>
      <c r="I554" s="341" t="s">
        <v>321</v>
      </c>
      <c r="J554" s="342"/>
      <c r="K554" s="444">
        <f>SUM(K548:K553)</f>
        <v>0</v>
      </c>
      <c r="L554" s="342"/>
      <c r="M554" s="444">
        <f t="shared" ref="M554" si="2400">SUM(M548:M553)</f>
        <v>0</v>
      </c>
      <c r="N554" s="342"/>
      <c r="O554" s="444">
        <f t="shared" ref="O554" si="2401">SUM(O548:O553)</f>
        <v>0</v>
      </c>
      <c r="P554" s="342"/>
      <c r="Q554" s="444">
        <f t="shared" ref="Q554" si="2402">SUM(Q548:Q553)</f>
        <v>0</v>
      </c>
      <c r="R554" s="342"/>
      <c r="S554" s="444">
        <f t="shared" ref="S554" si="2403">SUM(S548:S553)</f>
        <v>0</v>
      </c>
      <c r="T554" s="342"/>
      <c r="U554" s="444">
        <f t="shared" ref="U554" si="2404">SUM(U548:U553)</f>
        <v>0</v>
      </c>
      <c r="V554" s="342"/>
      <c r="W554" s="444">
        <f t="shared" ref="W554" si="2405">SUM(W548:W553)</f>
        <v>0</v>
      </c>
      <c r="X554" s="342"/>
      <c r="Y554" s="444">
        <f t="shared" ref="Y554" si="2406">SUM(Y548:Y553)</f>
        <v>0</v>
      </c>
      <c r="Z554" s="342"/>
      <c r="AA554" s="444">
        <f t="shared" ref="AA554" si="2407">SUM(AA548:AA553)</f>
        <v>0</v>
      </c>
      <c r="AB554" s="342"/>
      <c r="AC554" s="444">
        <f t="shared" ref="AC554" si="2408">SUM(AC548:AC553)</f>
        <v>0</v>
      </c>
      <c r="AD554" s="335">
        <f t="shared" si="2116"/>
        <v>0</v>
      </c>
      <c r="AE554" s="1152"/>
      <c r="AF554" s="1152"/>
      <c r="AG554" s="1152"/>
      <c r="AH554" s="1152"/>
      <c r="AI554" s="1152"/>
      <c r="AJ554" s="1152"/>
      <c r="AK554" s="1152"/>
      <c r="AL554" s="1152"/>
      <c r="AM554" s="1152"/>
      <c r="AN554" s="1152"/>
      <c r="AO554" s="1152"/>
      <c r="AP554" s="1152"/>
      <c r="AQ554" s="1152"/>
      <c r="AR554" s="1152"/>
      <c r="AS554" s="1152"/>
      <c r="AT554" s="1152"/>
      <c r="AU554" s="1152"/>
      <c r="AV554" s="1152"/>
      <c r="AW554" s="1152"/>
      <c r="AX554" s="1152"/>
      <c r="AY554" s="1152"/>
      <c r="AZ554" s="1152"/>
      <c r="BA554" s="1152"/>
      <c r="BB554" s="1152"/>
      <c r="BC554" s="1152"/>
      <c r="BD554" s="1152"/>
    </row>
    <row r="555" spans="1:56" hidden="1" outlineLevel="1" x14ac:dyDescent="0.3">
      <c r="A555" s="1182"/>
      <c r="B555" s="1379"/>
      <c r="C555" s="1379"/>
      <c r="D555" s="1379"/>
      <c r="E555" s="1379"/>
      <c r="F555" s="1379"/>
      <c r="G555" s="1379"/>
      <c r="H555" s="1380"/>
      <c r="I555" s="455" t="s">
        <v>322</v>
      </c>
      <c r="J555" s="339">
        <f>_xlfn.IFNA(VLOOKUP($D544,tbAnnualLeaveProvision,2,FALSE),0)</f>
        <v>0</v>
      </c>
      <c r="K555" s="443">
        <f>J555*K545</f>
        <v>0</v>
      </c>
      <c r="L555" s="340">
        <f>_xlfn.IFNA(VLOOKUP($D544,tbAnnualLeaveProvision,2,FALSE),0)</f>
        <v>0</v>
      </c>
      <c r="M555" s="451">
        <f t="shared" ref="M555" si="2409">L555*M545</f>
        <v>0</v>
      </c>
      <c r="N555" s="339">
        <f>_xlfn.IFNA(VLOOKUP($D544,tbAnnualLeaveProvision,2,FALSE),0)</f>
        <v>0</v>
      </c>
      <c r="O555" s="443">
        <f>N555*O545</f>
        <v>0</v>
      </c>
      <c r="P555" s="340">
        <f>_xlfn.IFNA(VLOOKUP($D544,tbAnnualLeaveProvision,2,FALSE),0)</f>
        <v>0</v>
      </c>
      <c r="Q555" s="451">
        <f t="shared" ref="Q555" si="2410">P555*Q545</f>
        <v>0</v>
      </c>
      <c r="R555" s="339">
        <f>_xlfn.IFNA(VLOOKUP($D544,tbAnnualLeaveProvision,2,FALSE),0)</f>
        <v>0</v>
      </c>
      <c r="S555" s="443">
        <f>R555*S545</f>
        <v>0</v>
      </c>
      <c r="T555" s="340">
        <f>_xlfn.IFNA(VLOOKUP($D544,tbAnnualLeaveProvision,2,FALSE),0)</f>
        <v>0</v>
      </c>
      <c r="U555" s="451">
        <f t="shared" ref="U555" si="2411">T555*U545</f>
        <v>0</v>
      </c>
      <c r="V555" s="339">
        <f>_xlfn.IFNA(VLOOKUP($D544,tbAnnualLeaveProvision,2,FALSE),0)</f>
        <v>0</v>
      </c>
      <c r="W555" s="443">
        <f>V555*W545</f>
        <v>0</v>
      </c>
      <c r="X555" s="340">
        <f>_xlfn.IFNA(VLOOKUP($D544,tbAnnualLeaveProvision,2,FALSE),0)</f>
        <v>0</v>
      </c>
      <c r="Y555" s="451">
        <f t="shared" ref="Y555" si="2412">X555*Y545</f>
        <v>0</v>
      </c>
      <c r="Z555" s="339">
        <f>_xlfn.IFNA(VLOOKUP($D544,tbAnnualLeaveProvision,2,FALSE),0)</f>
        <v>0</v>
      </c>
      <c r="AA555" s="443">
        <f>Z555*AA545</f>
        <v>0</v>
      </c>
      <c r="AB555" s="340">
        <f>_xlfn.IFNA(VLOOKUP($D544,tbAnnualLeaveProvision,2,FALSE),0)</f>
        <v>0</v>
      </c>
      <c r="AC555" s="451">
        <f t="shared" ref="AC555" si="2413">AB555*AC545</f>
        <v>0</v>
      </c>
      <c r="AD555" s="335"/>
      <c r="AE555" s="1152"/>
      <c r="AF555" s="1152"/>
      <c r="AG555" s="1152"/>
      <c r="AH555" s="1152"/>
      <c r="AI555" s="1152"/>
      <c r="AJ555" s="1152"/>
      <c r="AK555" s="1152"/>
      <c r="AL555" s="1152"/>
      <c r="AM555" s="1152"/>
      <c r="AN555" s="1152"/>
      <c r="AO555" s="1152"/>
      <c r="AP555" s="1152"/>
      <c r="AQ555" s="1152"/>
      <c r="AR555" s="1152"/>
      <c r="AS555" s="1152"/>
      <c r="AT555" s="1152"/>
      <c r="AU555" s="1152"/>
      <c r="AV555" s="1152"/>
      <c r="AW555" s="1152"/>
      <c r="AX555" s="1152"/>
      <c r="AY555" s="1152"/>
      <c r="AZ555" s="1152"/>
      <c r="BA555" s="1152"/>
      <c r="BB555" s="1152"/>
      <c r="BC555" s="1152"/>
      <c r="BD555" s="1152"/>
    </row>
    <row r="556" spans="1:56" hidden="1" outlineLevel="1" x14ac:dyDescent="0.3">
      <c r="A556" s="1182"/>
      <c r="B556" s="1379"/>
      <c r="C556" s="1379"/>
      <c r="D556" s="1379"/>
      <c r="E556" s="1379"/>
      <c r="F556" s="1379"/>
      <c r="G556" s="1379"/>
      <c r="H556" s="1380"/>
      <c r="I556" s="455" t="s">
        <v>330</v>
      </c>
      <c r="J556" s="339"/>
      <c r="K556" s="446">
        <f>K554+K555</f>
        <v>0</v>
      </c>
      <c r="L556" s="340"/>
      <c r="M556" s="452">
        <f t="shared" ref="M556" si="2414">M554+M555</f>
        <v>0</v>
      </c>
      <c r="N556" s="339"/>
      <c r="O556" s="446">
        <f>O554+O555</f>
        <v>0</v>
      </c>
      <c r="P556" s="340"/>
      <c r="Q556" s="452">
        <f t="shared" ref="Q556" si="2415">Q554+Q555</f>
        <v>0</v>
      </c>
      <c r="R556" s="339"/>
      <c r="S556" s="446">
        <f>S554+S555</f>
        <v>0</v>
      </c>
      <c r="T556" s="340"/>
      <c r="U556" s="452">
        <f t="shared" ref="U556" si="2416">U554+U555</f>
        <v>0</v>
      </c>
      <c r="V556" s="339"/>
      <c r="W556" s="446">
        <f>W554+W555</f>
        <v>0</v>
      </c>
      <c r="X556" s="340"/>
      <c r="Y556" s="452">
        <f t="shared" ref="Y556" si="2417">Y554+Y555</f>
        <v>0</v>
      </c>
      <c r="Z556" s="339"/>
      <c r="AA556" s="446">
        <f>AA554+AA555</f>
        <v>0</v>
      </c>
      <c r="AB556" s="340"/>
      <c r="AC556" s="452">
        <f t="shared" ref="AC556" si="2418">AC554+AC555</f>
        <v>0</v>
      </c>
      <c r="AD556" s="335"/>
      <c r="AE556" s="1152"/>
      <c r="AF556" s="1152"/>
      <c r="AG556" s="1152"/>
      <c r="AH556" s="1152"/>
      <c r="AI556" s="1152"/>
      <c r="AJ556" s="1152"/>
      <c r="AK556" s="1152"/>
      <c r="AL556" s="1152"/>
      <c r="AM556" s="1152"/>
      <c r="AN556" s="1152"/>
      <c r="AO556" s="1152"/>
      <c r="AP556" s="1152"/>
      <c r="AQ556" s="1152"/>
      <c r="AR556" s="1152"/>
      <c r="AS556" s="1152"/>
      <c r="AT556" s="1152"/>
      <c r="AU556" s="1152"/>
      <c r="AV556" s="1152"/>
      <c r="AW556" s="1152"/>
      <c r="AX556" s="1152"/>
      <c r="AY556" s="1152"/>
      <c r="AZ556" s="1152"/>
      <c r="BA556" s="1152"/>
      <c r="BB556" s="1152"/>
      <c r="BC556" s="1152"/>
      <c r="BD556" s="1152"/>
    </row>
    <row r="557" spans="1:56" hidden="1" outlineLevel="1" x14ac:dyDescent="0.3">
      <c r="A557" s="1182"/>
      <c r="B557" s="1379"/>
      <c r="C557" s="1379"/>
      <c r="D557" s="1379"/>
      <c r="E557" s="1379"/>
      <c r="F557" s="1379"/>
      <c r="G557" s="1379"/>
      <c r="H557" s="1380"/>
      <c r="I557" s="462" t="s">
        <v>324</v>
      </c>
      <c r="J557" s="344"/>
      <c r="K557" s="443">
        <f>-(K554/vl_working_days_per_year)*J557</f>
        <v>0</v>
      </c>
      <c r="L557" s="345"/>
      <c r="M557" s="451">
        <f>-(M554/vl_working_days_per_year)*L557</f>
        <v>0</v>
      </c>
      <c r="N557" s="344"/>
      <c r="O557" s="443">
        <f>-(O554/vl_working_days_per_year)*N557</f>
        <v>0</v>
      </c>
      <c r="P557" s="345"/>
      <c r="Q557" s="451">
        <f>-(Q554/vl_working_days_per_year)*P557</f>
        <v>0</v>
      </c>
      <c r="R557" s="344"/>
      <c r="S557" s="443">
        <f>-(S554/vl_working_days_per_year)*R557</f>
        <v>0</v>
      </c>
      <c r="T557" s="345"/>
      <c r="U557" s="451">
        <f>-(U554/vl_working_days_per_year)*T557</f>
        <v>0</v>
      </c>
      <c r="V557" s="344"/>
      <c r="W557" s="443">
        <f>-(W554/vl_working_days_per_year)*V557</f>
        <v>0</v>
      </c>
      <c r="X557" s="345"/>
      <c r="Y557" s="451">
        <f>-(Y554/vl_working_days_per_year)*X557</f>
        <v>0</v>
      </c>
      <c r="Z557" s="344"/>
      <c r="AA557" s="443">
        <f>-(AA554/vl_working_days_per_year)*Z557</f>
        <v>0</v>
      </c>
      <c r="AB557" s="345"/>
      <c r="AC557" s="451">
        <f>-(AC554/vl_working_days_per_year)*AB557</f>
        <v>0</v>
      </c>
      <c r="AD557" s="335">
        <f t="shared" si="2116"/>
        <v>0</v>
      </c>
      <c r="AE557" s="1152"/>
      <c r="AF557" s="1152"/>
      <c r="AG557" s="1152"/>
      <c r="AH557" s="1152"/>
      <c r="AI557" s="1152"/>
      <c r="AJ557" s="1152"/>
      <c r="AK557" s="1152"/>
      <c r="AL557" s="1152"/>
      <c r="AM557" s="1152"/>
      <c r="AN557" s="1152"/>
      <c r="AO557" s="1152"/>
      <c r="AP557" s="1152"/>
      <c r="AQ557" s="1152"/>
      <c r="AR557" s="1152"/>
      <c r="AS557" s="1152"/>
      <c r="AT557" s="1152"/>
      <c r="AU557" s="1152"/>
      <c r="AV557" s="1152"/>
      <c r="AW557" s="1152"/>
      <c r="AX557" s="1152"/>
      <c r="AY557" s="1152"/>
      <c r="AZ557" s="1152"/>
      <c r="BA557" s="1152"/>
      <c r="BB557" s="1152"/>
      <c r="BC557" s="1152"/>
      <c r="BD557" s="1152"/>
    </row>
    <row r="558" spans="1:56" hidden="1" outlineLevel="1" x14ac:dyDescent="0.3">
      <c r="A558" s="1182"/>
      <c r="B558" s="1379"/>
      <c r="C558" s="1379"/>
      <c r="D558" s="1379"/>
      <c r="E558" s="1379"/>
      <c r="F558" s="1379"/>
      <c r="G558" s="1379"/>
      <c r="H558" s="1380"/>
      <c r="I558" s="341" t="s">
        <v>325</v>
      </c>
      <c r="J558" s="346"/>
      <c r="K558" s="444">
        <f>K556+K557</f>
        <v>0</v>
      </c>
      <c r="L558" s="346"/>
      <c r="M558" s="444">
        <f t="shared" ref="M558" si="2419">M556+M557</f>
        <v>0</v>
      </c>
      <c r="N558" s="346"/>
      <c r="O558" s="444">
        <f>O556+O557</f>
        <v>0</v>
      </c>
      <c r="P558" s="346"/>
      <c r="Q558" s="444">
        <f t="shared" ref="Q558" si="2420">Q556+Q557</f>
        <v>0</v>
      </c>
      <c r="R558" s="346"/>
      <c r="S558" s="444">
        <f>S556+S557</f>
        <v>0</v>
      </c>
      <c r="T558" s="346"/>
      <c r="U558" s="444">
        <f t="shared" ref="U558" si="2421">U556+U557</f>
        <v>0</v>
      </c>
      <c r="V558" s="346"/>
      <c r="W558" s="444">
        <f>W556+W557</f>
        <v>0</v>
      </c>
      <c r="X558" s="346"/>
      <c r="Y558" s="444">
        <f t="shared" ref="Y558" si="2422">Y556+Y557</f>
        <v>0</v>
      </c>
      <c r="Z558" s="346"/>
      <c r="AA558" s="444">
        <f>AA556+AA557</f>
        <v>0</v>
      </c>
      <c r="AB558" s="346"/>
      <c r="AC558" s="444">
        <f t="shared" ref="AC558" si="2423">AC556+AC557</f>
        <v>0</v>
      </c>
      <c r="AD558" s="335">
        <f t="shared" si="2116"/>
        <v>0</v>
      </c>
      <c r="AE558" s="1152"/>
      <c r="AF558" s="1152"/>
      <c r="AG558" s="1152"/>
      <c r="AH558" s="1152"/>
      <c r="AI558" s="1152"/>
      <c r="AJ558" s="1152"/>
      <c r="AK558" s="1152"/>
      <c r="AL558" s="1152"/>
      <c r="AM558" s="1152"/>
      <c r="AN558" s="1152"/>
      <c r="AO558" s="1152"/>
      <c r="AP558" s="1152"/>
      <c r="AQ558" s="1152"/>
      <c r="AR558" s="1152"/>
      <c r="AS558" s="1152"/>
      <c r="AT558" s="1152"/>
      <c r="AU558" s="1152"/>
      <c r="AV558" s="1152"/>
      <c r="AW558" s="1152"/>
      <c r="AX558" s="1152"/>
      <c r="AY558" s="1152"/>
      <c r="AZ558" s="1152"/>
      <c r="BA558" s="1152"/>
      <c r="BB558" s="1152"/>
      <c r="BC558" s="1152"/>
      <c r="BD558" s="1152"/>
    </row>
    <row r="559" spans="1:56" s="1" customFormat="1" ht="15" hidden="1" customHeight="1" outlineLevel="1" x14ac:dyDescent="0.3">
      <c r="A559" s="727"/>
      <c r="B559" s="1379"/>
      <c r="C559" s="1379"/>
      <c r="D559" s="1379"/>
      <c r="E559" s="1379"/>
      <c r="F559" s="1379"/>
      <c r="G559" s="1379"/>
      <c r="H559" s="1380"/>
      <c r="I559" s="463" t="s">
        <v>326</v>
      </c>
      <c r="J559" s="383">
        <f>IFERROR(K559/K545,0)</f>
        <v>0</v>
      </c>
      <c r="K559" s="447">
        <f>SUM(K546:K547,K549:K552,K555)</f>
        <v>0</v>
      </c>
      <c r="L559" s="434">
        <f>IFERROR(M559/M545,0)</f>
        <v>0</v>
      </c>
      <c r="M559" s="453">
        <f t="shared" ref="M559" si="2424">SUM(M546:M547,M549:M552,M555)</f>
        <v>0</v>
      </c>
      <c r="N559" s="383">
        <f t="shared" ref="N559" si="2425">IFERROR(O559/O545,0)</f>
        <v>0</v>
      </c>
      <c r="O559" s="447">
        <f t="shared" ref="O559" si="2426">SUM(O546:O547,O549:O552,O555)</f>
        <v>0</v>
      </c>
      <c r="P559" s="434">
        <f t="shared" ref="P559" si="2427">IFERROR(Q559/Q545,0)</f>
        <v>0</v>
      </c>
      <c r="Q559" s="453">
        <f t="shared" ref="Q559" si="2428">SUM(Q546:Q547,Q549:Q552,Q555)</f>
        <v>0</v>
      </c>
      <c r="R559" s="383">
        <f t="shared" ref="R559" si="2429">IFERROR(S559/S545,0)</f>
        <v>0</v>
      </c>
      <c r="S559" s="447">
        <f t="shared" ref="S559" si="2430">SUM(S546:S547,S549:S552,S555)</f>
        <v>0</v>
      </c>
      <c r="T559" s="434">
        <f t="shared" ref="T559" si="2431">IFERROR(U559/U545,0)</f>
        <v>0</v>
      </c>
      <c r="U559" s="453">
        <f t="shared" ref="U559" si="2432">SUM(U546:U547,U549:U552,U555)</f>
        <v>0</v>
      </c>
      <c r="V559" s="383">
        <f t="shared" ref="V559" si="2433">IFERROR(W559/W545,0)</f>
        <v>0</v>
      </c>
      <c r="W559" s="447">
        <f t="shared" ref="W559" si="2434">SUM(W546:W547,W549:W552,W555)</f>
        <v>0</v>
      </c>
      <c r="X559" s="434">
        <f t="shared" ref="X559" si="2435">IFERROR(Y559/Y545,0)</f>
        <v>0</v>
      </c>
      <c r="Y559" s="453">
        <f t="shared" ref="Y559" si="2436">SUM(Y546:Y547,Y549:Y552,Y555)</f>
        <v>0</v>
      </c>
      <c r="Z559" s="383">
        <f t="shared" ref="Z559" si="2437">IFERROR(AA559/AA545,0)</f>
        <v>0</v>
      </c>
      <c r="AA559" s="447">
        <f t="shared" ref="AA559" si="2438">SUM(AA546:AA547,AA549:AA552,AA555)</f>
        <v>0</v>
      </c>
      <c r="AB559" s="434">
        <f t="shared" ref="AB559" si="2439">IFERROR(AC559/AC545,0)</f>
        <v>0</v>
      </c>
      <c r="AC559" s="453">
        <f t="shared" ref="AC559" si="2440">SUM(AC546:AC547,AC549:AC552,AC555)</f>
        <v>0</v>
      </c>
      <c r="AD559" s="377">
        <f t="shared" si="2116"/>
        <v>0</v>
      </c>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row>
    <row r="560" spans="1:56" hidden="1" outlineLevel="1" x14ac:dyDescent="0.3">
      <c r="A560" s="1182"/>
      <c r="B560" s="1379"/>
      <c r="C560" s="1379"/>
      <c r="D560" s="1379"/>
      <c r="E560" s="1379"/>
      <c r="F560" s="1379"/>
      <c r="G560" s="1379"/>
      <c r="H560" s="1380"/>
      <c r="I560" s="463" t="s">
        <v>327</v>
      </c>
      <c r="J560" s="384">
        <f>pCRInKind</f>
        <v>2.5</v>
      </c>
      <c r="K560" s="447"/>
      <c r="L560" s="435">
        <f>pCRInKind</f>
        <v>2.5</v>
      </c>
      <c r="M560" s="453"/>
      <c r="N560" s="384">
        <f>pCRInKind</f>
        <v>2.5</v>
      </c>
      <c r="O560" s="447"/>
      <c r="P560" s="435">
        <f>pCRInKind</f>
        <v>2.5</v>
      </c>
      <c r="Q560" s="453"/>
      <c r="R560" s="384">
        <f>pCRInKind</f>
        <v>2.5</v>
      </c>
      <c r="S560" s="447"/>
      <c r="T560" s="435">
        <f>pCRInKind</f>
        <v>2.5</v>
      </c>
      <c r="U560" s="453"/>
      <c r="V560" s="384">
        <f>pCRInKind</f>
        <v>2.5</v>
      </c>
      <c r="W560" s="447"/>
      <c r="X560" s="435">
        <f>pCRInKind</f>
        <v>2.5</v>
      </c>
      <c r="Y560" s="453"/>
      <c r="Z560" s="384">
        <f>pCRInKind</f>
        <v>2.5</v>
      </c>
      <c r="AA560" s="447"/>
      <c r="AB560" s="435">
        <f>pCRInKind</f>
        <v>2.5</v>
      </c>
      <c r="AC560" s="453"/>
      <c r="AD560" s="335"/>
      <c r="AE560" s="1152"/>
      <c r="AF560" s="1152"/>
      <c r="AG560" s="1152"/>
      <c r="AH560" s="1152"/>
      <c r="AI560" s="1152"/>
      <c r="AJ560" s="1152"/>
      <c r="AK560" s="1152"/>
      <c r="AL560" s="1152"/>
      <c r="AM560" s="1152"/>
      <c r="AN560" s="1152"/>
      <c r="AO560" s="1152"/>
      <c r="AP560" s="1152"/>
      <c r="AQ560" s="1152"/>
      <c r="AR560" s="1152"/>
      <c r="AS560" s="1152"/>
      <c r="AT560" s="1152"/>
      <c r="AU560" s="1152"/>
      <c r="AV560" s="1152"/>
      <c r="AW560" s="1152"/>
      <c r="AX560" s="1152"/>
      <c r="AY560" s="1152"/>
      <c r="AZ560" s="1152"/>
      <c r="BA560" s="1152"/>
      <c r="BB560" s="1152"/>
      <c r="BC560" s="1152"/>
      <c r="BD560" s="1152"/>
    </row>
    <row r="561" spans="1:30" ht="16.2" hidden="1" outlineLevel="1" thickBot="1" x14ac:dyDescent="0.35">
      <c r="A561" s="1182"/>
      <c r="B561" s="710"/>
      <c r="C561" s="347"/>
      <c r="D561" s="347"/>
      <c r="E561" s="347"/>
      <c r="F561" s="347"/>
      <c r="G561" s="347"/>
      <c r="H561" s="347"/>
      <c r="I561" s="436" t="s">
        <v>329</v>
      </c>
      <c r="J561" s="348"/>
      <c r="K561" s="349">
        <f>J560*K556</f>
        <v>0</v>
      </c>
      <c r="L561" s="348"/>
      <c r="M561" s="349">
        <f t="shared" ref="M561" si="2441">L560*M556</f>
        <v>0</v>
      </c>
      <c r="N561" s="348"/>
      <c r="O561" s="349">
        <f>N560*O556</f>
        <v>0</v>
      </c>
      <c r="P561" s="348"/>
      <c r="Q561" s="349">
        <f t="shared" ref="Q561" si="2442">P560*Q556</f>
        <v>0</v>
      </c>
      <c r="R561" s="348"/>
      <c r="S561" s="349">
        <f>R560*S556</f>
        <v>0</v>
      </c>
      <c r="T561" s="348"/>
      <c r="U561" s="349">
        <f t="shared" ref="U561" si="2443">T560*U556</f>
        <v>0</v>
      </c>
      <c r="V561" s="348"/>
      <c r="W561" s="349">
        <f>V560*W556</f>
        <v>0</v>
      </c>
      <c r="X561" s="348"/>
      <c r="Y561" s="349">
        <f t="shared" ref="Y561" si="2444">X560*Y556</f>
        <v>0</v>
      </c>
      <c r="Z561" s="348"/>
      <c r="AA561" s="349">
        <f>Z560*AA556</f>
        <v>0</v>
      </c>
      <c r="AB561" s="348"/>
      <c r="AC561" s="349">
        <f t="shared" ref="AC561" si="2445">AB560*AC556</f>
        <v>0</v>
      </c>
      <c r="AD561" s="335">
        <f t="shared" si="2116"/>
        <v>0</v>
      </c>
    </row>
    <row r="562" spans="1:30" ht="15" hidden="1" outlineLevel="1" thickBot="1" x14ac:dyDescent="0.35">
      <c r="A562" s="1182"/>
      <c r="B562" s="1181"/>
      <c r="C562" s="1181"/>
      <c r="D562" s="1181"/>
      <c r="E562" s="1181"/>
      <c r="F562" s="1181"/>
      <c r="G562" s="1181"/>
      <c r="H562" s="1181"/>
      <c r="I562" s="350"/>
      <c r="J562" s="351"/>
      <c r="K562" s="351"/>
      <c r="L562" s="351"/>
      <c r="M562" s="352"/>
      <c r="N562" s="351"/>
      <c r="O562" s="352"/>
      <c r="P562" s="351"/>
      <c r="Q562" s="352"/>
      <c r="R562" s="351"/>
      <c r="S562" s="352"/>
      <c r="T562" s="351"/>
      <c r="U562" s="352"/>
      <c r="V562" s="351"/>
      <c r="W562" s="352"/>
      <c r="X562" s="351"/>
      <c r="Y562" s="352"/>
      <c r="Z562" s="351"/>
      <c r="AA562" s="352"/>
      <c r="AB562" s="351"/>
      <c r="AC562" s="352"/>
      <c r="AD562" s="353" t="str">
        <f>IF(tbBudgetCurrency="AUD - Australian Dollar","",IFERROR(K562+M562+O562+Q562+S562+U562+W562+Y562+AA562+AC562,0))</f>
        <v/>
      </c>
    </row>
    <row r="563" spans="1:30" hidden="1" outlineLevel="1" x14ac:dyDescent="0.3">
      <c r="A563" s="1182"/>
      <c r="B563" s="460" t="str">
        <f>IF('PART B Staff Costs'!B62="","",'PART B Staff Costs'!B62)</f>
        <v/>
      </c>
      <c r="C563" s="460" t="str">
        <f>IF('PART B Staff Costs'!C62="","",'PART B Staff Costs'!C62)</f>
        <v xml:space="preserve"> </v>
      </c>
      <c r="D563" s="461" t="str">
        <f>IF('PART B Staff Costs'!D62="","",'PART B Staff Costs'!D62)</f>
        <v/>
      </c>
      <c r="E563" s="461" t="str">
        <f>IF('PART B Staff Costs'!E62="","",'PART B Staff Costs'!E62)</f>
        <v/>
      </c>
      <c r="F563" s="461" t="str">
        <f>IF('PART B Staff Costs'!F62="","",'PART B Staff Costs'!F62)</f>
        <v/>
      </c>
      <c r="G563" s="461" t="str">
        <f>IF('PART B Staff Costs'!G62="","",'PART B Staff Costs'!G62)</f>
        <v/>
      </c>
      <c r="H563" s="454" t="str">
        <f t="shared" ref="H563" si="2446">CONCATENATE(IF(D563=0,"",D563)," ",IF(E563=0,"",E563)," ",IF(F563=0,"",F563),,IF(OR(G563=0,G563=""),"",CONCATENATE(" (",G563,")")))</f>
        <v xml:space="preserve">  </v>
      </c>
      <c r="I563" s="454" t="s">
        <v>313</v>
      </c>
      <c r="J563" s="333">
        <f>_xlfn.IFNA('PART B Staff Costs'!H62*'PART B Staff Costs'!J$10,0)*new_xrate</f>
        <v>0</v>
      </c>
      <c r="K563" s="441"/>
      <c r="L563" s="334">
        <f>_xlfn.IFNA(IF(pStartYear+1&gt;pEndYear,0,VLOOKUP(CONCATENATE(
IF(OR($D563="Continuing",$D563="Fixed-Term"),"Fortnight",IF($D563="Casual","Casual",)),
$E563,
IF(OR($D563="Continuing",$D563="Fixed-Term"),
IF(LEFT($F563,6)="UOM 10","UOM 10",(LEFT($F563,LEN($F563)-1)&amp;MIN(RIGHT($F563,1)+COUNTIFS($J564:K564,"&gt;0")/2,VLOOKUP(LEFT($F563,LEN($F563)-2),tSalaryMax,2,FALSE)))),
IF($D563="Casual",
$F563,))
),tSalaryRate,5,FALSE)*VLOOKUP($G563,tSalaryRateMultiplier,2,FALSE)*'PART B Staff Costs'!L$10),0)*new_xrate</f>
        <v>0</v>
      </c>
      <c r="M563" s="449"/>
      <c r="N563" s="333">
        <f>_xlfn.IFNA(IF(pStartYear+2&gt;pEndYear,0,VLOOKUP(CONCATENATE(
IF(OR($D563="Continuing",$D563="Fixed-Term"),"Fortnight",IF($D563="Casual","Casual",)),
$E563,
IF(OR($D563="Continuing",$D563="Fixed-Term"),
IF(LEFT($F563,6)="UOM 10","UOM 10",(LEFT($F563,LEN($F563)-1)&amp;MIN(RIGHT($F563,1)+COUNTIFS($J564:M564,"&gt;0")/2,VLOOKUP(LEFT($F563,LEN($F563)-2),tSalaryMax,2,FALSE)))),
IF($D563="Casual",
$F563,))
),tSalaryRate,5,FALSE)*VLOOKUP($G563,tSalaryRateMultiplier,2,FALSE)*'PART B Staff Costs'!N$10),0)*new_xrate</f>
        <v>0</v>
      </c>
      <c r="O563" s="441"/>
      <c r="P563" s="334">
        <f>_xlfn.IFNA(IF(pStartYear+3&gt;pEndYear,0,VLOOKUP(CONCATENATE(
IF(OR($D563="Continuing",$D563="Fixed-Term"),"Fortnight",IF($D563="Casual","Casual",)),
$E563,
IF(OR($D563="Continuing",$D563="Fixed-Term"),
IF(LEFT($F563,6)="UOM 10","UOM 10",(LEFT($F563,LEN($F563)-1)&amp;MIN(RIGHT($F563,1)+COUNTIFS($J564:O564,"&gt;0")/2,VLOOKUP(LEFT($F563,LEN($F563)-2),tSalaryMax,2,FALSE)))),
IF($D563="Casual",
$F563,))
),tSalaryRate,5,FALSE)*VLOOKUP($G563,tSalaryRateMultiplier,2,FALSE)*'PART B Staff Costs'!P$10),0)*new_xrate</f>
        <v>0</v>
      </c>
      <c r="Q563" s="449"/>
      <c r="R563" s="333">
        <f>_xlfn.IFNA(IF(pStartYear+4&gt;pEndYear,0,VLOOKUP(CONCATENATE(
IF(OR($D563="Continuing",$D563="Fixed-Term"),"Fortnight",IF($D563="Casual","Casual",)),
$E563,
IF(OR($D563="Continuing",$D563="Fixed-Term"),
IF(LEFT($F563,6)="UOM 10","UOM 10",(LEFT($F563,LEN($F563)-1)&amp;MIN(RIGHT($F563,1)+COUNTIFS($J564:Q564,"&gt;0")/2,VLOOKUP(LEFT($F563,LEN($F563)-2),tSalaryMax,2,FALSE)))),
IF($D563="Casual",
$F563,))
),tSalaryRate,5,FALSE)*VLOOKUP($G563,tSalaryRateMultiplier,2,FALSE)*'PART B Staff Costs'!R$10),0)*new_xrate</f>
        <v>0</v>
      </c>
      <c r="S563" s="441"/>
      <c r="T563" s="334">
        <f>_xlfn.IFNA(IF(pStartYear+5&gt;pEndYear,0,VLOOKUP(CONCATENATE(
IF(OR($D563="Continuing",$D563="Fixed-Term"),"Fortnight",IF($D563="Casual","Casual",)),
$E563,
IF(OR($D563="Continuing",$D563="Fixed-Term"),
IF(LEFT($F563,6)="UOM 10","UOM 10",(LEFT($F563,LEN($F563)-1)&amp;MIN(RIGHT($F563,1)+COUNTIFS($J564:S564,"&gt;0")/2,VLOOKUP(LEFT($F563,LEN($F563)-2),tSalaryMax,2,FALSE)))),
IF($D563="Casual",
$F563,))
),tSalaryRate,5,FALSE)*VLOOKUP($G563,tSalaryRateMultiplier,2,FALSE)*'PART B Staff Costs'!T$10),0)*new_xrate</f>
        <v>0</v>
      </c>
      <c r="U563" s="449"/>
      <c r="V563" s="333">
        <f>_xlfn.IFNA(IF(pStartYear+6&gt;pEndYear,0,VLOOKUP(CONCATENATE(
IF(OR($D563="Continuing",$D563="Fixed-Term"),"Fortnight",IF($D563="Casual","Casual",)),
$E563,
IF(OR($D563="Continuing",$D563="Fixed-Term"),
IF(LEFT($F563,6)="UOM 10","UOM 10",(LEFT($F563,LEN($F563)-1)&amp;MIN(RIGHT($F563,1)+COUNTIFS($J564:U564,"&gt;0")/2,VLOOKUP(LEFT($F563,LEN($F563)-2),tSalaryMax,2,FALSE)))),
IF($D563="Casual",
$F563,))
),tSalaryRate,5,FALSE)*VLOOKUP($G563,tSalaryRateMultiplier,2,FALSE)*'PART B Staff Costs'!V$10),0)*new_xrate</f>
        <v>0</v>
      </c>
      <c r="W563" s="441"/>
      <c r="X563" s="334">
        <f>_xlfn.IFNA(IF(pStartYear+7&gt;pEndYear,0,VLOOKUP(CONCATENATE(
IF(OR($D563="Continuing",$D563="Fixed-Term"),"Fortnight",IF($D563="Casual","Casual",)),
$E563,
IF(OR($D563="Continuing",$D563="Fixed-Term"),
IF(LEFT($F563,6)="UOM 10","UOM 10",(LEFT($F563,LEN($F563)-1)&amp;MIN(RIGHT($F563,1)+COUNTIFS($J564:W564,"&gt;0")/2,VLOOKUP(LEFT($F563,LEN($F563)-2),tSalaryMax,2,FALSE)))),
IF($D563="Casual",
$F563,))
),tSalaryRate,5,FALSE)*VLOOKUP($G563,tSalaryRateMultiplier,2,FALSE)*'PART B Staff Costs'!X$10),0)*new_xrate</f>
        <v>0</v>
      </c>
      <c r="Y563" s="449"/>
      <c r="Z563" s="333">
        <f>_xlfn.IFNA(IF(pStartYear+8&gt;pEndYear,0,VLOOKUP(CONCATENATE(
IF(OR($D563="Continuing",$D563="Fixed-Term"),"Fortnight",IF($D563="Casual","Casual",)),
$E563,
IF(OR($D563="Continuing",$D563="Fixed-Term"),
IF(LEFT($F563,6)="UOM 10","UOM 10",(LEFT($F563,LEN($F563)-1)&amp;MIN(RIGHT($F563,1)+COUNTIFS($J564:Y564,"&gt;0")/2,VLOOKUP(LEFT($F563,LEN($F563)-2),tSalaryMax,2,FALSE)))),
IF($D563="Casual",
$F563,))
),tSalaryRate,5,FALSE)*VLOOKUP($G563,tSalaryRateMultiplier,2,FALSE)*'PART B Staff Costs'!Z$10),0)*new_xrate</f>
        <v>0</v>
      </c>
      <c r="AA563" s="441"/>
      <c r="AB563" s="334">
        <f>_xlfn.IFNA(IF(pStartYear+9&gt;pEndYear,0,VLOOKUP(CONCATENATE(
IF(OR($D563="Continuing",$D563="Fixed-Term"),"Fortnight",IF($D563="Casual","Casual",)),
$E563,
IF(OR($D563="Continuing",$D563="Fixed-Term"),
IF(LEFT($F563,6)="UOM 10","UOM 10",(LEFT($F563,LEN($F563)-1)&amp;MIN(RIGHT($F563,1)+COUNTIFS($J564:AA564,"&gt;0")/2,VLOOKUP(LEFT($F563,LEN($F563)-2),tSalaryMax,2,FALSE)))),
IF($D563="Casual",
$F563,))
),tSalaryRate,5,FALSE)*VLOOKUP($G563,tSalaryRateMultiplier,2,FALSE)*'PART B Staff Costs'!AB$10),0)*new_xrate</f>
        <v>0</v>
      </c>
      <c r="AC563" s="449"/>
      <c r="AD563" s="335"/>
    </row>
    <row r="564" spans="1:30" hidden="1" outlineLevel="1" x14ac:dyDescent="0.3">
      <c r="A564" s="1182"/>
      <c r="B564" s="1377"/>
      <c r="C564" s="1377"/>
      <c r="D564" s="1377"/>
      <c r="E564" s="1377"/>
      <c r="F564" s="1377"/>
      <c r="G564" s="1377"/>
      <c r="H564" s="1378"/>
      <c r="I564" s="455" t="str">
        <f>IF('PART B Staff Costs'!G559&lt;&gt;"",CONCATENATE("Time/Requested salary"," (",'PART B Staff Costs'!G559,")"),"Time/Requested salary")</f>
        <v>Time/Requested salary</v>
      </c>
      <c r="J564" s="337">
        <f>_xlfn.IFNA('PART B Staff Costs'!I62,0)</f>
        <v>0</v>
      </c>
      <c r="K564" s="442">
        <f>IF('PART B Staff Costs'!$G$62="FTE",J564*J563*(First_year_fraction/12),J564*J563)</f>
        <v>0</v>
      </c>
      <c r="L564" s="338">
        <f>_xlfn.IFNA('PART B Staff Costs'!K62,0)</f>
        <v>0</v>
      </c>
      <c r="M564" s="450">
        <f>IF(pStartYear+1=pEndYear,IF('PART B Staff Costs'!$G$62="FTE",(L564*L563)*Last_Year_Fraction/12,L564*L563),L564*L563)</f>
        <v>0</v>
      </c>
      <c r="N564" s="337">
        <f>_xlfn.IFNA('PART B Staff Costs'!M62,0)</f>
        <v>0</v>
      </c>
      <c r="O564" s="442">
        <f>IF(pStartYear+2=pEndYear,IF('PART B Staff Costs'!$G$62="FTE",(N564*N563)*Last_Year_Fraction/12,N564*N563),N564*N563)</f>
        <v>0</v>
      </c>
      <c r="P564" s="338">
        <f>_xlfn.IFNA('PART B Staff Costs'!O62,0)</f>
        <v>0</v>
      </c>
      <c r="Q564" s="450">
        <f>IF(pStartYear+3=pEndYear,IF('PART B Staff Costs'!$G$62="FTE",(P564*P563)*Last_Year_Fraction/12,P564*P563),P564*P563)</f>
        <v>0</v>
      </c>
      <c r="R564" s="337">
        <f>_xlfn.IFNA('PART B Staff Costs'!Q62,0)</f>
        <v>0</v>
      </c>
      <c r="S564" s="442">
        <f>IF(pStartYear+4=pEndYear,IF('PART B Staff Costs'!$G$62="FTE",(R564*R563)*Last_Year_Fraction/12,R564*R563),R564*R563)</f>
        <v>0</v>
      </c>
      <c r="T564" s="338">
        <f>_xlfn.IFNA('PART B Staff Costs'!S62,0)</f>
        <v>0</v>
      </c>
      <c r="U564" s="450">
        <f>IF(pStartYear+5=pEndYear,IF('PART B Staff Costs'!$G$62="FTE",(T564*T563)*Last_Year_Fraction/12,T564*T563),T564*T563)</f>
        <v>0</v>
      </c>
      <c r="V564" s="337">
        <f>_xlfn.IFNA('PART B Staff Costs'!U62,0)</f>
        <v>0</v>
      </c>
      <c r="W564" s="442">
        <f>IF(pStartYear+6=pEndYear,IF('PART B Staff Costs'!$G$62="FTE",(V564*V563)*Last_Year_Fraction/12,V564*V563),V564*V563)</f>
        <v>0</v>
      </c>
      <c r="X564" s="338">
        <f>_xlfn.IFNA('PART B Staff Costs'!W62,0)</f>
        <v>0</v>
      </c>
      <c r="Y564" s="450">
        <f>IF(pStartYear+7=pEndYear,IF('PART B Staff Costs'!$G$62="FTE",(X564*X563)*Last_Year_Fraction/12,X564*X563),X564*X563)</f>
        <v>0</v>
      </c>
      <c r="Z564" s="337">
        <f>_xlfn.IFNA('PART B Staff Costs'!Y62,0)</f>
        <v>0</v>
      </c>
      <c r="AA564" s="442">
        <f>IF(pStartYear+8=pEndYear,IF('PART B Staff Costs'!$G$62="FTE",(Z564*Z563)*Last_Year_Fraction/12,Z564*Z563),Z564*Z563)</f>
        <v>0</v>
      </c>
      <c r="AB564" s="338">
        <f>_xlfn.IFNA('PART B Staff Costs'!AA62,0)</f>
        <v>0</v>
      </c>
      <c r="AC564" s="450">
        <f>IF(pStartYear+9=pEndYear,IF('PART B Staff Costs'!$G$62="FTE",(AB564*AB563)*Last_Year_Fraction/12,AB564*AB563),AB564*AB563)</f>
        <v>0</v>
      </c>
      <c r="AD564" s="335"/>
    </row>
    <row r="565" spans="1:30" hidden="1" outlineLevel="1" x14ac:dyDescent="0.3">
      <c r="A565" s="1182"/>
      <c r="B565" s="1379"/>
      <c r="C565" s="1379"/>
      <c r="D565" s="1379"/>
      <c r="E565" s="1379"/>
      <c r="F565" s="1379"/>
      <c r="G565" s="1379"/>
      <c r="H565" s="1380"/>
      <c r="I565" s="455" t="str">
        <f>IF(tbBudgetCurrency="AUD - Australian Dollar",CONCATENATE("Leave Loading (max of AU$",vl_Max_Leave_Loading,")"),CONCATENATE("Leave Loading (max of ",ROUND(vl_Max_Leave_Loading*new_xrate,2)," ",LEFT(tbBudgetCurrency,3),")"))</f>
        <v>Leave Loading (max of AU$1611.3)</v>
      </c>
      <c r="J565" s="339">
        <f>_xlfn.IFNA(VLOOKUP($D563,tbLeaveLoading,2,FALSE),0)</f>
        <v>0</v>
      </c>
      <c r="K565" s="443">
        <f>IF(K564*J565&gt;vl_Max_Leave_Loading*new_xrate,vl_Max_Leave_Loading*new_xrate,K564*J565)</f>
        <v>0</v>
      </c>
      <c r="L565" s="340">
        <f>_xlfn.IFNA(VLOOKUP($D563,tbLeaveLoading,2,FALSE),0)</f>
        <v>0</v>
      </c>
      <c r="M565" s="451">
        <f>IF(M564*L565&gt;vl_Max_Leave_Loading*new_xrate,vl_Max_Leave_Loading*new_xrate,M564*L565)</f>
        <v>0</v>
      </c>
      <c r="N565" s="339">
        <f>_xlfn.IFNA(VLOOKUP($D563,tbLeaveLoading,2,FALSE),0)</f>
        <v>0</v>
      </c>
      <c r="O565" s="443">
        <f>IF(O564*N565&gt;vl_Max_Leave_Loading*new_xrate,vl_Max_Leave_Loading*new_xrate,O564*N565)</f>
        <v>0</v>
      </c>
      <c r="P565" s="340">
        <f>_xlfn.IFNA(VLOOKUP($D563,tbLeaveLoading,2,FALSE),0)</f>
        <v>0</v>
      </c>
      <c r="Q565" s="451">
        <f>IF(Q564*P565&gt;vl_Max_Leave_Loading*new_xrate,vl_Max_Leave_Loading*new_xrate,Q564*P565)</f>
        <v>0</v>
      </c>
      <c r="R565" s="339">
        <f>_xlfn.IFNA(VLOOKUP($D563,tbLeaveLoading,2,FALSE),0)</f>
        <v>0</v>
      </c>
      <c r="S565" s="443">
        <f>IF(S564*R565&gt;vl_Max_Leave_Loading*new_xrate,vl_Max_Leave_Loading*new_xrate,S564*R565)</f>
        <v>0</v>
      </c>
      <c r="T565" s="340">
        <f>_xlfn.IFNA(VLOOKUP($D563,tbLeaveLoading,2,FALSE),0)</f>
        <v>0</v>
      </c>
      <c r="U565" s="451">
        <f>IF(U564*T565&gt;vl_Max_Leave_Loading*new_xrate,vl_Max_Leave_Loading*new_xrate,U564*T565)</f>
        <v>0</v>
      </c>
      <c r="V565" s="339">
        <f>_xlfn.IFNA(VLOOKUP($D563,tbLeaveLoading,2,FALSE),0)</f>
        <v>0</v>
      </c>
      <c r="W565" s="443">
        <f>IF(W564*V565&gt;vl_Max_Leave_Loading*new_xrate,vl_Max_Leave_Loading*new_xrate,W564*V565)</f>
        <v>0</v>
      </c>
      <c r="X565" s="340">
        <f>_xlfn.IFNA(VLOOKUP($D563,tbLeaveLoading,2,FALSE),0)</f>
        <v>0</v>
      </c>
      <c r="Y565" s="451">
        <f>IF(Y564*X565&gt;vl_Max_Leave_Loading*new_xrate,vl_Max_Leave_Loading*new_xrate,Y564*X565)</f>
        <v>0</v>
      </c>
      <c r="Z565" s="339">
        <f>_xlfn.IFNA(VLOOKUP($D563,tbLeaveLoading,2,FALSE),0)</f>
        <v>0</v>
      </c>
      <c r="AA565" s="443">
        <f>IF(AA564*Z565&gt;vl_Max_Leave_Loading*new_xrate,vl_Max_Leave_Loading*new_xrate,AA564*Z565)</f>
        <v>0</v>
      </c>
      <c r="AB565" s="340">
        <f>_xlfn.IFNA(VLOOKUP($D563,tbLeaveLoading,2,FALSE),0)</f>
        <v>0</v>
      </c>
      <c r="AC565" s="451">
        <f>IF(AC564*AB565&gt;vl_Max_Leave_Loading*new_xrate,vl_Max_Leave_Loading*new_xrate,AC564*AB565)</f>
        <v>0</v>
      </c>
      <c r="AD565" s="335"/>
    </row>
    <row r="566" spans="1:30" hidden="1" outlineLevel="1" x14ac:dyDescent="0.3">
      <c r="A566" s="1182"/>
      <c r="B566" s="1379"/>
      <c r="C566" s="1379"/>
      <c r="D566" s="1379"/>
      <c r="E566" s="1379"/>
      <c r="F566" s="1379"/>
      <c r="G566" s="1379"/>
      <c r="H566" s="1380"/>
      <c r="I566" s="455" t="s">
        <v>314</v>
      </c>
      <c r="J566" s="339">
        <f>_xlfn.IFNA(_xlfn.IFNA(VLOOKUP(CONCATENATE(pStartYear,$D563),tbSuperannuation,4,FALSE),VLOOKUP($D563,tbSuperannuation2026onwards,2,FALSE)),0)</f>
        <v>0</v>
      </c>
      <c r="K566" s="443">
        <f>K564*J566</f>
        <v>0</v>
      </c>
      <c r="L566" s="340">
        <f>_xlfn.IFNA(_xlfn.IFNA(VLOOKUP(CONCATENATE(pStartYear+1,$D563),tbSuperannuation,4,FALSE),VLOOKUP($D563,tbSuperannuation2026onwards,2,FALSE)),0)</f>
        <v>0</v>
      </c>
      <c r="M566" s="451">
        <f t="shared" ref="M566" si="2447">M564*L566</f>
        <v>0</v>
      </c>
      <c r="N566" s="339">
        <f>_xlfn.IFNA(_xlfn.IFNA(VLOOKUP(CONCATENATE(pStartYear+2,$D563),tbSuperannuation,4,FALSE),VLOOKUP($D563,tbSuperannuation2026onwards,2,FALSE)),0)</f>
        <v>0</v>
      </c>
      <c r="O566" s="443">
        <f>O564*N566</f>
        <v>0</v>
      </c>
      <c r="P566" s="340">
        <f>_xlfn.IFNA(_xlfn.IFNA(VLOOKUP(CONCATENATE(pStartYear+3,$D563),tbSuperannuation,4,FALSE),VLOOKUP($D563,tbSuperannuation2026onwards,2,FALSE)),0)</f>
        <v>0</v>
      </c>
      <c r="Q566" s="451">
        <f t="shared" ref="Q566" si="2448">Q564*P566</f>
        <v>0</v>
      </c>
      <c r="R566" s="339">
        <f>_xlfn.IFNA(_xlfn.IFNA(VLOOKUP(CONCATENATE(pStartYear+4,$D563),tbSuperannuation,4,FALSE),VLOOKUP($D563,tbSuperannuation2026onwards,2,FALSE)),0)</f>
        <v>0</v>
      </c>
      <c r="S566" s="443">
        <f>S564*R566</f>
        <v>0</v>
      </c>
      <c r="T566" s="340">
        <f>_xlfn.IFNA(_xlfn.IFNA(VLOOKUP(CONCATENATE(pStartYear+5,$D563),tbSuperannuation,4,FALSE),VLOOKUP($D563,tbSuperannuation2026onwards,2,FALSE)),0)</f>
        <v>0</v>
      </c>
      <c r="U566" s="451">
        <f t="shared" ref="U566" si="2449">U564*T566</f>
        <v>0</v>
      </c>
      <c r="V566" s="339">
        <f>_xlfn.IFNA(_xlfn.IFNA(VLOOKUP(CONCATENATE(pStartYear+6,$D563),tbSuperannuation,4,FALSE),VLOOKUP($D563,tbSuperannuation2026onwards,2,FALSE)),0)</f>
        <v>0</v>
      </c>
      <c r="W566" s="443">
        <f>W564*V566</f>
        <v>0</v>
      </c>
      <c r="X566" s="340">
        <f>_xlfn.IFNA(_xlfn.IFNA(VLOOKUP(CONCATENATE(pStartYear+7,$D563),tbSuperannuation,4,FALSE),VLOOKUP($D563,tbSuperannuation2026onwards,2,FALSE)),0)</f>
        <v>0</v>
      </c>
      <c r="Y566" s="451">
        <f t="shared" ref="Y566" si="2450">Y564*X566</f>
        <v>0</v>
      </c>
      <c r="Z566" s="339">
        <f>_xlfn.IFNA(_xlfn.IFNA(VLOOKUP(CONCATENATE(pStartYear+8,$D563),tbSuperannuation,4,FALSE),VLOOKUP($D563,tbSuperannuation2026onwards,2,FALSE)),0)</f>
        <v>0</v>
      </c>
      <c r="AA566" s="443">
        <f>AA564*Z566</f>
        <v>0</v>
      </c>
      <c r="AB566" s="340">
        <f>_xlfn.IFNA(_xlfn.IFNA(VLOOKUP(CONCATENATE(pStartYear+9,$D563),tbSuperannuation,4,FALSE),VLOOKUP($D563,tbSuperannuation2026onwards,2,FALSE)),0)</f>
        <v>0</v>
      </c>
      <c r="AC566" s="451">
        <f t="shared" ref="AC566" si="2451">AC564*AB566</f>
        <v>0</v>
      </c>
      <c r="AD566" s="335"/>
    </row>
    <row r="567" spans="1:30" hidden="1" outlineLevel="1" x14ac:dyDescent="0.3">
      <c r="A567" s="1182"/>
      <c r="B567" s="1379"/>
      <c r="C567" s="1379"/>
      <c r="D567" s="1379"/>
      <c r="E567" s="1379"/>
      <c r="F567" s="1379"/>
      <c r="G567" s="1379"/>
      <c r="H567" s="1380"/>
      <c r="I567" s="341" t="s">
        <v>315</v>
      </c>
      <c r="J567" s="342"/>
      <c r="K567" s="444">
        <f>K565+K566+K564</f>
        <v>0</v>
      </c>
      <c r="L567" s="342"/>
      <c r="M567" s="444">
        <f t="shared" ref="M567" si="2452">M565+M566+M564</f>
        <v>0</v>
      </c>
      <c r="N567" s="342"/>
      <c r="O567" s="444">
        <f>O565+O566+O564</f>
        <v>0</v>
      </c>
      <c r="P567" s="342"/>
      <c r="Q567" s="444">
        <f t="shared" ref="Q567" si="2453">Q565+Q566+Q564</f>
        <v>0</v>
      </c>
      <c r="R567" s="342"/>
      <c r="S567" s="444">
        <f>S565+S566+S564</f>
        <v>0</v>
      </c>
      <c r="T567" s="342"/>
      <c r="U567" s="444">
        <f t="shared" ref="U567" si="2454">U565+U566+U564</f>
        <v>0</v>
      </c>
      <c r="V567" s="342"/>
      <c r="W567" s="444">
        <f>W565+W566+W564</f>
        <v>0</v>
      </c>
      <c r="X567" s="342"/>
      <c r="Y567" s="444">
        <f t="shared" ref="Y567" si="2455">Y565+Y566+Y564</f>
        <v>0</v>
      </c>
      <c r="Z567" s="342"/>
      <c r="AA567" s="444">
        <f>AA565+AA566+AA564</f>
        <v>0</v>
      </c>
      <c r="AB567" s="342"/>
      <c r="AC567" s="444">
        <f t="shared" ref="AC567" si="2456">AC565+AC566+AC564</f>
        <v>0</v>
      </c>
      <c r="AD567" s="335">
        <f t="shared" ref="AD567:AD580" si="2457">IFERROR($K567+$M567+$O567+$Q567+$S567+$U567+$W567+$Y567+$AA567+$AC567,0)</f>
        <v>0</v>
      </c>
    </row>
    <row r="568" spans="1:30" hidden="1" outlineLevel="1" x14ac:dyDescent="0.3">
      <c r="A568" s="1182"/>
      <c r="B568" s="1379"/>
      <c r="C568" s="1379"/>
      <c r="D568" s="1379"/>
      <c r="E568" s="1379"/>
      <c r="F568" s="1379"/>
      <c r="G568" s="1379"/>
      <c r="H568" s="1380"/>
      <c r="I568" s="455" t="s">
        <v>316</v>
      </c>
      <c r="J568" s="339">
        <f>_xlfn.IFNA(_xlfn.IFNA(VLOOKUP(pStartYear,tbPayrollTax,2,FALSE),vl_MaxPayrollTax),0)</f>
        <v>5.8500000000000003E-2</v>
      </c>
      <c r="K568" s="443">
        <f>J568*K567</f>
        <v>0</v>
      </c>
      <c r="L568" s="340">
        <f>_xlfn.IFNA(_xlfn.IFNA(VLOOKUP(pStartYear+1,tbPayrollTax,2,FALSE),vl_MaxPayrollTax),0)</f>
        <v>5.8500000000000003E-2</v>
      </c>
      <c r="M568" s="451">
        <f t="shared" ref="M568" si="2458">L568*M567</f>
        <v>0</v>
      </c>
      <c r="N568" s="339">
        <f>_xlfn.IFNA(_xlfn.IFNA(VLOOKUP(pStartYear+2,tbPayrollTax,2,FALSE),vl_MaxPayrollTax),0)</f>
        <v>5.8500000000000003E-2</v>
      </c>
      <c r="O568" s="443">
        <f>N568*O567</f>
        <v>0</v>
      </c>
      <c r="P568" s="340">
        <f>_xlfn.IFNA(_xlfn.IFNA(VLOOKUP(pStartYear+3,tbPayrollTax,2,FALSE),vl_MaxPayrollTax),0)</f>
        <v>5.8500000000000003E-2</v>
      </c>
      <c r="Q568" s="451">
        <f t="shared" ref="Q568" si="2459">P568*Q567</f>
        <v>0</v>
      </c>
      <c r="R568" s="339">
        <f>_xlfn.IFNA(_xlfn.IFNA(VLOOKUP(pStartYear+4,tbPayrollTax,2,FALSE),vl_MaxPayrollTax),0)</f>
        <v>5.8500000000000003E-2</v>
      </c>
      <c r="S568" s="443">
        <f>R568*S567</f>
        <v>0</v>
      </c>
      <c r="T568" s="340">
        <f>_xlfn.IFNA(_xlfn.IFNA(VLOOKUP(pStartYear+5,tbPayrollTax,2,FALSE),vl_MaxPayrollTax),0)</f>
        <v>5.8500000000000003E-2</v>
      </c>
      <c r="U568" s="451">
        <f t="shared" ref="U568" si="2460">T568*U567</f>
        <v>0</v>
      </c>
      <c r="V568" s="339">
        <f>_xlfn.IFNA(_xlfn.IFNA(VLOOKUP(pStartYear+6,tbPayrollTax,2,FALSE),vl_MaxPayrollTax),0)</f>
        <v>5.8500000000000003E-2</v>
      </c>
      <c r="W568" s="443">
        <f>V568*W567</f>
        <v>0</v>
      </c>
      <c r="X568" s="340">
        <f>_xlfn.IFNA(_xlfn.IFNA(VLOOKUP(pStartYear+7,tbPayrollTax,2,FALSE),vl_MaxPayrollTax),0)</f>
        <v>5.8500000000000003E-2</v>
      </c>
      <c r="Y568" s="451">
        <f t="shared" ref="Y568" si="2461">X568*Y567</f>
        <v>0</v>
      </c>
      <c r="Z568" s="339">
        <f>_xlfn.IFNA(_xlfn.IFNA(VLOOKUP(pStartYear+8,tbPayrollTax,2,FALSE),vl_MaxPayrollTax),0)</f>
        <v>5.8500000000000003E-2</v>
      </c>
      <c r="AA568" s="443">
        <f>Z568*AA567</f>
        <v>0</v>
      </c>
      <c r="AB568" s="340">
        <f>_xlfn.IFNA(_xlfn.IFNA(VLOOKUP(pStartYear+9,tbPayrollTax,2,FALSE),vl_MaxPayrollTax),0)</f>
        <v>5.8500000000000003E-2</v>
      </c>
      <c r="AC568" s="451">
        <f t="shared" ref="AC568" si="2462">AB568*AC567</f>
        <v>0</v>
      </c>
      <c r="AD568" s="335"/>
    </row>
    <row r="569" spans="1:30" hidden="1" outlineLevel="1" x14ac:dyDescent="0.3">
      <c r="A569" s="1182"/>
      <c r="B569" s="1379"/>
      <c r="C569" s="1379"/>
      <c r="D569" s="1379"/>
      <c r="E569" s="1379"/>
      <c r="F569" s="1379"/>
      <c r="G569" s="1379"/>
      <c r="H569" s="1380"/>
      <c r="I569" s="455" t="s">
        <v>317</v>
      </c>
      <c r="J569" s="339">
        <f>_xlfn.IFNA(VLOOKUP($D563,tbWorkCover,2,FALSE),0)</f>
        <v>0</v>
      </c>
      <c r="K569" s="443">
        <f>J569*K567</f>
        <v>0</v>
      </c>
      <c r="L569" s="340">
        <f>_xlfn.IFNA(VLOOKUP($D563,tbWorkCover,2,FALSE),0)</f>
        <v>0</v>
      </c>
      <c r="M569" s="451">
        <f t="shared" ref="M569" si="2463">L569*M567</f>
        <v>0</v>
      </c>
      <c r="N569" s="339">
        <f>_xlfn.IFNA(VLOOKUP($D563,tbWorkCover,2,FALSE),0)</f>
        <v>0</v>
      </c>
      <c r="O569" s="443">
        <f>N569*O567</f>
        <v>0</v>
      </c>
      <c r="P569" s="340">
        <f>_xlfn.IFNA(VLOOKUP($D563,tbWorkCover,2,FALSE),0)</f>
        <v>0</v>
      </c>
      <c r="Q569" s="451">
        <f t="shared" ref="Q569" si="2464">P569*Q567</f>
        <v>0</v>
      </c>
      <c r="R569" s="339">
        <f>_xlfn.IFNA(VLOOKUP($D563,tbWorkCover,2,FALSE),0)</f>
        <v>0</v>
      </c>
      <c r="S569" s="443">
        <f>R569*S567</f>
        <v>0</v>
      </c>
      <c r="T569" s="340">
        <f>_xlfn.IFNA(VLOOKUP($D563,tbWorkCover,2,FALSE),0)</f>
        <v>0</v>
      </c>
      <c r="U569" s="451">
        <f t="shared" ref="U569" si="2465">T569*U567</f>
        <v>0</v>
      </c>
      <c r="V569" s="339">
        <f>_xlfn.IFNA(VLOOKUP($D563,tbWorkCover,2,FALSE),0)</f>
        <v>0</v>
      </c>
      <c r="W569" s="443">
        <f>V569*W567</f>
        <v>0</v>
      </c>
      <c r="X569" s="340">
        <f>_xlfn.IFNA(VLOOKUP($D563,tbWorkCover,2,FALSE),0)</f>
        <v>0</v>
      </c>
      <c r="Y569" s="451">
        <f t="shared" ref="Y569" si="2466">X569*Y567</f>
        <v>0</v>
      </c>
      <c r="Z569" s="339">
        <f>_xlfn.IFNA(VLOOKUP($D563,tbWorkCover,2,FALSE),0)</f>
        <v>0</v>
      </c>
      <c r="AA569" s="443">
        <f>Z569*AA567</f>
        <v>0</v>
      </c>
      <c r="AB569" s="340">
        <f>_xlfn.IFNA(VLOOKUP($D563,tbWorkCover,2,FALSE),0)</f>
        <v>0</v>
      </c>
      <c r="AC569" s="451">
        <f t="shared" ref="AC569" si="2467">AB569*AC567</f>
        <v>0</v>
      </c>
      <c r="AD569" s="335"/>
    </row>
    <row r="570" spans="1:30" hidden="1" outlineLevel="1" x14ac:dyDescent="0.3">
      <c r="A570" s="1182"/>
      <c r="B570" s="1379"/>
      <c r="C570" s="1379"/>
      <c r="D570" s="1379"/>
      <c r="E570" s="1379"/>
      <c r="F570" s="1379"/>
      <c r="G570" s="1379"/>
      <c r="H570" s="1380"/>
      <c r="I570" s="455" t="s">
        <v>318</v>
      </c>
      <c r="J570" s="339">
        <f>_xlfn.IFNA(VLOOKUP($D563,tbLongServiceLeave,2,FALSE),0)</f>
        <v>0</v>
      </c>
      <c r="K570" s="443">
        <f>J570*K564</f>
        <v>0</v>
      </c>
      <c r="L570" s="340">
        <f>_xlfn.IFNA(VLOOKUP($D563,tbLongServiceLeave,2,FALSE),0)</f>
        <v>0</v>
      </c>
      <c r="M570" s="451">
        <f t="shared" ref="M570" si="2468">L570*M564</f>
        <v>0</v>
      </c>
      <c r="N570" s="339">
        <f>_xlfn.IFNA(VLOOKUP($D563,tbLongServiceLeave,2,FALSE),0)</f>
        <v>0</v>
      </c>
      <c r="O570" s="443">
        <f>N570*O564</f>
        <v>0</v>
      </c>
      <c r="P570" s="340">
        <f>_xlfn.IFNA(VLOOKUP($D563,tbLongServiceLeave,2,FALSE),0)</f>
        <v>0</v>
      </c>
      <c r="Q570" s="451">
        <f t="shared" ref="Q570" si="2469">P570*Q564</f>
        <v>0</v>
      </c>
      <c r="R570" s="339">
        <f>_xlfn.IFNA(VLOOKUP($D563,tbLongServiceLeave,2,FALSE),0)</f>
        <v>0</v>
      </c>
      <c r="S570" s="443">
        <f>R570*S564</f>
        <v>0</v>
      </c>
      <c r="T570" s="340">
        <f>_xlfn.IFNA(VLOOKUP($D563,tbLongServiceLeave,2,FALSE),0)</f>
        <v>0</v>
      </c>
      <c r="U570" s="451">
        <f t="shared" ref="U570" si="2470">T570*U564</f>
        <v>0</v>
      </c>
      <c r="V570" s="339">
        <f>_xlfn.IFNA(VLOOKUP($D563,tbLongServiceLeave,2,FALSE),0)</f>
        <v>0</v>
      </c>
      <c r="W570" s="443">
        <f>V570*W564</f>
        <v>0</v>
      </c>
      <c r="X570" s="340">
        <f>_xlfn.IFNA(VLOOKUP($D563,tbLongServiceLeave,2,FALSE),0)</f>
        <v>0</v>
      </c>
      <c r="Y570" s="451">
        <f t="shared" ref="Y570" si="2471">X570*Y564</f>
        <v>0</v>
      </c>
      <c r="Z570" s="339">
        <f>_xlfn.IFNA(VLOOKUP($D563,tbLongServiceLeave,2,FALSE),0)</f>
        <v>0</v>
      </c>
      <c r="AA570" s="443">
        <f>Z570*AA564</f>
        <v>0</v>
      </c>
      <c r="AB570" s="340">
        <f>_xlfn.IFNA(VLOOKUP($D563,tbLongServiceLeave,2,FALSE),0)</f>
        <v>0</v>
      </c>
      <c r="AC570" s="451">
        <f t="shared" ref="AC570" si="2472">AB570*AC564</f>
        <v>0</v>
      </c>
      <c r="AD570" s="335"/>
    </row>
    <row r="571" spans="1:30" hidden="1" outlineLevel="1" x14ac:dyDescent="0.3">
      <c r="A571" s="1182"/>
      <c r="B571" s="1379"/>
      <c r="C571" s="1379"/>
      <c r="D571" s="1379"/>
      <c r="E571" s="1379"/>
      <c r="F571" s="1379"/>
      <c r="G571" s="1379"/>
      <c r="H571" s="1380"/>
      <c r="I571" s="455" t="s">
        <v>319</v>
      </c>
      <c r="J571" s="339">
        <f>_xlfn.IFNA(VLOOKUP($D563,tbParentalLeave,2,FALSE),0)</f>
        <v>0</v>
      </c>
      <c r="K571" s="443">
        <f>J571*K564</f>
        <v>0</v>
      </c>
      <c r="L571" s="340">
        <f>_xlfn.IFNA(VLOOKUP($D563,tbParentalLeave,2,FALSE),0)</f>
        <v>0</v>
      </c>
      <c r="M571" s="451">
        <f t="shared" ref="M571" si="2473">L571*M564</f>
        <v>0</v>
      </c>
      <c r="N571" s="339">
        <f>_xlfn.IFNA(VLOOKUP($D563,tbParentalLeave,2,FALSE),0)</f>
        <v>0</v>
      </c>
      <c r="O571" s="443">
        <f>N571*O564</f>
        <v>0</v>
      </c>
      <c r="P571" s="340">
        <f>_xlfn.IFNA(VLOOKUP($D563,tbParentalLeave,2,FALSE),0)</f>
        <v>0</v>
      </c>
      <c r="Q571" s="451">
        <f t="shared" ref="Q571" si="2474">P571*Q564</f>
        <v>0</v>
      </c>
      <c r="R571" s="339">
        <f>_xlfn.IFNA(VLOOKUP($D563,tbParentalLeave,2,FALSE),0)</f>
        <v>0</v>
      </c>
      <c r="S571" s="443">
        <f>R571*S564</f>
        <v>0</v>
      </c>
      <c r="T571" s="340">
        <f>_xlfn.IFNA(VLOOKUP($D563,tbParentalLeave,2,FALSE),0)</f>
        <v>0</v>
      </c>
      <c r="U571" s="451">
        <f t="shared" ref="U571" si="2475">T571*U564</f>
        <v>0</v>
      </c>
      <c r="V571" s="339">
        <f>_xlfn.IFNA(VLOOKUP($D563,tbParentalLeave,2,FALSE),0)</f>
        <v>0</v>
      </c>
      <c r="W571" s="443">
        <f>V571*W564</f>
        <v>0</v>
      </c>
      <c r="X571" s="340">
        <f>_xlfn.IFNA(VLOOKUP($D563,tbParentalLeave,2,FALSE),0)</f>
        <v>0</v>
      </c>
      <c r="Y571" s="451">
        <f t="shared" ref="Y571" si="2476">X571*Y564</f>
        <v>0</v>
      </c>
      <c r="Z571" s="339">
        <f>_xlfn.IFNA(VLOOKUP($D563,tbParentalLeave,2,FALSE),0)</f>
        <v>0</v>
      </c>
      <c r="AA571" s="443">
        <f>Z571*AA564</f>
        <v>0</v>
      </c>
      <c r="AB571" s="340">
        <f>_xlfn.IFNA(VLOOKUP($D563,tbParentalLeave,2,FALSE),0)</f>
        <v>0</v>
      </c>
      <c r="AC571" s="451">
        <f t="shared" ref="AC571" si="2477">AB571*AC564</f>
        <v>0</v>
      </c>
      <c r="AD571" s="335"/>
    </row>
    <row r="572" spans="1:30" hidden="1" outlineLevel="1" x14ac:dyDescent="0.3">
      <c r="A572" s="1182"/>
      <c r="B572" s="1379"/>
      <c r="C572" s="1379"/>
      <c r="D572" s="1379"/>
      <c r="E572" s="1379"/>
      <c r="F572" s="1379"/>
      <c r="G572" s="1379"/>
      <c r="H572" s="1380"/>
      <c r="I572" s="437" t="s">
        <v>320</v>
      </c>
      <c r="J572" s="438">
        <f>vl_overridden_uom_oncosts_per</f>
        <v>0</v>
      </c>
      <c r="K572" s="445">
        <f>J572*K564</f>
        <v>0</v>
      </c>
      <c r="L572" s="438">
        <f>vl_overridden_uom_oncosts_per</f>
        <v>0</v>
      </c>
      <c r="M572" s="445">
        <f>L572*M564</f>
        <v>0</v>
      </c>
      <c r="N572" s="438">
        <f>vl_overridden_uom_oncosts_per</f>
        <v>0</v>
      </c>
      <c r="O572" s="445">
        <f t="shared" ref="O572" si="2478">N572*O564</f>
        <v>0</v>
      </c>
      <c r="P572" s="438">
        <f>vl_overridden_uom_oncosts_per</f>
        <v>0</v>
      </c>
      <c r="Q572" s="445">
        <f t="shared" ref="Q572" si="2479">P572*Q564</f>
        <v>0</v>
      </c>
      <c r="R572" s="438">
        <f>vl_overridden_uom_oncosts_per</f>
        <v>0</v>
      </c>
      <c r="S572" s="445">
        <f t="shared" ref="S572" si="2480">R572*S564</f>
        <v>0</v>
      </c>
      <c r="T572" s="438">
        <f>vl_overridden_uom_oncosts_per</f>
        <v>0</v>
      </c>
      <c r="U572" s="445">
        <f t="shared" ref="U572" si="2481">T572*U564</f>
        <v>0</v>
      </c>
      <c r="V572" s="438">
        <f>vl_overridden_uom_oncosts_per</f>
        <v>0</v>
      </c>
      <c r="W572" s="445">
        <f t="shared" ref="W572" si="2482">V572*W564</f>
        <v>0</v>
      </c>
      <c r="X572" s="438">
        <f>vl_overridden_uom_oncosts_per</f>
        <v>0</v>
      </c>
      <c r="Y572" s="445">
        <f t="shared" ref="Y572" si="2483">X572*Y564</f>
        <v>0</v>
      </c>
      <c r="Z572" s="438">
        <f>vl_overridden_uom_oncosts_per</f>
        <v>0</v>
      </c>
      <c r="AA572" s="445">
        <f t="shared" ref="AA572" si="2484">Z572*AA564</f>
        <v>0</v>
      </c>
      <c r="AB572" s="438">
        <f>vl_overridden_uom_oncosts_per</f>
        <v>0</v>
      </c>
      <c r="AC572" s="445">
        <f t="shared" ref="AC572" si="2485">AB572*AC564</f>
        <v>0</v>
      </c>
      <c r="AD572" s="335"/>
    </row>
    <row r="573" spans="1:30" hidden="1" outlineLevel="1" x14ac:dyDescent="0.3">
      <c r="A573" s="1182"/>
      <c r="B573" s="1379"/>
      <c r="C573" s="1379"/>
      <c r="D573" s="1379"/>
      <c r="E573" s="1379"/>
      <c r="F573" s="1379"/>
      <c r="G573" s="1379"/>
      <c r="H573" s="1380"/>
      <c r="I573" s="341" t="s">
        <v>321</v>
      </c>
      <c r="J573" s="342"/>
      <c r="K573" s="444">
        <f>SUM(K567:K572)</f>
        <v>0</v>
      </c>
      <c r="L573" s="342"/>
      <c r="M573" s="444">
        <f t="shared" ref="M573" si="2486">SUM(M567:M572)</f>
        <v>0</v>
      </c>
      <c r="N573" s="342"/>
      <c r="O573" s="444">
        <f t="shared" ref="O573" si="2487">SUM(O567:O572)</f>
        <v>0</v>
      </c>
      <c r="P573" s="342"/>
      <c r="Q573" s="444">
        <f t="shared" ref="Q573" si="2488">SUM(Q567:Q572)</f>
        <v>0</v>
      </c>
      <c r="R573" s="342"/>
      <c r="S573" s="444">
        <f t="shared" ref="S573" si="2489">SUM(S567:S572)</f>
        <v>0</v>
      </c>
      <c r="T573" s="342"/>
      <c r="U573" s="444">
        <f t="shared" ref="U573" si="2490">SUM(U567:U572)</f>
        <v>0</v>
      </c>
      <c r="V573" s="342"/>
      <c r="W573" s="444">
        <f t="shared" ref="W573" si="2491">SUM(W567:W572)</f>
        <v>0</v>
      </c>
      <c r="X573" s="342"/>
      <c r="Y573" s="444">
        <f t="shared" ref="Y573" si="2492">SUM(Y567:Y572)</f>
        <v>0</v>
      </c>
      <c r="Z573" s="342"/>
      <c r="AA573" s="444">
        <f t="shared" ref="AA573" si="2493">SUM(AA567:AA572)</f>
        <v>0</v>
      </c>
      <c r="AB573" s="342"/>
      <c r="AC573" s="444">
        <f t="shared" ref="AC573" si="2494">SUM(AC567:AC572)</f>
        <v>0</v>
      </c>
      <c r="AD573" s="335">
        <f t="shared" si="2457"/>
        <v>0</v>
      </c>
    </row>
    <row r="574" spans="1:30" hidden="1" outlineLevel="1" x14ac:dyDescent="0.3">
      <c r="A574" s="1182"/>
      <c r="B574" s="1379"/>
      <c r="C574" s="1379"/>
      <c r="D574" s="1379"/>
      <c r="E574" s="1379"/>
      <c r="F574" s="1379"/>
      <c r="G574" s="1379"/>
      <c r="H574" s="1380"/>
      <c r="I574" s="455" t="s">
        <v>322</v>
      </c>
      <c r="J574" s="339">
        <f>_xlfn.IFNA(VLOOKUP($D563,tbAnnualLeaveProvision,2,FALSE),0)</f>
        <v>0</v>
      </c>
      <c r="K574" s="443">
        <f>J574*K564</f>
        <v>0</v>
      </c>
      <c r="L574" s="340">
        <f>_xlfn.IFNA(VLOOKUP($D563,tbAnnualLeaveProvision,2,FALSE),0)</f>
        <v>0</v>
      </c>
      <c r="M574" s="451">
        <f t="shared" ref="M574" si="2495">L574*M564</f>
        <v>0</v>
      </c>
      <c r="N574" s="339">
        <f>_xlfn.IFNA(VLOOKUP($D563,tbAnnualLeaveProvision,2,FALSE),0)</f>
        <v>0</v>
      </c>
      <c r="O574" s="443">
        <f>N574*O564</f>
        <v>0</v>
      </c>
      <c r="P574" s="340">
        <f>_xlfn.IFNA(VLOOKUP($D563,tbAnnualLeaveProvision,2,FALSE),0)</f>
        <v>0</v>
      </c>
      <c r="Q574" s="451">
        <f t="shared" ref="Q574" si="2496">P574*Q564</f>
        <v>0</v>
      </c>
      <c r="R574" s="339">
        <f>_xlfn.IFNA(VLOOKUP($D563,tbAnnualLeaveProvision,2,FALSE),0)</f>
        <v>0</v>
      </c>
      <c r="S574" s="443">
        <f>R574*S564</f>
        <v>0</v>
      </c>
      <c r="T574" s="340">
        <f>_xlfn.IFNA(VLOOKUP($D563,tbAnnualLeaveProvision,2,FALSE),0)</f>
        <v>0</v>
      </c>
      <c r="U574" s="451">
        <f t="shared" ref="U574" si="2497">T574*U564</f>
        <v>0</v>
      </c>
      <c r="V574" s="339">
        <f>_xlfn.IFNA(VLOOKUP($D563,tbAnnualLeaveProvision,2,FALSE),0)</f>
        <v>0</v>
      </c>
      <c r="W574" s="443">
        <f>V574*W564</f>
        <v>0</v>
      </c>
      <c r="X574" s="340">
        <f>_xlfn.IFNA(VLOOKUP($D563,tbAnnualLeaveProvision,2,FALSE),0)</f>
        <v>0</v>
      </c>
      <c r="Y574" s="451">
        <f t="shared" ref="Y574" si="2498">X574*Y564</f>
        <v>0</v>
      </c>
      <c r="Z574" s="339">
        <f>_xlfn.IFNA(VLOOKUP($D563,tbAnnualLeaveProvision,2,FALSE),0)</f>
        <v>0</v>
      </c>
      <c r="AA574" s="443">
        <f>Z574*AA564</f>
        <v>0</v>
      </c>
      <c r="AB574" s="340">
        <f>_xlfn.IFNA(VLOOKUP($D563,tbAnnualLeaveProvision,2,FALSE),0)</f>
        <v>0</v>
      </c>
      <c r="AC574" s="451">
        <f t="shared" ref="AC574" si="2499">AB574*AC564</f>
        <v>0</v>
      </c>
      <c r="AD574" s="335"/>
    </row>
    <row r="575" spans="1:30" hidden="1" outlineLevel="1" x14ac:dyDescent="0.3">
      <c r="A575" s="1182"/>
      <c r="B575" s="1379"/>
      <c r="C575" s="1379"/>
      <c r="D575" s="1379"/>
      <c r="E575" s="1379"/>
      <c r="F575" s="1379"/>
      <c r="G575" s="1379"/>
      <c r="H575" s="1380"/>
      <c r="I575" s="455" t="s">
        <v>330</v>
      </c>
      <c r="J575" s="339"/>
      <c r="K575" s="446">
        <f>K573+K574</f>
        <v>0</v>
      </c>
      <c r="L575" s="340"/>
      <c r="M575" s="452">
        <f t="shared" ref="M575" si="2500">M573+M574</f>
        <v>0</v>
      </c>
      <c r="N575" s="339"/>
      <c r="O575" s="446">
        <f>O573+O574</f>
        <v>0</v>
      </c>
      <c r="P575" s="340"/>
      <c r="Q575" s="452">
        <f t="shared" ref="Q575" si="2501">Q573+Q574</f>
        <v>0</v>
      </c>
      <c r="R575" s="339"/>
      <c r="S575" s="446">
        <f>S573+S574</f>
        <v>0</v>
      </c>
      <c r="T575" s="340"/>
      <c r="U575" s="452">
        <f t="shared" ref="U575" si="2502">U573+U574</f>
        <v>0</v>
      </c>
      <c r="V575" s="339"/>
      <c r="W575" s="446">
        <f>W573+W574</f>
        <v>0</v>
      </c>
      <c r="X575" s="340"/>
      <c r="Y575" s="452">
        <f t="shared" ref="Y575" si="2503">Y573+Y574</f>
        <v>0</v>
      </c>
      <c r="Z575" s="339"/>
      <c r="AA575" s="446">
        <f>AA573+AA574</f>
        <v>0</v>
      </c>
      <c r="AB575" s="340"/>
      <c r="AC575" s="452">
        <f t="shared" ref="AC575" si="2504">AC573+AC574</f>
        <v>0</v>
      </c>
      <c r="AD575" s="335"/>
    </row>
    <row r="576" spans="1:30" hidden="1" outlineLevel="1" x14ac:dyDescent="0.3">
      <c r="A576" s="1182"/>
      <c r="B576" s="1379"/>
      <c r="C576" s="1379"/>
      <c r="D576" s="1379"/>
      <c r="E576" s="1379"/>
      <c r="F576" s="1379"/>
      <c r="G576" s="1379"/>
      <c r="H576" s="1380"/>
      <c r="I576" s="462" t="s">
        <v>324</v>
      </c>
      <c r="J576" s="344"/>
      <c r="K576" s="443">
        <f>-(K573/vl_working_days_per_year)*J576</f>
        <v>0</v>
      </c>
      <c r="L576" s="345"/>
      <c r="M576" s="451">
        <f>-(M573/vl_working_days_per_year)*L576</f>
        <v>0</v>
      </c>
      <c r="N576" s="344"/>
      <c r="O576" s="443">
        <f>-(O573/vl_working_days_per_year)*N576</f>
        <v>0</v>
      </c>
      <c r="P576" s="345"/>
      <c r="Q576" s="451">
        <f>-(Q573/vl_working_days_per_year)*P576</f>
        <v>0</v>
      </c>
      <c r="R576" s="344"/>
      <c r="S576" s="443">
        <f>-(S573/vl_working_days_per_year)*R576</f>
        <v>0</v>
      </c>
      <c r="T576" s="345"/>
      <c r="U576" s="451">
        <f>-(U573/vl_working_days_per_year)*T576</f>
        <v>0</v>
      </c>
      <c r="V576" s="344"/>
      <c r="W576" s="443">
        <f>-(W573/vl_working_days_per_year)*V576</f>
        <v>0</v>
      </c>
      <c r="X576" s="345"/>
      <c r="Y576" s="451">
        <f>-(Y573/vl_working_days_per_year)*X576</f>
        <v>0</v>
      </c>
      <c r="Z576" s="344"/>
      <c r="AA576" s="443">
        <f>-(AA573/vl_working_days_per_year)*Z576</f>
        <v>0</v>
      </c>
      <c r="AB576" s="345"/>
      <c r="AC576" s="451">
        <f>-(AC573/vl_working_days_per_year)*AB576</f>
        <v>0</v>
      </c>
      <c r="AD576" s="335">
        <f t="shared" si="2457"/>
        <v>0</v>
      </c>
    </row>
    <row r="577" spans="1:56" hidden="1" outlineLevel="1" x14ac:dyDescent="0.3">
      <c r="A577" s="1182"/>
      <c r="B577" s="1379"/>
      <c r="C577" s="1379"/>
      <c r="D577" s="1379"/>
      <c r="E577" s="1379"/>
      <c r="F577" s="1379"/>
      <c r="G577" s="1379"/>
      <c r="H577" s="1380"/>
      <c r="I577" s="341" t="s">
        <v>325</v>
      </c>
      <c r="J577" s="346"/>
      <c r="K577" s="444">
        <f>K575+K576</f>
        <v>0</v>
      </c>
      <c r="L577" s="346"/>
      <c r="M577" s="444">
        <f t="shared" ref="M577" si="2505">M575+M576</f>
        <v>0</v>
      </c>
      <c r="N577" s="346"/>
      <c r="O577" s="444">
        <f>O575+O576</f>
        <v>0</v>
      </c>
      <c r="P577" s="346"/>
      <c r="Q577" s="444">
        <f t="shared" ref="Q577" si="2506">Q575+Q576</f>
        <v>0</v>
      </c>
      <c r="R577" s="346"/>
      <c r="S577" s="444">
        <f>S575+S576</f>
        <v>0</v>
      </c>
      <c r="T577" s="346"/>
      <c r="U577" s="444">
        <f t="shared" ref="U577" si="2507">U575+U576</f>
        <v>0</v>
      </c>
      <c r="V577" s="346"/>
      <c r="W577" s="444">
        <f>W575+W576</f>
        <v>0</v>
      </c>
      <c r="X577" s="346"/>
      <c r="Y577" s="444">
        <f t="shared" ref="Y577" si="2508">Y575+Y576</f>
        <v>0</v>
      </c>
      <c r="Z577" s="346"/>
      <c r="AA577" s="444">
        <f>AA575+AA576</f>
        <v>0</v>
      </c>
      <c r="AB577" s="346"/>
      <c r="AC577" s="444">
        <f t="shared" ref="AC577" si="2509">AC575+AC576</f>
        <v>0</v>
      </c>
      <c r="AD577" s="335">
        <f t="shared" si="2457"/>
        <v>0</v>
      </c>
      <c r="AE577" s="1152"/>
      <c r="AF577" s="1152"/>
      <c r="AG577" s="1152"/>
      <c r="AH577" s="1152"/>
      <c r="AI577" s="1152"/>
      <c r="AJ577" s="1152"/>
      <c r="AK577" s="1152"/>
      <c r="AL577" s="1152"/>
      <c r="AM577" s="1152"/>
      <c r="AN577" s="1152"/>
      <c r="AO577" s="1152"/>
      <c r="AP577" s="1152"/>
      <c r="AQ577" s="1152"/>
      <c r="AR577" s="1152"/>
      <c r="AS577" s="1152"/>
      <c r="AT577" s="1152"/>
      <c r="AU577" s="1152"/>
      <c r="AV577" s="1152"/>
      <c r="AW577" s="1152"/>
      <c r="AX577" s="1152"/>
      <c r="AY577" s="1152"/>
      <c r="AZ577" s="1152"/>
      <c r="BA577" s="1152"/>
      <c r="BB577" s="1152"/>
      <c r="BC577" s="1152"/>
      <c r="BD577" s="1152"/>
    </row>
    <row r="578" spans="1:56" s="1" customFormat="1" ht="15" hidden="1" customHeight="1" outlineLevel="1" x14ac:dyDescent="0.3">
      <c r="A578" s="727"/>
      <c r="B578" s="1379"/>
      <c r="C578" s="1379"/>
      <c r="D578" s="1379"/>
      <c r="E578" s="1379"/>
      <c r="F578" s="1379"/>
      <c r="G578" s="1379"/>
      <c r="H578" s="1380"/>
      <c r="I578" s="463" t="s">
        <v>326</v>
      </c>
      <c r="J578" s="383">
        <f>IFERROR(K578/K564,0)</f>
        <v>0</v>
      </c>
      <c r="K578" s="447">
        <f>SUM(K565:K566,K568:K571,K574)</f>
        <v>0</v>
      </c>
      <c r="L578" s="434">
        <f>IFERROR(M578/M564,0)</f>
        <v>0</v>
      </c>
      <c r="M578" s="453">
        <f t="shared" ref="M578" si="2510">SUM(M565:M566,M568:M571,M574)</f>
        <v>0</v>
      </c>
      <c r="N578" s="383">
        <f t="shared" ref="N578" si="2511">IFERROR(O578/O564,0)</f>
        <v>0</v>
      </c>
      <c r="O578" s="447">
        <f t="shared" ref="O578" si="2512">SUM(O565:O566,O568:O571,O574)</f>
        <v>0</v>
      </c>
      <c r="P578" s="434">
        <f t="shared" ref="P578" si="2513">IFERROR(Q578/Q564,0)</f>
        <v>0</v>
      </c>
      <c r="Q578" s="453">
        <f t="shared" ref="Q578" si="2514">SUM(Q565:Q566,Q568:Q571,Q574)</f>
        <v>0</v>
      </c>
      <c r="R578" s="383">
        <f t="shared" ref="R578" si="2515">IFERROR(S578/S564,0)</f>
        <v>0</v>
      </c>
      <c r="S578" s="447">
        <f t="shared" ref="S578" si="2516">SUM(S565:S566,S568:S571,S574)</f>
        <v>0</v>
      </c>
      <c r="T578" s="434">
        <f t="shared" ref="T578" si="2517">IFERROR(U578/U564,0)</f>
        <v>0</v>
      </c>
      <c r="U578" s="453">
        <f t="shared" ref="U578" si="2518">SUM(U565:U566,U568:U571,U574)</f>
        <v>0</v>
      </c>
      <c r="V578" s="383">
        <f t="shared" ref="V578" si="2519">IFERROR(W578/W564,0)</f>
        <v>0</v>
      </c>
      <c r="W578" s="447">
        <f t="shared" ref="W578" si="2520">SUM(W565:W566,W568:W571,W574)</f>
        <v>0</v>
      </c>
      <c r="X578" s="434">
        <f t="shared" ref="X578" si="2521">IFERROR(Y578/Y564,0)</f>
        <v>0</v>
      </c>
      <c r="Y578" s="453">
        <f t="shared" ref="Y578" si="2522">SUM(Y565:Y566,Y568:Y571,Y574)</f>
        <v>0</v>
      </c>
      <c r="Z578" s="383">
        <f t="shared" ref="Z578" si="2523">IFERROR(AA578/AA564,0)</f>
        <v>0</v>
      </c>
      <c r="AA578" s="447">
        <f t="shared" ref="AA578" si="2524">SUM(AA565:AA566,AA568:AA571,AA574)</f>
        <v>0</v>
      </c>
      <c r="AB578" s="434">
        <f t="shared" ref="AB578" si="2525">IFERROR(AC578/AC564,0)</f>
        <v>0</v>
      </c>
      <c r="AC578" s="453">
        <f t="shared" ref="AC578" si="2526">SUM(AC565:AC566,AC568:AC571,AC574)</f>
        <v>0</v>
      </c>
      <c r="AD578" s="377">
        <f t="shared" si="2457"/>
        <v>0</v>
      </c>
      <c r="AE578" s="14"/>
      <c r="AF578" s="14"/>
      <c r="AG578" s="14"/>
      <c r="AH578" s="14"/>
      <c r="AI578" s="14"/>
      <c r="AJ578" s="14"/>
      <c r="AK578" s="14"/>
      <c r="AL578" s="14"/>
      <c r="AM578" s="14"/>
      <c r="AN578" s="14"/>
      <c r="AO578" s="14"/>
      <c r="AP578" s="14"/>
      <c r="AQ578" s="14"/>
      <c r="AR578" s="14"/>
      <c r="AS578" s="14"/>
      <c r="AT578" s="14"/>
      <c r="AU578" s="14"/>
      <c r="AV578" s="14"/>
      <c r="AW578" s="14"/>
      <c r="AX578" s="14"/>
      <c r="AY578" s="14"/>
      <c r="AZ578" s="14"/>
      <c r="BA578" s="14"/>
      <c r="BB578" s="14"/>
      <c r="BC578" s="14"/>
      <c r="BD578" s="14"/>
    </row>
    <row r="579" spans="1:56" hidden="1" outlineLevel="1" x14ac:dyDescent="0.3">
      <c r="A579" s="1182"/>
      <c r="B579" s="1379"/>
      <c r="C579" s="1379"/>
      <c r="D579" s="1379"/>
      <c r="E579" s="1379"/>
      <c r="F579" s="1379"/>
      <c r="G579" s="1379"/>
      <c r="H579" s="1380"/>
      <c r="I579" s="463" t="s">
        <v>327</v>
      </c>
      <c r="J579" s="384">
        <f>pCRInKind</f>
        <v>2.5</v>
      </c>
      <c r="K579" s="447"/>
      <c r="L579" s="435">
        <f>pCRInKind</f>
        <v>2.5</v>
      </c>
      <c r="M579" s="453"/>
      <c r="N579" s="384">
        <f>pCRInKind</f>
        <v>2.5</v>
      </c>
      <c r="O579" s="447"/>
      <c r="P579" s="435">
        <f>pCRInKind</f>
        <v>2.5</v>
      </c>
      <c r="Q579" s="453"/>
      <c r="R579" s="384">
        <f>pCRInKind</f>
        <v>2.5</v>
      </c>
      <c r="S579" s="447"/>
      <c r="T579" s="435">
        <f>pCRInKind</f>
        <v>2.5</v>
      </c>
      <c r="U579" s="453"/>
      <c r="V579" s="384">
        <f>pCRInKind</f>
        <v>2.5</v>
      </c>
      <c r="W579" s="447"/>
      <c r="X579" s="435">
        <f>pCRInKind</f>
        <v>2.5</v>
      </c>
      <c r="Y579" s="453"/>
      <c r="Z579" s="384">
        <f>pCRInKind</f>
        <v>2.5</v>
      </c>
      <c r="AA579" s="447"/>
      <c r="AB579" s="435">
        <f>pCRInKind</f>
        <v>2.5</v>
      </c>
      <c r="AC579" s="453"/>
      <c r="AD579" s="335"/>
      <c r="AE579" s="1152"/>
      <c r="AF579" s="1152"/>
      <c r="AG579" s="1152"/>
      <c r="AH579" s="1152"/>
      <c r="AI579" s="1152"/>
      <c r="AJ579" s="1152"/>
      <c r="AK579" s="1152"/>
      <c r="AL579" s="1152"/>
      <c r="AM579" s="1152"/>
      <c r="AN579" s="1152"/>
      <c r="AO579" s="1152"/>
      <c r="AP579" s="1152"/>
      <c r="AQ579" s="1152"/>
      <c r="AR579" s="1152"/>
      <c r="AS579" s="1152"/>
      <c r="AT579" s="1152"/>
      <c r="AU579" s="1152"/>
      <c r="AV579" s="1152"/>
      <c r="AW579" s="1152"/>
      <c r="AX579" s="1152"/>
      <c r="AY579" s="1152"/>
      <c r="AZ579" s="1152"/>
      <c r="BA579" s="1152"/>
      <c r="BB579" s="1152"/>
      <c r="BC579" s="1152"/>
      <c r="BD579" s="1152"/>
    </row>
    <row r="580" spans="1:56" ht="16.2" hidden="1" outlineLevel="1" thickBot="1" x14ac:dyDescent="0.35">
      <c r="A580" s="1182"/>
      <c r="B580" s="710"/>
      <c r="C580" s="347"/>
      <c r="D580" s="347"/>
      <c r="E580" s="347"/>
      <c r="F580" s="347"/>
      <c r="G580" s="347"/>
      <c r="H580" s="347"/>
      <c r="I580" s="436" t="s">
        <v>329</v>
      </c>
      <c r="J580" s="348"/>
      <c r="K580" s="349">
        <f>J579*K575</f>
        <v>0</v>
      </c>
      <c r="L580" s="348"/>
      <c r="M580" s="349">
        <f t="shared" ref="M580" si="2527">L579*M575</f>
        <v>0</v>
      </c>
      <c r="N580" s="348"/>
      <c r="O580" s="349">
        <f>N579*O575</f>
        <v>0</v>
      </c>
      <c r="P580" s="348"/>
      <c r="Q580" s="349">
        <f t="shared" ref="Q580" si="2528">P579*Q575</f>
        <v>0</v>
      </c>
      <c r="R580" s="348"/>
      <c r="S580" s="349">
        <f>R579*S575</f>
        <v>0</v>
      </c>
      <c r="T580" s="348"/>
      <c r="U580" s="349">
        <f t="shared" ref="U580" si="2529">T579*U575</f>
        <v>0</v>
      </c>
      <c r="V580" s="348"/>
      <c r="W580" s="349">
        <f>V579*W575</f>
        <v>0</v>
      </c>
      <c r="X580" s="348"/>
      <c r="Y580" s="349">
        <f t="shared" ref="Y580" si="2530">X579*Y575</f>
        <v>0</v>
      </c>
      <c r="Z580" s="348"/>
      <c r="AA580" s="349">
        <f>Z579*AA575</f>
        <v>0</v>
      </c>
      <c r="AB580" s="348"/>
      <c r="AC580" s="349">
        <f t="shared" ref="AC580" si="2531">AB579*AC575</f>
        <v>0</v>
      </c>
      <c r="AD580" s="335">
        <f t="shared" si="2457"/>
        <v>0</v>
      </c>
      <c r="AE580" s="1152"/>
      <c r="AF580" s="1152"/>
      <c r="AG580" s="1152"/>
      <c r="AH580" s="1152"/>
      <c r="AI580" s="1152"/>
      <c r="AJ580" s="1152"/>
      <c r="AK580" s="1152"/>
      <c r="AL580" s="1152"/>
      <c r="AM580" s="1152"/>
      <c r="AN580" s="1152"/>
      <c r="AO580" s="1152"/>
      <c r="AP580" s="1152"/>
      <c r="AQ580" s="1152"/>
      <c r="AR580" s="1152"/>
      <c r="AS580" s="1152"/>
      <c r="AT580" s="1152"/>
      <c r="AU580" s="1152"/>
      <c r="AV580" s="1152"/>
      <c r="AW580" s="1152"/>
      <c r="AX580" s="1152"/>
      <c r="AY580" s="1152"/>
      <c r="AZ580" s="1152"/>
      <c r="BA580" s="1152"/>
      <c r="BB580" s="1152"/>
      <c r="BC580" s="1152"/>
      <c r="BD580" s="1152"/>
    </row>
    <row r="581" spans="1:56" ht="15" hidden="1" outlineLevel="1" thickBot="1" x14ac:dyDescent="0.35">
      <c r="A581" s="1182"/>
      <c r="B581" s="1181"/>
      <c r="C581" s="1181"/>
      <c r="D581" s="1181"/>
      <c r="E581" s="1181"/>
      <c r="F581" s="1181"/>
      <c r="G581" s="1181"/>
      <c r="H581" s="1181"/>
      <c r="I581" s="350"/>
      <c r="J581" s="351"/>
      <c r="K581" s="351"/>
      <c r="L581" s="351"/>
      <c r="M581" s="352"/>
      <c r="N581" s="351"/>
      <c r="O581" s="352"/>
      <c r="P581" s="351"/>
      <c r="Q581" s="352"/>
      <c r="R581" s="351"/>
      <c r="S581" s="352"/>
      <c r="T581" s="351"/>
      <c r="U581" s="352"/>
      <c r="V581" s="351"/>
      <c r="W581" s="352"/>
      <c r="X581" s="351"/>
      <c r="Y581" s="352"/>
      <c r="Z581" s="351"/>
      <c r="AA581" s="352"/>
      <c r="AB581" s="351"/>
      <c r="AC581" s="352"/>
      <c r="AD581" s="353" t="str">
        <f>IF(tbBudgetCurrency="AUD - Australian Dollar","",IFERROR(K581+M581+O581+Q581+S581+U581+W581+Y581+AA581+AC581,0))</f>
        <v/>
      </c>
      <c r="AE581" s="1152"/>
      <c r="AF581" s="1152"/>
      <c r="AG581" s="1152"/>
      <c r="AH581" s="1152"/>
      <c r="AI581" s="1152"/>
      <c r="AJ581" s="1152"/>
      <c r="AK581" s="1152"/>
      <c r="AL581" s="1152"/>
      <c r="AM581" s="1152"/>
      <c r="AN581" s="1152"/>
      <c r="AO581" s="1152"/>
      <c r="AP581" s="1152"/>
      <c r="AQ581" s="1152"/>
      <c r="AR581" s="1152"/>
      <c r="AS581" s="1152"/>
      <c r="AT581" s="1152"/>
      <c r="AU581" s="1152"/>
      <c r="AV581" s="1152"/>
      <c r="AW581" s="1152"/>
      <c r="AX581" s="1152"/>
      <c r="AY581" s="1152"/>
      <c r="AZ581" s="1152"/>
      <c r="BA581" s="1152"/>
      <c r="BB581" s="1152"/>
      <c r="BC581" s="1152"/>
      <c r="BD581" s="1152"/>
    </row>
    <row r="582" spans="1:56" hidden="1" outlineLevel="1" x14ac:dyDescent="0.3">
      <c r="A582" s="1182"/>
      <c r="B582" s="460" t="str">
        <f>IF('PART B Staff Costs'!B63="","",'PART B Staff Costs'!B63)</f>
        <v/>
      </c>
      <c r="C582" s="460" t="str">
        <f>IF('PART B Staff Costs'!C63="","",'PART B Staff Costs'!C63)</f>
        <v xml:space="preserve"> </v>
      </c>
      <c r="D582" s="461" t="str">
        <f>IF('PART B Staff Costs'!D63="","",'PART B Staff Costs'!D63)</f>
        <v/>
      </c>
      <c r="E582" s="461" t="str">
        <f>IF('PART B Staff Costs'!E63="","",'PART B Staff Costs'!E63)</f>
        <v/>
      </c>
      <c r="F582" s="461" t="str">
        <f>IF('PART B Staff Costs'!F63="","",'PART B Staff Costs'!F63)</f>
        <v/>
      </c>
      <c r="G582" s="461" t="str">
        <f>IF('PART B Staff Costs'!G63="","",'PART B Staff Costs'!G63)</f>
        <v/>
      </c>
      <c r="H582" s="454" t="str">
        <f t="shared" ref="H582" si="2532">CONCATENATE(IF(D582=0,"",D582)," ",IF(E582=0,"",E582)," ",IF(F582=0,"",F582),,IF(OR(G582=0,G582=""),"",CONCATENATE(" (",G582,")")))</f>
        <v xml:space="preserve">  </v>
      </c>
      <c r="I582" s="454" t="s">
        <v>313</v>
      </c>
      <c r="J582" s="333">
        <f>_xlfn.IFNA('PART B Staff Costs'!H63*'PART B Staff Costs'!J$10,0)*new_xrate</f>
        <v>0</v>
      </c>
      <c r="K582" s="441"/>
      <c r="L582" s="334">
        <f>_xlfn.IFNA(IF(pStartYear+1&gt;pEndYear,0,VLOOKUP(CONCATENATE(
IF(OR($D582="Continuing",$D582="Fixed-Term"),"Fortnight",IF($D582="Casual","Casual",)),
$E582,
IF(OR($D582="Continuing",$D582="Fixed-Term"),
IF(LEFT($F582,6)="UOM 10","UOM 10",(LEFT($F582,LEN($F582)-1)&amp;MIN(RIGHT($F582,1)+COUNTIFS($J583:K583,"&gt;0")/2,VLOOKUP(LEFT($F582,LEN($F582)-2),tSalaryMax,2,FALSE)))),
IF($D582="Casual",
$F582,))
),tSalaryRate,5,FALSE)*VLOOKUP($G582,tSalaryRateMultiplier,2,FALSE)*'PART B Staff Costs'!L$10),0)*new_xrate</f>
        <v>0</v>
      </c>
      <c r="M582" s="449"/>
      <c r="N582" s="333">
        <f>_xlfn.IFNA(IF(pStartYear+2&gt;pEndYear,0,VLOOKUP(CONCATENATE(
IF(OR($D582="Continuing",$D582="Fixed-Term"),"Fortnight",IF($D582="Casual","Casual",)),
$E582,
IF(OR($D582="Continuing",$D582="Fixed-Term"),
IF(LEFT($F582,6)="UOM 10","UOM 10",(LEFT($F582,LEN($F582)-1)&amp;MIN(RIGHT($F582,1)+COUNTIFS($J583:M583,"&gt;0")/2,VLOOKUP(LEFT($F582,LEN($F582)-2),tSalaryMax,2,FALSE)))),
IF($D582="Casual",
$F582,))
),tSalaryRate,5,FALSE)*VLOOKUP($G582,tSalaryRateMultiplier,2,FALSE)*'PART B Staff Costs'!N$10),0)*new_xrate</f>
        <v>0</v>
      </c>
      <c r="O582" s="441"/>
      <c r="P582" s="334">
        <f>_xlfn.IFNA(IF(pStartYear+3&gt;pEndYear,0,VLOOKUP(CONCATENATE(
IF(OR($D582="Continuing",$D582="Fixed-Term"),"Fortnight",IF($D582="Casual","Casual",)),
$E582,
IF(OR($D582="Continuing",$D582="Fixed-Term"),
IF(LEFT($F582,6)="UOM 10","UOM 10",(LEFT($F582,LEN($F582)-1)&amp;MIN(RIGHT($F582,1)+COUNTIFS($J583:O583,"&gt;0")/2,VLOOKUP(LEFT($F582,LEN($F582)-2),tSalaryMax,2,FALSE)))),
IF($D582="Casual",
$F582,))
),tSalaryRate,5,FALSE)*VLOOKUP($G582,tSalaryRateMultiplier,2,FALSE)*'PART B Staff Costs'!P$10),0)*new_xrate</f>
        <v>0</v>
      </c>
      <c r="Q582" s="449"/>
      <c r="R582" s="333">
        <f>_xlfn.IFNA(IF(pStartYear+4&gt;pEndYear,0,VLOOKUP(CONCATENATE(
IF(OR($D582="Continuing",$D582="Fixed-Term"),"Fortnight",IF($D582="Casual","Casual",)),
$E582,
IF(OR($D582="Continuing",$D582="Fixed-Term"),
IF(LEFT($F582,6)="UOM 10","UOM 10",(LEFT($F582,LEN($F582)-1)&amp;MIN(RIGHT($F582,1)+COUNTIFS($J583:Q583,"&gt;0")/2,VLOOKUP(LEFT($F582,LEN($F582)-2),tSalaryMax,2,FALSE)))),
IF($D582="Casual",
$F582,))
),tSalaryRate,5,FALSE)*VLOOKUP($G582,tSalaryRateMultiplier,2,FALSE)*'PART B Staff Costs'!R$10),0)*new_xrate</f>
        <v>0</v>
      </c>
      <c r="S582" s="441"/>
      <c r="T582" s="334">
        <f>_xlfn.IFNA(IF(pStartYear+5&gt;pEndYear,0,VLOOKUP(CONCATENATE(
IF(OR($D582="Continuing",$D582="Fixed-Term"),"Fortnight",IF($D582="Casual","Casual",)),
$E582,
IF(OR($D582="Continuing",$D582="Fixed-Term"),
IF(LEFT($F582,6)="UOM 10","UOM 10",(LEFT($F582,LEN($F582)-1)&amp;MIN(RIGHT($F582,1)+COUNTIFS($J583:S583,"&gt;0")/2,VLOOKUP(LEFT($F582,LEN($F582)-2),tSalaryMax,2,FALSE)))),
IF($D582="Casual",
$F582,))
),tSalaryRate,5,FALSE)*VLOOKUP($G582,tSalaryRateMultiplier,2,FALSE)*'PART B Staff Costs'!T$10),0)*new_xrate</f>
        <v>0</v>
      </c>
      <c r="U582" s="449"/>
      <c r="V582" s="333">
        <f>_xlfn.IFNA(IF(pStartYear+6&gt;pEndYear,0,VLOOKUP(CONCATENATE(
IF(OR($D582="Continuing",$D582="Fixed-Term"),"Fortnight",IF($D582="Casual","Casual",)),
$E582,
IF(OR($D582="Continuing",$D582="Fixed-Term"),
IF(LEFT($F582,6)="UOM 10","UOM 10",(LEFT($F582,LEN($F582)-1)&amp;MIN(RIGHT($F582,1)+COUNTIFS($J583:U583,"&gt;0")/2,VLOOKUP(LEFT($F582,LEN($F582)-2),tSalaryMax,2,FALSE)))),
IF($D582="Casual",
$F582,))
),tSalaryRate,5,FALSE)*VLOOKUP($G582,tSalaryRateMultiplier,2,FALSE)*'PART B Staff Costs'!V$10),0)*new_xrate</f>
        <v>0</v>
      </c>
      <c r="W582" s="441"/>
      <c r="X582" s="334">
        <f>_xlfn.IFNA(IF(pStartYear+7&gt;pEndYear,0,VLOOKUP(CONCATENATE(
IF(OR($D582="Continuing",$D582="Fixed-Term"),"Fortnight",IF($D582="Casual","Casual",)),
$E582,
IF(OR($D582="Continuing",$D582="Fixed-Term"),
IF(LEFT($F582,6)="UOM 10","UOM 10",(LEFT($F582,LEN($F582)-1)&amp;MIN(RIGHT($F582,1)+COUNTIFS($J583:W583,"&gt;0")/2,VLOOKUP(LEFT($F582,LEN($F582)-2),tSalaryMax,2,FALSE)))),
IF($D582="Casual",
$F582,))
),tSalaryRate,5,FALSE)*VLOOKUP($G582,tSalaryRateMultiplier,2,FALSE)*'PART B Staff Costs'!X$10),0)*new_xrate</f>
        <v>0</v>
      </c>
      <c r="Y582" s="449"/>
      <c r="Z582" s="333">
        <f>_xlfn.IFNA(IF(pStartYear+8&gt;pEndYear,0,VLOOKUP(CONCATENATE(
IF(OR($D582="Continuing",$D582="Fixed-Term"),"Fortnight",IF($D582="Casual","Casual",)),
$E582,
IF(OR($D582="Continuing",$D582="Fixed-Term"),
IF(LEFT($F582,6)="UOM 10","UOM 10",(LEFT($F582,LEN($F582)-1)&amp;MIN(RIGHT($F582,1)+COUNTIFS($J583:Y583,"&gt;0")/2,VLOOKUP(LEFT($F582,LEN($F582)-2),tSalaryMax,2,FALSE)))),
IF($D582="Casual",
$F582,))
),tSalaryRate,5,FALSE)*VLOOKUP($G582,tSalaryRateMultiplier,2,FALSE)*'PART B Staff Costs'!Z$10),0)*new_xrate</f>
        <v>0</v>
      </c>
      <c r="AA582" s="441"/>
      <c r="AB582" s="334">
        <f>_xlfn.IFNA(IF(pStartYear+9&gt;pEndYear,0,VLOOKUP(CONCATENATE(
IF(OR($D582="Continuing",$D582="Fixed-Term"),"Fortnight",IF($D582="Casual","Casual",)),
$E582,
IF(OR($D582="Continuing",$D582="Fixed-Term"),
IF(LEFT($F582,6)="UOM 10","UOM 10",(LEFT($F582,LEN($F582)-1)&amp;MIN(RIGHT($F582,1)+COUNTIFS($J583:AA583,"&gt;0")/2,VLOOKUP(LEFT($F582,LEN($F582)-2),tSalaryMax,2,FALSE)))),
IF($D582="Casual",
$F582,))
),tSalaryRate,5,FALSE)*VLOOKUP($G582,tSalaryRateMultiplier,2,FALSE)*'PART B Staff Costs'!AB$10),0)*new_xrate</f>
        <v>0</v>
      </c>
      <c r="AC582" s="449"/>
      <c r="AD582" s="335"/>
      <c r="AE582" s="1152"/>
      <c r="AF582" s="1152"/>
      <c r="AG582" s="1152"/>
      <c r="AH582" s="1152"/>
      <c r="AI582" s="1152"/>
      <c r="AJ582" s="1152"/>
      <c r="AK582" s="1152"/>
      <c r="AL582" s="1152"/>
      <c r="AM582" s="1152"/>
      <c r="AN582" s="1152"/>
      <c r="AO582" s="1152"/>
      <c r="AP582" s="1152"/>
      <c r="AQ582" s="1152"/>
      <c r="AR582" s="1152"/>
      <c r="AS582" s="1152"/>
      <c r="AT582" s="1152"/>
      <c r="AU582" s="1152"/>
      <c r="AV582" s="1152"/>
      <c r="AW582" s="1152"/>
      <c r="AX582" s="1152"/>
      <c r="AY582" s="1152"/>
      <c r="AZ582" s="1152"/>
      <c r="BA582" s="1152"/>
      <c r="BB582" s="1152"/>
      <c r="BC582" s="1152"/>
      <c r="BD582" s="1152"/>
    </row>
    <row r="583" spans="1:56" hidden="1" outlineLevel="1" x14ac:dyDescent="0.3">
      <c r="A583" s="1182"/>
      <c r="B583" s="1377"/>
      <c r="C583" s="1377"/>
      <c r="D583" s="1377"/>
      <c r="E583" s="1377"/>
      <c r="F583" s="1377"/>
      <c r="G583" s="1377"/>
      <c r="H583" s="1378"/>
      <c r="I583" s="455" t="str">
        <f>IF('PART B Staff Costs'!G578&lt;&gt;"",CONCATENATE("Time/Requested salary"," (",'PART B Staff Costs'!G578,")"),"Time/Requested salary")</f>
        <v>Time/Requested salary</v>
      </c>
      <c r="J583" s="337">
        <f>_xlfn.IFNA('PART B Staff Costs'!I63,0)</f>
        <v>0</v>
      </c>
      <c r="K583" s="442">
        <f>IF('PART B Staff Costs'!$G$63="FTE",J583*J582*(First_year_fraction/12),J583*J582)</f>
        <v>0</v>
      </c>
      <c r="L583" s="338">
        <f>_xlfn.IFNA('PART B Staff Costs'!K63,0)</f>
        <v>0</v>
      </c>
      <c r="M583" s="450">
        <f>IF(pStartYear+1=pEndYear,IF('PART B Staff Costs'!$G$63="FTE",(L583*L582)*Last_Year_Fraction/12,L583*L582),L583*L582)</f>
        <v>0</v>
      </c>
      <c r="N583" s="337">
        <f>_xlfn.IFNA('PART B Staff Costs'!M63,0)</f>
        <v>0</v>
      </c>
      <c r="O583" s="442">
        <f>IF(pStartYear+2=pEndYear,IF('PART B Staff Costs'!$G$63="FTE",(N583*N582)*Last_Year_Fraction/12,N583*N582),N583*N582)</f>
        <v>0</v>
      </c>
      <c r="P583" s="338">
        <f>_xlfn.IFNA('PART B Staff Costs'!O63,0)</f>
        <v>0</v>
      </c>
      <c r="Q583" s="450">
        <f>IF(pStartYear+3=pEndYear,IF('PART B Staff Costs'!$G$63="FTE",(P583*P582)*Last_Year_Fraction/12,P583*P582),P583*P582)</f>
        <v>0</v>
      </c>
      <c r="R583" s="337">
        <f>_xlfn.IFNA('PART B Staff Costs'!Q63,0)</f>
        <v>0</v>
      </c>
      <c r="S583" s="442">
        <f>IF(pStartYear+4=pEndYear,IF('PART B Staff Costs'!$G$63="FTE",(R583*R582)*Last_Year_Fraction/12,R583*R582),R583*R582)</f>
        <v>0</v>
      </c>
      <c r="T583" s="338">
        <f>_xlfn.IFNA('PART B Staff Costs'!S63,0)</f>
        <v>0</v>
      </c>
      <c r="U583" s="450">
        <f>IF(pStartYear+5=pEndYear,IF('PART B Staff Costs'!$G$63="FTE",(T583*T582)*Last_Year_Fraction/12,T583*T582),T583*T582)</f>
        <v>0</v>
      </c>
      <c r="V583" s="337">
        <f>_xlfn.IFNA('PART B Staff Costs'!U63,0)</f>
        <v>0</v>
      </c>
      <c r="W583" s="442">
        <f>IF(pStartYear+6=pEndYear,IF('PART B Staff Costs'!$G$63="FTE",(V583*V582)*Last_Year_Fraction/12,V583*V582),V583*V582)</f>
        <v>0</v>
      </c>
      <c r="X583" s="338">
        <f>_xlfn.IFNA('PART B Staff Costs'!W63,0)</f>
        <v>0</v>
      </c>
      <c r="Y583" s="450">
        <f>IF(pStartYear+7=pEndYear,IF('PART B Staff Costs'!$G$63="FTE",(X583*X582)*Last_Year_Fraction/12,X583*X582),X583*X582)</f>
        <v>0</v>
      </c>
      <c r="Z583" s="337">
        <f>_xlfn.IFNA('PART B Staff Costs'!Y63,0)</f>
        <v>0</v>
      </c>
      <c r="AA583" s="442">
        <f>IF(pStartYear+8=pEndYear,IF('PART B Staff Costs'!$G$63="FTE",(Z583*Z582)*Last_Year_Fraction/12,Z583*Z582),Z583*Z582)</f>
        <v>0</v>
      </c>
      <c r="AB583" s="338">
        <f>_xlfn.IFNA('PART B Staff Costs'!AA63,0)</f>
        <v>0</v>
      </c>
      <c r="AC583" s="450">
        <f>IF(pStartYear+9=pEndYear,IF('PART B Staff Costs'!$G$63="FTE",(AB583*AB582)*Last_Year_Fraction/12,AB583*AB582),AB583*AB582)</f>
        <v>0</v>
      </c>
      <c r="AD583" s="335"/>
      <c r="AE583" s="1152"/>
      <c r="AF583" s="1152"/>
      <c r="AG583" s="1152"/>
      <c r="AH583" s="1152"/>
      <c r="AI583" s="1152"/>
      <c r="AJ583" s="1152"/>
      <c r="AK583" s="1152"/>
      <c r="AL583" s="1152"/>
      <c r="AM583" s="1152"/>
      <c r="AN583" s="1152"/>
      <c r="AO583" s="1152"/>
      <c r="AP583" s="1152"/>
      <c r="AQ583" s="1152"/>
      <c r="AR583" s="1152"/>
      <c r="AS583" s="1152"/>
      <c r="AT583" s="1152"/>
      <c r="AU583" s="1152"/>
      <c r="AV583" s="1152"/>
      <c r="AW583" s="1152"/>
      <c r="AX583" s="1152"/>
      <c r="AY583" s="1152"/>
      <c r="AZ583" s="1152"/>
      <c r="BA583" s="1152"/>
      <c r="BB583" s="1152"/>
      <c r="BC583" s="1152"/>
      <c r="BD583" s="1152"/>
    </row>
    <row r="584" spans="1:56" hidden="1" outlineLevel="1" x14ac:dyDescent="0.3">
      <c r="A584" s="1182"/>
      <c r="B584" s="1379"/>
      <c r="C584" s="1379"/>
      <c r="D584" s="1379"/>
      <c r="E584" s="1379"/>
      <c r="F584" s="1379"/>
      <c r="G584" s="1379"/>
      <c r="H584" s="1380"/>
      <c r="I584" s="455" t="str">
        <f>IF(tbBudgetCurrency="AUD - Australian Dollar",CONCATENATE("Leave Loading (max of AU$",vl_Max_Leave_Loading,")"),CONCATENATE("Leave Loading (max of ",ROUND(vl_Max_Leave_Loading*new_xrate,2)," ",LEFT(tbBudgetCurrency,3),")"))</f>
        <v>Leave Loading (max of AU$1611.3)</v>
      </c>
      <c r="J584" s="339">
        <f>_xlfn.IFNA(VLOOKUP($D582,tbLeaveLoading,2,FALSE),0)</f>
        <v>0</v>
      </c>
      <c r="K584" s="443">
        <f>IF(K583*J584&gt;vl_Max_Leave_Loading*new_xrate,vl_Max_Leave_Loading*new_xrate,K583*J584)</f>
        <v>0</v>
      </c>
      <c r="L584" s="340">
        <f>_xlfn.IFNA(VLOOKUP($D582,tbLeaveLoading,2,FALSE),0)</f>
        <v>0</v>
      </c>
      <c r="M584" s="451">
        <f>IF(M583*L584&gt;vl_Max_Leave_Loading*new_xrate,vl_Max_Leave_Loading*new_xrate,M583*L584)</f>
        <v>0</v>
      </c>
      <c r="N584" s="339">
        <f>_xlfn.IFNA(VLOOKUP($D582,tbLeaveLoading,2,FALSE),0)</f>
        <v>0</v>
      </c>
      <c r="O584" s="443">
        <f>IF(O583*N584&gt;vl_Max_Leave_Loading*new_xrate,vl_Max_Leave_Loading*new_xrate,O583*N584)</f>
        <v>0</v>
      </c>
      <c r="P584" s="340">
        <f>_xlfn.IFNA(VLOOKUP($D582,tbLeaveLoading,2,FALSE),0)</f>
        <v>0</v>
      </c>
      <c r="Q584" s="451">
        <f>IF(Q583*P584&gt;vl_Max_Leave_Loading*new_xrate,vl_Max_Leave_Loading*new_xrate,Q583*P584)</f>
        <v>0</v>
      </c>
      <c r="R584" s="339">
        <f>_xlfn.IFNA(VLOOKUP($D582,tbLeaveLoading,2,FALSE),0)</f>
        <v>0</v>
      </c>
      <c r="S584" s="443">
        <f>IF(S583*R584&gt;vl_Max_Leave_Loading*new_xrate,vl_Max_Leave_Loading*new_xrate,S583*R584)</f>
        <v>0</v>
      </c>
      <c r="T584" s="340">
        <f>_xlfn.IFNA(VLOOKUP($D582,tbLeaveLoading,2,FALSE),0)</f>
        <v>0</v>
      </c>
      <c r="U584" s="451">
        <f>IF(U583*T584&gt;vl_Max_Leave_Loading*new_xrate,vl_Max_Leave_Loading*new_xrate,U583*T584)</f>
        <v>0</v>
      </c>
      <c r="V584" s="339">
        <f>_xlfn.IFNA(VLOOKUP($D582,tbLeaveLoading,2,FALSE),0)</f>
        <v>0</v>
      </c>
      <c r="W584" s="443">
        <f>IF(W583*V584&gt;vl_Max_Leave_Loading*new_xrate,vl_Max_Leave_Loading*new_xrate,W583*V584)</f>
        <v>0</v>
      </c>
      <c r="X584" s="340">
        <f>_xlfn.IFNA(VLOOKUP($D582,tbLeaveLoading,2,FALSE),0)</f>
        <v>0</v>
      </c>
      <c r="Y584" s="451">
        <f>IF(Y583*X584&gt;vl_Max_Leave_Loading*new_xrate,vl_Max_Leave_Loading*new_xrate,Y583*X584)</f>
        <v>0</v>
      </c>
      <c r="Z584" s="339">
        <f>_xlfn.IFNA(VLOOKUP($D582,tbLeaveLoading,2,FALSE),0)</f>
        <v>0</v>
      </c>
      <c r="AA584" s="443">
        <f>IF(AA583*Z584&gt;vl_Max_Leave_Loading*new_xrate,vl_Max_Leave_Loading*new_xrate,AA583*Z584)</f>
        <v>0</v>
      </c>
      <c r="AB584" s="340">
        <f>_xlfn.IFNA(VLOOKUP($D582,tbLeaveLoading,2,FALSE),0)</f>
        <v>0</v>
      </c>
      <c r="AC584" s="451">
        <f>IF(AC583*AB584&gt;vl_Max_Leave_Loading*new_xrate,vl_Max_Leave_Loading*new_xrate,AC583*AB584)</f>
        <v>0</v>
      </c>
      <c r="AD584" s="335"/>
      <c r="AE584" s="1152"/>
      <c r="AF584" s="1152"/>
      <c r="AG584" s="1152"/>
      <c r="AH584" s="1152"/>
      <c r="AI584" s="1152"/>
      <c r="AJ584" s="1152"/>
      <c r="AK584" s="1152"/>
      <c r="AL584" s="1152"/>
      <c r="AM584" s="1152"/>
      <c r="AN584" s="1152"/>
      <c r="AO584" s="1152"/>
      <c r="AP584" s="1152"/>
      <c r="AQ584" s="1152"/>
      <c r="AR584" s="1152"/>
      <c r="AS584" s="1152"/>
      <c r="AT584" s="1152"/>
      <c r="AU584" s="1152"/>
      <c r="AV584" s="1152"/>
      <c r="AW584" s="1152"/>
      <c r="AX584" s="1152"/>
      <c r="AY584" s="1152"/>
      <c r="AZ584" s="1152"/>
      <c r="BA584" s="1152"/>
      <c r="BB584" s="1152"/>
      <c r="BC584" s="1152"/>
      <c r="BD584" s="1152"/>
    </row>
    <row r="585" spans="1:56" hidden="1" outlineLevel="1" x14ac:dyDescent="0.3">
      <c r="A585" s="1182"/>
      <c r="B585" s="1379"/>
      <c r="C585" s="1379"/>
      <c r="D585" s="1379"/>
      <c r="E585" s="1379"/>
      <c r="F585" s="1379"/>
      <c r="G585" s="1379"/>
      <c r="H585" s="1380"/>
      <c r="I585" s="455" t="s">
        <v>314</v>
      </c>
      <c r="J585" s="339">
        <f>_xlfn.IFNA(_xlfn.IFNA(VLOOKUP(CONCATENATE(pStartYear,$D582),tbSuperannuation,4,FALSE),VLOOKUP($D582,tbSuperannuation2026onwards,2,FALSE)),0)</f>
        <v>0</v>
      </c>
      <c r="K585" s="443">
        <f>K583*J585</f>
        <v>0</v>
      </c>
      <c r="L585" s="340">
        <f>_xlfn.IFNA(_xlfn.IFNA(VLOOKUP(CONCATENATE(pStartYear+1,$D582),tbSuperannuation,4,FALSE),VLOOKUP($D582,tbSuperannuation2026onwards,2,FALSE)),0)</f>
        <v>0</v>
      </c>
      <c r="M585" s="451">
        <f t="shared" ref="M585" si="2533">M583*L585</f>
        <v>0</v>
      </c>
      <c r="N585" s="339">
        <f>_xlfn.IFNA(_xlfn.IFNA(VLOOKUP(CONCATENATE(pStartYear+2,$D582),tbSuperannuation,4,FALSE),VLOOKUP($D582,tbSuperannuation2026onwards,2,FALSE)),0)</f>
        <v>0</v>
      </c>
      <c r="O585" s="443">
        <f>O583*N585</f>
        <v>0</v>
      </c>
      <c r="P585" s="340">
        <f>_xlfn.IFNA(_xlfn.IFNA(VLOOKUP(CONCATENATE(pStartYear+3,$D582),tbSuperannuation,4,FALSE),VLOOKUP($D582,tbSuperannuation2026onwards,2,FALSE)),0)</f>
        <v>0</v>
      </c>
      <c r="Q585" s="451">
        <f t="shared" ref="Q585" si="2534">Q583*P585</f>
        <v>0</v>
      </c>
      <c r="R585" s="339">
        <f>_xlfn.IFNA(_xlfn.IFNA(VLOOKUP(CONCATENATE(pStartYear+4,$D582),tbSuperannuation,4,FALSE),VLOOKUP($D582,tbSuperannuation2026onwards,2,FALSE)),0)</f>
        <v>0</v>
      </c>
      <c r="S585" s="443">
        <f>S583*R585</f>
        <v>0</v>
      </c>
      <c r="T585" s="340">
        <f>_xlfn.IFNA(_xlfn.IFNA(VLOOKUP(CONCATENATE(pStartYear+5,$D582),tbSuperannuation,4,FALSE),VLOOKUP($D582,tbSuperannuation2026onwards,2,FALSE)),0)</f>
        <v>0</v>
      </c>
      <c r="U585" s="451">
        <f t="shared" ref="U585" si="2535">U583*T585</f>
        <v>0</v>
      </c>
      <c r="V585" s="339">
        <f>_xlfn.IFNA(_xlfn.IFNA(VLOOKUP(CONCATENATE(pStartYear+6,$D582),tbSuperannuation,4,FALSE),VLOOKUP($D582,tbSuperannuation2026onwards,2,FALSE)),0)</f>
        <v>0</v>
      </c>
      <c r="W585" s="443">
        <f>W583*V585</f>
        <v>0</v>
      </c>
      <c r="X585" s="340">
        <f>_xlfn.IFNA(_xlfn.IFNA(VLOOKUP(CONCATENATE(pStartYear+7,$D582),tbSuperannuation,4,FALSE),VLOOKUP($D582,tbSuperannuation2026onwards,2,FALSE)),0)</f>
        <v>0</v>
      </c>
      <c r="Y585" s="451">
        <f t="shared" ref="Y585" si="2536">Y583*X585</f>
        <v>0</v>
      </c>
      <c r="Z585" s="339">
        <f>_xlfn.IFNA(_xlfn.IFNA(VLOOKUP(CONCATENATE(pStartYear+8,$D582),tbSuperannuation,4,FALSE),VLOOKUP($D582,tbSuperannuation2026onwards,2,FALSE)),0)</f>
        <v>0</v>
      </c>
      <c r="AA585" s="443">
        <f>AA583*Z585</f>
        <v>0</v>
      </c>
      <c r="AB585" s="340">
        <f>_xlfn.IFNA(_xlfn.IFNA(VLOOKUP(CONCATENATE(pStartYear+9,$D582),tbSuperannuation,4,FALSE),VLOOKUP($D582,tbSuperannuation2026onwards,2,FALSE)),0)</f>
        <v>0</v>
      </c>
      <c r="AC585" s="451">
        <f t="shared" ref="AC585" si="2537">AC583*AB585</f>
        <v>0</v>
      </c>
      <c r="AD585" s="335"/>
      <c r="AE585" s="1152"/>
      <c r="AF585" s="1152"/>
      <c r="AG585" s="1152"/>
      <c r="AH585" s="1152"/>
      <c r="AI585" s="1152"/>
      <c r="AJ585" s="1152"/>
      <c r="AK585" s="1152"/>
      <c r="AL585" s="1152"/>
      <c r="AM585" s="1152"/>
      <c r="AN585" s="1152"/>
      <c r="AO585" s="1152"/>
      <c r="AP585" s="1152"/>
      <c r="AQ585" s="1152"/>
      <c r="AR585" s="1152"/>
      <c r="AS585" s="1152"/>
      <c r="AT585" s="1152"/>
      <c r="AU585" s="1152"/>
      <c r="AV585" s="1152"/>
      <c r="AW585" s="1152"/>
      <c r="AX585" s="1152"/>
      <c r="AY585" s="1152"/>
      <c r="AZ585" s="1152"/>
      <c r="BA585" s="1152"/>
      <c r="BB585" s="1152"/>
      <c r="BC585" s="1152"/>
      <c r="BD585" s="1152"/>
    </row>
    <row r="586" spans="1:56" hidden="1" outlineLevel="1" x14ac:dyDescent="0.3">
      <c r="A586" s="1182"/>
      <c r="B586" s="1379"/>
      <c r="C586" s="1379"/>
      <c r="D586" s="1379"/>
      <c r="E586" s="1379"/>
      <c r="F586" s="1379"/>
      <c r="G586" s="1379"/>
      <c r="H586" s="1380"/>
      <c r="I586" s="341" t="s">
        <v>315</v>
      </c>
      <c r="J586" s="342"/>
      <c r="K586" s="444">
        <f>K584+K585+K583</f>
        <v>0</v>
      </c>
      <c r="L586" s="342"/>
      <c r="M586" s="444">
        <f t="shared" ref="M586" si="2538">M584+M585+M583</f>
        <v>0</v>
      </c>
      <c r="N586" s="342"/>
      <c r="O586" s="444">
        <f>O584+O585+O583</f>
        <v>0</v>
      </c>
      <c r="P586" s="342"/>
      <c r="Q586" s="444">
        <f t="shared" ref="Q586" si="2539">Q584+Q585+Q583</f>
        <v>0</v>
      </c>
      <c r="R586" s="342"/>
      <c r="S586" s="444">
        <f>S584+S585+S583</f>
        <v>0</v>
      </c>
      <c r="T586" s="342"/>
      <c r="U586" s="444">
        <f t="shared" ref="U586" si="2540">U584+U585+U583</f>
        <v>0</v>
      </c>
      <c r="V586" s="342"/>
      <c r="W586" s="444">
        <f>W584+W585+W583</f>
        <v>0</v>
      </c>
      <c r="X586" s="342"/>
      <c r="Y586" s="444">
        <f t="shared" ref="Y586" si="2541">Y584+Y585+Y583</f>
        <v>0</v>
      </c>
      <c r="Z586" s="342"/>
      <c r="AA586" s="444">
        <f>AA584+AA585+AA583</f>
        <v>0</v>
      </c>
      <c r="AB586" s="342"/>
      <c r="AC586" s="444">
        <f t="shared" ref="AC586" si="2542">AC584+AC585+AC583</f>
        <v>0</v>
      </c>
      <c r="AD586" s="335">
        <f t="shared" ref="AD586:AD637" si="2543">IFERROR($K586+$M586+$O586+$Q586+$S586+$U586+$W586+$Y586+$AA586+$AC586,0)</f>
        <v>0</v>
      </c>
      <c r="AE586" s="1152"/>
      <c r="AF586" s="1152"/>
      <c r="AG586" s="1152"/>
      <c r="AH586" s="1152"/>
      <c r="AI586" s="1152"/>
      <c r="AJ586" s="1152"/>
      <c r="AK586" s="1152"/>
      <c r="AL586" s="1152"/>
      <c r="AM586" s="1152"/>
      <c r="AN586" s="1152"/>
      <c r="AO586" s="1152"/>
      <c r="AP586" s="1152"/>
      <c r="AQ586" s="1152"/>
      <c r="AR586" s="1152"/>
      <c r="AS586" s="1152"/>
      <c r="AT586" s="1152"/>
      <c r="AU586" s="1152"/>
      <c r="AV586" s="1152"/>
      <c r="AW586" s="1152"/>
      <c r="AX586" s="1152"/>
      <c r="AY586" s="1152"/>
      <c r="AZ586" s="1152"/>
      <c r="BA586" s="1152"/>
      <c r="BB586" s="1152"/>
      <c r="BC586" s="1152"/>
      <c r="BD586" s="1152"/>
    </row>
    <row r="587" spans="1:56" hidden="1" outlineLevel="1" x14ac:dyDescent="0.3">
      <c r="A587" s="1182"/>
      <c r="B587" s="1379"/>
      <c r="C587" s="1379"/>
      <c r="D587" s="1379"/>
      <c r="E587" s="1379"/>
      <c r="F587" s="1379"/>
      <c r="G587" s="1379"/>
      <c r="H587" s="1380"/>
      <c r="I587" s="455" t="s">
        <v>316</v>
      </c>
      <c r="J587" s="339">
        <f>_xlfn.IFNA(_xlfn.IFNA(VLOOKUP(pStartYear,tbPayrollTax,2,FALSE),vl_MaxPayrollTax),0)</f>
        <v>5.8500000000000003E-2</v>
      </c>
      <c r="K587" s="443">
        <f>J587*K586</f>
        <v>0</v>
      </c>
      <c r="L587" s="340">
        <f>_xlfn.IFNA(_xlfn.IFNA(VLOOKUP(pStartYear+1,tbPayrollTax,2,FALSE),vl_MaxPayrollTax),0)</f>
        <v>5.8500000000000003E-2</v>
      </c>
      <c r="M587" s="451">
        <f t="shared" ref="M587" si="2544">L587*M586</f>
        <v>0</v>
      </c>
      <c r="N587" s="339">
        <f>_xlfn.IFNA(_xlfn.IFNA(VLOOKUP(pStartYear+2,tbPayrollTax,2,FALSE),vl_MaxPayrollTax),0)</f>
        <v>5.8500000000000003E-2</v>
      </c>
      <c r="O587" s="443">
        <f>N587*O586</f>
        <v>0</v>
      </c>
      <c r="P587" s="340">
        <f>_xlfn.IFNA(_xlfn.IFNA(VLOOKUP(pStartYear+3,tbPayrollTax,2,FALSE),vl_MaxPayrollTax),0)</f>
        <v>5.8500000000000003E-2</v>
      </c>
      <c r="Q587" s="451">
        <f t="shared" ref="Q587" si="2545">P587*Q586</f>
        <v>0</v>
      </c>
      <c r="R587" s="339">
        <f>_xlfn.IFNA(_xlfn.IFNA(VLOOKUP(pStartYear+4,tbPayrollTax,2,FALSE),vl_MaxPayrollTax),0)</f>
        <v>5.8500000000000003E-2</v>
      </c>
      <c r="S587" s="443">
        <f>R587*S586</f>
        <v>0</v>
      </c>
      <c r="T587" s="340">
        <f>_xlfn.IFNA(_xlfn.IFNA(VLOOKUP(pStartYear+5,tbPayrollTax,2,FALSE),vl_MaxPayrollTax),0)</f>
        <v>5.8500000000000003E-2</v>
      </c>
      <c r="U587" s="451">
        <f t="shared" ref="U587" si="2546">T587*U586</f>
        <v>0</v>
      </c>
      <c r="V587" s="339">
        <f>_xlfn.IFNA(_xlfn.IFNA(VLOOKUP(pStartYear+6,tbPayrollTax,2,FALSE),vl_MaxPayrollTax),0)</f>
        <v>5.8500000000000003E-2</v>
      </c>
      <c r="W587" s="443">
        <f>V587*W586</f>
        <v>0</v>
      </c>
      <c r="X587" s="340">
        <f>_xlfn.IFNA(_xlfn.IFNA(VLOOKUP(pStartYear+7,tbPayrollTax,2,FALSE),vl_MaxPayrollTax),0)</f>
        <v>5.8500000000000003E-2</v>
      </c>
      <c r="Y587" s="451">
        <f t="shared" ref="Y587" si="2547">X587*Y586</f>
        <v>0</v>
      </c>
      <c r="Z587" s="339">
        <f>_xlfn.IFNA(_xlfn.IFNA(VLOOKUP(pStartYear+8,tbPayrollTax,2,FALSE),vl_MaxPayrollTax),0)</f>
        <v>5.8500000000000003E-2</v>
      </c>
      <c r="AA587" s="443">
        <f>Z587*AA586</f>
        <v>0</v>
      </c>
      <c r="AB587" s="340">
        <f>_xlfn.IFNA(_xlfn.IFNA(VLOOKUP(pStartYear+9,tbPayrollTax,2,FALSE),vl_MaxPayrollTax),0)</f>
        <v>5.8500000000000003E-2</v>
      </c>
      <c r="AC587" s="451">
        <f t="shared" ref="AC587" si="2548">AB587*AC586</f>
        <v>0</v>
      </c>
      <c r="AD587" s="335"/>
      <c r="AE587" s="1152"/>
      <c r="AF587" s="1152"/>
      <c r="AG587" s="1152"/>
      <c r="AH587" s="1152"/>
      <c r="AI587" s="1152"/>
      <c r="AJ587" s="1152"/>
      <c r="AK587" s="1152"/>
      <c r="AL587" s="1152"/>
      <c r="AM587" s="1152"/>
      <c r="AN587" s="1152"/>
      <c r="AO587" s="1152"/>
      <c r="AP587" s="1152"/>
      <c r="AQ587" s="1152"/>
      <c r="AR587" s="1152"/>
      <c r="AS587" s="1152"/>
      <c r="AT587" s="1152"/>
      <c r="AU587" s="1152"/>
      <c r="AV587" s="1152"/>
      <c r="AW587" s="1152"/>
      <c r="AX587" s="1152"/>
      <c r="AY587" s="1152"/>
      <c r="AZ587" s="1152"/>
      <c r="BA587" s="1152"/>
      <c r="BB587" s="1152"/>
      <c r="BC587" s="1152"/>
      <c r="BD587" s="1152"/>
    </row>
    <row r="588" spans="1:56" hidden="1" outlineLevel="1" x14ac:dyDescent="0.3">
      <c r="A588" s="1182"/>
      <c r="B588" s="1379"/>
      <c r="C588" s="1379"/>
      <c r="D588" s="1379"/>
      <c r="E588" s="1379"/>
      <c r="F588" s="1379"/>
      <c r="G588" s="1379"/>
      <c r="H588" s="1380"/>
      <c r="I588" s="455" t="s">
        <v>317</v>
      </c>
      <c r="J588" s="339">
        <f>_xlfn.IFNA(VLOOKUP($D582,tbWorkCover,2,FALSE),0)</f>
        <v>0</v>
      </c>
      <c r="K588" s="443">
        <f>J588*K586</f>
        <v>0</v>
      </c>
      <c r="L588" s="340">
        <f>_xlfn.IFNA(VLOOKUP($D582,tbWorkCover,2,FALSE),0)</f>
        <v>0</v>
      </c>
      <c r="M588" s="451">
        <f t="shared" ref="M588" si="2549">L588*M586</f>
        <v>0</v>
      </c>
      <c r="N588" s="339">
        <f>_xlfn.IFNA(VLOOKUP($D582,tbWorkCover,2,FALSE),0)</f>
        <v>0</v>
      </c>
      <c r="O588" s="443">
        <f>N588*O586</f>
        <v>0</v>
      </c>
      <c r="P588" s="340">
        <f>_xlfn.IFNA(VLOOKUP($D582,tbWorkCover,2,FALSE),0)</f>
        <v>0</v>
      </c>
      <c r="Q588" s="451">
        <f t="shared" ref="Q588" si="2550">P588*Q586</f>
        <v>0</v>
      </c>
      <c r="R588" s="339">
        <f>_xlfn.IFNA(VLOOKUP($D582,tbWorkCover,2,FALSE),0)</f>
        <v>0</v>
      </c>
      <c r="S588" s="443">
        <f>R588*S586</f>
        <v>0</v>
      </c>
      <c r="T588" s="340">
        <f>_xlfn.IFNA(VLOOKUP($D582,tbWorkCover,2,FALSE),0)</f>
        <v>0</v>
      </c>
      <c r="U588" s="451">
        <f t="shared" ref="U588" si="2551">T588*U586</f>
        <v>0</v>
      </c>
      <c r="V588" s="339">
        <f>_xlfn.IFNA(VLOOKUP($D582,tbWorkCover,2,FALSE),0)</f>
        <v>0</v>
      </c>
      <c r="W588" s="443">
        <f>V588*W586</f>
        <v>0</v>
      </c>
      <c r="X588" s="340">
        <f>_xlfn.IFNA(VLOOKUP($D582,tbWorkCover,2,FALSE),0)</f>
        <v>0</v>
      </c>
      <c r="Y588" s="451">
        <f t="shared" ref="Y588" si="2552">X588*Y586</f>
        <v>0</v>
      </c>
      <c r="Z588" s="339">
        <f>_xlfn.IFNA(VLOOKUP($D582,tbWorkCover,2,FALSE),0)</f>
        <v>0</v>
      </c>
      <c r="AA588" s="443">
        <f>Z588*AA586</f>
        <v>0</v>
      </c>
      <c r="AB588" s="340">
        <f>_xlfn.IFNA(VLOOKUP($D582,tbWorkCover,2,FALSE),0)</f>
        <v>0</v>
      </c>
      <c r="AC588" s="451">
        <f t="shared" ref="AC588" si="2553">AB588*AC586</f>
        <v>0</v>
      </c>
      <c r="AD588" s="335"/>
      <c r="AE588" s="1152"/>
      <c r="AF588" s="1152"/>
      <c r="AG588" s="1152"/>
      <c r="AH588" s="1152"/>
      <c r="AI588" s="1152"/>
      <c r="AJ588" s="1152"/>
      <c r="AK588" s="1152"/>
      <c r="AL588" s="1152"/>
      <c r="AM588" s="1152"/>
      <c r="AN588" s="1152"/>
      <c r="AO588" s="1152"/>
      <c r="AP588" s="1152"/>
      <c r="AQ588" s="1152"/>
      <c r="AR588" s="1152"/>
      <c r="AS588" s="1152"/>
      <c r="AT588" s="1152"/>
      <c r="AU588" s="1152"/>
      <c r="AV588" s="1152"/>
      <c r="AW588" s="1152"/>
      <c r="AX588" s="1152"/>
      <c r="AY588" s="1152"/>
      <c r="AZ588" s="1152"/>
      <c r="BA588" s="1152"/>
      <c r="BB588" s="1152"/>
      <c r="BC588" s="1152"/>
      <c r="BD588" s="1152"/>
    </row>
    <row r="589" spans="1:56" hidden="1" outlineLevel="1" x14ac:dyDescent="0.3">
      <c r="A589" s="1182"/>
      <c r="B589" s="1379"/>
      <c r="C589" s="1379"/>
      <c r="D589" s="1379"/>
      <c r="E589" s="1379"/>
      <c r="F589" s="1379"/>
      <c r="G589" s="1379"/>
      <c r="H589" s="1380"/>
      <c r="I589" s="455" t="s">
        <v>318</v>
      </c>
      <c r="J589" s="339">
        <f>_xlfn.IFNA(VLOOKUP($D582,tbLongServiceLeave,2,FALSE),0)</f>
        <v>0</v>
      </c>
      <c r="K589" s="443">
        <f>J589*K583</f>
        <v>0</v>
      </c>
      <c r="L589" s="340">
        <f>_xlfn.IFNA(VLOOKUP($D582,tbLongServiceLeave,2,FALSE),0)</f>
        <v>0</v>
      </c>
      <c r="M589" s="451">
        <f t="shared" ref="M589" si="2554">L589*M583</f>
        <v>0</v>
      </c>
      <c r="N589" s="339">
        <f>_xlfn.IFNA(VLOOKUP($D582,tbLongServiceLeave,2,FALSE),0)</f>
        <v>0</v>
      </c>
      <c r="O589" s="443">
        <f>N589*O583</f>
        <v>0</v>
      </c>
      <c r="P589" s="340">
        <f>_xlfn.IFNA(VLOOKUP($D582,tbLongServiceLeave,2,FALSE),0)</f>
        <v>0</v>
      </c>
      <c r="Q589" s="451">
        <f t="shared" ref="Q589" si="2555">P589*Q583</f>
        <v>0</v>
      </c>
      <c r="R589" s="339">
        <f>_xlfn.IFNA(VLOOKUP($D582,tbLongServiceLeave,2,FALSE),0)</f>
        <v>0</v>
      </c>
      <c r="S589" s="443">
        <f>R589*S583</f>
        <v>0</v>
      </c>
      <c r="T589" s="340">
        <f>_xlfn.IFNA(VLOOKUP($D582,tbLongServiceLeave,2,FALSE),0)</f>
        <v>0</v>
      </c>
      <c r="U589" s="451">
        <f t="shared" ref="U589" si="2556">T589*U583</f>
        <v>0</v>
      </c>
      <c r="V589" s="339">
        <f>_xlfn.IFNA(VLOOKUP($D582,tbLongServiceLeave,2,FALSE),0)</f>
        <v>0</v>
      </c>
      <c r="W589" s="443">
        <f>V589*W583</f>
        <v>0</v>
      </c>
      <c r="X589" s="340">
        <f>_xlfn.IFNA(VLOOKUP($D582,tbLongServiceLeave,2,FALSE),0)</f>
        <v>0</v>
      </c>
      <c r="Y589" s="451">
        <f t="shared" ref="Y589" si="2557">X589*Y583</f>
        <v>0</v>
      </c>
      <c r="Z589" s="339">
        <f>_xlfn.IFNA(VLOOKUP($D582,tbLongServiceLeave,2,FALSE),0)</f>
        <v>0</v>
      </c>
      <c r="AA589" s="443">
        <f>Z589*AA583</f>
        <v>0</v>
      </c>
      <c r="AB589" s="340">
        <f>_xlfn.IFNA(VLOOKUP($D582,tbLongServiceLeave,2,FALSE),0)</f>
        <v>0</v>
      </c>
      <c r="AC589" s="451">
        <f t="shared" ref="AC589" si="2558">AB589*AC583</f>
        <v>0</v>
      </c>
      <c r="AD589" s="335"/>
      <c r="AE589" s="1152"/>
      <c r="AF589" s="1152"/>
      <c r="AG589" s="1152"/>
      <c r="AH589" s="1152"/>
      <c r="AI589" s="1152"/>
      <c r="AJ589" s="1152"/>
      <c r="AK589" s="1152"/>
      <c r="AL589" s="1152"/>
      <c r="AM589" s="1152"/>
      <c r="AN589" s="1152"/>
      <c r="AO589" s="1152"/>
      <c r="AP589" s="1152"/>
      <c r="AQ589" s="1152"/>
      <c r="AR589" s="1152"/>
      <c r="AS589" s="1152"/>
      <c r="AT589" s="1152"/>
      <c r="AU589" s="1152"/>
      <c r="AV589" s="1152"/>
      <c r="AW589" s="1152"/>
      <c r="AX589" s="1152"/>
      <c r="AY589" s="1152"/>
      <c r="AZ589" s="1152"/>
      <c r="BA589" s="1152"/>
      <c r="BB589" s="1152"/>
      <c r="BC589" s="1152"/>
      <c r="BD589" s="1152"/>
    </row>
    <row r="590" spans="1:56" hidden="1" outlineLevel="1" x14ac:dyDescent="0.3">
      <c r="A590" s="1182"/>
      <c r="B590" s="1379"/>
      <c r="C590" s="1379"/>
      <c r="D590" s="1379"/>
      <c r="E590" s="1379"/>
      <c r="F590" s="1379"/>
      <c r="G590" s="1379"/>
      <c r="H590" s="1380"/>
      <c r="I590" s="455" t="s">
        <v>319</v>
      </c>
      <c r="J590" s="339">
        <f>_xlfn.IFNA(VLOOKUP($D582,tbParentalLeave,2,FALSE),0)</f>
        <v>0</v>
      </c>
      <c r="K590" s="443">
        <f>J590*K583</f>
        <v>0</v>
      </c>
      <c r="L590" s="340">
        <f>_xlfn.IFNA(VLOOKUP($D582,tbParentalLeave,2,FALSE),0)</f>
        <v>0</v>
      </c>
      <c r="M590" s="451">
        <f t="shared" ref="M590" si="2559">L590*M583</f>
        <v>0</v>
      </c>
      <c r="N590" s="339">
        <f>_xlfn.IFNA(VLOOKUP($D582,tbParentalLeave,2,FALSE),0)</f>
        <v>0</v>
      </c>
      <c r="O590" s="443">
        <f>N590*O583</f>
        <v>0</v>
      </c>
      <c r="P590" s="340">
        <f>_xlfn.IFNA(VLOOKUP($D582,tbParentalLeave,2,FALSE),0)</f>
        <v>0</v>
      </c>
      <c r="Q590" s="451">
        <f t="shared" ref="Q590" si="2560">P590*Q583</f>
        <v>0</v>
      </c>
      <c r="R590" s="339">
        <f>_xlfn.IFNA(VLOOKUP($D582,tbParentalLeave,2,FALSE),0)</f>
        <v>0</v>
      </c>
      <c r="S590" s="443">
        <f>R590*S583</f>
        <v>0</v>
      </c>
      <c r="T590" s="340">
        <f>_xlfn.IFNA(VLOOKUP($D582,tbParentalLeave,2,FALSE),0)</f>
        <v>0</v>
      </c>
      <c r="U590" s="451">
        <f t="shared" ref="U590" si="2561">T590*U583</f>
        <v>0</v>
      </c>
      <c r="V590" s="339">
        <f>_xlfn.IFNA(VLOOKUP($D582,tbParentalLeave,2,FALSE),0)</f>
        <v>0</v>
      </c>
      <c r="W590" s="443">
        <f>V590*W583</f>
        <v>0</v>
      </c>
      <c r="X590" s="340">
        <f>_xlfn.IFNA(VLOOKUP($D582,tbParentalLeave,2,FALSE),0)</f>
        <v>0</v>
      </c>
      <c r="Y590" s="451">
        <f t="shared" ref="Y590" si="2562">X590*Y583</f>
        <v>0</v>
      </c>
      <c r="Z590" s="339">
        <f>_xlfn.IFNA(VLOOKUP($D582,tbParentalLeave,2,FALSE),0)</f>
        <v>0</v>
      </c>
      <c r="AA590" s="443">
        <f>Z590*AA583</f>
        <v>0</v>
      </c>
      <c r="AB590" s="340">
        <f>_xlfn.IFNA(VLOOKUP($D582,tbParentalLeave,2,FALSE),0)</f>
        <v>0</v>
      </c>
      <c r="AC590" s="451">
        <f t="shared" ref="AC590" si="2563">AB590*AC583</f>
        <v>0</v>
      </c>
      <c r="AD590" s="335"/>
      <c r="AE590" s="1152"/>
      <c r="AF590" s="1152"/>
      <c r="AG590" s="1152"/>
      <c r="AH590" s="1152"/>
      <c r="AI590" s="1152"/>
      <c r="AJ590" s="1152"/>
      <c r="AK590" s="1152"/>
      <c r="AL590" s="1152"/>
      <c r="AM590" s="1152"/>
      <c r="AN590" s="1152"/>
      <c r="AO590" s="1152"/>
      <c r="AP590" s="1152"/>
      <c r="AQ590" s="1152"/>
      <c r="AR590" s="1152"/>
      <c r="AS590" s="1152"/>
      <c r="AT590" s="1152"/>
      <c r="AU590" s="1152"/>
      <c r="AV590" s="1152"/>
      <c r="AW590" s="1152"/>
      <c r="AX590" s="1152"/>
      <c r="AY590" s="1152"/>
      <c r="AZ590" s="1152"/>
      <c r="BA590" s="1152"/>
      <c r="BB590" s="1152"/>
      <c r="BC590" s="1152"/>
      <c r="BD590" s="1152"/>
    </row>
    <row r="591" spans="1:56" hidden="1" outlineLevel="1" x14ac:dyDescent="0.3">
      <c r="A591" s="1182"/>
      <c r="B591" s="1379"/>
      <c r="C591" s="1379"/>
      <c r="D591" s="1379"/>
      <c r="E591" s="1379"/>
      <c r="F591" s="1379"/>
      <c r="G591" s="1379"/>
      <c r="H591" s="1380"/>
      <c r="I591" s="437" t="s">
        <v>320</v>
      </c>
      <c r="J591" s="438">
        <f>vl_overridden_uom_oncosts_per</f>
        <v>0</v>
      </c>
      <c r="K591" s="445">
        <f>J591*K583</f>
        <v>0</v>
      </c>
      <c r="L591" s="438">
        <f>vl_overridden_uom_oncosts_per</f>
        <v>0</v>
      </c>
      <c r="M591" s="445">
        <f>L591*M583</f>
        <v>0</v>
      </c>
      <c r="N591" s="438">
        <f>vl_overridden_uom_oncosts_per</f>
        <v>0</v>
      </c>
      <c r="O591" s="445">
        <f t="shared" ref="O591" si="2564">N591*O583</f>
        <v>0</v>
      </c>
      <c r="P591" s="438">
        <f>vl_overridden_uom_oncosts_per</f>
        <v>0</v>
      </c>
      <c r="Q591" s="445">
        <f t="shared" ref="Q591" si="2565">P591*Q583</f>
        <v>0</v>
      </c>
      <c r="R591" s="438">
        <f>vl_overridden_uom_oncosts_per</f>
        <v>0</v>
      </c>
      <c r="S591" s="445">
        <f t="shared" ref="S591" si="2566">R591*S583</f>
        <v>0</v>
      </c>
      <c r="T591" s="438">
        <f>vl_overridden_uom_oncosts_per</f>
        <v>0</v>
      </c>
      <c r="U591" s="445">
        <f t="shared" ref="U591" si="2567">T591*U583</f>
        <v>0</v>
      </c>
      <c r="V591" s="438">
        <f>vl_overridden_uom_oncosts_per</f>
        <v>0</v>
      </c>
      <c r="W591" s="445">
        <f t="shared" ref="W591" si="2568">V591*W583</f>
        <v>0</v>
      </c>
      <c r="X591" s="438">
        <f>vl_overridden_uom_oncosts_per</f>
        <v>0</v>
      </c>
      <c r="Y591" s="445">
        <f t="shared" ref="Y591" si="2569">X591*Y583</f>
        <v>0</v>
      </c>
      <c r="Z591" s="438">
        <f>vl_overridden_uom_oncosts_per</f>
        <v>0</v>
      </c>
      <c r="AA591" s="445">
        <f t="shared" ref="AA591" si="2570">Z591*AA583</f>
        <v>0</v>
      </c>
      <c r="AB591" s="438">
        <f>vl_overridden_uom_oncosts_per</f>
        <v>0</v>
      </c>
      <c r="AC591" s="445">
        <f t="shared" ref="AC591" si="2571">AB591*AC583</f>
        <v>0</v>
      </c>
      <c r="AD591" s="335"/>
      <c r="AE591" s="1152"/>
      <c r="AF591" s="1152"/>
      <c r="AG591" s="1152"/>
      <c r="AH591" s="1152"/>
      <c r="AI591" s="1152"/>
      <c r="AJ591" s="1152"/>
      <c r="AK591" s="1152"/>
      <c r="AL591" s="1152"/>
      <c r="AM591" s="1152"/>
      <c r="AN591" s="1152"/>
      <c r="AO591" s="1152"/>
      <c r="AP591" s="1152"/>
      <c r="AQ591" s="1152"/>
      <c r="AR591" s="1152"/>
      <c r="AS591" s="1152"/>
      <c r="AT591" s="1152"/>
      <c r="AU591" s="1152"/>
      <c r="AV591" s="1152"/>
      <c r="AW591" s="1152"/>
      <c r="AX591" s="1152"/>
      <c r="AY591" s="1152"/>
      <c r="AZ591" s="1152"/>
      <c r="BA591" s="1152"/>
      <c r="BB591" s="1152"/>
      <c r="BC591" s="1152"/>
      <c r="BD591" s="1152"/>
    </row>
    <row r="592" spans="1:56" hidden="1" outlineLevel="1" x14ac:dyDescent="0.3">
      <c r="A592" s="1182"/>
      <c r="B592" s="1379"/>
      <c r="C592" s="1379"/>
      <c r="D592" s="1379"/>
      <c r="E592" s="1379"/>
      <c r="F592" s="1379"/>
      <c r="G592" s="1379"/>
      <c r="H592" s="1380"/>
      <c r="I592" s="341" t="s">
        <v>321</v>
      </c>
      <c r="J592" s="342"/>
      <c r="K592" s="444">
        <f>SUM(K586:K591)</f>
        <v>0</v>
      </c>
      <c r="L592" s="342"/>
      <c r="M592" s="444">
        <f t="shared" ref="M592" si="2572">SUM(M586:M591)</f>
        <v>0</v>
      </c>
      <c r="N592" s="342"/>
      <c r="O592" s="444">
        <f t="shared" ref="O592" si="2573">SUM(O586:O591)</f>
        <v>0</v>
      </c>
      <c r="P592" s="342"/>
      <c r="Q592" s="444">
        <f t="shared" ref="Q592" si="2574">SUM(Q586:Q591)</f>
        <v>0</v>
      </c>
      <c r="R592" s="342"/>
      <c r="S592" s="444">
        <f t="shared" ref="S592" si="2575">SUM(S586:S591)</f>
        <v>0</v>
      </c>
      <c r="T592" s="342"/>
      <c r="U592" s="444">
        <f t="shared" ref="U592" si="2576">SUM(U586:U591)</f>
        <v>0</v>
      </c>
      <c r="V592" s="342"/>
      <c r="W592" s="444">
        <f t="shared" ref="W592" si="2577">SUM(W586:W591)</f>
        <v>0</v>
      </c>
      <c r="X592" s="342"/>
      <c r="Y592" s="444">
        <f t="shared" ref="Y592" si="2578">SUM(Y586:Y591)</f>
        <v>0</v>
      </c>
      <c r="Z592" s="342"/>
      <c r="AA592" s="444">
        <f t="shared" ref="AA592" si="2579">SUM(AA586:AA591)</f>
        <v>0</v>
      </c>
      <c r="AB592" s="342"/>
      <c r="AC592" s="444">
        <f t="shared" ref="AC592" si="2580">SUM(AC586:AC591)</f>
        <v>0</v>
      </c>
      <c r="AD592" s="335">
        <f t="shared" si="2543"/>
        <v>0</v>
      </c>
      <c r="AE592" s="1152"/>
      <c r="AF592" s="1152"/>
      <c r="AG592" s="1152"/>
      <c r="AH592" s="1152"/>
      <c r="AI592" s="1152"/>
      <c r="AJ592" s="1152"/>
      <c r="AK592" s="1152"/>
      <c r="AL592" s="1152"/>
      <c r="AM592" s="1152"/>
      <c r="AN592" s="1152"/>
      <c r="AO592" s="1152"/>
      <c r="AP592" s="1152"/>
      <c r="AQ592" s="1152"/>
      <c r="AR592" s="1152"/>
      <c r="AS592" s="1152"/>
      <c r="AT592" s="1152"/>
      <c r="AU592" s="1152"/>
      <c r="AV592" s="1152"/>
      <c r="AW592" s="1152"/>
      <c r="AX592" s="1152"/>
      <c r="AY592" s="1152"/>
      <c r="AZ592" s="1152"/>
      <c r="BA592" s="1152"/>
      <c r="BB592" s="1152"/>
      <c r="BC592" s="1152"/>
      <c r="BD592" s="1152"/>
    </row>
    <row r="593" spans="1:56" hidden="1" outlineLevel="1" x14ac:dyDescent="0.3">
      <c r="A593" s="1182"/>
      <c r="B593" s="1379"/>
      <c r="C593" s="1379"/>
      <c r="D593" s="1379"/>
      <c r="E593" s="1379"/>
      <c r="F593" s="1379"/>
      <c r="G593" s="1379"/>
      <c r="H593" s="1380"/>
      <c r="I593" s="455" t="s">
        <v>322</v>
      </c>
      <c r="J593" s="339">
        <f>_xlfn.IFNA(VLOOKUP($D582,tbAnnualLeaveProvision,2,FALSE),0)</f>
        <v>0</v>
      </c>
      <c r="K593" s="443">
        <f>J593*K583</f>
        <v>0</v>
      </c>
      <c r="L593" s="340">
        <f>_xlfn.IFNA(VLOOKUP($D582,tbAnnualLeaveProvision,2,FALSE),0)</f>
        <v>0</v>
      </c>
      <c r="M593" s="451">
        <f t="shared" ref="M593" si="2581">L593*M583</f>
        <v>0</v>
      </c>
      <c r="N593" s="339">
        <f>_xlfn.IFNA(VLOOKUP($D582,tbAnnualLeaveProvision,2,FALSE),0)</f>
        <v>0</v>
      </c>
      <c r="O593" s="443">
        <f>N593*O583</f>
        <v>0</v>
      </c>
      <c r="P593" s="340">
        <f>_xlfn.IFNA(VLOOKUP($D582,tbAnnualLeaveProvision,2,FALSE),0)</f>
        <v>0</v>
      </c>
      <c r="Q593" s="451">
        <f t="shared" ref="Q593" si="2582">P593*Q583</f>
        <v>0</v>
      </c>
      <c r="R593" s="339">
        <f>_xlfn.IFNA(VLOOKUP($D582,tbAnnualLeaveProvision,2,FALSE),0)</f>
        <v>0</v>
      </c>
      <c r="S593" s="443">
        <f>R593*S583</f>
        <v>0</v>
      </c>
      <c r="T593" s="340">
        <f>_xlfn.IFNA(VLOOKUP($D582,tbAnnualLeaveProvision,2,FALSE),0)</f>
        <v>0</v>
      </c>
      <c r="U593" s="451">
        <f t="shared" ref="U593" si="2583">T593*U583</f>
        <v>0</v>
      </c>
      <c r="V593" s="339">
        <f>_xlfn.IFNA(VLOOKUP($D582,tbAnnualLeaveProvision,2,FALSE),0)</f>
        <v>0</v>
      </c>
      <c r="W593" s="443">
        <f>V593*W583</f>
        <v>0</v>
      </c>
      <c r="X593" s="340">
        <f>_xlfn.IFNA(VLOOKUP($D582,tbAnnualLeaveProvision,2,FALSE),0)</f>
        <v>0</v>
      </c>
      <c r="Y593" s="451">
        <f t="shared" ref="Y593" si="2584">X593*Y583</f>
        <v>0</v>
      </c>
      <c r="Z593" s="339">
        <f>_xlfn.IFNA(VLOOKUP($D582,tbAnnualLeaveProvision,2,FALSE),0)</f>
        <v>0</v>
      </c>
      <c r="AA593" s="443">
        <f>Z593*AA583</f>
        <v>0</v>
      </c>
      <c r="AB593" s="340">
        <f>_xlfn.IFNA(VLOOKUP($D582,tbAnnualLeaveProvision,2,FALSE),0)</f>
        <v>0</v>
      </c>
      <c r="AC593" s="451">
        <f t="shared" ref="AC593" si="2585">AB593*AC583</f>
        <v>0</v>
      </c>
      <c r="AD593" s="335"/>
      <c r="AE593" s="1152"/>
      <c r="AF593" s="1152"/>
      <c r="AG593" s="1152"/>
      <c r="AH593" s="1152"/>
      <c r="AI593" s="1152"/>
      <c r="AJ593" s="1152"/>
      <c r="AK593" s="1152"/>
      <c r="AL593" s="1152"/>
      <c r="AM593" s="1152"/>
      <c r="AN593" s="1152"/>
      <c r="AO593" s="1152"/>
      <c r="AP593" s="1152"/>
      <c r="AQ593" s="1152"/>
      <c r="AR593" s="1152"/>
      <c r="AS593" s="1152"/>
      <c r="AT593" s="1152"/>
      <c r="AU593" s="1152"/>
      <c r="AV593" s="1152"/>
      <c r="AW593" s="1152"/>
      <c r="AX593" s="1152"/>
      <c r="AY593" s="1152"/>
      <c r="AZ593" s="1152"/>
      <c r="BA593" s="1152"/>
      <c r="BB593" s="1152"/>
      <c r="BC593" s="1152"/>
      <c r="BD593" s="1152"/>
    </row>
    <row r="594" spans="1:56" hidden="1" outlineLevel="1" x14ac:dyDescent="0.3">
      <c r="A594" s="1182"/>
      <c r="B594" s="1379"/>
      <c r="C594" s="1379"/>
      <c r="D594" s="1379"/>
      <c r="E594" s="1379"/>
      <c r="F594" s="1379"/>
      <c r="G594" s="1379"/>
      <c r="H594" s="1380"/>
      <c r="I594" s="455" t="s">
        <v>330</v>
      </c>
      <c r="J594" s="339"/>
      <c r="K594" s="446">
        <f>K592+K593</f>
        <v>0</v>
      </c>
      <c r="L594" s="340"/>
      <c r="M594" s="452">
        <f t="shared" ref="M594" si="2586">M592+M593</f>
        <v>0</v>
      </c>
      <c r="N594" s="339"/>
      <c r="O594" s="446">
        <f>O592+O593</f>
        <v>0</v>
      </c>
      <c r="P594" s="340"/>
      <c r="Q594" s="452">
        <f t="shared" ref="Q594" si="2587">Q592+Q593</f>
        <v>0</v>
      </c>
      <c r="R594" s="339"/>
      <c r="S594" s="446">
        <f>S592+S593</f>
        <v>0</v>
      </c>
      <c r="T594" s="340"/>
      <c r="U594" s="452">
        <f t="shared" ref="U594" si="2588">U592+U593</f>
        <v>0</v>
      </c>
      <c r="V594" s="339"/>
      <c r="W594" s="446">
        <f>W592+W593</f>
        <v>0</v>
      </c>
      <c r="X594" s="340"/>
      <c r="Y594" s="452">
        <f t="shared" ref="Y594" si="2589">Y592+Y593</f>
        <v>0</v>
      </c>
      <c r="Z594" s="339"/>
      <c r="AA594" s="446">
        <f>AA592+AA593</f>
        <v>0</v>
      </c>
      <c r="AB594" s="340"/>
      <c r="AC594" s="452">
        <f t="shared" ref="AC594" si="2590">AC592+AC593</f>
        <v>0</v>
      </c>
      <c r="AD594" s="335"/>
      <c r="AE594" s="1152"/>
      <c r="AF594" s="1152"/>
      <c r="AG594" s="1152"/>
      <c r="AH594" s="1152"/>
      <c r="AI594" s="1152"/>
      <c r="AJ594" s="1152"/>
      <c r="AK594" s="1152"/>
      <c r="AL594" s="1152"/>
      <c r="AM594" s="1152"/>
      <c r="AN594" s="1152"/>
      <c r="AO594" s="1152"/>
      <c r="AP594" s="1152"/>
      <c r="AQ594" s="1152"/>
      <c r="AR594" s="1152"/>
      <c r="AS594" s="1152"/>
      <c r="AT594" s="1152"/>
      <c r="AU594" s="1152"/>
      <c r="AV594" s="1152"/>
      <c r="AW594" s="1152"/>
      <c r="AX594" s="1152"/>
      <c r="AY594" s="1152"/>
      <c r="AZ594" s="1152"/>
      <c r="BA594" s="1152"/>
      <c r="BB594" s="1152"/>
      <c r="BC594" s="1152"/>
      <c r="BD594" s="1152"/>
    </row>
    <row r="595" spans="1:56" hidden="1" outlineLevel="1" x14ac:dyDescent="0.3">
      <c r="A595" s="1182"/>
      <c r="B595" s="1379"/>
      <c r="C595" s="1379"/>
      <c r="D595" s="1379"/>
      <c r="E595" s="1379"/>
      <c r="F595" s="1379"/>
      <c r="G595" s="1379"/>
      <c r="H595" s="1380"/>
      <c r="I595" s="462" t="s">
        <v>324</v>
      </c>
      <c r="J595" s="344"/>
      <c r="K595" s="443">
        <f>-(K592/vl_working_days_per_year)*J595</f>
        <v>0</v>
      </c>
      <c r="L595" s="345"/>
      <c r="M595" s="451">
        <f>-(M592/vl_working_days_per_year)*L595</f>
        <v>0</v>
      </c>
      <c r="N595" s="344"/>
      <c r="O595" s="443">
        <f>-(O592/vl_working_days_per_year)*N595</f>
        <v>0</v>
      </c>
      <c r="P595" s="345"/>
      <c r="Q595" s="451">
        <f>-(Q592/vl_working_days_per_year)*P595</f>
        <v>0</v>
      </c>
      <c r="R595" s="344"/>
      <c r="S595" s="443">
        <f>-(S592/vl_working_days_per_year)*R595</f>
        <v>0</v>
      </c>
      <c r="T595" s="345"/>
      <c r="U595" s="451">
        <f>-(U592/vl_working_days_per_year)*T595</f>
        <v>0</v>
      </c>
      <c r="V595" s="344"/>
      <c r="W595" s="443">
        <f>-(W592/vl_working_days_per_year)*V595</f>
        <v>0</v>
      </c>
      <c r="X595" s="345"/>
      <c r="Y595" s="451">
        <f>-(Y592/vl_working_days_per_year)*X595</f>
        <v>0</v>
      </c>
      <c r="Z595" s="344"/>
      <c r="AA595" s="443">
        <f>-(AA592/vl_working_days_per_year)*Z595</f>
        <v>0</v>
      </c>
      <c r="AB595" s="345"/>
      <c r="AC595" s="451">
        <f>-(AC592/vl_working_days_per_year)*AB595</f>
        <v>0</v>
      </c>
      <c r="AD595" s="335">
        <f t="shared" si="2543"/>
        <v>0</v>
      </c>
      <c r="AE595" s="1152"/>
      <c r="AF595" s="1152"/>
      <c r="AG595" s="1152"/>
      <c r="AH595" s="1152"/>
      <c r="AI595" s="1152"/>
      <c r="AJ595" s="1152"/>
      <c r="AK595" s="1152"/>
      <c r="AL595" s="1152"/>
      <c r="AM595" s="1152"/>
      <c r="AN595" s="1152"/>
      <c r="AO595" s="1152"/>
      <c r="AP595" s="1152"/>
      <c r="AQ595" s="1152"/>
      <c r="AR595" s="1152"/>
      <c r="AS595" s="1152"/>
      <c r="AT595" s="1152"/>
      <c r="AU595" s="1152"/>
      <c r="AV595" s="1152"/>
      <c r="AW595" s="1152"/>
      <c r="AX595" s="1152"/>
      <c r="AY595" s="1152"/>
      <c r="AZ595" s="1152"/>
      <c r="BA595" s="1152"/>
      <c r="BB595" s="1152"/>
      <c r="BC595" s="1152"/>
      <c r="BD595" s="1152"/>
    </row>
    <row r="596" spans="1:56" hidden="1" outlineLevel="1" x14ac:dyDescent="0.3">
      <c r="A596" s="1182"/>
      <c r="B596" s="1379"/>
      <c r="C596" s="1379"/>
      <c r="D596" s="1379"/>
      <c r="E596" s="1379"/>
      <c r="F596" s="1379"/>
      <c r="G596" s="1379"/>
      <c r="H596" s="1380"/>
      <c r="I596" s="341" t="s">
        <v>325</v>
      </c>
      <c r="J596" s="346"/>
      <c r="K596" s="444">
        <f>K594+K595</f>
        <v>0</v>
      </c>
      <c r="L596" s="346"/>
      <c r="M596" s="444">
        <f t="shared" ref="M596" si="2591">M594+M595</f>
        <v>0</v>
      </c>
      <c r="N596" s="346"/>
      <c r="O596" s="444">
        <f>O594+O595</f>
        <v>0</v>
      </c>
      <c r="P596" s="346"/>
      <c r="Q596" s="444">
        <f t="shared" ref="Q596" si="2592">Q594+Q595</f>
        <v>0</v>
      </c>
      <c r="R596" s="346"/>
      <c r="S596" s="444">
        <f>S594+S595</f>
        <v>0</v>
      </c>
      <c r="T596" s="346"/>
      <c r="U596" s="444">
        <f t="shared" ref="U596" si="2593">U594+U595</f>
        <v>0</v>
      </c>
      <c r="V596" s="346"/>
      <c r="W596" s="444">
        <f>W594+W595</f>
        <v>0</v>
      </c>
      <c r="X596" s="346"/>
      <c r="Y596" s="444">
        <f t="shared" ref="Y596" si="2594">Y594+Y595</f>
        <v>0</v>
      </c>
      <c r="Z596" s="346"/>
      <c r="AA596" s="444">
        <f>AA594+AA595</f>
        <v>0</v>
      </c>
      <c r="AB596" s="346"/>
      <c r="AC596" s="444">
        <f t="shared" ref="AC596" si="2595">AC594+AC595</f>
        <v>0</v>
      </c>
      <c r="AD596" s="335">
        <f t="shared" si="2543"/>
        <v>0</v>
      </c>
      <c r="AE596" s="1152"/>
      <c r="AF596" s="1152"/>
      <c r="AG596" s="1152"/>
      <c r="AH596" s="1152"/>
      <c r="AI596" s="1152"/>
      <c r="AJ596" s="1152"/>
      <c r="AK596" s="1152"/>
      <c r="AL596" s="1152"/>
      <c r="AM596" s="1152"/>
      <c r="AN596" s="1152"/>
      <c r="AO596" s="1152"/>
      <c r="AP596" s="1152"/>
      <c r="AQ596" s="1152"/>
      <c r="AR596" s="1152"/>
      <c r="AS596" s="1152"/>
      <c r="AT596" s="1152"/>
      <c r="AU596" s="1152"/>
      <c r="AV596" s="1152"/>
      <c r="AW596" s="1152"/>
      <c r="AX596" s="1152"/>
      <c r="AY596" s="1152"/>
      <c r="AZ596" s="1152"/>
      <c r="BA596" s="1152"/>
      <c r="BB596" s="1152"/>
      <c r="BC596" s="1152"/>
      <c r="BD596" s="1152"/>
    </row>
    <row r="597" spans="1:56" s="1" customFormat="1" ht="15" hidden="1" customHeight="1" outlineLevel="1" x14ac:dyDescent="0.3">
      <c r="A597" s="727"/>
      <c r="B597" s="1379"/>
      <c r="C597" s="1379"/>
      <c r="D597" s="1379"/>
      <c r="E597" s="1379"/>
      <c r="F597" s="1379"/>
      <c r="G597" s="1379"/>
      <c r="H597" s="1380"/>
      <c r="I597" s="463" t="s">
        <v>326</v>
      </c>
      <c r="J597" s="383">
        <f>IFERROR(K597/K583,0)</f>
        <v>0</v>
      </c>
      <c r="K597" s="447">
        <f>SUM(K584:K585,K587:K590,K593)</f>
        <v>0</v>
      </c>
      <c r="L597" s="434">
        <f>IFERROR(M597/M583,0)</f>
        <v>0</v>
      </c>
      <c r="M597" s="453">
        <f t="shared" ref="M597" si="2596">SUM(M584:M585,M587:M590,M593)</f>
        <v>0</v>
      </c>
      <c r="N597" s="383">
        <f t="shared" ref="N597" si="2597">IFERROR(O597/O583,0)</f>
        <v>0</v>
      </c>
      <c r="O597" s="447">
        <f t="shared" ref="O597" si="2598">SUM(O584:O585,O587:O590,O593)</f>
        <v>0</v>
      </c>
      <c r="P597" s="434">
        <f t="shared" ref="P597" si="2599">IFERROR(Q597/Q583,0)</f>
        <v>0</v>
      </c>
      <c r="Q597" s="453">
        <f t="shared" ref="Q597" si="2600">SUM(Q584:Q585,Q587:Q590,Q593)</f>
        <v>0</v>
      </c>
      <c r="R597" s="383">
        <f t="shared" ref="R597" si="2601">IFERROR(S597/S583,0)</f>
        <v>0</v>
      </c>
      <c r="S597" s="447">
        <f t="shared" ref="S597" si="2602">SUM(S584:S585,S587:S590,S593)</f>
        <v>0</v>
      </c>
      <c r="T597" s="434">
        <f t="shared" ref="T597" si="2603">IFERROR(U597/U583,0)</f>
        <v>0</v>
      </c>
      <c r="U597" s="453">
        <f t="shared" ref="U597" si="2604">SUM(U584:U585,U587:U590,U593)</f>
        <v>0</v>
      </c>
      <c r="V597" s="383">
        <f t="shared" ref="V597" si="2605">IFERROR(W597/W583,0)</f>
        <v>0</v>
      </c>
      <c r="W597" s="447">
        <f t="shared" ref="W597" si="2606">SUM(W584:W585,W587:W590,W593)</f>
        <v>0</v>
      </c>
      <c r="X597" s="434">
        <f t="shared" ref="X597" si="2607">IFERROR(Y597/Y583,0)</f>
        <v>0</v>
      </c>
      <c r="Y597" s="453">
        <f t="shared" ref="Y597" si="2608">SUM(Y584:Y585,Y587:Y590,Y593)</f>
        <v>0</v>
      </c>
      <c r="Z597" s="383">
        <f t="shared" ref="Z597" si="2609">IFERROR(AA597/AA583,0)</f>
        <v>0</v>
      </c>
      <c r="AA597" s="447">
        <f t="shared" ref="AA597" si="2610">SUM(AA584:AA585,AA587:AA590,AA593)</f>
        <v>0</v>
      </c>
      <c r="AB597" s="434">
        <f t="shared" ref="AB597" si="2611">IFERROR(AC597/AC583,0)</f>
        <v>0</v>
      </c>
      <c r="AC597" s="453">
        <f t="shared" ref="AC597" si="2612">SUM(AC584:AC585,AC587:AC590,AC593)</f>
        <v>0</v>
      </c>
      <c r="AD597" s="377">
        <f t="shared" si="2543"/>
        <v>0</v>
      </c>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row>
    <row r="598" spans="1:56" hidden="1" outlineLevel="1" x14ac:dyDescent="0.3">
      <c r="A598" s="1182"/>
      <c r="B598" s="1379"/>
      <c r="C598" s="1379"/>
      <c r="D598" s="1379"/>
      <c r="E598" s="1379"/>
      <c r="F598" s="1379"/>
      <c r="G598" s="1379"/>
      <c r="H598" s="1380"/>
      <c r="I598" s="463" t="s">
        <v>327</v>
      </c>
      <c r="J598" s="384">
        <f>pCRInKind</f>
        <v>2.5</v>
      </c>
      <c r="K598" s="447"/>
      <c r="L598" s="435">
        <f>pCRInKind</f>
        <v>2.5</v>
      </c>
      <c r="M598" s="453"/>
      <c r="N598" s="384">
        <f>pCRInKind</f>
        <v>2.5</v>
      </c>
      <c r="O598" s="447"/>
      <c r="P598" s="435">
        <f>pCRInKind</f>
        <v>2.5</v>
      </c>
      <c r="Q598" s="453"/>
      <c r="R598" s="384">
        <f>pCRInKind</f>
        <v>2.5</v>
      </c>
      <c r="S598" s="447"/>
      <c r="T598" s="435">
        <f>pCRInKind</f>
        <v>2.5</v>
      </c>
      <c r="U598" s="453"/>
      <c r="V598" s="384">
        <f>pCRInKind</f>
        <v>2.5</v>
      </c>
      <c r="W598" s="447"/>
      <c r="X598" s="435">
        <f>pCRInKind</f>
        <v>2.5</v>
      </c>
      <c r="Y598" s="453"/>
      <c r="Z598" s="384">
        <f>pCRInKind</f>
        <v>2.5</v>
      </c>
      <c r="AA598" s="447"/>
      <c r="AB598" s="435">
        <f>pCRInKind</f>
        <v>2.5</v>
      </c>
      <c r="AC598" s="453"/>
      <c r="AD598" s="335"/>
      <c r="AE598" s="1152"/>
      <c r="AF598" s="1152"/>
      <c r="AG598" s="1152"/>
      <c r="AH598" s="1152"/>
      <c r="AI598" s="1152"/>
      <c r="AJ598" s="1152"/>
      <c r="AK598" s="1152"/>
      <c r="AL598" s="1152"/>
      <c r="AM598" s="1152"/>
      <c r="AN598" s="1152"/>
      <c r="AO598" s="1152"/>
      <c r="AP598" s="1152"/>
      <c r="AQ598" s="1152"/>
      <c r="AR598" s="1152"/>
      <c r="AS598" s="1152"/>
      <c r="AT598" s="1152"/>
      <c r="AU598" s="1152"/>
      <c r="AV598" s="1152"/>
      <c r="AW598" s="1152"/>
      <c r="AX598" s="1152"/>
      <c r="AY598" s="1152"/>
      <c r="AZ598" s="1152"/>
      <c r="BA598" s="1152"/>
      <c r="BB598" s="1152"/>
      <c r="BC598" s="1152"/>
      <c r="BD598" s="1152"/>
    </row>
    <row r="599" spans="1:56" ht="16.2" hidden="1" outlineLevel="1" thickBot="1" x14ac:dyDescent="0.35">
      <c r="A599" s="1182"/>
      <c r="B599" s="710"/>
      <c r="C599" s="347"/>
      <c r="D599" s="347"/>
      <c r="E599" s="347"/>
      <c r="F599" s="347"/>
      <c r="G599" s="347"/>
      <c r="H599" s="347"/>
      <c r="I599" s="436" t="s">
        <v>329</v>
      </c>
      <c r="J599" s="348"/>
      <c r="K599" s="349">
        <f>J598*K594</f>
        <v>0</v>
      </c>
      <c r="L599" s="348"/>
      <c r="M599" s="349">
        <f t="shared" ref="M599" si="2613">L598*M594</f>
        <v>0</v>
      </c>
      <c r="N599" s="348"/>
      <c r="O599" s="349">
        <f>N598*O594</f>
        <v>0</v>
      </c>
      <c r="P599" s="348"/>
      <c r="Q599" s="349">
        <f t="shared" ref="Q599" si="2614">P598*Q594</f>
        <v>0</v>
      </c>
      <c r="R599" s="348"/>
      <c r="S599" s="349">
        <f>R598*S594</f>
        <v>0</v>
      </c>
      <c r="T599" s="348"/>
      <c r="U599" s="349">
        <f t="shared" ref="U599" si="2615">T598*U594</f>
        <v>0</v>
      </c>
      <c r="V599" s="348"/>
      <c r="W599" s="349">
        <f>V598*W594</f>
        <v>0</v>
      </c>
      <c r="X599" s="348"/>
      <c r="Y599" s="349">
        <f t="shared" ref="Y599" si="2616">X598*Y594</f>
        <v>0</v>
      </c>
      <c r="Z599" s="348"/>
      <c r="AA599" s="349">
        <f>Z598*AA594</f>
        <v>0</v>
      </c>
      <c r="AB599" s="348"/>
      <c r="AC599" s="349">
        <f t="shared" ref="AC599" si="2617">AB598*AC594</f>
        <v>0</v>
      </c>
      <c r="AD599" s="335">
        <f t="shared" si="2543"/>
        <v>0</v>
      </c>
      <c r="AE599" s="1152"/>
      <c r="AF599" s="1152"/>
      <c r="AG599" s="1152"/>
      <c r="AH599" s="1152"/>
      <c r="AI599" s="1152"/>
      <c r="AJ599" s="1152"/>
      <c r="AK599" s="1152"/>
      <c r="AL599" s="1152"/>
      <c r="AM599" s="1152"/>
      <c r="AN599" s="1152"/>
      <c r="AO599" s="1152"/>
      <c r="AP599" s="1152"/>
      <c r="AQ599" s="1152"/>
      <c r="AR599" s="1152"/>
      <c r="AS599" s="1152"/>
      <c r="AT599" s="1152"/>
      <c r="AU599" s="1152"/>
      <c r="AV599" s="1152"/>
      <c r="AW599" s="1152"/>
      <c r="AX599" s="1152"/>
      <c r="AY599" s="1152"/>
      <c r="AZ599" s="1152"/>
      <c r="BA599" s="1152"/>
      <c r="BB599" s="1152"/>
      <c r="BC599" s="1152"/>
      <c r="BD599" s="1152"/>
    </row>
    <row r="600" spans="1:56" ht="15" hidden="1" outlineLevel="1" thickBot="1" x14ac:dyDescent="0.35">
      <c r="A600" s="1182"/>
      <c r="B600" s="1181"/>
      <c r="C600" s="1181"/>
      <c r="D600" s="1181"/>
      <c r="E600" s="1181"/>
      <c r="F600" s="1181"/>
      <c r="G600" s="1181"/>
      <c r="H600" s="1181"/>
      <c r="I600" s="350"/>
      <c r="J600" s="351"/>
      <c r="K600" s="351"/>
      <c r="L600" s="351"/>
      <c r="M600" s="352"/>
      <c r="N600" s="351"/>
      <c r="O600" s="352"/>
      <c r="P600" s="351"/>
      <c r="Q600" s="352"/>
      <c r="R600" s="351"/>
      <c r="S600" s="352"/>
      <c r="T600" s="351"/>
      <c r="U600" s="352"/>
      <c r="V600" s="351"/>
      <c r="W600" s="352"/>
      <c r="X600" s="351"/>
      <c r="Y600" s="352"/>
      <c r="Z600" s="351"/>
      <c r="AA600" s="352"/>
      <c r="AB600" s="351"/>
      <c r="AC600" s="352"/>
      <c r="AD600" s="353" t="str">
        <f>IF(tbBudgetCurrency="AUD - Australian Dollar","",IFERROR(K600+M600+O600+Q600+S600+U600+W600+Y600+AA600+AC600,0))</f>
        <v/>
      </c>
      <c r="AE600" s="1152"/>
      <c r="AF600" s="1152"/>
      <c r="AG600" s="1152"/>
      <c r="AH600" s="1152"/>
      <c r="AI600" s="1152"/>
      <c r="AJ600" s="1152"/>
      <c r="AK600" s="1152"/>
      <c r="AL600" s="1152"/>
      <c r="AM600" s="1152"/>
      <c r="AN600" s="1152"/>
      <c r="AO600" s="1152"/>
      <c r="AP600" s="1152"/>
      <c r="AQ600" s="1152"/>
      <c r="AR600" s="1152"/>
      <c r="AS600" s="1152"/>
      <c r="AT600" s="1152"/>
      <c r="AU600" s="1152"/>
      <c r="AV600" s="1152"/>
      <c r="AW600" s="1152"/>
      <c r="AX600" s="1152"/>
      <c r="AY600" s="1152"/>
      <c r="AZ600" s="1152"/>
      <c r="BA600" s="1152"/>
      <c r="BB600" s="1152"/>
      <c r="BC600" s="1152"/>
      <c r="BD600" s="1152"/>
    </row>
    <row r="601" spans="1:56" hidden="1" outlineLevel="1" x14ac:dyDescent="0.3">
      <c r="A601" s="1182"/>
      <c r="B601" s="460" t="str">
        <f>IF('PART B Staff Costs'!B64="","",'PART B Staff Costs'!B64)</f>
        <v/>
      </c>
      <c r="C601" s="460" t="str">
        <f>IF('PART B Staff Costs'!C64="","",'PART B Staff Costs'!C64)</f>
        <v xml:space="preserve"> </v>
      </c>
      <c r="D601" s="461" t="str">
        <f>IF('PART B Staff Costs'!D64="","",'PART B Staff Costs'!D64)</f>
        <v/>
      </c>
      <c r="E601" s="461" t="str">
        <f>IF('PART B Staff Costs'!E64="","",'PART B Staff Costs'!E64)</f>
        <v/>
      </c>
      <c r="F601" s="461" t="str">
        <f>IF('PART B Staff Costs'!F64="","",'PART B Staff Costs'!F64)</f>
        <v/>
      </c>
      <c r="G601" s="461" t="str">
        <f>IF('PART B Staff Costs'!G64="","",'PART B Staff Costs'!G64)</f>
        <v/>
      </c>
      <c r="H601" s="454" t="str">
        <f t="shared" ref="H601" si="2618">CONCATENATE(IF(D601=0,"",D601)," ",IF(E601=0,"",E601)," ",IF(F601=0,"",F601),,IF(OR(G601=0,G601=""),"",CONCATENATE(" (",G601,")")))</f>
        <v xml:space="preserve">  </v>
      </c>
      <c r="I601" s="454" t="s">
        <v>313</v>
      </c>
      <c r="J601" s="333">
        <f>_xlfn.IFNA('PART B Staff Costs'!H64*'PART B Staff Costs'!J$10,0)*new_xrate</f>
        <v>0</v>
      </c>
      <c r="K601" s="441"/>
      <c r="L601" s="334">
        <f>_xlfn.IFNA(IF(pStartYear+1&gt;pEndYear,0,VLOOKUP(CONCATENATE(
IF(OR($D601="Continuing",$D601="Fixed-Term"),"Fortnight",IF($D601="Casual","Casual",)),
$E601,
IF(OR($D601="Continuing",$D601="Fixed-Term"),
IF(LEFT($F601,6)="UOM 10","UOM 10",(LEFT($F601,LEN($F601)-1)&amp;MIN(RIGHT($F601,1)+COUNTIFS($J602:K602,"&gt;0")/2,VLOOKUP(LEFT($F601,LEN($F601)-2),tSalaryMax,2,FALSE)))),
IF($D601="Casual",
$F601,))
),tSalaryRate,5,FALSE)*VLOOKUP($G601,tSalaryRateMultiplier,2,FALSE)*'PART B Staff Costs'!L$10),0)*new_xrate</f>
        <v>0</v>
      </c>
      <c r="M601" s="449"/>
      <c r="N601" s="333">
        <f>_xlfn.IFNA(IF(pStartYear+2&gt;pEndYear,0,VLOOKUP(CONCATENATE(
IF(OR($D601="Continuing",$D601="Fixed-Term"),"Fortnight",IF($D601="Casual","Casual",)),
$E601,
IF(OR($D601="Continuing",$D601="Fixed-Term"),
IF(LEFT($F601,6)="UOM 10","UOM 10",(LEFT($F601,LEN($F601)-1)&amp;MIN(RIGHT($F601,1)+COUNTIFS($J602:M602,"&gt;0")/2,VLOOKUP(LEFT($F601,LEN($F601)-2),tSalaryMax,2,FALSE)))),
IF($D601="Casual",
$F601,))
),tSalaryRate,5,FALSE)*VLOOKUP($G601,tSalaryRateMultiplier,2,FALSE)*'PART B Staff Costs'!N$10),0)*new_xrate</f>
        <v>0</v>
      </c>
      <c r="O601" s="441"/>
      <c r="P601" s="334">
        <f>_xlfn.IFNA(IF(pStartYear+3&gt;pEndYear,0,VLOOKUP(CONCATENATE(
IF(OR($D601="Continuing",$D601="Fixed-Term"),"Fortnight",IF($D601="Casual","Casual",)),
$E601,
IF(OR($D601="Continuing",$D601="Fixed-Term"),
IF(LEFT($F601,6)="UOM 10","UOM 10",(LEFT($F601,LEN($F601)-1)&amp;MIN(RIGHT($F601,1)+COUNTIFS($J602:O602,"&gt;0")/2,VLOOKUP(LEFT($F601,LEN($F601)-2),tSalaryMax,2,FALSE)))),
IF($D601="Casual",
$F601,))
),tSalaryRate,5,FALSE)*VLOOKUP($G601,tSalaryRateMultiplier,2,FALSE)*'PART B Staff Costs'!P$10),0)*new_xrate</f>
        <v>0</v>
      </c>
      <c r="Q601" s="449"/>
      <c r="R601" s="333">
        <f>_xlfn.IFNA(IF(pStartYear+4&gt;pEndYear,0,VLOOKUP(CONCATENATE(
IF(OR($D601="Continuing",$D601="Fixed-Term"),"Fortnight",IF($D601="Casual","Casual",)),
$E601,
IF(OR($D601="Continuing",$D601="Fixed-Term"),
IF(LEFT($F601,6)="UOM 10","UOM 10",(LEFT($F601,LEN($F601)-1)&amp;MIN(RIGHT($F601,1)+COUNTIFS($J602:Q602,"&gt;0")/2,VLOOKUP(LEFT($F601,LEN($F601)-2),tSalaryMax,2,FALSE)))),
IF($D601="Casual",
$F601,))
),tSalaryRate,5,FALSE)*VLOOKUP($G601,tSalaryRateMultiplier,2,FALSE)*'PART B Staff Costs'!R$10),0)*new_xrate</f>
        <v>0</v>
      </c>
      <c r="S601" s="441"/>
      <c r="T601" s="334">
        <f>_xlfn.IFNA(IF(pStartYear+5&gt;pEndYear,0,VLOOKUP(CONCATENATE(
IF(OR($D601="Continuing",$D601="Fixed-Term"),"Fortnight",IF($D601="Casual","Casual",)),
$E601,
IF(OR($D601="Continuing",$D601="Fixed-Term"),
IF(LEFT($F601,6)="UOM 10","UOM 10",(LEFT($F601,LEN($F601)-1)&amp;MIN(RIGHT($F601,1)+COUNTIFS($J602:S602,"&gt;0")/2,VLOOKUP(LEFT($F601,LEN($F601)-2),tSalaryMax,2,FALSE)))),
IF($D601="Casual",
$F601,))
),tSalaryRate,5,FALSE)*VLOOKUP($G601,tSalaryRateMultiplier,2,FALSE)*'PART B Staff Costs'!T$10),0)*new_xrate</f>
        <v>0</v>
      </c>
      <c r="U601" s="449"/>
      <c r="V601" s="333">
        <f>_xlfn.IFNA(IF(pStartYear+6&gt;pEndYear,0,VLOOKUP(CONCATENATE(
IF(OR($D601="Continuing",$D601="Fixed-Term"),"Fortnight",IF($D601="Casual","Casual",)),
$E601,
IF(OR($D601="Continuing",$D601="Fixed-Term"),
IF(LEFT($F601,6)="UOM 10","UOM 10",(LEFT($F601,LEN($F601)-1)&amp;MIN(RIGHT($F601,1)+COUNTIFS($J602:U602,"&gt;0")/2,VLOOKUP(LEFT($F601,LEN($F601)-2),tSalaryMax,2,FALSE)))),
IF($D601="Casual",
$F601,))
),tSalaryRate,5,FALSE)*VLOOKUP($G601,tSalaryRateMultiplier,2,FALSE)*'PART B Staff Costs'!V$10),0)*new_xrate</f>
        <v>0</v>
      </c>
      <c r="W601" s="441"/>
      <c r="X601" s="334">
        <f>_xlfn.IFNA(IF(pStartYear+7&gt;pEndYear,0,VLOOKUP(CONCATENATE(
IF(OR($D601="Continuing",$D601="Fixed-Term"),"Fortnight",IF($D601="Casual","Casual",)),
$E601,
IF(OR($D601="Continuing",$D601="Fixed-Term"),
IF(LEFT($F601,6)="UOM 10","UOM 10",(LEFT($F601,LEN($F601)-1)&amp;MIN(RIGHT($F601,1)+COUNTIFS($J602:W602,"&gt;0")/2,VLOOKUP(LEFT($F601,LEN($F601)-2),tSalaryMax,2,FALSE)))),
IF($D601="Casual",
$F601,))
),tSalaryRate,5,FALSE)*VLOOKUP($G601,tSalaryRateMultiplier,2,FALSE)*'PART B Staff Costs'!X$10),0)*new_xrate</f>
        <v>0</v>
      </c>
      <c r="Y601" s="449"/>
      <c r="Z601" s="333">
        <f>_xlfn.IFNA(IF(pStartYear+8&gt;pEndYear,0,VLOOKUP(CONCATENATE(
IF(OR($D601="Continuing",$D601="Fixed-Term"),"Fortnight",IF($D601="Casual","Casual",)),
$E601,
IF(OR($D601="Continuing",$D601="Fixed-Term"),
IF(LEFT($F601,6)="UOM 10","UOM 10",(LEFT($F601,LEN($F601)-1)&amp;MIN(RIGHT($F601,1)+COUNTIFS($J602:Y602,"&gt;0")/2,VLOOKUP(LEFT($F601,LEN($F601)-2),tSalaryMax,2,FALSE)))),
IF($D601="Casual",
$F601,))
),tSalaryRate,5,FALSE)*VLOOKUP($G601,tSalaryRateMultiplier,2,FALSE)*'PART B Staff Costs'!Z$10),0)*new_xrate</f>
        <v>0</v>
      </c>
      <c r="AA601" s="441"/>
      <c r="AB601" s="334">
        <f>_xlfn.IFNA(IF(pStartYear+9&gt;pEndYear,0,VLOOKUP(CONCATENATE(
IF(OR($D601="Continuing",$D601="Fixed-Term"),"Fortnight",IF($D601="Casual","Casual",)),
$E601,
IF(OR($D601="Continuing",$D601="Fixed-Term"),
IF(LEFT($F601,6)="UOM 10","UOM 10",(LEFT($F601,LEN($F601)-1)&amp;MIN(RIGHT($F601,1)+COUNTIFS($J602:AA602,"&gt;0")/2,VLOOKUP(LEFT($F601,LEN($F601)-2),tSalaryMax,2,FALSE)))),
IF($D601="Casual",
$F601,))
),tSalaryRate,5,FALSE)*VLOOKUP($G601,tSalaryRateMultiplier,2,FALSE)*'PART B Staff Costs'!AB$10),0)*new_xrate</f>
        <v>0</v>
      </c>
      <c r="AC601" s="449"/>
      <c r="AD601" s="335"/>
      <c r="AE601" s="1152"/>
      <c r="AF601" s="1152"/>
      <c r="AG601" s="1152"/>
      <c r="AH601" s="1152"/>
      <c r="AI601" s="1152"/>
      <c r="AJ601" s="1152"/>
      <c r="AK601" s="1152"/>
      <c r="AL601" s="1152"/>
      <c r="AM601" s="1152"/>
      <c r="AN601" s="1152"/>
      <c r="AO601" s="1152"/>
      <c r="AP601" s="1152"/>
      <c r="AQ601" s="1152"/>
      <c r="AR601" s="1152"/>
      <c r="AS601" s="1152"/>
      <c r="AT601" s="1152"/>
      <c r="AU601" s="1152"/>
      <c r="AV601" s="1152"/>
      <c r="AW601" s="1152"/>
      <c r="AX601" s="1152"/>
      <c r="AY601" s="1152"/>
      <c r="AZ601" s="1152"/>
      <c r="BA601" s="1152"/>
      <c r="BB601" s="1152"/>
      <c r="BC601" s="1152"/>
      <c r="BD601" s="1152"/>
    </row>
    <row r="602" spans="1:56" hidden="1" outlineLevel="1" x14ac:dyDescent="0.3">
      <c r="A602" s="1182"/>
      <c r="B602" s="1377"/>
      <c r="C602" s="1377"/>
      <c r="D602" s="1377"/>
      <c r="E602" s="1377"/>
      <c r="F602" s="1377"/>
      <c r="G602" s="1377"/>
      <c r="H602" s="1378"/>
      <c r="I602" s="455" t="str">
        <f>IF('PART B Staff Costs'!G597&lt;&gt;"",CONCATENATE("Time/Requested salary"," (",'PART B Staff Costs'!G597,")"),"Time/Requested salary")</f>
        <v>Time/Requested salary</v>
      </c>
      <c r="J602" s="337">
        <f>_xlfn.IFNA('PART B Staff Costs'!I64,0)</f>
        <v>0</v>
      </c>
      <c r="K602" s="442">
        <f>IF('PART B Staff Costs'!$G$64="FTE",J602*J601*(First_year_fraction/12),J602*J601)</f>
        <v>0</v>
      </c>
      <c r="L602" s="338">
        <f>_xlfn.IFNA('PART B Staff Costs'!K64,0)</f>
        <v>0</v>
      </c>
      <c r="M602" s="450">
        <f>IF(pStartYear+1=pEndYear,IF('PART B Staff Costs'!$G$64="FTE",(L602*L601)*Last_Year_Fraction/12,L602*L601),L602*L601)</f>
        <v>0</v>
      </c>
      <c r="N602" s="337">
        <f>_xlfn.IFNA('PART B Staff Costs'!M64,0)</f>
        <v>0</v>
      </c>
      <c r="O602" s="442">
        <f>IF(pStartYear+2=pEndYear,IF('PART B Staff Costs'!$G$64="FTE",(N602*N601)*Last_Year_Fraction/12,N602*N601),N602*N601)</f>
        <v>0</v>
      </c>
      <c r="P602" s="338">
        <f>_xlfn.IFNA('PART B Staff Costs'!O64,0)</f>
        <v>0</v>
      </c>
      <c r="Q602" s="450">
        <f>IF(pStartYear+3=pEndYear,IF('PART B Staff Costs'!$G$64="FTE",(P602*P601)*Last_Year_Fraction/12,P602*P601),P602*P601)</f>
        <v>0</v>
      </c>
      <c r="R602" s="337">
        <f>_xlfn.IFNA('PART B Staff Costs'!Q64,0)</f>
        <v>0</v>
      </c>
      <c r="S602" s="442">
        <f>IF(pStartYear+4=pEndYear,IF('PART B Staff Costs'!$G$64="FTE",(R602*R601)*Last_Year_Fraction/12,R602*R601),R602*R601)</f>
        <v>0</v>
      </c>
      <c r="T602" s="338">
        <f>_xlfn.IFNA('PART B Staff Costs'!S64,0)</f>
        <v>0</v>
      </c>
      <c r="U602" s="450">
        <f>IF(pStartYear+5=pEndYear,IF('PART B Staff Costs'!$G$64="FTE",(T602*T601)*Last_Year_Fraction/12,T602*T601),T602*T601)</f>
        <v>0</v>
      </c>
      <c r="V602" s="337">
        <f>_xlfn.IFNA('PART B Staff Costs'!U64,0)</f>
        <v>0</v>
      </c>
      <c r="W602" s="442">
        <f>IF(pStartYear+6=pEndYear,IF('PART B Staff Costs'!$G$64="FTE",(V602*V601)*Last_Year_Fraction/12,V602*V601),V602*V601)</f>
        <v>0</v>
      </c>
      <c r="X602" s="338">
        <f>_xlfn.IFNA('PART B Staff Costs'!W64,0)</f>
        <v>0</v>
      </c>
      <c r="Y602" s="450">
        <f>IF(pStartYear+7=pEndYear,IF('PART B Staff Costs'!$G$64="FTE",(X602*X601)*Last_Year_Fraction/12,X602*X601),X602*X601)</f>
        <v>0</v>
      </c>
      <c r="Z602" s="337">
        <f>_xlfn.IFNA('PART B Staff Costs'!Y64,0)</f>
        <v>0</v>
      </c>
      <c r="AA602" s="442">
        <f>IF(pStartYear+8=pEndYear,IF('PART B Staff Costs'!$G$64="FTE",(Z602*Z601)*Last_Year_Fraction/12,Z602*Z601),Z602*Z601)</f>
        <v>0</v>
      </c>
      <c r="AB602" s="338">
        <f>_xlfn.IFNA('PART B Staff Costs'!AA64,0)</f>
        <v>0</v>
      </c>
      <c r="AC602" s="450">
        <f>IF(pStartYear+9=pEndYear,IF('PART B Staff Costs'!$G$64="FTE",(AB602*AB601)*Last_Year_Fraction/12,AB602*AB601),AB602*AB601)</f>
        <v>0</v>
      </c>
      <c r="AD602" s="335"/>
      <c r="AE602" s="1152"/>
      <c r="AF602" s="1152"/>
      <c r="AG602" s="1152"/>
      <c r="AH602" s="1152"/>
      <c r="AI602" s="1152"/>
      <c r="AJ602" s="1152"/>
      <c r="AK602" s="1152"/>
      <c r="AL602" s="1152"/>
      <c r="AM602" s="1152"/>
      <c r="AN602" s="1152"/>
      <c r="AO602" s="1152"/>
      <c r="AP602" s="1152"/>
      <c r="AQ602" s="1152"/>
      <c r="AR602" s="1152"/>
      <c r="AS602" s="1152"/>
      <c r="AT602" s="1152"/>
      <c r="AU602" s="1152"/>
      <c r="AV602" s="1152"/>
      <c r="AW602" s="1152"/>
      <c r="AX602" s="1152"/>
      <c r="AY602" s="1152"/>
      <c r="AZ602" s="1152"/>
      <c r="BA602" s="1152"/>
      <c r="BB602" s="1152"/>
      <c r="BC602" s="1152"/>
      <c r="BD602" s="1152"/>
    </row>
    <row r="603" spans="1:56" hidden="1" outlineLevel="1" x14ac:dyDescent="0.3">
      <c r="A603" s="1182"/>
      <c r="B603" s="1379"/>
      <c r="C603" s="1379"/>
      <c r="D603" s="1379"/>
      <c r="E603" s="1379"/>
      <c r="F603" s="1379"/>
      <c r="G603" s="1379"/>
      <c r="H603" s="1380"/>
      <c r="I603" s="455" t="str">
        <f>IF(tbBudgetCurrency="AUD - Australian Dollar",CONCATENATE("Leave Loading (max of AU$",vl_Max_Leave_Loading,")"),CONCATENATE("Leave Loading (max of ",ROUND(vl_Max_Leave_Loading*new_xrate,2)," ",LEFT(tbBudgetCurrency,3),")"))</f>
        <v>Leave Loading (max of AU$1611.3)</v>
      </c>
      <c r="J603" s="339">
        <f>_xlfn.IFNA(VLOOKUP($D601,tbLeaveLoading,2,FALSE),0)</f>
        <v>0</v>
      </c>
      <c r="K603" s="443">
        <f>IF(K602*J603&gt;vl_Max_Leave_Loading*new_xrate,vl_Max_Leave_Loading*new_xrate,K602*J603)</f>
        <v>0</v>
      </c>
      <c r="L603" s="340">
        <f>_xlfn.IFNA(VLOOKUP($D601,tbLeaveLoading,2,FALSE),0)</f>
        <v>0</v>
      </c>
      <c r="M603" s="451">
        <f>IF(M602*L603&gt;vl_Max_Leave_Loading*new_xrate,vl_Max_Leave_Loading*new_xrate,M602*L603)</f>
        <v>0</v>
      </c>
      <c r="N603" s="339">
        <f>_xlfn.IFNA(VLOOKUP($D601,tbLeaveLoading,2,FALSE),0)</f>
        <v>0</v>
      </c>
      <c r="O603" s="443">
        <f>IF(O602*N603&gt;vl_Max_Leave_Loading*new_xrate,vl_Max_Leave_Loading*new_xrate,O602*N603)</f>
        <v>0</v>
      </c>
      <c r="P603" s="340">
        <f>_xlfn.IFNA(VLOOKUP($D601,tbLeaveLoading,2,FALSE),0)</f>
        <v>0</v>
      </c>
      <c r="Q603" s="451">
        <f>IF(Q602*P603&gt;vl_Max_Leave_Loading*new_xrate,vl_Max_Leave_Loading*new_xrate,Q602*P603)</f>
        <v>0</v>
      </c>
      <c r="R603" s="339">
        <f>_xlfn.IFNA(VLOOKUP($D601,tbLeaveLoading,2,FALSE),0)</f>
        <v>0</v>
      </c>
      <c r="S603" s="443">
        <f>IF(S602*R603&gt;vl_Max_Leave_Loading*new_xrate,vl_Max_Leave_Loading*new_xrate,S602*R603)</f>
        <v>0</v>
      </c>
      <c r="T603" s="340">
        <f>_xlfn.IFNA(VLOOKUP($D601,tbLeaveLoading,2,FALSE),0)</f>
        <v>0</v>
      </c>
      <c r="U603" s="451">
        <f>IF(U602*T603&gt;vl_Max_Leave_Loading*new_xrate,vl_Max_Leave_Loading*new_xrate,U602*T603)</f>
        <v>0</v>
      </c>
      <c r="V603" s="339">
        <f>_xlfn.IFNA(VLOOKUP($D601,tbLeaveLoading,2,FALSE),0)</f>
        <v>0</v>
      </c>
      <c r="W603" s="443">
        <f>IF(W602*V603&gt;vl_Max_Leave_Loading*new_xrate,vl_Max_Leave_Loading*new_xrate,W602*V603)</f>
        <v>0</v>
      </c>
      <c r="X603" s="340">
        <f>_xlfn.IFNA(VLOOKUP($D601,tbLeaveLoading,2,FALSE),0)</f>
        <v>0</v>
      </c>
      <c r="Y603" s="451">
        <f>IF(Y602*X603&gt;vl_Max_Leave_Loading*new_xrate,vl_Max_Leave_Loading*new_xrate,Y602*X603)</f>
        <v>0</v>
      </c>
      <c r="Z603" s="339">
        <f>_xlfn.IFNA(VLOOKUP($D601,tbLeaveLoading,2,FALSE),0)</f>
        <v>0</v>
      </c>
      <c r="AA603" s="443">
        <f>IF(AA602*Z603&gt;vl_Max_Leave_Loading*new_xrate,vl_Max_Leave_Loading*new_xrate,AA602*Z603)</f>
        <v>0</v>
      </c>
      <c r="AB603" s="340">
        <f>_xlfn.IFNA(VLOOKUP($D601,tbLeaveLoading,2,FALSE),0)</f>
        <v>0</v>
      </c>
      <c r="AC603" s="451">
        <f>IF(AC602*AB603&gt;vl_Max_Leave_Loading*new_xrate,vl_Max_Leave_Loading*new_xrate,AC602*AB603)</f>
        <v>0</v>
      </c>
      <c r="AD603" s="335"/>
      <c r="AE603" s="1152"/>
      <c r="AF603" s="1152"/>
      <c r="AG603" s="1152"/>
      <c r="AH603" s="1152"/>
      <c r="AI603" s="1152"/>
      <c r="AJ603" s="1152"/>
      <c r="AK603" s="1152"/>
      <c r="AL603" s="1152"/>
      <c r="AM603" s="1152"/>
      <c r="AN603" s="1152"/>
      <c r="AO603" s="1152"/>
      <c r="AP603" s="1152"/>
      <c r="AQ603" s="1152"/>
      <c r="AR603" s="1152"/>
      <c r="AS603" s="1152"/>
      <c r="AT603" s="1152"/>
      <c r="AU603" s="1152"/>
      <c r="AV603" s="1152"/>
      <c r="AW603" s="1152"/>
      <c r="AX603" s="1152"/>
      <c r="AY603" s="1152"/>
      <c r="AZ603" s="1152"/>
      <c r="BA603" s="1152"/>
      <c r="BB603" s="1152"/>
      <c r="BC603" s="1152"/>
      <c r="BD603" s="1152"/>
    </row>
    <row r="604" spans="1:56" hidden="1" outlineLevel="1" x14ac:dyDescent="0.3">
      <c r="A604" s="1182"/>
      <c r="B604" s="1379"/>
      <c r="C604" s="1379"/>
      <c r="D604" s="1379"/>
      <c r="E604" s="1379"/>
      <c r="F604" s="1379"/>
      <c r="G604" s="1379"/>
      <c r="H604" s="1380"/>
      <c r="I604" s="455" t="s">
        <v>314</v>
      </c>
      <c r="J604" s="339">
        <f>_xlfn.IFNA(_xlfn.IFNA(VLOOKUP(CONCATENATE(pStartYear,$D601),tbSuperannuation,4,FALSE),VLOOKUP($D601,tbSuperannuation2026onwards,2,FALSE)),0)</f>
        <v>0</v>
      </c>
      <c r="K604" s="443">
        <f>K602*J604</f>
        <v>0</v>
      </c>
      <c r="L604" s="340">
        <f>_xlfn.IFNA(_xlfn.IFNA(VLOOKUP(CONCATENATE(pStartYear+1,$D601),tbSuperannuation,4,FALSE),VLOOKUP($D601,tbSuperannuation2026onwards,2,FALSE)),0)</f>
        <v>0</v>
      </c>
      <c r="M604" s="451">
        <f t="shared" ref="M604" si="2619">M602*L604</f>
        <v>0</v>
      </c>
      <c r="N604" s="339">
        <f>_xlfn.IFNA(_xlfn.IFNA(VLOOKUP(CONCATENATE(pStartYear+2,$D601),tbSuperannuation,4,FALSE),VLOOKUP($D601,tbSuperannuation2026onwards,2,FALSE)),0)</f>
        <v>0</v>
      </c>
      <c r="O604" s="443">
        <f>O602*N604</f>
        <v>0</v>
      </c>
      <c r="P604" s="340">
        <f>_xlfn.IFNA(_xlfn.IFNA(VLOOKUP(CONCATENATE(pStartYear+3,$D601),tbSuperannuation,4,FALSE),VLOOKUP($D601,tbSuperannuation2026onwards,2,FALSE)),0)</f>
        <v>0</v>
      </c>
      <c r="Q604" s="451">
        <f t="shared" ref="Q604" si="2620">Q602*P604</f>
        <v>0</v>
      </c>
      <c r="R604" s="339">
        <f>_xlfn.IFNA(_xlfn.IFNA(VLOOKUP(CONCATENATE(pStartYear+4,$D601),tbSuperannuation,4,FALSE),VLOOKUP($D601,tbSuperannuation2026onwards,2,FALSE)),0)</f>
        <v>0</v>
      </c>
      <c r="S604" s="443">
        <f>S602*R604</f>
        <v>0</v>
      </c>
      <c r="T604" s="340">
        <f>_xlfn.IFNA(_xlfn.IFNA(VLOOKUP(CONCATENATE(pStartYear+5,$D601),tbSuperannuation,4,FALSE),VLOOKUP($D601,tbSuperannuation2026onwards,2,FALSE)),0)</f>
        <v>0</v>
      </c>
      <c r="U604" s="451">
        <f t="shared" ref="U604" si="2621">U602*T604</f>
        <v>0</v>
      </c>
      <c r="V604" s="339">
        <f>_xlfn.IFNA(_xlfn.IFNA(VLOOKUP(CONCATENATE(pStartYear+6,$D601),tbSuperannuation,4,FALSE),VLOOKUP($D601,tbSuperannuation2026onwards,2,FALSE)),0)</f>
        <v>0</v>
      </c>
      <c r="W604" s="443">
        <f>W602*V604</f>
        <v>0</v>
      </c>
      <c r="X604" s="340">
        <f>_xlfn.IFNA(_xlfn.IFNA(VLOOKUP(CONCATENATE(pStartYear+7,$D601),tbSuperannuation,4,FALSE),VLOOKUP($D601,tbSuperannuation2026onwards,2,FALSE)),0)</f>
        <v>0</v>
      </c>
      <c r="Y604" s="451">
        <f t="shared" ref="Y604" si="2622">Y602*X604</f>
        <v>0</v>
      </c>
      <c r="Z604" s="339">
        <f>_xlfn.IFNA(_xlfn.IFNA(VLOOKUP(CONCATENATE(pStartYear+8,$D601),tbSuperannuation,4,FALSE),VLOOKUP($D601,tbSuperannuation2026onwards,2,FALSE)),0)</f>
        <v>0</v>
      </c>
      <c r="AA604" s="443">
        <f>AA602*Z604</f>
        <v>0</v>
      </c>
      <c r="AB604" s="340">
        <f>_xlfn.IFNA(_xlfn.IFNA(VLOOKUP(CONCATENATE(pStartYear+9,$D601),tbSuperannuation,4,FALSE),VLOOKUP($D601,tbSuperannuation2026onwards,2,FALSE)),0)</f>
        <v>0</v>
      </c>
      <c r="AC604" s="451">
        <f t="shared" ref="AC604" si="2623">AC602*AB604</f>
        <v>0</v>
      </c>
      <c r="AD604" s="335"/>
      <c r="AE604" s="1152"/>
      <c r="AF604" s="1152"/>
      <c r="AG604" s="1152"/>
      <c r="AH604" s="1152"/>
      <c r="AI604" s="1152"/>
      <c r="AJ604" s="1152"/>
      <c r="AK604" s="1152"/>
      <c r="AL604" s="1152"/>
      <c r="AM604" s="1152"/>
      <c r="AN604" s="1152"/>
      <c r="AO604" s="1152"/>
      <c r="AP604" s="1152"/>
      <c r="AQ604" s="1152"/>
      <c r="AR604" s="1152"/>
      <c r="AS604" s="1152"/>
      <c r="AT604" s="1152"/>
      <c r="AU604" s="1152"/>
      <c r="AV604" s="1152"/>
      <c r="AW604" s="1152"/>
      <c r="AX604" s="1152"/>
      <c r="AY604" s="1152"/>
      <c r="AZ604" s="1152"/>
      <c r="BA604" s="1152"/>
      <c r="BB604" s="1152"/>
      <c r="BC604" s="1152"/>
      <c r="BD604" s="1152"/>
    </row>
    <row r="605" spans="1:56" hidden="1" outlineLevel="1" x14ac:dyDescent="0.3">
      <c r="A605" s="1182"/>
      <c r="B605" s="1379"/>
      <c r="C605" s="1379"/>
      <c r="D605" s="1379"/>
      <c r="E605" s="1379"/>
      <c r="F605" s="1379"/>
      <c r="G605" s="1379"/>
      <c r="H605" s="1380"/>
      <c r="I605" s="341" t="s">
        <v>315</v>
      </c>
      <c r="J605" s="342"/>
      <c r="K605" s="444">
        <f>K603+K604+K602</f>
        <v>0</v>
      </c>
      <c r="L605" s="342"/>
      <c r="M605" s="444">
        <f t="shared" ref="M605" si="2624">M603+M604+M602</f>
        <v>0</v>
      </c>
      <c r="N605" s="342"/>
      <c r="O605" s="444">
        <f>O603+O604+O602</f>
        <v>0</v>
      </c>
      <c r="P605" s="342"/>
      <c r="Q605" s="444">
        <f t="shared" ref="Q605" si="2625">Q603+Q604+Q602</f>
        <v>0</v>
      </c>
      <c r="R605" s="342"/>
      <c r="S605" s="444">
        <f>S603+S604+S602</f>
        <v>0</v>
      </c>
      <c r="T605" s="342"/>
      <c r="U605" s="444">
        <f t="shared" ref="U605" si="2626">U603+U604+U602</f>
        <v>0</v>
      </c>
      <c r="V605" s="342"/>
      <c r="W605" s="444">
        <f>W603+W604+W602</f>
        <v>0</v>
      </c>
      <c r="X605" s="342"/>
      <c r="Y605" s="444">
        <f t="shared" ref="Y605" si="2627">Y603+Y604+Y602</f>
        <v>0</v>
      </c>
      <c r="Z605" s="342"/>
      <c r="AA605" s="444">
        <f>AA603+AA604+AA602</f>
        <v>0</v>
      </c>
      <c r="AB605" s="342"/>
      <c r="AC605" s="444">
        <f t="shared" ref="AC605" si="2628">AC603+AC604+AC602</f>
        <v>0</v>
      </c>
      <c r="AD605" s="335">
        <f t="shared" si="2543"/>
        <v>0</v>
      </c>
      <c r="AE605" s="1152"/>
      <c r="AF605" s="1152"/>
      <c r="AG605" s="1152"/>
      <c r="AH605" s="1152"/>
      <c r="AI605" s="1152"/>
      <c r="AJ605" s="1152"/>
      <c r="AK605" s="1152"/>
      <c r="AL605" s="1152"/>
      <c r="AM605" s="1152"/>
      <c r="AN605" s="1152"/>
      <c r="AO605" s="1152"/>
      <c r="AP605" s="1152"/>
      <c r="AQ605" s="1152"/>
      <c r="AR605" s="1152"/>
      <c r="AS605" s="1152"/>
      <c r="AT605" s="1152"/>
      <c r="AU605" s="1152"/>
      <c r="AV605" s="1152"/>
      <c r="AW605" s="1152"/>
      <c r="AX605" s="1152"/>
      <c r="AY605" s="1152"/>
      <c r="AZ605" s="1152"/>
      <c r="BA605" s="1152"/>
      <c r="BB605" s="1152"/>
      <c r="BC605" s="1152"/>
      <c r="BD605" s="1152"/>
    </row>
    <row r="606" spans="1:56" hidden="1" outlineLevel="1" x14ac:dyDescent="0.3">
      <c r="A606" s="1182"/>
      <c r="B606" s="1379"/>
      <c r="C606" s="1379"/>
      <c r="D606" s="1379"/>
      <c r="E606" s="1379"/>
      <c r="F606" s="1379"/>
      <c r="G606" s="1379"/>
      <c r="H606" s="1380"/>
      <c r="I606" s="455" t="s">
        <v>316</v>
      </c>
      <c r="J606" s="339">
        <f>_xlfn.IFNA(_xlfn.IFNA(VLOOKUP(pStartYear,tbPayrollTax,2,FALSE),vl_MaxPayrollTax),0)</f>
        <v>5.8500000000000003E-2</v>
      </c>
      <c r="K606" s="443">
        <f>J606*K605</f>
        <v>0</v>
      </c>
      <c r="L606" s="340">
        <f>_xlfn.IFNA(_xlfn.IFNA(VLOOKUP(pStartYear+1,tbPayrollTax,2,FALSE),vl_MaxPayrollTax),0)</f>
        <v>5.8500000000000003E-2</v>
      </c>
      <c r="M606" s="451">
        <f t="shared" ref="M606" si="2629">L606*M605</f>
        <v>0</v>
      </c>
      <c r="N606" s="339">
        <f>_xlfn.IFNA(_xlfn.IFNA(VLOOKUP(pStartYear+2,tbPayrollTax,2,FALSE),vl_MaxPayrollTax),0)</f>
        <v>5.8500000000000003E-2</v>
      </c>
      <c r="O606" s="443">
        <f>N606*O605</f>
        <v>0</v>
      </c>
      <c r="P606" s="340">
        <f>_xlfn.IFNA(_xlfn.IFNA(VLOOKUP(pStartYear+3,tbPayrollTax,2,FALSE),vl_MaxPayrollTax),0)</f>
        <v>5.8500000000000003E-2</v>
      </c>
      <c r="Q606" s="451">
        <f t="shared" ref="Q606" si="2630">P606*Q605</f>
        <v>0</v>
      </c>
      <c r="R606" s="339">
        <f>_xlfn.IFNA(_xlfn.IFNA(VLOOKUP(pStartYear+4,tbPayrollTax,2,FALSE),vl_MaxPayrollTax),0)</f>
        <v>5.8500000000000003E-2</v>
      </c>
      <c r="S606" s="443">
        <f>R606*S605</f>
        <v>0</v>
      </c>
      <c r="T606" s="340">
        <f>_xlfn.IFNA(_xlfn.IFNA(VLOOKUP(pStartYear+5,tbPayrollTax,2,FALSE),vl_MaxPayrollTax),0)</f>
        <v>5.8500000000000003E-2</v>
      </c>
      <c r="U606" s="451">
        <f t="shared" ref="U606" si="2631">T606*U605</f>
        <v>0</v>
      </c>
      <c r="V606" s="339">
        <f>_xlfn.IFNA(_xlfn.IFNA(VLOOKUP(pStartYear+6,tbPayrollTax,2,FALSE),vl_MaxPayrollTax),0)</f>
        <v>5.8500000000000003E-2</v>
      </c>
      <c r="W606" s="443">
        <f>V606*W605</f>
        <v>0</v>
      </c>
      <c r="X606" s="340">
        <f>_xlfn.IFNA(_xlfn.IFNA(VLOOKUP(pStartYear+7,tbPayrollTax,2,FALSE),vl_MaxPayrollTax),0)</f>
        <v>5.8500000000000003E-2</v>
      </c>
      <c r="Y606" s="451">
        <f t="shared" ref="Y606" si="2632">X606*Y605</f>
        <v>0</v>
      </c>
      <c r="Z606" s="339">
        <f>_xlfn.IFNA(_xlfn.IFNA(VLOOKUP(pStartYear+8,tbPayrollTax,2,FALSE),vl_MaxPayrollTax),0)</f>
        <v>5.8500000000000003E-2</v>
      </c>
      <c r="AA606" s="443">
        <f>Z606*AA605</f>
        <v>0</v>
      </c>
      <c r="AB606" s="340">
        <f>_xlfn.IFNA(_xlfn.IFNA(VLOOKUP(pStartYear+9,tbPayrollTax,2,FALSE),vl_MaxPayrollTax),0)</f>
        <v>5.8500000000000003E-2</v>
      </c>
      <c r="AC606" s="451">
        <f t="shared" ref="AC606" si="2633">AB606*AC605</f>
        <v>0</v>
      </c>
      <c r="AD606" s="335"/>
      <c r="AE606" s="1152"/>
      <c r="AF606" s="1152"/>
      <c r="AG606" s="1152"/>
      <c r="AH606" s="1152"/>
      <c r="AI606" s="1152"/>
      <c r="AJ606" s="1152"/>
      <c r="AK606" s="1152"/>
      <c r="AL606" s="1152"/>
      <c r="AM606" s="1152"/>
      <c r="AN606" s="1152"/>
      <c r="AO606" s="1152"/>
      <c r="AP606" s="1152"/>
      <c r="AQ606" s="1152"/>
      <c r="AR606" s="1152"/>
      <c r="AS606" s="1152"/>
      <c r="AT606" s="1152"/>
      <c r="AU606" s="1152"/>
      <c r="AV606" s="1152"/>
      <c r="AW606" s="1152"/>
      <c r="AX606" s="1152"/>
      <c r="AY606" s="1152"/>
      <c r="AZ606" s="1152"/>
      <c r="BA606" s="1152"/>
      <c r="BB606" s="1152"/>
      <c r="BC606" s="1152"/>
      <c r="BD606" s="1152"/>
    </row>
    <row r="607" spans="1:56" hidden="1" outlineLevel="1" x14ac:dyDescent="0.3">
      <c r="A607" s="1182"/>
      <c r="B607" s="1379"/>
      <c r="C607" s="1379"/>
      <c r="D607" s="1379"/>
      <c r="E607" s="1379"/>
      <c r="F607" s="1379"/>
      <c r="G607" s="1379"/>
      <c r="H607" s="1380"/>
      <c r="I607" s="455" t="s">
        <v>317</v>
      </c>
      <c r="J607" s="339">
        <f>_xlfn.IFNA(VLOOKUP($D601,tbWorkCover,2,FALSE),0)</f>
        <v>0</v>
      </c>
      <c r="K607" s="443">
        <f>J607*K605</f>
        <v>0</v>
      </c>
      <c r="L607" s="340">
        <f>_xlfn.IFNA(VLOOKUP($D601,tbWorkCover,2,FALSE),0)</f>
        <v>0</v>
      </c>
      <c r="M607" s="451">
        <f t="shared" ref="M607" si="2634">L607*M605</f>
        <v>0</v>
      </c>
      <c r="N607" s="339">
        <f>_xlfn.IFNA(VLOOKUP($D601,tbWorkCover,2,FALSE),0)</f>
        <v>0</v>
      </c>
      <c r="O607" s="443">
        <f>N607*O605</f>
        <v>0</v>
      </c>
      <c r="P607" s="340">
        <f>_xlfn.IFNA(VLOOKUP($D601,tbWorkCover,2,FALSE),0)</f>
        <v>0</v>
      </c>
      <c r="Q607" s="451">
        <f t="shared" ref="Q607" si="2635">P607*Q605</f>
        <v>0</v>
      </c>
      <c r="R607" s="339">
        <f>_xlfn.IFNA(VLOOKUP($D601,tbWorkCover,2,FALSE),0)</f>
        <v>0</v>
      </c>
      <c r="S607" s="443">
        <f>R607*S605</f>
        <v>0</v>
      </c>
      <c r="T607" s="340">
        <f>_xlfn.IFNA(VLOOKUP($D601,tbWorkCover,2,FALSE),0)</f>
        <v>0</v>
      </c>
      <c r="U607" s="451">
        <f t="shared" ref="U607" si="2636">T607*U605</f>
        <v>0</v>
      </c>
      <c r="V607" s="339">
        <f>_xlfn.IFNA(VLOOKUP($D601,tbWorkCover,2,FALSE),0)</f>
        <v>0</v>
      </c>
      <c r="W607" s="443">
        <f>V607*W605</f>
        <v>0</v>
      </c>
      <c r="X607" s="340">
        <f>_xlfn.IFNA(VLOOKUP($D601,tbWorkCover,2,FALSE),0)</f>
        <v>0</v>
      </c>
      <c r="Y607" s="451">
        <f t="shared" ref="Y607" si="2637">X607*Y605</f>
        <v>0</v>
      </c>
      <c r="Z607" s="339">
        <f>_xlfn.IFNA(VLOOKUP($D601,tbWorkCover,2,FALSE),0)</f>
        <v>0</v>
      </c>
      <c r="AA607" s="443">
        <f>Z607*AA605</f>
        <v>0</v>
      </c>
      <c r="AB607" s="340">
        <f>_xlfn.IFNA(VLOOKUP($D601,tbWorkCover,2,FALSE),0)</f>
        <v>0</v>
      </c>
      <c r="AC607" s="451">
        <f t="shared" ref="AC607" si="2638">AB607*AC605</f>
        <v>0</v>
      </c>
      <c r="AD607" s="335"/>
      <c r="AE607" s="1152"/>
      <c r="AF607" s="1152"/>
      <c r="AG607" s="1152"/>
      <c r="AH607" s="1152"/>
      <c r="AI607" s="1152"/>
      <c r="AJ607" s="1152"/>
      <c r="AK607" s="1152"/>
      <c r="AL607" s="1152"/>
      <c r="AM607" s="1152"/>
      <c r="AN607" s="1152"/>
      <c r="AO607" s="1152"/>
      <c r="AP607" s="1152"/>
      <c r="AQ607" s="1152"/>
      <c r="AR607" s="1152"/>
      <c r="AS607" s="1152"/>
      <c r="AT607" s="1152"/>
      <c r="AU607" s="1152"/>
      <c r="AV607" s="1152"/>
      <c r="AW607" s="1152"/>
      <c r="AX607" s="1152"/>
      <c r="AY607" s="1152"/>
      <c r="AZ607" s="1152"/>
      <c r="BA607" s="1152"/>
      <c r="BB607" s="1152"/>
      <c r="BC607" s="1152"/>
      <c r="BD607" s="1152"/>
    </row>
    <row r="608" spans="1:56" hidden="1" outlineLevel="1" x14ac:dyDescent="0.3">
      <c r="A608" s="1182"/>
      <c r="B608" s="1379"/>
      <c r="C608" s="1379"/>
      <c r="D608" s="1379"/>
      <c r="E608" s="1379"/>
      <c r="F608" s="1379"/>
      <c r="G608" s="1379"/>
      <c r="H608" s="1380"/>
      <c r="I608" s="455" t="s">
        <v>318</v>
      </c>
      <c r="J608" s="339">
        <f>_xlfn.IFNA(VLOOKUP($D601,tbLongServiceLeave,2,FALSE),0)</f>
        <v>0</v>
      </c>
      <c r="K608" s="443">
        <f>J608*K602</f>
        <v>0</v>
      </c>
      <c r="L608" s="340">
        <f>_xlfn.IFNA(VLOOKUP($D601,tbLongServiceLeave,2,FALSE),0)</f>
        <v>0</v>
      </c>
      <c r="M608" s="451">
        <f t="shared" ref="M608" si="2639">L608*M602</f>
        <v>0</v>
      </c>
      <c r="N608" s="339">
        <f>_xlfn.IFNA(VLOOKUP($D601,tbLongServiceLeave,2,FALSE),0)</f>
        <v>0</v>
      </c>
      <c r="O608" s="443">
        <f>N608*O602</f>
        <v>0</v>
      </c>
      <c r="P608" s="340">
        <f>_xlfn.IFNA(VLOOKUP($D601,tbLongServiceLeave,2,FALSE),0)</f>
        <v>0</v>
      </c>
      <c r="Q608" s="451">
        <f t="shared" ref="Q608" si="2640">P608*Q602</f>
        <v>0</v>
      </c>
      <c r="R608" s="339">
        <f>_xlfn.IFNA(VLOOKUP($D601,tbLongServiceLeave,2,FALSE),0)</f>
        <v>0</v>
      </c>
      <c r="S608" s="443">
        <f>R608*S602</f>
        <v>0</v>
      </c>
      <c r="T608" s="340">
        <f>_xlfn.IFNA(VLOOKUP($D601,tbLongServiceLeave,2,FALSE),0)</f>
        <v>0</v>
      </c>
      <c r="U608" s="451">
        <f t="shared" ref="U608" si="2641">T608*U602</f>
        <v>0</v>
      </c>
      <c r="V608" s="339">
        <f>_xlfn.IFNA(VLOOKUP($D601,tbLongServiceLeave,2,FALSE),0)</f>
        <v>0</v>
      </c>
      <c r="W608" s="443">
        <f>V608*W602</f>
        <v>0</v>
      </c>
      <c r="X608" s="340">
        <f>_xlfn.IFNA(VLOOKUP($D601,tbLongServiceLeave,2,FALSE),0)</f>
        <v>0</v>
      </c>
      <c r="Y608" s="451">
        <f t="shared" ref="Y608" si="2642">X608*Y602</f>
        <v>0</v>
      </c>
      <c r="Z608" s="339">
        <f>_xlfn.IFNA(VLOOKUP($D601,tbLongServiceLeave,2,FALSE),0)</f>
        <v>0</v>
      </c>
      <c r="AA608" s="443">
        <f>Z608*AA602</f>
        <v>0</v>
      </c>
      <c r="AB608" s="340">
        <f>_xlfn.IFNA(VLOOKUP($D601,tbLongServiceLeave,2,FALSE),0)</f>
        <v>0</v>
      </c>
      <c r="AC608" s="451">
        <f t="shared" ref="AC608" si="2643">AB608*AC602</f>
        <v>0</v>
      </c>
      <c r="AD608" s="335"/>
      <c r="AE608" s="1152"/>
      <c r="AF608" s="1152"/>
      <c r="AG608" s="1152"/>
      <c r="AH608" s="1152"/>
      <c r="AI608" s="1152"/>
      <c r="AJ608" s="1152"/>
      <c r="AK608" s="1152"/>
      <c r="AL608" s="1152"/>
      <c r="AM608" s="1152"/>
      <c r="AN608" s="1152"/>
      <c r="AO608" s="1152"/>
      <c r="AP608" s="1152"/>
      <c r="AQ608" s="1152"/>
      <c r="AR608" s="1152"/>
      <c r="AS608" s="1152"/>
      <c r="AT608" s="1152"/>
      <c r="AU608" s="1152"/>
      <c r="AV608" s="1152"/>
      <c r="AW608" s="1152"/>
      <c r="AX608" s="1152"/>
      <c r="AY608" s="1152"/>
      <c r="AZ608" s="1152"/>
      <c r="BA608" s="1152"/>
      <c r="BB608" s="1152"/>
      <c r="BC608" s="1152"/>
      <c r="BD608" s="1152"/>
    </row>
    <row r="609" spans="1:56" hidden="1" outlineLevel="1" x14ac:dyDescent="0.3">
      <c r="A609" s="1182"/>
      <c r="B609" s="1379"/>
      <c r="C609" s="1379"/>
      <c r="D609" s="1379"/>
      <c r="E609" s="1379"/>
      <c r="F609" s="1379"/>
      <c r="G609" s="1379"/>
      <c r="H609" s="1380"/>
      <c r="I609" s="455" t="s">
        <v>319</v>
      </c>
      <c r="J609" s="339">
        <f>_xlfn.IFNA(VLOOKUP($D601,tbParentalLeave,2,FALSE),0)</f>
        <v>0</v>
      </c>
      <c r="K609" s="443">
        <f>J609*K602</f>
        <v>0</v>
      </c>
      <c r="L609" s="340">
        <f>_xlfn.IFNA(VLOOKUP($D601,tbParentalLeave,2,FALSE),0)</f>
        <v>0</v>
      </c>
      <c r="M609" s="451">
        <f t="shared" ref="M609" si="2644">L609*M602</f>
        <v>0</v>
      </c>
      <c r="N609" s="339">
        <f>_xlfn.IFNA(VLOOKUP($D601,tbParentalLeave,2,FALSE),0)</f>
        <v>0</v>
      </c>
      <c r="O609" s="443">
        <f>N609*O602</f>
        <v>0</v>
      </c>
      <c r="P609" s="340">
        <f>_xlfn.IFNA(VLOOKUP($D601,tbParentalLeave,2,FALSE),0)</f>
        <v>0</v>
      </c>
      <c r="Q609" s="451">
        <f t="shared" ref="Q609" si="2645">P609*Q602</f>
        <v>0</v>
      </c>
      <c r="R609" s="339">
        <f>_xlfn.IFNA(VLOOKUP($D601,tbParentalLeave,2,FALSE),0)</f>
        <v>0</v>
      </c>
      <c r="S609" s="443">
        <f>R609*S602</f>
        <v>0</v>
      </c>
      <c r="T609" s="340">
        <f>_xlfn.IFNA(VLOOKUP($D601,tbParentalLeave,2,FALSE),0)</f>
        <v>0</v>
      </c>
      <c r="U609" s="451">
        <f t="shared" ref="U609" si="2646">T609*U602</f>
        <v>0</v>
      </c>
      <c r="V609" s="339">
        <f>_xlfn.IFNA(VLOOKUP($D601,tbParentalLeave,2,FALSE),0)</f>
        <v>0</v>
      </c>
      <c r="W609" s="443">
        <f>V609*W602</f>
        <v>0</v>
      </c>
      <c r="X609" s="340">
        <f>_xlfn.IFNA(VLOOKUP($D601,tbParentalLeave,2,FALSE),0)</f>
        <v>0</v>
      </c>
      <c r="Y609" s="451">
        <f t="shared" ref="Y609" si="2647">X609*Y602</f>
        <v>0</v>
      </c>
      <c r="Z609" s="339">
        <f>_xlfn.IFNA(VLOOKUP($D601,tbParentalLeave,2,FALSE),0)</f>
        <v>0</v>
      </c>
      <c r="AA609" s="443">
        <f>Z609*AA602</f>
        <v>0</v>
      </c>
      <c r="AB609" s="340">
        <f>_xlfn.IFNA(VLOOKUP($D601,tbParentalLeave,2,FALSE),0)</f>
        <v>0</v>
      </c>
      <c r="AC609" s="451">
        <f t="shared" ref="AC609" si="2648">AB609*AC602</f>
        <v>0</v>
      </c>
      <c r="AD609" s="335"/>
      <c r="AE609" s="1152"/>
      <c r="AF609" s="1152"/>
      <c r="AG609" s="1152"/>
      <c r="AH609" s="1152"/>
      <c r="AI609" s="1152"/>
      <c r="AJ609" s="1152"/>
      <c r="AK609" s="1152"/>
      <c r="AL609" s="1152"/>
      <c r="AM609" s="1152"/>
      <c r="AN609" s="1152"/>
      <c r="AO609" s="1152"/>
      <c r="AP609" s="1152"/>
      <c r="AQ609" s="1152"/>
      <c r="AR609" s="1152"/>
      <c r="AS609" s="1152"/>
      <c r="AT609" s="1152"/>
      <c r="AU609" s="1152"/>
      <c r="AV609" s="1152"/>
      <c r="AW609" s="1152"/>
      <c r="AX609" s="1152"/>
      <c r="AY609" s="1152"/>
      <c r="AZ609" s="1152"/>
      <c r="BA609" s="1152"/>
      <c r="BB609" s="1152"/>
      <c r="BC609" s="1152"/>
      <c r="BD609" s="1152"/>
    </row>
    <row r="610" spans="1:56" hidden="1" outlineLevel="1" x14ac:dyDescent="0.3">
      <c r="A610" s="1182"/>
      <c r="B610" s="1379"/>
      <c r="C610" s="1379"/>
      <c r="D610" s="1379"/>
      <c r="E610" s="1379"/>
      <c r="F610" s="1379"/>
      <c r="G610" s="1379"/>
      <c r="H610" s="1380"/>
      <c r="I610" s="437" t="s">
        <v>320</v>
      </c>
      <c r="J610" s="438">
        <f>vl_overridden_uom_oncosts_per</f>
        <v>0</v>
      </c>
      <c r="K610" s="445">
        <f>J610*K602</f>
        <v>0</v>
      </c>
      <c r="L610" s="438">
        <f>vl_overridden_uom_oncosts_per</f>
        <v>0</v>
      </c>
      <c r="M610" s="445">
        <f>L610*M602</f>
        <v>0</v>
      </c>
      <c r="N610" s="438">
        <f>vl_overridden_uom_oncosts_per</f>
        <v>0</v>
      </c>
      <c r="O610" s="445">
        <f t="shared" ref="O610" si="2649">N610*O602</f>
        <v>0</v>
      </c>
      <c r="P610" s="438">
        <f>vl_overridden_uom_oncosts_per</f>
        <v>0</v>
      </c>
      <c r="Q610" s="445">
        <f t="shared" ref="Q610" si="2650">P610*Q602</f>
        <v>0</v>
      </c>
      <c r="R610" s="438">
        <f>vl_overridden_uom_oncosts_per</f>
        <v>0</v>
      </c>
      <c r="S610" s="445">
        <f t="shared" ref="S610" si="2651">R610*S602</f>
        <v>0</v>
      </c>
      <c r="T610" s="438">
        <f>vl_overridden_uom_oncosts_per</f>
        <v>0</v>
      </c>
      <c r="U610" s="445">
        <f t="shared" ref="U610" si="2652">T610*U602</f>
        <v>0</v>
      </c>
      <c r="V610" s="438">
        <f>vl_overridden_uom_oncosts_per</f>
        <v>0</v>
      </c>
      <c r="W610" s="445">
        <f t="shared" ref="W610" si="2653">V610*W602</f>
        <v>0</v>
      </c>
      <c r="X610" s="438">
        <f>vl_overridden_uom_oncosts_per</f>
        <v>0</v>
      </c>
      <c r="Y610" s="445">
        <f t="shared" ref="Y610" si="2654">X610*Y602</f>
        <v>0</v>
      </c>
      <c r="Z610" s="438">
        <f>vl_overridden_uom_oncosts_per</f>
        <v>0</v>
      </c>
      <c r="AA610" s="445">
        <f t="shared" ref="AA610" si="2655">Z610*AA602</f>
        <v>0</v>
      </c>
      <c r="AB610" s="438">
        <f>vl_overridden_uom_oncosts_per</f>
        <v>0</v>
      </c>
      <c r="AC610" s="445">
        <f t="shared" ref="AC610" si="2656">AB610*AC602</f>
        <v>0</v>
      </c>
      <c r="AD610" s="335"/>
      <c r="AE610" s="1152"/>
      <c r="AF610" s="1152"/>
      <c r="AG610" s="1152"/>
      <c r="AH610" s="1152"/>
      <c r="AI610" s="1152"/>
      <c r="AJ610" s="1152"/>
      <c r="AK610" s="1152"/>
      <c r="AL610" s="1152"/>
      <c r="AM610" s="1152"/>
      <c r="AN610" s="1152"/>
      <c r="AO610" s="1152"/>
      <c r="AP610" s="1152"/>
      <c r="AQ610" s="1152"/>
      <c r="AR610" s="1152"/>
      <c r="AS610" s="1152"/>
      <c r="AT610" s="1152"/>
      <c r="AU610" s="1152"/>
      <c r="AV610" s="1152"/>
      <c r="AW610" s="1152"/>
      <c r="AX610" s="1152"/>
      <c r="AY610" s="1152"/>
      <c r="AZ610" s="1152"/>
      <c r="BA610" s="1152"/>
      <c r="BB610" s="1152"/>
      <c r="BC610" s="1152"/>
      <c r="BD610" s="1152"/>
    </row>
    <row r="611" spans="1:56" hidden="1" outlineLevel="1" x14ac:dyDescent="0.3">
      <c r="A611" s="1182"/>
      <c r="B611" s="1379"/>
      <c r="C611" s="1379"/>
      <c r="D611" s="1379"/>
      <c r="E611" s="1379"/>
      <c r="F611" s="1379"/>
      <c r="G611" s="1379"/>
      <c r="H611" s="1380"/>
      <c r="I611" s="341" t="s">
        <v>321</v>
      </c>
      <c r="J611" s="342"/>
      <c r="K611" s="444">
        <f>SUM(K605:K610)</f>
        <v>0</v>
      </c>
      <c r="L611" s="342"/>
      <c r="M611" s="444">
        <f t="shared" ref="M611" si="2657">SUM(M605:M610)</f>
        <v>0</v>
      </c>
      <c r="N611" s="342"/>
      <c r="O611" s="444">
        <f t="shared" ref="O611" si="2658">SUM(O605:O610)</f>
        <v>0</v>
      </c>
      <c r="P611" s="342"/>
      <c r="Q611" s="444">
        <f t="shared" ref="Q611" si="2659">SUM(Q605:Q610)</f>
        <v>0</v>
      </c>
      <c r="R611" s="342"/>
      <c r="S611" s="444">
        <f t="shared" ref="S611" si="2660">SUM(S605:S610)</f>
        <v>0</v>
      </c>
      <c r="T611" s="342"/>
      <c r="U611" s="444">
        <f t="shared" ref="U611" si="2661">SUM(U605:U610)</f>
        <v>0</v>
      </c>
      <c r="V611" s="342"/>
      <c r="W611" s="444">
        <f t="shared" ref="W611" si="2662">SUM(W605:W610)</f>
        <v>0</v>
      </c>
      <c r="X611" s="342"/>
      <c r="Y611" s="444">
        <f t="shared" ref="Y611" si="2663">SUM(Y605:Y610)</f>
        <v>0</v>
      </c>
      <c r="Z611" s="342"/>
      <c r="AA611" s="444">
        <f t="shared" ref="AA611" si="2664">SUM(AA605:AA610)</f>
        <v>0</v>
      </c>
      <c r="AB611" s="342"/>
      <c r="AC611" s="444">
        <f t="shared" ref="AC611" si="2665">SUM(AC605:AC610)</f>
        <v>0</v>
      </c>
      <c r="AD611" s="335">
        <f t="shared" si="2543"/>
        <v>0</v>
      </c>
      <c r="AE611" s="1152"/>
      <c r="AF611" s="1152"/>
      <c r="AG611" s="1152"/>
      <c r="AH611" s="1152"/>
      <c r="AI611" s="1152"/>
      <c r="AJ611" s="1152"/>
      <c r="AK611" s="1152"/>
      <c r="AL611" s="1152"/>
      <c r="AM611" s="1152"/>
      <c r="AN611" s="1152"/>
      <c r="AO611" s="1152"/>
      <c r="AP611" s="1152"/>
      <c r="AQ611" s="1152"/>
      <c r="AR611" s="1152"/>
      <c r="AS611" s="1152"/>
      <c r="AT611" s="1152"/>
      <c r="AU611" s="1152"/>
      <c r="AV611" s="1152"/>
      <c r="AW611" s="1152"/>
      <c r="AX611" s="1152"/>
      <c r="AY611" s="1152"/>
      <c r="AZ611" s="1152"/>
      <c r="BA611" s="1152"/>
      <c r="BB611" s="1152"/>
      <c r="BC611" s="1152"/>
      <c r="BD611" s="1152"/>
    </row>
    <row r="612" spans="1:56" hidden="1" outlineLevel="1" x14ac:dyDescent="0.3">
      <c r="A612" s="1182"/>
      <c r="B612" s="1379"/>
      <c r="C612" s="1379"/>
      <c r="D612" s="1379"/>
      <c r="E612" s="1379"/>
      <c r="F612" s="1379"/>
      <c r="G612" s="1379"/>
      <c r="H612" s="1380"/>
      <c r="I612" s="455" t="s">
        <v>322</v>
      </c>
      <c r="J612" s="339">
        <f>_xlfn.IFNA(VLOOKUP($D601,tbAnnualLeaveProvision,2,FALSE),0)</f>
        <v>0</v>
      </c>
      <c r="K612" s="443">
        <f>J612*K602</f>
        <v>0</v>
      </c>
      <c r="L612" s="340">
        <f>_xlfn.IFNA(VLOOKUP($D601,tbAnnualLeaveProvision,2,FALSE),0)</f>
        <v>0</v>
      </c>
      <c r="M612" s="451">
        <f t="shared" ref="M612" si="2666">L612*M602</f>
        <v>0</v>
      </c>
      <c r="N612" s="339">
        <f>_xlfn.IFNA(VLOOKUP($D601,tbAnnualLeaveProvision,2,FALSE),0)</f>
        <v>0</v>
      </c>
      <c r="O612" s="443">
        <f>N612*O602</f>
        <v>0</v>
      </c>
      <c r="P612" s="340">
        <f>_xlfn.IFNA(VLOOKUP($D601,tbAnnualLeaveProvision,2,FALSE),0)</f>
        <v>0</v>
      </c>
      <c r="Q612" s="451">
        <f t="shared" ref="Q612" si="2667">P612*Q602</f>
        <v>0</v>
      </c>
      <c r="R612" s="339">
        <f>_xlfn.IFNA(VLOOKUP($D601,tbAnnualLeaveProvision,2,FALSE),0)</f>
        <v>0</v>
      </c>
      <c r="S612" s="443">
        <f>R612*S602</f>
        <v>0</v>
      </c>
      <c r="T612" s="340">
        <f>_xlfn.IFNA(VLOOKUP($D601,tbAnnualLeaveProvision,2,FALSE),0)</f>
        <v>0</v>
      </c>
      <c r="U612" s="451">
        <f t="shared" ref="U612" si="2668">T612*U602</f>
        <v>0</v>
      </c>
      <c r="V612" s="339">
        <f>_xlfn.IFNA(VLOOKUP($D601,tbAnnualLeaveProvision,2,FALSE),0)</f>
        <v>0</v>
      </c>
      <c r="W612" s="443">
        <f>V612*W602</f>
        <v>0</v>
      </c>
      <c r="X612" s="340">
        <f>_xlfn.IFNA(VLOOKUP($D601,tbAnnualLeaveProvision,2,FALSE),0)</f>
        <v>0</v>
      </c>
      <c r="Y612" s="451">
        <f t="shared" ref="Y612" si="2669">X612*Y602</f>
        <v>0</v>
      </c>
      <c r="Z612" s="339">
        <f>_xlfn.IFNA(VLOOKUP($D601,tbAnnualLeaveProvision,2,FALSE),0)</f>
        <v>0</v>
      </c>
      <c r="AA612" s="443">
        <f>Z612*AA602</f>
        <v>0</v>
      </c>
      <c r="AB612" s="340">
        <f>_xlfn.IFNA(VLOOKUP($D601,tbAnnualLeaveProvision,2,FALSE),0)</f>
        <v>0</v>
      </c>
      <c r="AC612" s="451">
        <f t="shared" ref="AC612" si="2670">AB612*AC602</f>
        <v>0</v>
      </c>
      <c r="AD612" s="335"/>
      <c r="AE612" s="1152"/>
      <c r="AF612" s="1152"/>
      <c r="AG612" s="1152"/>
      <c r="AH612" s="1152"/>
      <c r="AI612" s="1152"/>
      <c r="AJ612" s="1152"/>
      <c r="AK612" s="1152"/>
      <c r="AL612" s="1152"/>
      <c r="AM612" s="1152"/>
      <c r="AN612" s="1152"/>
      <c r="AO612" s="1152"/>
      <c r="AP612" s="1152"/>
      <c r="AQ612" s="1152"/>
      <c r="AR612" s="1152"/>
      <c r="AS612" s="1152"/>
      <c r="AT612" s="1152"/>
      <c r="AU612" s="1152"/>
      <c r="AV612" s="1152"/>
      <c r="AW612" s="1152"/>
      <c r="AX612" s="1152"/>
      <c r="AY612" s="1152"/>
      <c r="AZ612" s="1152"/>
      <c r="BA612" s="1152"/>
      <c r="BB612" s="1152"/>
      <c r="BC612" s="1152"/>
      <c r="BD612" s="1152"/>
    </row>
    <row r="613" spans="1:56" hidden="1" outlineLevel="1" x14ac:dyDescent="0.3">
      <c r="A613" s="1182"/>
      <c r="B613" s="1379"/>
      <c r="C613" s="1379"/>
      <c r="D613" s="1379"/>
      <c r="E613" s="1379"/>
      <c r="F613" s="1379"/>
      <c r="G613" s="1379"/>
      <c r="H613" s="1380"/>
      <c r="I613" s="455" t="s">
        <v>330</v>
      </c>
      <c r="J613" s="339"/>
      <c r="K613" s="446">
        <f>K611+K612</f>
        <v>0</v>
      </c>
      <c r="L613" s="340"/>
      <c r="M613" s="452">
        <f t="shared" ref="M613" si="2671">M611+M612</f>
        <v>0</v>
      </c>
      <c r="N613" s="339"/>
      <c r="O613" s="446">
        <f>O611+O612</f>
        <v>0</v>
      </c>
      <c r="P613" s="340"/>
      <c r="Q613" s="452">
        <f t="shared" ref="Q613" si="2672">Q611+Q612</f>
        <v>0</v>
      </c>
      <c r="R613" s="339"/>
      <c r="S613" s="446">
        <f>S611+S612</f>
        <v>0</v>
      </c>
      <c r="T613" s="340"/>
      <c r="U613" s="452">
        <f t="shared" ref="U613" si="2673">U611+U612</f>
        <v>0</v>
      </c>
      <c r="V613" s="339"/>
      <c r="W613" s="446">
        <f>W611+W612</f>
        <v>0</v>
      </c>
      <c r="X613" s="340"/>
      <c r="Y613" s="452">
        <f t="shared" ref="Y613" si="2674">Y611+Y612</f>
        <v>0</v>
      </c>
      <c r="Z613" s="339"/>
      <c r="AA613" s="446">
        <f>AA611+AA612</f>
        <v>0</v>
      </c>
      <c r="AB613" s="340"/>
      <c r="AC613" s="452">
        <f t="shared" ref="AC613" si="2675">AC611+AC612</f>
        <v>0</v>
      </c>
      <c r="AD613" s="335"/>
      <c r="AE613" s="1152"/>
      <c r="AF613" s="1152"/>
      <c r="AG613" s="1152"/>
      <c r="AH613" s="1152"/>
      <c r="AI613" s="1152"/>
      <c r="AJ613" s="1152"/>
      <c r="AK613" s="1152"/>
      <c r="AL613" s="1152"/>
      <c r="AM613" s="1152"/>
      <c r="AN613" s="1152"/>
      <c r="AO613" s="1152"/>
      <c r="AP613" s="1152"/>
      <c r="AQ613" s="1152"/>
      <c r="AR613" s="1152"/>
      <c r="AS613" s="1152"/>
      <c r="AT613" s="1152"/>
      <c r="AU613" s="1152"/>
      <c r="AV613" s="1152"/>
      <c r="AW613" s="1152"/>
      <c r="AX613" s="1152"/>
      <c r="AY613" s="1152"/>
      <c r="AZ613" s="1152"/>
      <c r="BA613" s="1152"/>
      <c r="BB613" s="1152"/>
      <c r="BC613" s="1152"/>
      <c r="BD613" s="1152"/>
    </row>
    <row r="614" spans="1:56" hidden="1" outlineLevel="1" x14ac:dyDescent="0.3">
      <c r="A614" s="1182"/>
      <c r="B614" s="1379"/>
      <c r="C614" s="1379"/>
      <c r="D614" s="1379"/>
      <c r="E614" s="1379"/>
      <c r="F614" s="1379"/>
      <c r="G614" s="1379"/>
      <c r="H614" s="1380"/>
      <c r="I614" s="462" t="s">
        <v>324</v>
      </c>
      <c r="J614" s="344"/>
      <c r="K614" s="443">
        <f>-(K611/vl_working_days_per_year)*J614</f>
        <v>0</v>
      </c>
      <c r="L614" s="345"/>
      <c r="M614" s="451">
        <f>-(M611/vl_working_days_per_year)*L614</f>
        <v>0</v>
      </c>
      <c r="N614" s="344"/>
      <c r="O614" s="443">
        <f>-(O611/vl_working_days_per_year)*N614</f>
        <v>0</v>
      </c>
      <c r="P614" s="345"/>
      <c r="Q614" s="451">
        <f>-(Q611/vl_working_days_per_year)*P614</f>
        <v>0</v>
      </c>
      <c r="R614" s="344"/>
      <c r="S614" s="443">
        <f>-(S611/vl_working_days_per_year)*R614</f>
        <v>0</v>
      </c>
      <c r="T614" s="345"/>
      <c r="U614" s="451">
        <f>-(U611/vl_working_days_per_year)*T614</f>
        <v>0</v>
      </c>
      <c r="V614" s="344"/>
      <c r="W614" s="443">
        <f>-(W611/vl_working_days_per_year)*V614</f>
        <v>0</v>
      </c>
      <c r="X614" s="345"/>
      <c r="Y614" s="451">
        <f>-(Y611/vl_working_days_per_year)*X614</f>
        <v>0</v>
      </c>
      <c r="Z614" s="344"/>
      <c r="AA614" s="443">
        <f>-(AA611/vl_working_days_per_year)*Z614</f>
        <v>0</v>
      </c>
      <c r="AB614" s="345"/>
      <c r="AC614" s="451">
        <f>-(AC611/vl_working_days_per_year)*AB614</f>
        <v>0</v>
      </c>
      <c r="AD614" s="335">
        <f t="shared" si="2543"/>
        <v>0</v>
      </c>
      <c r="AE614" s="1152"/>
      <c r="AF614" s="1152"/>
      <c r="AG614" s="1152"/>
      <c r="AH614" s="1152"/>
      <c r="AI614" s="1152"/>
      <c r="AJ614" s="1152"/>
      <c r="AK614" s="1152"/>
      <c r="AL614" s="1152"/>
      <c r="AM614" s="1152"/>
      <c r="AN614" s="1152"/>
      <c r="AO614" s="1152"/>
      <c r="AP614" s="1152"/>
      <c r="AQ614" s="1152"/>
      <c r="AR614" s="1152"/>
      <c r="AS614" s="1152"/>
      <c r="AT614" s="1152"/>
      <c r="AU614" s="1152"/>
      <c r="AV614" s="1152"/>
      <c r="AW614" s="1152"/>
      <c r="AX614" s="1152"/>
      <c r="AY614" s="1152"/>
      <c r="AZ614" s="1152"/>
      <c r="BA614" s="1152"/>
      <c r="BB614" s="1152"/>
      <c r="BC614" s="1152"/>
      <c r="BD614" s="1152"/>
    </row>
    <row r="615" spans="1:56" hidden="1" outlineLevel="1" x14ac:dyDescent="0.3">
      <c r="A615" s="1182"/>
      <c r="B615" s="1379"/>
      <c r="C615" s="1379"/>
      <c r="D615" s="1379"/>
      <c r="E615" s="1379"/>
      <c r="F615" s="1379"/>
      <c r="G615" s="1379"/>
      <c r="H615" s="1380"/>
      <c r="I615" s="341" t="s">
        <v>325</v>
      </c>
      <c r="J615" s="346"/>
      <c r="K615" s="444">
        <f>K613+K614</f>
        <v>0</v>
      </c>
      <c r="L615" s="346"/>
      <c r="M615" s="444">
        <f t="shared" ref="M615" si="2676">M613+M614</f>
        <v>0</v>
      </c>
      <c r="N615" s="346"/>
      <c r="O615" s="444">
        <f>O613+O614</f>
        <v>0</v>
      </c>
      <c r="P615" s="346"/>
      <c r="Q615" s="444">
        <f t="shared" ref="Q615" si="2677">Q613+Q614</f>
        <v>0</v>
      </c>
      <c r="R615" s="346"/>
      <c r="S615" s="444">
        <f>S613+S614</f>
        <v>0</v>
      </c>
      <c r="T615" s="346"/>
      <c r="U615" s="444">
        <f t="shared" ref="U615" si="2678">U613+U614</f>
        <v>0</v>
      </c>
      <c r="V615" s="346"/>
      <c r="W615" s="444">
        <f>W613+W614</f>
        <v>0</v>
      </c>
      <c r="X615" s="346"/>
      <c r="Y615" s="444">
        <f t="shared" ref="Y615" si="2679">Y613+Y614</f>
        <v>0</v>
      </c>
      <c r="Z615" s="346"/>
      <c r="AA615" s="444">
        <f>AA613+AA614</f>
        <v>0</v>
      </c>
      <c r="AB615" s="346"/>
      <c r="AC615" s="444">
        <f t="shared" ref="AC615" si="2680">AC613+AC614</f>
        <v>0</v>
      </c>
      <c r="AD615" s="335">
        <f t="shared" si="2543"/>
        <v>0</v>
      </c>
      <c r="AE615" s="1152"/>
      <c r="AF615" s="1152"/>
      <c r="AG615" s="1152"/>
      <c r="AH615" s="1152"/>
      <c r="AI615" s="1152"/>
      <c r="AJ615" s="1152"/>
      <c r="AK615" s="1152"/>
      <c r="AL615" s="1152"/>
      <c r="AM615" s="1152"/>
      <c r="AN615" s="1152"/>
      <c r="AO615" s="1152"/>
      <c r="AP615" s="1152"/>
      <c r="AQ615" s="1152"/>
      <c r="AR615" s="1152"/>
      <c r="AS615" s="1152"/>
      <c r="AT615" s="1152"/>
      <c r="AU615" s="1152"/>
      <c r="AV615" s="1152"/>
      <c r="AW615" s="1152"/>
      <c r="AX615" s="1152"/>
      <c r="AY615" s="1152"/>
      <c r="AZ615" s="1152"/>
      <c r="BA615" s="1152"/>
      <c r="BB615" s="1152"/>
      <c r="BC615" s="1152"/>
      <c r="BD615" s="1152"/>
    </row>
    <row r="616" spans="1:56" s="1" customFormat="1" ht="15" hidden="1" customHeight="1" outlineLevel="1" x14ac:dyDescent="0.3">
      <c r="A616" s="727"/>
      <c r="B616" s="1379"/>
      <c r="C616" s="1379"/>
      <c r="D616" s="1379"/>
      <c r="E616" s="1379"/>
      <c r="F616" s="1379"/>
      <c r="G616" s="1379"/>
      <c r="H616" s="1380"/>
      <c r="I616" s="463" t="s">
        <v>326</v>
      </c>
      <c r="J616" s="383">
        <f>IFERROR(K616/K602,0)</f>
        <v>0</v>
      </c>
      <c r="K616" s="447">
        <f>SUM(K603:K604,K606:K609,K612)</f>
        <v>0</v>
      </c>
      <c r="L616" s="434">
        <f>IFERROR(M616/M602,0)</f>
        <v>0</v>
      </c>
      <c r="M616" s="453">
        <f t="shared" ref="M616" si="2681">SUM(M603:M604,M606:M609,M612)</f>
        <v>0</v>
      </c>
      <c r="N616" s="383">
        <f t="shared" ref="N616" si="2682">IFERROR(O616/O602,0)</f>
        <v>0</v>
      </c>
      <c r="O616" s="447">
        <f t="shared" ref="O616" si="2683">SUM(O603:O604,O606:O609,O612)</f>
        <v>0</v>
      </c>
      <c r="P616" s="434">
        <f t="shared" ref="P616" si="2684">IFERROR(Q616/Q602,0)</f>
        <v>0</v>
      </c>
      <c r="Q616" s="453">
        <f t="shared" ref="Q616" si="2685">SUM(Q603:Q604,Q606:Q609,Q612)</f>
        <v>0</v>
      </c>
      <c r="R616" s="383">
        <f t="shared" ref="R616" si="2686">IFERROR(S616/S602,0)</f>
        <v>0</v>
      </c>
      <c r="S616" s="447">
        <f t="shared" ref="S616" si="2687">SUM(S603:S604,S606:S609,S612)</f>
        <v>0</v>
      </c>
      <c r="T616" s="434">
        <f t="shared" ref="T616" si="2688">IFERROR(U616/U602,0)</f>
        <v>0</v>
      </c>
      <c r="U616" s="453">
        <f t="shared" ref="U616" si="2689">SUM(U603:U604,U606:U609,U612)</f>
        <v>0</v>
      </c>
      <c r="V616" s="383">
        <f t="shared" ref="V616" si="2690">IFERROR(W616/W602,0)</f>
        <v>0</v>
      </c>
      <c r="W616" s="447">
        <f t="shared" ref="W616" si="2691">SUM(W603:W604,W606:W609,W612)</f>
        <v>0</v>
      </c>
      <c r="X616" s="434">
        <f t="shared" ref="X616" si="2692">IFERROR(Y616/Y602,0)</f>
        <v>0</v>
      </c>
      <c r="Y616" s="453">
        <f t="shared" ref="Y616" si="2693">SUM(Y603:Y604,Y606:Y609,Y612)</f>
        <v>0</v>
      </c>
      <c r="Z616" s="383">
        <f t="shared" ref="Z616" si="2694">IFERROR(AA616/AA602,0)</f>
        <v>0</v>
      </c>
      <c r="AA616" s="447">
        <f t="shared" ref="AA616" si="2695">SUM(AA603:AA604,AA606:AA609,AA612)</f>
        <v>0</v>
      </c>
      <c r="AB616" s="434">
        <f t="shared" ref="AB616" si="2696">IFERROR(AC616/AC602,0)</f>
        <v>0</v>
      </c>
      <c r="AC616" s="453">
        <f t="shared" ref="AC616" si="2697">SUM(AC603:AC604,AC606:AC609,AC612)</f>
        <v>0</v>
      </c>
      <c r="AD616" s="377">
        <f t="shared" si="2543"/>
        <v>0</v>
      </c>
      <c r="AE616" s="14"/>
      <c r="AF616" s="14"/>
      <c r="AG616" s="14"/>
      <c r="AH616" s="14"/>
      <c r="AI616" s="14"/>
      <c r="AJ616" s="14"/>
      <c r="AK616" s="14"/>
      <c r="AL616" s="14"/>
      <c r="AM616" s="14"/>
      <c r="AN616" s="14"/>
      <c r="AO616" s="14"/>
      <c r="AP616" s="14"/>
      <c r="AQ616" s="14"/>
      <c r="AR616" s="14"/>
      <c r="AS616" s="14"/>
      <c r="AT616" s="14"/>
      <c r="AU616" s="14"/>
      <c r="AV616" s="14"/>
      <c r="AW616" s="14"/>
      <c r="AX616" s="14"/>
      <c r="AY616" s="14"/>
      <c r="AZ616" s="14"/>
      <c r="BA616" s="14"/>
      <c r="BB616" s="14"/>
      <c r="BC616" s="14"/>
      <c r="BD616" s="14"/>
    </row>
    <row r="617" spans="1:56" hidden="1" outlineLevel="1" x14ac:dyDescent="0.3">
      <c r="A617" s="1182"/>
      <c r="B617" s="1379"/>
      <c r="C617" s="1379"/>
      <c r="D617" s="1379"/>
      <c r="E617" s="1379"/>
      <c r="F617" s="1379"/>
      <c r="G617" s="1379"/>
      <c r="H617" s="1380"/>
      <c r="I617" s="463" t="s">
        <v>327</v>
      </c>
      <c r="J617" s="384">
        <f>pCRInKind</f>
        <v>2.5</v>
      </c>
      <c r="K617" s="447"/>
      <c r="L617" s="435">
        <f>pCRInKind</f>
        <v>2.5</v>
      </c>
      <c r="M617" s="453"/>
      <c r="N617" s="384">
        <f>pCRInKind</f>
        <v>2.5</v>
      </c>
      <c r="O617" s="447"/>
      <c r="P617" s="435">
        <f>pCRInKind</f>
        <v>2.5</v>
      </c>
      <c r="Q617" s="453"/>
      <c r="R617" s="384">
        <f>pCRInKind</f>
        <v>2.5</v>
      </c>
      <c r="S617" s="447"/>
      <c r="T617" s="435">
        <f>pCRInKind</f>
        <v>2.5</v>
      </c>
      <c r="U617" s="453"/>
      <c r="V617" s="384">
        <f>pCRInKind</f>
        <v>2.5</v>
      </c>
      <c r="W617" s="447"/>
      <c r="X617" s="435">
        <f>pCRInKind</f>
        <v>2.5</v>
      </c>
      <c r="Y617" s="453"/>
      <c r="Z617" s="384">
        <f>pCRInKind</f>
        <v>2.5</v>
      </c>
      <c r="AA617" s="447"/>
      <c r="AB617" s="435">
        <f>pCRInKind</f>
        <v>2.5</v>
      </c>
      <c r="AC617" s="453"/>
      <c r="AD617" s="335"/>
      <c r="AE617" s="1152"/>
      <c r="AF617" s="1152"/>
      <c r="AG617" s="1152"/>
      <c r="AH617" s="1152"/>
      <c r="AI617" s="1152"/>
      <c r="AJ617" s="1152"/>
      <c r="AK617" s="1152"/>
      <c r="AL617" s="1152"/>
      <c r="AM617" s="1152"/>
      <c r="AN617" s="1152"/>
      <c r="AO617" s="1152"/>
      <c r="AP617" s="1152"/>
      <c r="AQ617" s="1152"/>
      <c r="AR617" s="1152"/>
      <c r="AS617" s="1152"/>
      <c r="AT617" s="1152"/>
      <c r="AU617" s="1152"/>
      <c r="AV617" s="1152"/>
      <c r="AW617" s="1152"/>
      <c r="AX617" s="1152"/>
      <c r="AY617" s="1152"/>
      <c r="AZ617" s="1152"/>
      <c r="BA617" s="1152"/>
      <c r="BB617" s="1152"/>
      <c r="BC617" s="1152"/>
      <c r="BD617" s="1152"/>
    </row>
    <row r="618" spans="1:56" ht="16.2" hidden="1" outlineLevel="1" thickBot="1" x14ac:dyDescent="0.35">
      <c r="A618" s="1182"/>
      <c r="B618" s="710"/>
      <c r="C618" s="347"/>
      <c r="D618" s="347"/>
      <c r="E618" s="347"/>
      <c r="F618" s="347"/>
      <c r="G618" s="347"/>
      <c r="H618" s="347"/>
      <c r="I618" s="436" t="s">
        <v>329</v>
      </c>
      <c r="J618" s="348"/>
      <c r="K618" s="349">
        <f>J617*K613</f>
        <v>0</v>
      </c>
      <c r="L618" s="348"/>
      <c r="M618" s="349">
        <f t="shared" ref="M618" si="2698">L617*M613</f>
        <v>0</v>
      </c>
      <c r="N618" s="348"/>
      <c r="O618" s="349">
        <f>N617*O613</f>
        <v>0</v>
      </c>
      <c r="P618" s="348"/>
      <c r="Q618" s="349">
        <f t="shared" ref="Q618" si="2699">P617*Q613</f>
        <v>0</v>
      </c>
      <c r="R618" s="348"/>
      <c r="S618" s="349">
        <f>R617*S613</f>
        <v>0</v>
      </c>
      <c r="T618" s="348"/>
      <c r="U618" s="349">
        <f t="shared" ref="U618" si="2700">T617*U613</f>
        <v>0</v>
      </c>
      <c r="V618" s="348"/>
      <c r="W618" s="349">
        <f>V617*W613</f>
        <v>0</v>
      </c>
      <c r="X618" s="348"/>
      <c r="Y618" s="349">
        <f t="shared" ref="Y618" si="2701">X617*Y613</f>
        <v>0</v>
      </c>
      <c r="Z618" s="348"/>
      <c r="AA618" s="349">
        <f>Z617*AA613</f>
        <v>0</v>
      </c>
      <c r="AB618" s="348"/>
      <c r="AC618" s="349">
        <f t="shared" ref="AC618" si="2702">AB617*AC613</f>
        <v>0</v>
      </c>
      <c r="AD618" s="335">
        <f t="shared" si="2543"/>
        <v>0</v>
      </c>
      <c r="AE618" s="1152"/>
      <c r="AF618" s="1152"/>
      <c r="AG618" s="1152"/>
      <c r="AH618" s="1152"/>
      <c r="AI618" s="1152"/>
      <c r="AJ618" s="1152"/>
      <c r="AK618" s="1152"/>
      <c r="AL618" s="1152"/>
      <c r="AM618" s="1152"/>
      <c r="AN618" s="1152"/>
      <c r="AO618" s="1152"/>
      <c r="AP618" s="1152"/>
      <c r="AQ618" s="1152"/>
      <c r="AR618" s="1152"/>
      <c r="AS618" s="1152"/>
      <c r="AT618" s="1152"/>
      <c r="AU618" s="1152"/>
      <c r="AV618" s="1152"/>
      <c r="AW618" s="1152"/>
      <c r="AX618" s="1152"/>
      <c r="AY618" s="1152"/>
      <c r="AZ618" s="1152"/>
      <c r="BA618" s="1152"/>
      <c r="BB618" s="1152"/>
      <c r="BC618" s="1152"/>
      <c r="BD618" s="1152"/>
    </row>
    <row r="619" spans="1:56" ht="15" hidden="1" outlineLevel="1" thickBot="1" x14ac:dyDescent="0.35">
      <c r="A619" s="1182"/>
      <c r="B619" s="1181"/>
      <c r="C619" s="1181"/>
      <c r="D619" s="1181"/>
      <c r="E619" s="1181"/>
      <c r="F619" s="1181"/>
      <c r="G619" s="1181"/>
      <c r="H619" s="1181"/>
      <c r="I619" s="350"/>
      <c r="J619" s="351"/>
      <c r="K619" s="351"/>
      <c r="L619" s="351"/>
      <c r="M619" s="352"/>
      <c r="N619" s="351"/>
      <c r="O619" s="352"/>
      <c r="P619" s="351"/>
      <c r="Q619" s="352"/>
      <c r="R619" s="351"/>
      <c r="S619" s="352"/>
      <c r="T619" s="351"/>
      <c r="U619" s="352"/>
      <c r="V619" s="351"/>
      <c r="W619" s="352"/>
      <c r="X619" s="351"/>
      <c r="Y619" s="352"/>
      <c r="Z619" s="351"/>
      <c r="AA619" s="352"/>
      <c r="AB619" s="351"/>
      <c r="AC619" s="352"/>
      <c r="AD619" s="353" t="str">
        <f>IF(tbBudgetCurrency="AUD - Australian Dollar","",IFERROR(K619+M619+O619+Q619+S619+U619+W619+Y619+AA619+AC619,0))</f>
        <v/>
      </c>
      <c r="AE619" s="1152"/>
      <c r="AF619" s="1152"/>
      <c r="AG619" s="1152"/>
      <c r="AH619" s="1152"/>
      <c r="AI619" s="1152"/>
      <c r="AJ619" s="1152"/>
      <c r="AK619" s="1152"/>
      <c r="AL619" s="1152"/>
      <c r="AM619" s="1152"/>
      <c r="AN619" s="1152"/>
      <c r="AO619" s="1152"/>
      <c r="AP619" s="1152"/>
      <c r="AQ619" s="1152"/>
      <c r="AR619" s="1152"/>
      <c r="AS619" s="1152"/>
      <c r="AT619" s="1152"/>
      <c r="AU619" s="1152"/>
      <c r="AV619" s="1152"/>
      <c r="AW619" s="1152"/>
      <c r="AX619" s="1152"/>
      <c r="AY619" s="1152"/>
      <c r="AZ619" s="1152"/>
      <c r="BA619" s="1152"/>
      <c r="BB619" s="1152"/>
      <c r="BC619" s="1152"/>
      <c r="BD619" s="1152"/>
    </row>
    <row r="620" spans="1:56" hidden="1" outlineLevel="1" x14ac:dyDescent="0.3">
      <c r="A620" s="1182"/>
      <c r="B620" s="460" t="str">
        <f>IF('PART B Staff Costs'!B65="","",'PART B Staff Costs'!B65)</f>
        <v/>
      </c>
      <c r="C620" s="460" t="str">
        <f>IF('PART B Staff Costs'!C65="","",'PART B Staff Costs'!C65)</f>
        <v xml:space="preserve"> </v>
      </c>
      <c r="D620" s="461" t="str">
        <f>IF('PART B Staff Costs'!D65="","",'PART B Staff Costs'!D65)</f>
        <v/>
      </c>
      <c r="E620" s="461" t="str">
        <f>IF('PART B Staff Costs'!E65="","",'PART B Staff Costs'!E65)</f>
        <v/>
      </c>
      <c r="F620" s="461" t="str">
        <f>IF('PART B Staff Costs'!F65="","",'PART B Staff Costs'!F65)</f>
        <v/>
      </c>
      <c r="G620" s="461" t="str">
        <f>IF('PART B Staff Costs'!G65="","",'PART B Staff Costs'!G65)</f>
        <v/>
      </c>
      <c r="H620" s="454" t="str">
        <f t="shared" ref="H620" si="2703">CONCATENATE(IF(D620=0,"",D620)," ",IF(E620=0,"",E620)," ",IF(F620=0,"",F620),,IF(OR(G620=0,G620=""),"",CONCATENATE(" (",G620,")")))</f>
        <v xml:space="preserve">  </v>
      </c>
      <c r="I620" s="454" t="s">
        <v>313</v>
      </c>
      <c r="J620" s="333">
        <f>_xlfn.IFNA('PART B Staff Costs'!H65*'PART B Staff Costs'!J$10,0)*new_xrate</f>
        <v>0</v>
      </c>
      <c r="K620" s="441"/>
      <c r="L620" s="334">
        <f>_xlfn.IFNA(IF(pStartYear+1&gt;pEndYear,0,VLOOKUP(CONCATENATE(
IF(OR($D620="Continuing",$D620="Fixed-Term"),"Fortnight",IF($D620="Casual","Casual",)),
$E620,
IF(OR($D620="Continuing",$D620="Fixed-Term"),
IF(LEFT($F620,6)="UOM 10","UOM 10",(LEFT($F620,LEN($F620)-1)&amp;MIN(RIGHT($F620,1)+COUNTIFS($J621:K621,"&gt;0")/2,VLOOKUP(LEFT($F620,LEN($F620)-2),tSalaryMax,2,FALSE)))),
IF($D620="Casual",
$F620,))
),tSalaryRate,5,FALSE)*VLOOKUP($G620,tSalaryRateMultiplier,2,FALSE)*'PART B Staff Costs'!L$10),0)*new_xrate</f>
        <v>0</v>
      </c>
      <c r="M620" s="449"/>
      <c r="N620" s="333">
        <f>_xlfn.IFNA(IF(pStartYear+2&gt;pEndYear,0,VLOOKUP(CONCATENATE(
IF(OR($D620="Continuing",$D620="Fixed-Term"),"Fortnight",IF($D620="Casual","Casual",)),
$E620,
IF(OR($D620="Continuing",$D620="Fixed-Term"),
IF(LEFT($F620,6)="UOM 10","UOM 10",(LEFT($F620,LEN($F620)-1)&amp;MIN(RIGHT($F620,1)+COUNTIFS($J621:M621,"&gt;0")/2,VLOOKUP(LEFT($F620,LEN($F620)-2),tSalaryMax,2,FALSE)))),
IF($D620="Casual",
$F620,))
),tSalaryRate,5,FALSE)*VLOOKUP($G620,tSalaryRateMultiplier,2,FALSE)*'PART B Staff Costs'!N$10),0)*new_xrate</f>
        <v>0</v>
      </c>
      <c r="O620" s="441"/>
      <c r="P620" s="334">
        <f>_xlfn.IFNA(IF(pStartYear+3&gt;pEndYear,0,VLOOKUP(CONCATENATE(
IF(OR($D620="Continuing",$D620="Fixed-Term"),"Fortnight",IF($D620="Casual","Casual",)),
$E620,
IF(OR($D620="Continuing",$D620="Fixed-Term"),
IF(LEFT($F620,6)="UOM 10","UOM 10",(LEFT($F620,LEN($F620)-1)&amp;MIN(RIGHT($F620,1)+COUNTIFS($J621:O621,"&gt;0")/2,VLOOKUP(LEFT($F620,LEN($F620)-2),tSalaryMax,2,FALSE)))),
IF($D620="Casual",
$F620,))
),tSalaryRate,5,FALSE)*VLOOKUP($G620,tSalaryRateMultiplier,2,FALSE)*'PART B Staff Costs'!P$10),0)*new_xrate</f>
        <v>0</v>
      </c>
      <c r="Q620" s="449"/>
      <c r="R620" s="333">
        <f>_xlfn.IFNA(IF(pStartYear+4&gt;pEndYear,0,VLOOKUP(CONCATENATE(
IF(OR($D620="Continuing",$D620="Fixed-Term"),"Fortnight",IF($D620="Casual","Casual",)),
$E620,
IF(OR($D620="Continuing",$D620="Fixed-Term"),
IF(LEFT($F620,6)="UOM 10","UOM 10",(LEFT($F620,LEN($F620)-1)&amp;MIN(RIGHT($F620,1)+COUNTIFS($J621:Q621,"&gt;0")/2,VLOOKUP(LEFT($F620,LEN($F620)-2),tSalaryMax,2,FALSE)))),
IF($D620="Casual",
$F620,))
),tSalaryRate,5,FALSE)*VLOOKUP($G620,tSalaryRateMultiplier,2,FALSE)*'PART B Staff Costs'!R$10),0)*new_xrate</f>
        <v>0</v>
      </c>
      <c r="S620" s="441"/>
      <c r="T620" s="334">
        <f>_xlfn.IFNA(IF(pStartYear+5&gt;pEndYear,0,VLOOKUP(CONCATENATE(
IF(OR($D620="Continuing",$D620="Fixed-Term"),"Fortnight",IF($D620="Casual","Casual",)),
$E620,
IF(OR($D620="Continuing",$D620="Fixed-Term"),
IF(LEFT($F620,6)="UOM 10","UOM 10",(LEFT($F620,LEN($F620)-1)&amp;MIN(RIGHT($F620,1)+COUNTIFS($J621:S621,"&gt;0")/2,VLOOKUP(LEFT($F620,LEN($F620)-2),tSalaryMax,2,FALSE)))),
IF($D620="Casual",
$F620,))
),tSalaryRate,5,FALSE)*VLOOKUP($G620,tSalaryRateMultiplier,2,FALSE)*'PART B Staff Costs'!T$10),0)*new_xrate</f>
        <v>0</v>
      </c>
      <c r="U620" s="449"/>
      <c r="V620" s="333">
        <f>_xlfn.IFNA(IF(pStartYear+6&gt;pEndYear,0,VLOOKUP(CONCATENATE(
IF(OR($D620="Continuing",$D620="Fixed-Term"),"Fortnight",IF($D620="Casual","Casual",)),
$E620,
IF(OR($D620="Continuing",$D620="Fixed-Term"),
IF(LEFT($F620,6)="UOM 10","UOM 10",(LEFT($F620,LEN($F620)-1)&amp;MIN(RIGHT($F620,1)+COUNTIFS($J621:U621,"&gt;0")/2,VLOOKUP(LEFT($F620,LEN($F620)-2),tSalaryMax,2,FALSE)))),
IF($D620="Casual",
$F620,))
),tSalaryRate,5,FALSE)*VLOOKUP($G620,tSalaryRateMultiplier,2,FALSE)*'PART B Staff Costs'!V$10),0)*new_xrate</f>
        <v>0</v>
      </c>
      <c r="W620" s="441"/>
      <c r="X620" s="334">
        <f>_xlfn.IFNA(IF(pStartYear+7&gt;pEndYear,0,VLOOKUP(CONCATENATE(
IF(OR($D620="Continuing",$D620="Fixed-Term"),"Fortnight",IF($D620="Casual","Casual",)),
$E620,
IF(OR($D620="Continuing",$D620="Fixed-Term"),
IF(LEFT($F620,6)="UOM 10","UOM 10",(LEFT($F620,LEN($F620)-1)&amp;MIN(RIGHT($F620,1)+COUNTIFS($J621:W621,"&gt;0")/2,VLOOKUP(LEFT($F620,LEN($F620)-2),tSalaryMax,2,FALSE)))),
IF($D620="Casual",
$F620,))
),tSalaryRate,5,FALSE)*VLOOKUP($G620,tSalaryRateMultiplier,2,FALSE)*'PART B Staff Costs'!X$10),0)*new_xrate</f>
        <v>0</v>
      </c>
      <c r="Y620" s="449"/>
      <c r="Z620" s="333">
        <f>_xlfn.IFNA(IF(pStartYear+8&gt;pEndYear,0,VLOOKUP(CONCATENATE(
IF(OR($D620="Continuing",$D620="Fixed-Term"),"Fortnight",IF($D620="Casual","Casual",)),
$E620,
IF(OR($D620="Continuing",$D620="Fixed-Term"),
IF(LEFT($F620,6)="UOM 10","UOM 10",(LEFT($F620,LEN($F620)-1)&amp;MIN(RIGHT($F620,1)+COUNTIFS($J621:Y621,"&gt;0")/2,VLOOKUP(LEFT($F620,LEN($F620)-2),tSalaryMax,2,FALSE)))),
IF($D620="Casual",
$F620,))
),tSalaryRate,5,FALSE)*VLOOKUP($G620,tSalaryRateMultiplier,2,FALSE)*'PART B Staff Costs'!Z$10),0)*new_xrate</f>
        <v>0</v>
      </c>
      <c r="AA620" s="441"/>
      <c r="AB620" s="334">
        <f>_xlfn.IFNA(IF(pStartYear+9&gt;pEndYear,0,VLOOKUP(CONCATENATE(
IF(OR($D620="Continuing",$D620="Fixed-Term"),"Fortnight",IF($D620="Casual","Casual",)),
$E620,
IF(OR($D620="Continuing",$D620="Fixed-Term"),
IF(LEFT($F620,6)="UOM 10","UOM 10",(LEFT($F620,LEN($F620)-1)&amp;MIN(RIGHT($F620,1)+COUNTIFS($J621:AA621,"&gt;0")/2,VLOOKUP(LEFT($F620,LEN($F620)-2),tSalaryMax,2,FALSE)))),
IF($D620="Casual",
$F620,))
),tSalaryRate,5,FALSE)*VLOOKUP($G620,tSalaryRateMultiplier,2,FALSE)*'PART B Staff Costs'!AB$10),0)*new_xrate</f>
        <v>0</v>
      </c>
      <c r="AC620" s="449"/>
      <c r="AD620" s="335"/>
      <c r="AE620" s="1152"/>
      <c r="AF620" s="1152"/>
      <c r="AG620" s="1152"/>
      <c r="AH620" s="1152"/>
      <c r="AI620" s="1152"/>
      <c r="AJ620" s="1152"/>
      <c r="AK620" s="1152"/>
      <c r="AL620" s="1152"/>
      <c r="AM620" s="1152"/>
      <c r="AN620" s="1152"/>
      <c r="AO620" s="1152"/>
      <c r="AP620" s="1152"/>
      <c r="AQ620" s="1152"/>
      <c r="AR620" s="1152"/>
      <c r="AS620" s="1152"/>
      <c r="AT620" s="1152"/>
      <c r="AU620" s="1152"/>
      <c r="AV620" s="1152"/>
      <c r="AW620" s="1152"/>
      <c r="AX620" s="1152"/>
      <c r="AY620" s="1152"/>
      <c r="AZ620" s="1152"/>
      <c r="BA620" s="1152"/>
      <c r="BB620" s="1152"/>
      <c r="BC620" s="1152"/>
      <c r="BD620" s="1152"/>
    </row>
    <row r="621" spans="1:56" hidden="1" outlineLevel="1" x14ac:dyDescent="0.3">
      <c r="A621" s="1182"/>
      <c r="B621" s="1377"/>
      <c r="C621" s="1377"/>
      <c r="D621" s="1377"/>
      <c r="E621" s="1377"/>
      <c r="F621" s="1377"/>
      <c r="G621" s="1377"/>
      <c r="H621" s="1378"/>
      <c r="I621" s="455" t="str">
        <f>IF('PART B Staff Costs'!G616&lt;&gt;"",CONCATENATE("Time/Requested salary"," (",'PART B Staff Costs'!G616,")"),"Time/Requested salary")</f>
        <v>Time/Requested salary</v>
      </c>
      <c r="J621" s="337">
        <f>_xlfn.IFNA('PART B Staff Costs'!I65,0)</f>
        <v>0</v>
      </c>
      <c r="K621" s="442">
        <f>IF('PART B Staff Costs'!$G$65="FTE",J621*J620*(First_year_fraction/12),J621*J620)</f>
        <v>0</v>
      </c>
      <c r="L621" s="338">
        <f>_xlfn.IFNA('PART B Staff Costs'!K65,0)</f>
        <v>0</v>
      </c>
      <c r="M621" s="450">
        <f>IF(pStartYear+1=pEndYear,IF('PART B Staff Costs'!$G$65="FTE",(L621*L620)*Last_Year_Fraction/12,L621*L620),L621*L620)</f>
        <v>0</v>
      </c>
      <c r="N621" s="337">
        <f>_xlfn.IFNA('PART B Staff Costs'!M65,0)</f>
        <v>0</v>
      </c>
      <c r="O621" s="442">
        <f>IF(pStartYear+2=pEndYear,IF('PART B Staff Costs'!$G$65="FTE",(N621*N620)*Last_Year_Fraction/12,N621*N620),N621*N620)</f>
        <v>0</v>
      </c>
      <c r="P621" s="338">
        <f>_xlfn.IFNA('PART B Staff Costs'!O65,0)</f>
        <v>0</v>
      </c>
      <c r="Q621" s="450">
        <f>IF(pStartYear+3=pEndYear,IF('PART B Staff Costs'!$G$65="FTE",(P621*P620)*Last_Year_Fraction/12,P621*P620),P621*P620)</f>
        <v>0</v>
      </c>
      <c r="R621" s="337">
        <f>_xlfn.IFNA('PART B Staff Costs'!Q65,0)</f>
        <v>0</v>
      </c>
      <c r="S621" s="442">
        <f>IF(pStartYear+4=pEndYear,IF('PART B Staff Costs'!$G$65="FTE",(R621*R620)*Last_Year_Fraction/12,R621*R620),R621*R620)</f>
        <v>0</v>
      </c>
      <c r="T621" s="338">
        <f>_xlfn.IFNA('PART B Staff Costs'!S65,0)</f>
        <v>0</v>
      </c>
      <c r="U621" s="450">
        <f>IF(pStartYear+5=pEndYear,IF('PART B Staff Costs'!$G$65="FTE",(T621*T620)*Last_Year_Fraction/12,T621*T620),T621*T620)</f>
        <v>0</v>
      </c>
      <c r="V621" s="337">
        <f>_xlfn.IFNA('PART B Staff Costs'!U65,0)</f>
        <v>0</v>
      </c>
      <c r="W621" s="442">
        <f>IF(pStartYear+6=pEndYear,IF('PART B Staff Costs'!$G$65="FTE",(V621*V620)*Last_Year_Fraction/12,V621*V620),V621*V620)</f>
        <v>0</v>
      </c>
      <c r="X621" s="338">
        <f>_xlfn.IFNA('PART B Staff Costs'!W65,0)</f>
        <v>0</v>
      </c>
      <c r="Y621" s="450">
        <f>IF(pStartYear+7=pEndYear,IF('PART B Staff Costs'!$G$65="FTE",(X621*X620)*Last_Year_Fraction/12,X621*X620),X621*X620)</f>
        <v>0</v>
      </c>
      <c r="Z621" s="337">
        <f>_xlfn.IFNA('PART B Staff Costs'!Y65,0)</f>
        <v>0</v>
      </c>
      <c r="AA621" s="442">
        <f>IF(pStartYear+8=pEndYear,IF('PART B Staff Costs'!$G$65="FTE",(Z621*Z620)*Last_Year_Fraction/12,Z621*Z620),Z621*Z620)</f>
        <v>0</v>
      </c>
      <c r="AB621" s="338">
        <f>_xlfn.IFNA('PART B Staff Costs'!AA65,0)</f>
        <v>0</v>
      </c>
      <c r="AC621" s="450">
        <f>IF(pStartYear+9=pEndYear,IF('PART B Staff Costs'!$G$65="FTE",(AB621*AB620)*Last_Year_Fraction/12,AB621*AB620),AB621*AB620)</f>
        <v>0</v>
      </c>
      <c r="AD621" s="335"/>
      <c r="AE621" s="1152"/>
      <c r="AF621" s="1152"/>
      <c r="AG621" s="1152"/>
      <c r="AH621" s="1152"/>
      <c r="AI621" s="1152"/>
      <c r="AJ621" s="1152"/>
      <c r="AK621" s="1152"/>
      <c r="AL621" s="1152"/>
      <c r="AM621" s="1152"/>
      <c r="AN621" s="1152"/>
      <c r="AO621" s="1152"/>
      <c r="AP621" s="1152"/>
      <c r="AQ621" s="1152"/>
      <c r="AR621" s="1152"/>
      <c r="AS621" s="1152"/>
      <c r="AT621" s="1152"/>
      <c r="AU621" s="1152"/>
      <c r="AV621" s="1152"/>
      <c r="AW621" s="1152"/>
      <c r="AX621" s="1152"/>
      <c r="AY621" s="1152"/>
      <c r="AZ621" s="1152"/>
      <c r="BA621" s="1152"/>
      <c r="BB621" s="1152"/>
      <c r="BC621" s="1152"/>
      <c r="BD621" s="1152"/>
    </row>
    <row r="622" spans="1:56" hidden="1" outlineLevel="1" x14ac:dyDescent="0.3">
      <c r="A622" s="1182"/>
      <c r="B622" s="1379"/>
      <c r="C622" s="1379"/>
      <c r="D622" s="1379"/>
      <c r="E622" s="1379"/>
      <c r="F622" s="1379"/>
      <c r="G622" s="1379"/>
      <c r="H622" s="1380"/>
      <c r="I622" s="455" t="str">
        <f>IF(tbBudgetCurrency="AUD - Australian Dollar",CONCATENATE("Leave Loading (max of AU$",vl_Max_Leave_Loading,")"),CONCATENATE("Leave Loading (max of ",ROUND(vl_Max_Leave_Loading*new_xrate,2)," ",LEFT(tbBudgetCurrency,3),")"))</f>
        <v>Leave Loading (max of AU$1611.3)</v>
      </c>
      <c r="J622" s="339">
        <f>_xlfn.IFNA(VLOOKUP($D620,tbLeaveLoading,2,FALSE),0)</f>
        <v>0</v>
      </c>
      <c r="K622" s="443">
        <f>IF(K621*J622&gt;vl_Max_Leave_Loading*new_xrate,vl_Max_Leave_Loading*new_xrate,K621*J622)</f>
        <v>0</v>
      </c>
      <c r="L622" s="340">
        <f>_xlfn.IFNA(VLOOKUP($D620,tbLeaveLoading,2,FALSE),0)</f>
        <v>0</v>
      </c>
      <c r="M622" s="451">
        <f>IF(M621*L622&gt;vl_Max_Leave_Loading*new_xrate,vl_Max_Leave_Loading*new_xrate,M621*L622)</f>
        <v>0</v>
      </c>
      <c r="N622" s="339">
        <f>_xlfn.IFNA(VLOOKUP($D620,tbLeaveLoading,2,FALSE),0)</f>
        <v>0</v>
      </c>
      <c r="O622" s="443">
        <f>IF(O621*N622&gt;vl_Max_Leave_Loading*new_xrate,vl_Max_Leave_Loading*new_xrate,O621*N622)</f>
        <v>0</v>
      </c>
      <c r="P622" s="340">
        <f>_xlfn.IFNA(VLOOKUP($D620,tbLeaveLoading,2,FALSE),0)</f>
        <v>0</v>
      </c>
      <c r="Q622" s="451">
        <f>IF(Q621*P622&gt;vl_Max_Leave_Loading*new_xrate,vl_Max_Leave_Loading*new_xrate,Q621*P622)</f>
        <v>0</v>
      </c>
      <c r="R622" s="339">
        <f>_xlfn.IFNA(VLOOKUP($D620,tbLeaveLoading,2,FALSE),0)</f>
        <v>0</v>
      </c>
      <c r="S622" s="443">
        <f>IF(S621*R622&gt;vl_Max_Leave_Loading*new_xrate,vl_Max_Leave_Loading*new_xrate,S621*R622)</f>
        <v>0</v>
      </c>
      <c r="T622" s="340">
        <f>_xlfn.IFNA(VLOOKUP($D620,tbLeaveLoading,2,FALSE),0)</f>
        <v>0</v>
      </c>
      <c r="U622" s="451">
        <f>IF(U621*T622&gt;vl_Max_Leave_Loading*new_xrate,vl_Max_Leave_Loading*new_xrate,U621*T622)</f>
        <v>0</v>
      </c>
      <c r="V622" s="339">
        <f>_xlfn.IFNA(VLOOKUP($D620,tbLeaveLoading,2,FALSE),0)</f>
        <v>0</v>
      </c>
      <c r="W622" s="443">
        <f>IF(W621*V622&gt;vl_Max_Leave_Loading*new_xrate,vl_Max_Leave_Loading*new_xrate,W621*V622)</f>
        <v>0</v>
      </c>
      <c r="X622" s="340">
        <f>_xlfn.IFNA(VLOOKUP($D620,tbLeaveLoading,2,FALSE),0)</f>
        <v>0</v>
      </c>
      <c r="Y622" s="451">
        <f>IF(Y621*X622&gt;vl_Max_Leave_Loading*new_xrate,vl_Max_Leave_Loading*new_xrate,Y621*X622)</f>
        <v>0</v>
      </c>
      <c r="Z622" s="339">
        <f>_xlfn.IFNA(VLOOKUP($D620,tbLeaveLoading,2,FALSE),0)</f>
        <v>0</v>
      </c>
      <c r="AA622" s="443">
        <f>IF(AA621*Z622&gt;vl_Max_Leave_Loading*new_xrate,vl_Max_Leave_Loading*new_xrate,AA621*Z622)</f>
        <v>0</v>
      </c>
      <c r="AB622" s="340">
        <f>_xlfn.IFNA(VLOOKUP($D620,tbLeaveLoading,2,FALSE),0)</f>
        <v>0</v>
      </c>
      <c r="AC622" s="451">
        <f>IF(AC621*AB622&gt;vl_Max_Leave_Loading*new_xrate,vl_Max_Leave_Loading*new_xrate,AC621*AB622)</f>
        <v>0</v>
      </c>
      <c r="AD622" s="335"/>
      <c r="AE622" s="1152"/>
      <c r="AF622" s="1152"/>
      <c r="AG622" s="1152"/>
      <c r="AH622" s="1152"/>
      <c r="AI622" s="1152"/>
      <c r="AJ622" s="1152"/>
      <c r="AK622" s="1152"/>
      <c r="AL622" s="1152"/>
      <c r="AM622" s="1152"/>
      <c r="AN622" s="1152"/>
      <c r="AO622" s="1152"/>
      <c r="AP622" s="1152"/>
      <c r="AQ622" s="1152"/>
      <c r="AR622" s="1152"/>
      <c r="AS622" s="1152"/>
      <c r="AT622" s="1152"/>
      <c r="AU622" s="1152"/>
      <c r="AV622" s="1152"/>
      <c r="AW622" s="1152"/>
      <c r="AX622" s="1152"/>
      <c r="AY622" s="1152"/>
      <c r="AZ622" s="1152"/>
      <c r="BA622" s="1152"/>
      <c r="BB622" s="1152"/>
      <c r="BC622" s="1152"/>
      <c r="BD622" s="1152"/>
    </row>
    <row r="623" spans="1:56" hidden="1" outlineLevel="1" x14ac:dyDescent="0.3">
      <c r="A623" s="1182"/>
      <c r="B623" s="1379"/>
      <c r="C623" s="1379"/>
      <c r="D623" s="1379"/>
      <c r="E623" s="1379"/>
      <c r="F623" s="1379"/>
      <c r="G623" s="1379"/>
      <c r="H623" s="1380"/>
      <c r="I623" s="455" t="s">
        <v>314</v>
      </c>
      <c r="J623" s="339">
        <f>_xlfn.IFNA(_xlfn.IFNA(VLOOKUP(CONCATENATE(pStartYear,$D620),tbSuperannuation,4,FALSE),VLOOKUP($D620,tbSuperannuation2026onwards,2,FALSE)),0)</f>
        <v>0</v>
      </c>
      <c r="K623" s="443">
        <f>K621*J623</f>
        <v>0</v>
      </c>
      <c r="L623" s="340">
        <f>_xlfn.IFNA(_xlfn.IFNA(VLOOKUP(CONCATENATE(pStartYear+1,$D620),tbSuperannuation,4,FALSE),VLOOKUP($D620,tbSuperannuation2026onwards,2,FALSE)),0)</f>
        <v>0</v>
      </c>
      <c r="M623" s="451">
        <f t="shared" ref="M623" si="2704">M621*L623</f>
        <v>0</v>
      </c>
      <c r="N623" s="339">
        <f>_xlfn.IFNA(_xlfn.IFNA(VLOOKUP(CONCATENATE(pStartYear+2,$D620),tbSuperannuation,4,FALSE),VLOOKUP($D620,tbSuperannuation2026onwards,2,FALSE)),0)</f>
        <v>0</v>
      </c>
      <c r="O623" s="443">
        <f>O621*N623</f>
        <v>0</v>
      </c>
      <c r="P623" s="340">
        <f>_xlfn.IFNA(_xlfn.IFNA(VLOOKUP(CONCATENATE(pStartYear+3,$D620),tbSuperannuation,4,FALSE),VLOOKUP($D620,tbSuperannuation2026onwards,2,FALSE)),0)</f>
        <v>0</v>
      </c>
      <c r="Q623" s="451">
        <f t="shared" ref="Q623" si="2705">Q621*P623</f>
        <v>0</v>
      </c>
      <c r="R623" s="339">
        <f>_xlfn.IFNA(_xlfn.IFNA(VLOOKUP(CONCATENATE(pStartYear+4,$D620),tbSuperannuation,4,FALSE),VLOOKUP($D620,tbSuperannuation2026onwards,2,FALSE)),0)</f>
        <v>0</v>
      </c>
      <c r="S623" s="443">
        <f>S621*R623</f>
        <v>0</v>
      </c>
      <c r="T623" s="340">
        <f>_xlfn.IFNA(_xlfn.IFNA(VLOOKUP(CONCATENATE(pStartYear+5,$D620),tbSuperannuation,4,FALSE),VLOOKUP($D620,tbSuperannuation2026onwards,2,FALSE)),0)</f>
        <v>0</v>
      </c>
      <c r="U623" s="451">
        <f t="shared" ref="U623" si="2706">U621*T623</f>
        <v>0</v>
      </c>
      <c r="V623" s="339">
        <f>_xlfn.IFNA(_xlfn.IFNA(VLOOKUP(CONCATENATE(pStartYear+6,$D620),tbSuperannuation,4,FALSE),VLOOKUP($D620,tbSuperannuation2026onwards,2,FALSE)),0)</f>
        <v>0</v>
      </c>
      <c r="W623" s="443">
        <f>W621*V623</f>
        <v>0</v>
      </c>
      <c r="X623" s="340">
        <f>_xlfn.IFNA(_xlfn.IFNA(VLOOKUP(CONCATENATE(pStartYear+7,$D620),tbSuperannuation,4,FALSE),VLOOKUP($D620,tbSuperannuation2026onwards,2,FALSE)),0)</f>
        <v>0</v>
      </c>
      <c r="Y623" s="451">
        <f t="shared" ref="Y623" si="2707">Y621*X623</f>
        <v>0</v>
      </c>
      <c r="Z623" s="339">
        <f>_xlfn.IFNA(_xlfn.IFNA(VLOOKUP(CONCATENATE(pStartYear+8,$D620),tbSuperannuation,4,FALSE),VLOOKUP($D620,tbSuperannuation2026onwards,2,FALSE)),0)</f>
        <v>0</v>
      </c>
      <c r="AA623" s="443">
        <f>AA621*Z623</f>
        <v>0</v>
      </c>
      <c r="AB623" s="340">
        <f>_xlfn.IFNA(_xlfn.IFNA(VLOOKUP(CONCATENATE(pStartYear+9,$D620),tbSuperannuation,4,FALSE),VLOOKUP($D620,tbSuperannuation2026onwards,2,FALSE)),0)</f>
        <v>0</v>
      </c>
      <c r="AC623" s="451">
        <f t="shared" ref="AC623" si="2708">AC621*AB623</f>
        <v>0</v>
      </c>
      <c r="AD623" s="335"/>
      <c r="AE623" s="1152"/>
      <c r="AF623" s="1152"/>
      <c r="AG623" s="1152"/>
      <c r="AH623" s="1152"/>
      <c r="AI623" s="1152"/>
      <c r="AJ623" s="1152"/>
      <c r="AK623" s="1152"/>
      <c r="AL623" s="1152"/>
      <c r="AM623" s="1152"/>
      <c r="AN623" s="1152"/>
      <c r="AO623" s="1152"/>
      <c r="AP623" s="1152"/>
      <c r="AQ623" s="1152"/>
      <c r="AR623" s="1152"/>
      <c r="AS623" s="1152"/>
      <c r="AT623" s="1152"/>
      <c r="AU623" s="1152"/>
      <c r="AV623" s="1152"/>
      <c r="AW623" s="1152"/>
      <c r="AX623" s="1152"/>
      <c r="AY623" s="1152"/>
      <c r="AZ623" s="1152"/>
      <c r="BA623" s="1152"/>
      <c r="BB623" s="1152"/>
      <c r="BC623" s="1152"/>
      <c r="BD623" s="1152"/>
    </row>
    <row r="624" spans="1:56" hidden="1" outlineLevel="1" x14ac:dyDescent="0.3">
      <c r="A624" s="1182"/>
      <c r="B624" s="1379"/>
      <c r="C624" s="1379"/>
      <c r="D624" s="1379"/>
      <c r="E624" s="1379"/>
      <c r="F624" s="1379"/>
      <c r="G624" s="1379"/>
      <c r="H624" s="1380"/>
      <c r="I624" s="341" t="s">
        <v>315</v>
      </c>
      <c r="J624" s="342"/>
      <c r="K624" s="444">
        <f>K622+K623+K621</f>
        <v>0</v>
      </c>
      <c r="L624" s="342"/>
      <c r="M624" s="444">
        <f t="shared" ref="M624" si="2709">M622+M623+M621</f>
        <v>0</v>
      </c>
      <c r="N624" s="342"/>
      <c r="O624" s="444">
        <f>O622+O623+O621</f>
        <v>0</v>
      </c>
      <c r="P624" s="342"/>
      <c r="Q624" s="444">
        <f t="shared" ref="Q624" si="2710">Q622+Q623+Q621</f>
        <v>0</v>
      </c>
      <c r="R624" s="342"/>
      <c r="S624" s="444">
        <f>S622+S623+S621</f>
        <v>0</v>
      </c>
      <c r="T624" s="342"/>
      <c r="U624" s="444">
        <f t="shared" ref="U624" si="2711">U622+U623+U621</f>
        <v>0</v>
      </c>
      <c r="V624" s="342"/>
      <c r="W624" s="444">
        <f>W622+W623+W621</f>
        <v>0</v>
      </c>
      <c r="X624" s="342"/>
      <c r="Y624" s="444">
        <f t="shared" ref="Y624" si="2712">Y622+Y623+Y621</f>
        <v>0</v>
      </c>
      <c r="Z624" s="342"/>
      <c r="AA624" s="444">
        <f>AA622+AA623+AA621</f>
        <v>0</v>
      </c>
      <c r="AB624" s="342"/>
      <c r="AC624" s="444">
        <f t="shared" ref="AC624" si="2713">AC622+AC623+AC621</f>
        <v>0</v>
      </c>
      <c r="AD624" s="335">
        <f t="shared" si="2543"/>
        <v>0</v>
      </c>
      <c r="AE624" s="1152"/>
      <c r="AF624" s="1152"/>
      <c r="AG624" s="1152"/>
      <c r="AH624" s="1152"/>
      <c r="AI624" s="1152"/>
      <c r="AJ624" s="1152"/>
      <c r="AK624" s="1152"/>
      <c r="AL624" s="1152"/>
      <c r="AM624" s="1152"/>
      <c r="AN624" s="1152"/>
      <c r="AO624" s="1152"/>
      <c r="AP624" s="1152"/>
      <c r="AQ624" s="1152"/>
      <c r="AR624" s="1152"/>
      <c r="AS624" s="1152"/>
      <c r="AT624" s="1152"/>
      <c r="AU624" s="1152"/>
      <c r="AV624" s="1152"/>
      <c r="AW624" s="1152"/>
      <c r="AX624" s="1152"/>
      <c r="AY624" s="1152"/>
      <c r="AZ624" s="1152"/>
      <c r="BA624" s="1152"/>
      <c r="BB624" s="1152"/>
      <c r="BC624" s="1152"/>
      <c r="BD624" s="1152"/>
    </row>
    <row r="625" spans="1:56" hidden="1" outlineLevel="1" x14ac:dyDescent="0.3">
      <c r="A625" s="1182"/>
      <c r="B625" s="1379"/>
      <c r="C625" s="1379"/>
      <c r="D625" s="1379"/>
      <c r="E625" s="1379"/>
      <c r="F625" s="1379"/>
      <c r="G625" s="1379"/>
      <c r="H625" s="1380"/>
      <c r="I625" s="455" t="s">
        <v>316</v>
      </c>
      <c r="J625" s="339">
        <f>_xlfn.IFNA(_xlfn.IFNA(VLOOKUP(pStartYear,tbPayrollTax,2,FALSE),vl_MaxPayrollTax),0)</f>
        <v>5.8500000000000003E-2</v>
      </c>
      <c r="K625" s="443">
        <f>J625*K624</f>
        <v>0</v>
      </c>
      <c r="L625" s="340">
        <f>_xlfn.IFNA(_xlfn.IFNA(VLOOKUP(pStartYear+1,tbPayrollTax,2,FALSE),vl_MaxPayrollTax),0)</f>
        <v>5.8500000000000003E-2</v>
      </c>
      <c r="M625" s="451">
        <f t="shared" ref="M625" si="2714">L625*M624</f>
        <v>0</v>
      </c>
      <c r="N625" s="339">
        <f>_xlfn.IFNA(_xlfn.IFNA(VLOOKUP(pStartYear+2,tbPayrollTax,2,FALSE),vl_MaxPayrollTax),0)</f>
        <v>5.8500000000000003E-2</v>
      </c>
      <c r="O625" s="443">
        <f>N625*O624</f>
        <v>0</v>
      </c>
      <c r="P625" s="340">
        <f>_xlfn.IFNA(_xlfn.IFNA(VLOOKUP(pStartYear+3,tbPayrollTax,2,FALSE),vl_MaxPayrollTax),0)</f>
        <v>5.8500000000000003E-2</v>
      </c>
      <c r="Q625" s="451">
        <f t="shared" ref="Q625" si="2715">P625*Q624</f>
        <v>0</v>
      </c>
      <c r="R625" s="339">
        <f>_xlfn.IFNA(_xlfn.IFNA(VLOOKUP(pStartYear+4,tbPayrollTax,2,FALSE),vl_MaxPayrollTax),0)</f>
        <v>5.8500000000000003E-2</v>
      </c>
      <c r="S625" s="443">
        <f>R625*S624</f>
        <v>0</v>
      </c>
      <c r="T625" s="340">
        <f>_xlfn.IFNA(_xlfn.IFNA(VLOOKUP(pStartYear+5,tbPayrollTax,2,FALSE),vl_MaxPayrollTax),0)</f>
        <v>5.8500000000000003E-2</v>
      </c>
      <c r="U625" s="451">
        <f t="shared" ref="U625" si="2716">T625*U624</f>
        <v>0</v>
      </c>
      <c r="V625" s="339">
        <f>_xlfn.IFNA(_xlfn.IFNA(VLOOKUP(pStartYear+6,tbPayrollTax,2,FALSE),vl_MaxPayrollTax),0)</f>
        <v>5.8500000000000003E-2</v>
      </c>
      <c r="W625" s="443">
        <f>V625*W624</f>
        <v>0</v>
      </c>
      <c r="X625" s="340">
        <f>_xlfn.IFNA(_xlfn.IFNA(VLOOKUP(pStartYear+7,tbPayrollTax,2,FALSE),vl_MaxPayrollTax),0)</f>
        <v>5.8500000000000003E-2</v>
      </c>
      <c r="Y625" s="451">
        <f t="shared" ref="Y625" si="2717">X625*Y624</f>
        <v>0</v>
      </c>
      <c r="Z625" s="339">
        <f>_xlfn.IFNA(_xlfn.IFNA(VLOOKUP(pStartYear+8,tbPayrollTax,2,FALSE),vl_MaxPayrollTax),0)</f>
        <v>5.8500000000000003E-2</v>
      </c>
      <c r="AA625" s="443">
        <f>Z625*AA624</f>
        <v>0</v>
      </c>
      <c r="AB625" s="340">
        <f>_xlfn.IFNA(_xlfn.IFNA(VLOOKUP(pStartYear+9,tbPayrollTax,2,FALSE),vl_MaxPayrollTax),0)</f>
        <v>5.8500000000000003E-2</v>
      </c>
      <c r="AC625" s="451">
        <f t="shared" ref="AC625" si="2718">AB625*AC624</f>
        <v>0</v>
      </c>
      <c r="AD625" s="335"/>
      <c r="AE625" s="1152"/>
      <c r="AF625" s="1152"/>
      <c r="AG625" s="1152"/>
      <c r="AH625" s="1152"/>
      <c r="AI625" s="1152"/>
      <c r="AJ625" s="1152"/>
      <c r="AK625" s="1152"/>
      <c r="AL625" s="1152"/>
      <c r="AM625" s="1152"/>
      <c r="AN625" s="1152"/>
      <c r="AO625" s="1152"/>
      <c r="AP625" s="1152"/>
      <c r="AQ625" s="1152"/>
      <c r="AR625" s="1152"/>
      <c r="AS625" s="1152"/>
      <c r="AT625" s="1152"/>
      <c r="AU625" s="1152"/>
      <c r="AV625" s="1152"/>
      <c r="AW625" s="1152"/>
      <c r="AX625" s="1152"/>
      <c r="AY625" s="1152"/>
      <c r="AZ625" s="1152"/>
      <c r="BA625" s="1152"/>
      <c r="BB625" s="1152"/>
      <c r="BC625" s="1152"/>
      <c r="BD625" s="1152"/>
    </row>
    <row r="626" spans="1:56" hidden="1" outlineLevel="1" x14ac:dyDescent="0.3">
      <c r="A626" s="1182"/>
      <c r="B626" s="1379"/>
      <c r="C626" s="1379"/>
      <c r="D626" s="1379"/>
      <c r="E626" s="1379"/>
      <c r="F626" s="1379"/>
      <c r="G626" s="1379"/>
      <c r="H626" s="1380"/>
      <c r="I626" s="455" t="s">
        <v>317</v>
      </c>
      <c r="J626" s="339">
        <f>_xlfn.IFNA(VLOOKUP($D620,tbWorkCover,2,FALSE),0)</f>
        <v>0</v>
      </c>
      <c r="K626" s="443">
        <f>J626*K624</f>
        <v>0</v>
      </c>
      <c r="L626" s="340">
        <f>_xlfn.IFNA(VLOOKUP($D620,tbWorkCover,2,FALSE),0)</f>
        <v>0</v>
      </c>
      <c r="M626" s="451">
        <f t="shared" ref="M626" si="2719">L626*M624</f>
        <v>0</v>
      </c>
      <c r="N626" s="339">
        <f>_xlfn.IFNA(VLOOKUP($D620,tbWorkCover,2,FALSE),0)</f>
        <v>0</v>
      </c>
      <c r="O626" s="443">
        <f>N626*O624</f>
        <v>0</v>
      </c>
      <c r="P626" s="340">
        <f>_xlfn.IFNA(VLOOKUP($D620,tbWorkCover,2,FALSE),0)</f>
        <v>0</v>
      </c>
      <c r="Q626" s="451">
        <f t="shared" ref="Q626" si="2720">P626*Q624</f>
        <v>0</v>
      </c>
      <c r="R626" s="339">
        <f>_xlfn.IFNA(VLOOKUP($D620,tbWorkCover,2,FALSE),0)</f>
        <v>0</v>
      </c>
      <c r="S626" s="443">
        <f>R626*S624</f>
        <v>0</v>
      </c>
      <c r="T626" s="340">
        <f>_xlfn.IFNA(VLOOKUP($D620,tbWorkCover,2,FALSE),0)</f>
        <v>0</v>
      </c>
      <c r="U626" s="451">
        <f t="shared" ref="U626" si="2721">T626*U624</f>
        <v>0</v>
      </c>
      <c r="V626" s="339">
        <f>_xlfn.IFNA(VLOOKUP($D620,tbWorkCover,2,FALSE),0)</f>
        <v>0</v>
      </c>
      <c r="W626" s="443">
        <f>V626*W624</f>
        <v>0</v>
      </c>
      <c r="X626" s="340">
        <f>_xlfn.IFNA(VLOOKUP($D620,tbWorkCover,2,FALSE),0)</f>
        <v>0</v>
      </c>
      <c r="Y626" s="451">
        <f t="shared" ref="Y626" si="2722">X626*Y624</f>
        <v>0</v>
      </c>
      <c r="Z626" s="339">
        <f>_xlfn.IFNA(VLOOKUP($D620,tbWorkCover,2,FALSE),0)</f>
        <v>0</v>
      </c>
      <c r="AA626" s="443">
        <f>Z626*AA624</f>
        <v>0</v>
      </c>
      <c r="AB626" s="340">
        <f>_xlfn.IFNA(VLOOKUP($D620,tbWorkCover,2,FALSE),0)</f>
        <v>0</v>
      </c>
      <c r="AC626" s="451">
        <f t="shared" ref="AC626" si="2723">AB626*AC624</f>
        <v>0</v>
      </c>
      <c r="AD626" s="335"/>
      <c r="AE626" s="1152"/>
      <c r="AF626" s="1152"/>
      <c r="AG626" s="1152"/>
      <c r="AH626" s="1152"/>
      <c r="AI626" s="1152"/>
      <c r="AJ626" s="1152"/>
      <c r="AK626" s="1152"/>
      <c r="AL626" s="1152"/>
      <c r="AM626" s="1152"/>
      <c r="AN626" s="1152"/>
      <c r="AO626" s="1152"/>
      <c r="AP626" s="1152"/>
      <c r="AQ626" s="1152"/>
      <c r="AR626" s="1152"/>
      <c r="AS626" s="1152"/>
      <c r="AT626" s="1152"/>
      <c r="AU626" s="1152"/>
      <c r="AV626" s="1152"/>
      <c r="AW626" s="1152"/>
      <c r="AX626" s="1152"/>
      <c r="AY626" s="1152"/>
      <c r="AZ626" s="1152"/>
      <c r="BA626" s="1152"/>
      <c r="BB626" s="1152"/>
      <c r="BC626" s="1152"/>
      <c r="BD626" s="1152"/>
    </row>
    <row r="627" spans="1:56" hidden="1" outlineLevel="1" x14ac:dyDescent="0.3">
      <c r="A627" s="1182"/>
      <c r="B627" s="1379"/>
      <c r="C627" s="1379"/>
      <c r="D627" s="1379"/>
      <c r="E627" s="1379"/>
      <c r="F627" s="1379"/>
      <c r="G627" s="1379"/>
      <c r="H627" s="1380"/>
      <c r="I627" s="455" t="s">
        <v>318</v>
      </c>
      <c r="J627" s="339">
        <f>_xlfn.IFNA(VLOOKUP($D620,tbLongServiceLeave,2,FALSE),0)</f>
        <v>0</v>
      </c>
      <c r="K627" s="443">
        <f>J627*K621</f>
        <v>0</v>
      </c>
      <c r="L627" s="340">
        <f>_xlfn.IFNA(VLOOKUP($D620,tbLongServiceLeave,2,FALSE),0)</f>
        <v>0</v>
      </c>
      <c r="M627" s="451">
        <f t="shared" ref="M627" si="2724">L627*M621</f>
        <v>0</v>
      </c>
      <c r="N627" s="339">
        <f>_xlfn.IFNA(VLOOKUP($D620,tbLongServiceLeave,2,FALSE),0)</f>
        <v>0</v>
      </c>
      <c r="O627" s="443">
        <f>N627*O621</f>
        <v>0</v>
      </c>
      <c r="P627" s="340">
        <f>_xlfn.IFNA(VLOOKUP($D620,tbLongServiceLeave,2,FALSE),0)</f>
        <v>0</v>
      </c>
      <c r="Q627" s="451">
        <f t="shared" ref="Q627" si="2725">P627*Q621</f>
        <v>0</v>
      </c>
      <c r="R627" s="339">
        <f>_xlfn.IFNA(VLOOKUP($D620,tbLongServiceLeave,2,FALSE),0)</f>
        <v>0</v>
      </c>
      <c r="S627" s="443">
        <f>R627*S621</f>
        <v>0</v>
      </c>
      <c r="T627" s="340">
        <f>_xlfn.IFNA(VLOOKUP($D620,tbLongServiceLeave,2,FALSE),0)</f>
        <v>0</v>
      </c>
      <c r="U627" s="451">
        <f t="shared" ref="U627" si="2726">T627*U621</f>
        <v>0</v>
      </c>
      <c r="V627" s="339">
        <f>_xlfn.IFNA(VLOOKUP($D620,tbLongServiceLeave,2,FALSE),0)</f>
        <v>0</v>
      </c>
      <c r="W627" s="443">
        <f>V627*W621</f>
        <v>0</v>
      </c>
      <c r="X627" s="340">
        <f>_xlfn.IFNA(VLOOKUP($D620,tbLongServiceLeave,2,FALSE),0)</f>
        <v>0</v>
      </c>
      <c r="Y627" s="451">
        <f t="shared" ref="Y627" si="2727">X627*Y621</f>
        <v>0</v>
      </c>
      <c r="Z627" s="339">
        <f>_xlfn.IFNA(VLOOKUP($D620,tbLongServiceLeave,2,FALSE),0)</f>
        <v>0</v>
      </c>
      <c r="AA627" s="443">
        <f>Z627*AA621</f>
        <v>0</v>
      </c>
      <c r="AB627" s="340">
        <f>_xlfn.IFNA(VLOOKUP($D620,tbLongServiceLeave,2,FALSE),0)</f>
        <v>0</v>
      </c>
      <c r="AC627" s="451">
        <f t="shared" ref="AC627" si="2728">AB627*AC621</f>
        <v>0</v>
      </c>
      <c r="AD627" s="335"/>
      <c r="AE627" s="1152"/>
      <c r="AF627" s="1152"/>
      <c r="AG627" s="1152"/>
      <c r="AH627" s="1152"/>
      <c r="AI627" s="1152"/>
      <c r="AJ627" s="1152"/>
      <c r="AK627" s="1152"/>
      <c r="AL627" s="1152"/>
      <c r="AM627" s="1152"/>
      <c r="AN627" s="1152"/>
      <c r="AO627" s="1152"/>
      <c r="AP627" s="1152"/>
      <c r="AQ627" s="1152"/>
      <c r="AR627" s="1152"/>
      <c r="AS627" s="1152"/>
      <c r="AT627" s="1152"/>
      <c r="AU627" s="1152"/>
      <c r="AV627" s="1152"/>
      <c r="AW627" s="1152"/>
      <c r="AX627" s="1152"/>
      <c r="AY627" s="1152"/>
      <c r="AZ627" s="1152"/>
      <c r="BA627" s="1152"/>
      <c r="BB627" s="1152"/>
      <c r="BC627" s="1152"/>
      <c r="BD627" s="1152"/>
    </row>
    <row r="628" spans="1:56" hidden="1" outlineLevel="1" x14ac:dyDescent="0.3">
      <c r="A628" s="1182"/>
      <c r="B628" s="1379"/>
      <c r="C628" s="1379"/>
      <c r="D628" s="1379"/>
      <c r="E628" s="1379"/>
      <c r="F628" s="1379"/>
      <c r="G628" s="1379"/>
      <c r="H628" s="1380"/>
      <c r="I628" s="455" t="s">
        <v>319</v>
      </c>
      <c r="J628" s="339">
        <f>_xlfn.IFNA(VLOOKUP($D620,tbParentalLeave,2,FALSE),0)</f>
        <v>0</v>
      </c>
      <c r="K628" s="443">
        <f>J628*K621</f>
        <v>0</v>
      </c>
      <c r="L628" s="340">
        <f>_xlfn.IFNA(VLOOKUP($D620,tbParentalLeave,2,FALSE),0)</f>
        <v>0</v>
      </c>
      <c r="M628" s="451">
        <f t="shared" ref="M628" si="2729">L628*M621</f>
        <v>0</v>
      </c>
      <c r="N628" s="339">
        <f>_xlfn.IFNA(VLOOKUP($D620,tbParentalLeave,2,FALSE),0)</f>
        <v>0</v>
      </c>
      <c r="O628" s="443">
        <f>N628*O621</f>
        <v>0</v>
      </c>
      <c r="P628" s="340">
        <f>_xlfn.IFNA(VLOOKUP($D620,tbParentalLeave,2,FALSE),0)</f>
        <v>0</v>
      </c>
      <c r="Q628" s="451">
        <f t="shared" ref="Q628" si="2730">P628*Q621</f>
        <v>0</v>
      </c>
      <c r="R628" s="339">
        <f>_xlfn.IFNA(VLOOKUP($D620,tbParentalLeave,2,FALSE),0)</f>
        <v>0</v>
      </c>
      <c r="S628" s="443">
        <f>R628*S621</f>
        <v>0</v>
      </c>
      <c r="T628" s="340">
        <f>_xlfn.IFNA(VLOOKUP($D620,tbParentalLeave,2,FALSE),0)</f>
        <v>0</v>
      </c>
      <c r="U628" s="451">
        <f t="shared" ref="U628" si="2731">T628*U621</f>
        <v>0</v>
      </c>
      <c r="V628" s="339">
        <f>_xlfn.IFNA(VLOOKUP($D620,tbParentalLeave,2,FALSE),0)</f>
        <v>0</v>
      </c>
      <c r="W628" s="443">
        <f>V628*W621</f>
        <v>0</v>
      </c>
      <c r="X628" s="340">
        <f>_xlfn.IFNA(VLOOKUP($D620,tbParentalLeave,2,FALSE),0)</f>
        <v>0</v>
      </c>
      <c r="Y628" s="451">
        <f t="shared" ref="Y628" si="2732">X628*Y621</f>
        <v>0</v>
      </c>
      <c r="Z628" s="339">
        <f>_xlfn.IFNA(VLOOKUP($D620,tbParentalLeave,2,FALSE),0)</f>
        <v>0</v>
      </c>
      <c r="AA628" s="443">
        <f>Z628*AA621</f>
        <v>0</v>
      </c>
      <c r="AB628" s="340">
        <f>_xlfn.IFNA(VLOOKUP($D620,tbParentalLeave,2,FALSE),0)</f>
        <v>0</v>
      </c>
      <c r="AC628" s="451">
        <f t="shared" ref="AC628" si="2733">AB628*AC621</f>
        <v>0</v>
      </c>
      <c r="AD628" s="335"/>
      <c r="AE628" s="1152"/>
      <c r="AF628" s="1152"/>
      <c r="AG628" s="1152"/>
      <c r="AH628" s="1152"/>
      <c r="AI628" s="1152"/>
      <c r="AJ628" s="1152"/>
      <c r="AK628" s="1152"/>
      <c r="AL628" s="1152"/>
      <c r="AM628" s="1152"/>
      <c r="AN628" s="1152"/>
      <c r="AO628" s="1152"/>
      <c r="AP628" s="1152"/>
      <c r="AQ628" s="1152"/>
      <c r="AR628" s="1152"/>
      <c r="AS628" s="1152"/>
      <c r="AT628" s="1152"/>
      <c r="AU628" s="1152"/>
      <c r="AV628" s="1152"/>
      <c r="AW628" s="1152"/>
      <c r="AX628" s="1152"/>
      <c r="AY628" s="1152"/>
      <c r="AZ628" s="1152"/>
      <c r="BA628" s="1152"/>
      <c r="BB628" s="1152"/>
      <c r="BC628" s="1152"/>
      <c r="BD628" s="1152"/>
    </row>
    <row r="629" spans="1:56" hidden="1" outlineLevel="1" x14ac:dyDescent="0.3">
      <c r="A629" s="1182"/>
      <c r="B629" s="1379"/>
      <c r="C629" s="1379"/>
      <c r="D629" s="1379"/>
      <c r="E629" s="1379"/>
      <c r="F629" s="1379"/>
      <c r="G629" s="1379"/>
      <c r="H629" s="1380"/>
      <c r="I629" s="437" t="s">
        <v>320</v>
      </c>
      <c r="J629" s="438">
        <f>vl_overridden_uom_oncosts_per</f>
        <v>0</v>
      </c>
      <c r="K629" s="445">
        <f>J629*K621</f>
        <v>0</v>
      </c>
      <c r="L629" s="438">
        <f>vl_overridden_uom_oncosts_per</f>
        <v>0</v>
      </c>
      <c r="M629" s="445">
        <f>L629*M621</f>
        <v>0</v>
      </c>
      <c r="N629" s="438">
        <f>vl_overridden_uom_oncosts_per</f>
        <v>0</v>
      </c>
      <c r="O629" s="445">
        <f t="shared" ref="O629" si="2734">N629*O621</f>
        <v>0</v>
      </c>
      <c r="P629" s="438">
        <f>vl_overridden_uom_oncosts_per</f>
        <v>0</v>
      </c>
      <c r="Q629" s="445">
        <f t="shared" ref="Q629" si="2735">P629*Q621</f>
        <v>0</v>
      </c>
      <c r="R629" s="438">
        <f>vl_overridden_uom_oncosts_per</f>
        <v>0</v>
      </c>
      <c r="S629" s="445">
        <f t="shared" ref="S629" si="2736">R629*S621</f>
        <v>0</v>
      </c>
      <c r="T629" s="438">
        <f>vl_overridden_uom_oncosts_per</f>
        <v>0</v>
      </c>
      <c r="U629" s="445">
        <f t="shared" ref="U629" si="2737">T629*U621</f>
        <v>0</v>
      </c>
      <c r="V629" s="438">
        <f>vl_overridden_uom_oncosts_per</f>
        <v>0</v>
      </c>
      <c r="W629" s="445">
        <f t="shared" ref="W629" si="2738">V629*W621</f>
        <v>0</v>
      </c>
      <c r="X629" s="438">
        <f>vl_overridden_uom_oncosts_per</f>
        <v>0</v>
      </c>
      <c r="Y629" s="445">
        <f t="shared" ref="Y629" si="2739">X629*Y621</f>
        <v>0</v>
      </c>
      <c r="Z629" s="438">
        <f>vl_overridden_uom_oncosts_per</f>
        <v>0</v>
      </c>
      <c r="AA629" s="445">
        <f t="shared" ref="AA629" si="2740">Z629*AA621</f>
        <v>0</v>
      </c>
      <c r="AB629" s="438">
        <f>vl_overridden_uom_oncosts_per</f>
        <v>0</v>
      </c>
      <c r="AC629" s="445">
        <f t="shared" ref="AC629" si="2741">AB629*AC621</f>
        <v>0</v>
      </c>
      <c r="AD629" s="335"/>
      <c r="AE629" s="1152"/>
      <c r="AF629" s="1152"/>
      <c r="AG629" s="1152"/>
      <c r="AH629" s="1152"/>
      <c r="AI629" s="1152"/>
      <c r="AJ629" s="1152"/>
      <c r="AK629" s="1152"/>
      <c r="AL629" s="1152"/>
      <c r="AM629" s="1152"/>
      <c r="AN629" s="1152"/>
      <c r="AO629" s="1152"/>
      <c r="AP629" s="1152"/>
      <c r="AQ629" s="1152"/>
      <c r="AR629" s="1152"/>
      <c r="AS629" s="1152"/>
      <c r="AT629" s="1152"/>
      <c r="AU629" s="1152"/>
      <c r="AV629" s="1152"/>
      <c r="AW629" s="1152"/>
      <c r="AX629" s="1152"/>
      <c r="AY629" s="1152"/>
      <c r="AZ629" s="1152"/>
      <c r="BA629" s="1152"/>
      <c r="BB629" s="1152"/>
      <c r="BC629" s="1152"/>
      <c r="BD629" s="1152"/>
    </row>
    <row r="630" spans="1:56" hidden="1" outlineLevel="1" x14ac:dyDescent="0.3">
      <c r="A630" s="1182"/>
      <c r="B630" s="1379"/>
      <c r="C630" s="1379"/>
      <c r="D630" s="1379"/>
      <c r="E630" s="1379"/>
      <c r="F630" s="1379"/>
      <c r="G630" s="1379"/>
      <c r="H630" s="1380"/>
      <c r="I630" s="341" t="s">
        <v>321</v>
      </c>
      <c r="J630" s="342"/>
      <c r="K630" s="444">
        <f>SUM(K624:K629)</f>
        <v>0</v>
      </c>
      <c r="L630" s="342"/>
      <c r="M630" s="444">
        <f t="shared" ref="M630" si="2742">SUM(M624:M629)</f>
        <v>0</v>
      </c>
      <c r="N630" s="342"/>
      <c r="O630" s="444">
        <f t="shared" ref="O630" si="2743">SUM(O624:O629)</f>
        <v>0</v>
      </c>
      <c r="P630" s="342"/>
      <c r="Q630" s="444">
        <f t="shared" ref="Q630" si="2744">SUM(Q624:Q629)</f>
        <v>0</v>
      </c>
      <c r="R630" s="342"/>
      <c r="S630" s="444">
        <f t="shared" ref="S630" si="2745">SUM(S624:S629)</f>
        <v>0</v>
      </c>
      <c r="T630" s="342"/>
      <c r="U630" s="444">
        <f t="shared" ref="U630" si="2746">SUM(U624:U629)</f>
        <v>0</v>
      </c>
      <c r="V630" s="342"/>
      <c r="W630" s="444">
        <f t="shared" ref="W630" si="2747">SUM(W624:W629)</f>
        <v>0</v>
      </c>
      <c r="X630" s="342"/>
      <c r="Y630" s="444">
        <f t="shared" ref="Y630" si="2748">SUM(Y624:Y629)</f>
        <v>0</v>
      </c>
      <c r="Z630" s="342"/>
      <c r="AA630" s="444">
        <f t="shared" ref="AA630" si="2749">SUM(AA624:AA629)</f>
        <v>0</v>
      </c>
      <c r="AB630" s="342"/>
      <c r="AC630" s="444">
        <f t="shared" ref="AC630" si="2750">SUM(AC624:AC629)</f>
        <v>0</v>
      </c>
      <c r="AD630" s="335">
        <f t="shared" si="2543"/>
        <v>0</v>
      </c>
      <c r="AE630" s="1152"/>
      <c r="AF630" s="1152"/>
      <c r="AG630" s="1152"/>
      <c r="AH630" s="1152"/>
      <c r="AI630" s="1152"/>
      <c r="AJ630" s="1152"/>
      <c r="AK630" s="1152"/>
      <c r="AL630" s="1152"/>
      <c r="AM630" s="1152"/>
      <c r="AN630" s="1152"/>
      <c r="AO630" s="1152"/>
      <c r="AP630" s="1152"/>
      <c r="AQ630" s="1152"/>
      <c r="AR630" s="1152"/>
      <c r="AS630" s="1152"/>
      <c r="AT630" s="1152"/>
      <c r="AU630" s="1152"/>
      <c r="AV630" s="1152"/>
      <c r="AW630" s="1152"/>
      <c r="AX630" s="1152"/>
      <c r="AY630" s="1152"/>
      <c r="AZ630" s="1152"/>
      <c r="BA630" s="1152"/>
      <c r="BB630" s="1152"/>
      <c r="BC630" s="1152"/>
      <c r="BD630" s="1152"/>
    </row>
    <row r="631" spans="1:56" hidden="1" outlineLevel="1" x14ac:dyDescent="0.3">
      <c r="A631" s="1182"/>
      <c r="B631" s="1379"/>
      <c r="C631" s="1379"/>
      <c r="D631" s="1379"/>
      <c r="E631" s="1379"/>
      <c r="F631" s="1379"/>
      <c r="G631" s="1379"/>
      <c r="H631" s="1380"/>
      <c r="I631" s="455" t="s">
        <v>322</v>
      </c>
      <c r="J631" s="339">
        <f>_xlfn.IFNA(VLOOKUP($D620,tbAnnualLeaveProvision,2,FALSE),0)</f>
        <v>0</v>
      </c>
      <c r="K631" s="443">
        <f>J631*K621</f>
        <v>0</v>
      </c>
      <c r="L631" s="340">
        <f>_xlfn.IFNA(VLOOKUP($D620,tbAnnualLeaveProvision,2,FALSE),0)</f>
        <v>0</v>
      </c>
      <c r="M631" s="451">
        <f t="shared" ref="M631" si="2751">L631*M621</f>
        <v>0</v>
      </c>
      <c r="N631" s="339">
        <f>_xlfn.IFNA(VLOOKUP($D620,tbAnnualLeaveProvision,2,FALSE),0)</f>
        <v>0</v>
      </c>
      <c r="O631" s="443">
        <f>N631*O621</f>
        <v>0</v>
      </c>
      <c r="P631" s="340">
        <f>_xlfn.IFNA(VLOOKUP($D620,tbAnnualLeaveProvision,2,FALSE),0)</f>
        <v>0</v>
      </c>
      <c r="Q631" s="451">
        <f t="shared" ref="Q631" si="2752">P631*Q621</f>
        <v>0</v>
      </c>
      <c r="R631" s="339">
        <f>_xlfn.IFNA(VLOOKUP($D620,tbAnnualLeaveProvision,2,FALSE),0)</f>
        <v>0</v>
      </c>
      <c r="S631" s="443">
        <f>R631*S621</f>
        <v>0</v>
      </c>
      <c r="T631" s="340">
        <f>_xlfn.IFNA(VLOOKUP($D620,tbAnnualLeaveProvision,2,FALSE),0)</f>
        <v>0</v>
      </c>
      <c r="U631" s="451">
        <f t="shared" ref="U631" si="2753">T631*U621</f>
        <v>0</v>
      </c>
      <c r="V631" s="339">
        <f>_xlfn.IFNA(VLOOKUP($D620,tbAnnualLeaveProvision,2,FALSE),0)</f>
        <v>0</v>
      </c>
      <c r="W631" s="443">
        <f>V631*W621</f>
        <v>0</v>
      </c>
      <c r="X631" s="340">
        <f>_xlfn.IFNA(VLOOKUP($D620,tbAnnualLeaveProvision,2,FALSE),0)</f>
        <v>0</v>
      </c>
      <c r="Y631" s="451">
        <f t="shared" ref="Y631" si="2754">X631*Y621</f>
        <v>0</v>
      </c>
      <c r="Z631" s="339">
        <f>_xlfn.IFNA(VLOOKUP($D620,tbAnnualLeaveProvision,2,FALSE),0)</f>
        <v>0</v>
      </c>
      <c r="AA631" s="443">
        <f>Z631*AA621</f>
        <v>0</v>
      </c>
      <c r="AB631" s="340">
        <f>_xlfn.IFNA(VLOOKUP($D620,tbAnnualLeaveProvision,2,FALSE),0)</f>
        <v>0</v>
      </c>
      <c r="AC631" s="451">
        <f t="shared" ref="AC631" si="2755">AB631*AC621</f>
        <v>0</v>
      </c>
      <c r="AD631" s="335"/>
      <c r="AE631" s="1152"/>
      <c r="AF631" s="1152"/>
      <c r="AG631" s="1152"/>
      <c r="AH631" s="1152"/>
      <c r="AI631" s="1152"/>
      <c r="AJ631" s="1152"/>
      <c r="AK631" s="1152"/>
      <c r="AL631" s="1152"/>
      <c r="AM631" s="1152"/>
      <c r="AN631" s="1152"/>
      <c r="AO631" s="1152"/>
      <c r="AP631" s="1152"/>
      <c r="AQ631" s="1152"/>
      <c r="AR631" s="1152"/>
      <c r="AS631" s="1152"/>
      <c r="AT631" s="1152"/>
      <c r="AU631" s="1152"/>
      <c r="AV631" s="1152"/>
      <c r="AW631" s="1152"/>
      <c r="AX631" s="1152"/>
      <c r="AY631" s="1152"/>
      <c r="AZ631" s="1152"/>
      <c r="BA631" s="1152"/>
      <c r="BB631" s="1152"/>
      <c r="BC631" s="1152"/>
      <c r="BD631" s="1152"/>
    </row>
    <row r="632" spans="1:56" hidden="1" outlineLevel="1" x14ac:dyDescent="0.3">
      <c r="A632" s="1182"/>
      <c r="B632" s="1379"/>
      <c r="C632" s="1379"/>
      <c r="D632" s="1379"/>
      <c r="E632" s="1379"/>
      <c r="F632" s="1379"/>
      <c r="G632" s="1379"/>
      <c r="H632" s="1380"/>
      <c r="I632" s="455" t="s">
        <v>330</v>
      </c>
      <c r="J632" s="339"/>
      <c r="K632" s="446">
        <f>K630+K631</f>
        <v>0</v>
      </c>
      <c r="L632" s="340"/>
      <c r="M632" s="452">
        <f t="shared" ref="M632" si="2756">M630+M631</f>
        <v>0</v>
      </c>
      <c r="N632" s="339"/>
      <c r="O632" s="446">
        <f>O630+O631</f>
        <v>0</v>
      </c>
      <c r="P632" s="340"/>
      <c r="Q632" s="452">
        <f t="shared" ref="Q632" si="2757">Q630+Q631</f>
        <v>0</v>
      </c>
      <c r="R632" s="339"/>
      <c r="S632" s="446">
        <f>S630+S631</f>
        <v>0</v>
      </c>
      <c r="T632" s="340"/>
      <c r="U632" s="452">
        <f t="shared" ref="U632" si="2758">U630+U631</f>
        <v>0</v>
      </c>
      <c r="V632" s="339"/>
      <c r="W632" s="446">
        <f>W630+W631</f>
        <v>0</v>
      </c>
      <c r="X632" s="340"/>
      <c r="Y632" s="452">
        <f t="shared" ref="Y632" si="2759">Y630+Y631</f>
        <v>0</v>
      </c>
      <c r="Z632" s="339"/>
      <c r="AA632" s="446">
        <f>AA630+AA631</f>
        <v>0</v>
      </c>
      <c r="AB632" s="340"/>
      <c r="AC632" s="452">
        <f t="shared" ref="AC632" si="2760">AC630+AC631</f>
        <v>0</v>
      </c>
      <c r="AD632" s="335"/>
      <c r="AE632" s="1152"/>
      <c r="AF632" s="1152"/>
      <c r="AG632" s="1152"/>
      <c r="AH632" s="1152"/>
      <c r="AI632" s="1152"/>
      <c r="AJ632" s="1152"/>
      <c r="AK632" s="1152"/>
      <c r="AL632" s="1152"/>
      <c r="AM632" s="1152"/>
      <c r="AN632" s="1152"/>
      <c r="AO632" s="1152"/>
      <c r="AP632" s="1152"/>
      <c r="AQ632" s="1152"/>
      <c r="AR632" s="1152"/>
      <c r="AS632" s="1152"/>
      <c r="AT632" s="1152"/>
      <c r="AU632" s="1152"/>
      <c r="AV632" s="1152"/>
      <c r="AW632" s="1152"/>
      <c r="AX632" s="1152"/>
      <c r="AY632" s="1152"/>
      <c r="AZ632" s="1152"/>
      <c r="BA632" s="1152"/>
      <c r="BB632" s="1152"/>
      <c r="BC632" s="1152"/>
      <c r="BD632" s="1152"/>
    </row>
    <row r="633" spans="1:56" hidden="1" outlineLevel="1" x14ac:dyDescent="0.3">
      <c r="A633" s="1182"/>
      <c r="B633" s="1379"/>
      <c r="C633" s="1379"/>
      <c r="D633" s="1379"/>
      <c r="E633" s="1379"/>
      <c r="F633" s="1379"/>
      <c r="G633" s="1379"/>
      <c r="H633" s="1380"/>
      <c r="I633" s="462" t="s">
        <v>324</v>
      </c>
      <c r="J633" s="344"/>
      <c r="K633" s="443">
        <f>-(K630/vl_working_days_per_year)*J633</f>
        <v>0</v>
      </c>
      <c r="L633" s="345"/>
      <c r="M633" s="451">
        <f>-(M630/vl_working_days_per_year)*L633</f>
        <v>0</v>
      </c>
      <c r="N633" s="344"/>
      <c r="O633" s="443">
        <f>-(O630/vl_working_days_per_year)*N633</f>
        <v>0</v>
      </c>
      <c r="P633" s="345"/>
      <c r="Q633" s="451">
        <f>-(Q630/vl_working_days_per_year)*P633</f>
        <v>0</v>
      </c>
      <c r="R633" s="344"/>
      <c r="S633" s="443">
        <f>-(S630/vl_working_days_per_year)*R633</f>
        <v>0</v>
      </c>
      <c r="T633" s="345"/>
      <c r="U633" s="451">
        <f>-(U630/vl_working_days_per_year)*T633</f>
        <v>0</v>
      </c>
      <c r="V633" s="344"/>
      <c r="W633" s="443">
        <f>-(W630/vl_working_days_per_year)*V633</f>
        <v>0</v>
      </c>
      <c r="X633" s="345"/>
      <c r="Y633" s="451">
        <f>-(Y630/vl_working_days_per_year)*X633</f>
        <v>0</v>
      </c>
      <c r="Z633" s="344"/>
      <c r="AA633" s="443">
        <f>-(AA630/vl_working_days_per_year)*Z633</f>
        <v>0</v>
      </c>
      <c r="AB633" s="345"/>
      <c r="AC633" s="451">
        <f>-(AC630/vl_working_days_per_year)*AB633</f>
        <v>0</v>
      </c>
      <c r="AD633" s="335">
        <f>IFERROR($K633+$M633+$O633+$Q633+$S633+$U633+$W633+$Y633+$AA633+$AC633,0)</f>
        <v>0</v>
      </c>
      <c r="AE633" s="1152"/>
      <c r="AF633" s="1152"/>
      <c r="AG633" s="1152"/>
      <c r="AH633" s="1152"/>
      <c r="AI633" s="1152"/>
      <c r="AJ633" s="1152"/>
      <c r="AK633" s="1152"/>
      <c r="AL633" s="1152"/>
      <c r="AM633" s="1152"/>
      <c r="AN633" s="1152"/>
      <c r="AO633" s="1152"/>
      <c r="AP633" s="1152"/>
      <c r="AQ633" s="1152"/>
      <c r="AR633" s="1152"/>
      <c r="AS633" s="1152"/>
      <c r="AT633" s="1152"/>
      <c r="AU633" s="1152"/>
      <c r="AV633" s="1152"/>
      <c r="AW633" s="1152"/>
      <c r="AX633" s="1152"/>
      <c r="AY633" s="1152"/>
      <c r="AZ633" s="1152"/>
      <c r="BA633" s="1152"/>
      <c r="BB633" s="1152"/>
      <c r="BC633" s="1152"/>
      <c r="BD633" s="1152"/>
    </row>
    <row r="634" spans="1:56" hidden="1" outlineLevel="1" x14ac:dyDescent="0.3">
      <c r="A634" s="1182"/>
      <c r="B634" s="1379"/>
      <c r="C634" s="1379"/>
      <c r="D634" s="1379"/>
      <c r="E634" s="1379"/>
      <c r="F634" s="1379"/>
      <c r="G634" s="1379"/>
      <c r="H634" s="1380"/>
      <c r="I634" s="341" t="s">
        <v>325</v>
      </c>
      <c r="J634" s="346"/>
      <c r="K634" s="444">
        <f>K632+K633</f>
        <v>0</v>
      </c>
      <c r="L634" s="346"/>
      <c r="M634" s="444">
        <f t="shared" ref="M634" si="2761">M632+M633</f>
        <v>0</v>
      </c>
      <c r="N634" s="346"/>
      <c r="O634" s="444">
        <f>O632+O633</f>
        <v>0</v>
      </c>
      <c r="P634" s="346"/>
      <c r="Q634" s="444">
        <f t="shared" ref="Q634" si="2762">Q632+Q633</f>
        <v>0</v>
      </c>
      <c r="R634" s="346"/>
      <c r="S634" s="444">
        <f>S632+S633</f>
        <v>0</v>
      </c>
      <c r="T634" s="346"/>
      <c r="U634" s="444">
        <f t="shared" ref="U634" si="2763">U632+U633</f>
        <v>0</v>
      </c>
      <c r="V634" s="346"/>
      <c r="W634" s="444">
        <f>W632+W633</f>
        <v>0</v>
      </c>
      <c r="X634" s="346"/>
      <c r="Y634" s="444">
        <f t="shared" ref="Y634" si="2764">Y632+Y633</f>
        <v>0</v>
      </c>
      <c r="Z634" s="346"/>
      <c r="AA634" s="444">
        <f>AA632+AA633</f>
        <v>0</v>
      </c>
      <c r="AB634" s="346"/>
      <c r="AC634" s="444">
        <f t="shared" ref="AC634" si="2765">AC632+AC633</f>
        <v>0</v>
      </c>
      <c r="AD634" s="335">
        <f t="shared" si="2543"/>
        <v>0</v>
      </c>
      <c r="AE634" s="1152"/>
      <c r="AF634" s="1152"/>
      <c r="AG634" s="1152"/>
      <c r="AH634" s="1152"/>
      <c r="AI634" s="1152"/>
      <c r="AJ634" s="1152"/>
      <c r="AK634" s="1152"/>
      <c r="AL634" s="1152"/>
      <c r="AM634" s="1152"/>
      <c r="AN634" s="1152"/>
      <c r="AO634" s="1152"/>
      <c r="AP634" s="1152"/>
      <c r="AQ634" s="1152"/>
      <c r="AR634" s="1152"/>
      <c r="AS634" s="1152"/>
      <c r="AT634" s="1152"/>
      <c r="AU634" s="1152"/>
      <c r="AV634" s="1152"/>
      <c r="AW634" s="1152"/>
      <c r="AX634" s="1152"/>
      <c r="AY634" s="1152"/>
      <c r="AZ634" s="1152"/>
      <c r="BA634" s="1152"/>
      <c r="BB634" s="1152"/>
      <c r="BC634" s="1152"/>
      <c r="BD634" s="1152"/>
    </row>
    <row r="635" spans="1:56" s="1" customFormat="1" ht="15" hidden="1" customHeight="1" outlineLevel="1" x14ac:dyDescent="0.3">
      <c r="A635" s="727"/>
      <c r="B635" s="1379"/>
      <c r="C635" s="1379"/>
      <c r="D635" s="1379"/>
      <c r="E635" s="1379"/>
      <c r="F635" s="1379"/>
      <c r="G635" s="1379"/>
      <c r="H635" s="1380"/>
      <c r="I635" s="463" t="s">
        <v>326</v>
      </c>
      <c r="J635" s="383">
        <f>IFERROR(K635/K621,0)</f>
        <v>0</v>
      </c>
      <c r="K635" s="447">
        <f>SUM(K622:K623,K625:K628,K631)</f>
        <v>0</v>
      </c>
      <c r="L635" s="434">
        <f>IFERROR(M635/M621,0)</f>
        <v>0</v>
      </c>
      <c r="M635" s="453">
        <f t="shared" ref="M635" si="2766">SUM(M622:M623,M625:M628,M631)</f>
        <v>0</v>
      </c>
      <c r="N635" s="383">
        <f t="shared" ref="N635" si="2767">IFERROR(O635/O621,0)</f>
        <v>0</v>
      </c>
      <c r="O635" s="447">
        <f t="shared" ref="O635" si="2768">SUM(O622:O623,O625:O628,O631)</f>
        <v>0</v>
      </c>
      <c r="P635" s="434">
        <f t="shared" ref="P635" si="2769">IFERROR(Q635/Q621,0)</f>
        <v>0</v>
      </c>
      <c r="Q635" s="453">
        <f t="shared" ref="Q635" si="2770">SUM(Q622:Q623,Q625:Q628,Q631)</f>
        <v>0</v>
      </c>
      <c r="R635" s="383">
        <f t="shared" ref="R635" si="2771">IFERROR(S635/S621,0)</f>
        <v>0</v>
      </c>
      <c r="S635" s="447">
        <f t="shared" ref="S635" si="2772">SUM(S622:S623,S625:S628,S631)</f>
        <v>0</v>
      </c>
      <c r="T635" s="434">
        <f t="shared" ref="T635" si="2773">IFERROR(U635/U621,0)</f>
        <v>0</v>
      </c>
      <c r="U635" s="453">
        <f t="shared" ref="U635" si="2774">SUM(U622:U623,U625:U628,U631)</f>
        <v>0</v>
      </c>
      <c r="V635" s="383">
        <f t="shared" ref="V635" si="2775">IFERROR(W635/W621,0)</f>
        <v>0</v>
      </c>
      <c r="W635" s="447">
        <f t="shared" ref="W635" si="2776">SUM(W622:W623,W625:W628,W631)</f>
        <v>0</v>
      </c>
      <c r="X635" s="434">
        <f t="shared" ref="X635" si="2777">IFERROR(Y635/Y621,0)</f>
        <v>0</v>
      </c>
      <c r="Y635" s="453">
        <f t="shared" ref="Y635" si="2778">SUM(Y622:Y623,Y625:Y628,Y631)</f>
        <v>0</v>
      </c>
      <c r="Z635" s="383">
        <f t="shared" ref="Z635" si="2779">IFERROR(AA635/AA621,0)</f>
        <v>0</v>
      </c>
      <c r="AA635" s="447">
        <f t="shared" ref="AA635" si="2780">SUM(AA622:AA623,AA625:AA628,AA631)</f>
        <v>0</v>
      </c>
      <c r="AB635" s="434">
        <f t="shared" ref="AB635" si="2781">IFERROR(AC635/AC621,0)</f>
        <v>0</v>
      </c>
      <c r="AC635" s="453">
        <f t="shared" ref="AC635" si="2782">SUM(AC622:AC623,AC625:AC628,AC631)</f>
        <v>0</v>
      </c>
      <c r="AD635" s="377">
        <f t="shared" si="2543"/>
        <v>0</v>
      </c>
      <c r="AE635" s="14"/>
      <c r="AF635" s="14"/>
      <c r="AG635" s="14"/>
      <c r="AH635" s="14"/>
      <c r="AI635" s="14"/>
      <c r="AJ635" s="14"/>
      <c r="AK635" s="14"/>
      <c r="AL635" s="14"/>
      <c r="AM635" s="14"/>
      <c r="AN635" s="14"/>
      <c r="AO635" s="14"/>
      <c r="AP635" s="14"/>
      <c r="AQ635" s="14"/>
      <c r="AR635" s="14"/>
      <c r="AS635" s="14"/>
      <c r="AT635" s="14"/>
      <c r="AU635" s="14"/>
      <c r="AV635" s="14"/>
      <c r="AW635" s="14"/>
      <c r="AX635" s="14"/>
      <c r="AY635" s="14"/>
      <c r="AZ635" s="14"/>
      <c r="BA635" s="14"/>
      <c r="BB635" s="14"/>
      <c r="BC635" s="14"/>
      <c r="BD635" s="14"/>
    </row>
    <row r="636" spans="1:56" hidden="1" outlineLevel="1" x14ac:dyDescent="0.3">
      <c r="A636" s="1182"/>
      <c r="B636" s="1379"/>
      <c r="C636" s="1379"/>
      <c r="D636" s="1379"/>
      <c r="E636" s="1379"/>
      <c r="F636" s="1379"/>
      <c r="G636" s="1379"/>
      <c r="H636" s="1380"/>
      <c r="I636" s="463" t="s">
        <v>327</v>
      </c>
      <c r="J636" s="384">
        <f>pCRInKind</f>
        <v>2.5</v>
      </c>
      <c r="K636" s="447"/>
      <c r="L636" s="435">
        <f>pCRInKind</f>
        <v>2.5</v>
      </c>
      <c r="M636" s="453"/>
      <c r="N636" s="384">
        <f>pCRInKind</f>
        <v>2.5</v>
      </c>
      <c r="O636" s="447"/>
      <c r="P636" s="435">
        <f>pCRInKind</f>
        <v>2.5</v>
      </c>
      <c r="Q636" s="453"/>
      <c r="R636" s="384">
        <f>pCRInKind</f>
        <v>2.5</v>
      </c>
      <c r="S636" s="447"/>
      <c r="T636" s="435">
        <f>pCRInKind</f>
        <v>2.5</v>
      </c>
      <c r="U636" s="453"/>
      <c r="V636" s="384">
        <f>pCRInKind</f>
        <v>2.5</v>
      </c>
      <c r="W636" s="447"/>
      <c r="X636" s="435">
        <f>pCRInKind</f>
        <v>2.5</v>
      </c>
      <c r="Y636" s="453"/>
      <c r="Z636" s="384">
        <f>pCRInKind</f>
        <v>2.5</v>
      </c>
      <c r="AA636" s="447"/>
      <c r="AB636" s="435">
        <f>pCRInKind</f>
        <v>2.5</v>
      </c>
      <c r="AC636" s="453"/>
      <c r="AD636" s="335"/>
      <c r="AE636" s="1152"/>
      <c r="AF636" s="1152"/>
      <c r="AG636" s="1152"/>
      <c r="AH636" s="1152"/>
      <c r="AI636" s="1152"/>
      <c r="AJ636" s="1152"/>
      <c r="AK636" s="1152"/>
      <c r="AL636" s="1152"/>
      <c r="AM636" s="1152"/>
      <c r="AN636" s="1152"/>
      <c r="AO636" s="1152"/>
      <c r="AP636" s="1152"/>
      <c r="AQ636" s="1152"/>
      <c r="AR636" s="1152"/>
      <c r="AS636" s="1152"/>
      <c r="AT636" s="1152"/>
      <c r="AU636" s="1152"/>
      <c r="AV636" s="1152"/>
      <c r="AW636" s="1152"/>
      <c r="AX636" s="1152"/>
      <c r="AY636" s="1152"/>
      <c r="AZ636" s="1152"/>
      <c r="BA636" s="1152"/>
      <c r="BB636" s="1152"/>
      <c r="BC636" s="1152"/>
      <c r="BD636" s="1152"/>
    </row>
    <row r="637" spans="1:56" ht="16.2" hidden="1" outlineLevel="1" thickBot="1" x14ac:dyDescent="0.35">
      <c r="A637" s="1182"/>
      <c r="B637" s="710"/>
      <c r="C637" s="347"/>
      <c r="D637" s="347"/>
      <c r="E637" s="347"/>
      <c r="F637" s="347"/>
      <c r="G637" s="347"/>
      <c r="H637" s="347"/>
      <c r="I637" s="436" t="s">
        <v>329</v>
      </c>
      <c r="J637" s="348"/>
      <c r="K637" s="349">
        <f>J636*K632</f>
        <v>0</v>
      </c>
      <c r="L637" s="348"/>
      <c r="M637" s="349">
        <f t="shared" ref="M637" si="2783">L636*M632</f>
        <v>0</v>
      </c>
      <c r="N637" s="348"/>
      <c r="O637" s="349">
        <f>N636*O632</f>
        <v>0</v>
      </c>
      <c r="P637" s="348"/>
      <c r="Q637" s="349">
        <f t="shared" ref="Q637" si="2784">P636*Q632</f>
        <v>0</v>
      </c>
      <c r="R637" s="348"/>
      <c r="S637" s="349">
        <f>R636*S632</f>
        <v>0</v>
      </c>
      <c r="T637" s="348"/>
      <c r="U637" s="349">
        <f t="shared" ref="U637" si="2785">T636*U632</f>
        <v>0</v>
      </c>
      <c r="V637" s="348"/>
      <c r="W637" s="349">
        <f>V636*W632</f>
        <v>0</v>
      </c>
      <c r="X637" s="348"/>
      <c r="Y637" s="349">
        <f t="shared" ref="Y637" si="2786">X636*Y632</f>
        <v>0</v>
      </c>
      <c r="Z637" s="348"/>
      <c r="AA637" s="349">
        <f>Z636*AA632</f>
        <v>0</v>
      </c>
      <c r="AB637" s="348"/>
      <c r="AC637" s="349">
        <f t="shared" ref="AC637" si="2787">AB636*AC632</f>
        <v>0</v>
      </c>
      <c r="AD637" s="335">
        <f t="shared" si="2543"/>
        <v>0</v>
      </c>
      <c r="AE637" s="1152"/>
      <c r="AF637" s="1152"/>
      <c r="AG637" s="1152"/>
      <c r="AH637" s="1152"/>
      <c r="AI637" s="1152"/>
      <c r="AJ637" s="1152"/>
      <c r="AK637" s="1152"/>
      <c r="AL637" s="1152"/>
      <c r="AM637" s="1152"/>
      <c r="AN637" s="1152"/>
      <c r="AO637" s="1152"/>
      <c r="AP637" s="1152"/>
      <c r="AQ637" s="1152"/>
      <c r="AR637" s="1152"/>
      <c r="AS637" s="1152"/>
      <c r="AT637" s="1152"/>
      <c r="AU637" s="1152"/>
      <c r="AV637" s="1152"/>
      <c r="AW637" s="1152"/>
      <c r="AX637" s="1152"/>
      <c r="AY637" s="1152"/>
      <c r="AZ637" s="1152"/>
      <c r="BA637" s="1152"/>
      <c r="BB637" s="1152"/>
      <c r="BC637" s="1152"/>
      <c r="BD637" s="1152"/>
    </row>
    <row r="638" spans="1:56" ht="15" hidden="1" outlineLevel="1" thickBot="1" x14ac:dyDescent="0.35">
      <c r="A638" s="1182"/>
      <c r="B638" s="1181"/>
      <c r="C638" s="1181"/>
      <c r="D638" s="1181"/>
      <c r="E638" s="1181"/>
      <c r="F638" s="1181"/>
      <c r="G638" s="1181"/>
      <c r="H638" s="1181"/>
      <c r="I638" s="350"/>
      <c r="J638" s="351"/>
      <c r="K638" s="351"/>
      <c r="L638" s="351"/>
      <c r="M638" s="352"/>
      <c r="N638" s="351"/>
      <c r="O638" s="352"/>
      <c r="P638" s="351"/>
      <c r="Q638" s="352"/>
      <c r="R638" s="351"/>
      <c r="S638" s="352"/>
      <c r="T638" s="351"/>
      <c r="U638" s="352"/>
      <c r="V638" s="351"/>
      <c r="W638" s="352"/>
      <c r="X638" s="351"/>
      <c r="Y638" s="352"/>
      <c r="Z638" s="351"/>
      <c r="AA638" s="352"/>
      <c r="AB638" s="351"/>
      <c r="AC638" s="352"/>
      <c r="AD638" s="353" t="str">
        <f>IF(tbBudgetCurrency="AUD - Australian Dollar","",IFERROR(K638+M638+O638+Q638+S638+U638+W638+Y638+AA638+AC638,0))</f>
        <v/>
      </c>
      <c r="AE638" s="1152"/>
      <c r="AF638" s="1152"/>
      <c r="AG638" s="1152"/>
      <c r="AH638" s="1152"/>
      <c r="AI638" s="1152"/>
      <c r="AJ638" s="1152"/>
      <c r="AK638" s="1152"/>
      <c r="AL638" s="1152"/>
      <c r="AM638" s="1152"/>
      <c r="AN638" s="1152"/>
      <c r="AO638" s="1152"/>
      <c r="AP638" s="1152"/>
      <c r="AQ638" s="1152"/>
      <c r="AR638" s="1152"/>
      <c r="AS638" s="1152"/>
      <c r="AT638" s="1152"/>
      <c r="AU638" s="1152"/>
      <c r="AV638" s="1152"/>
      <c r="AW638" s="1152"/>
      <c r="AX638" s="1152"/>
      <c r="AY638" s="1152"/>
      <c r="AZ638" s="1152"/>
      <c r="BA638" s="1152"/>
      <c r="BB638" s="1152"/>
      <c r="BC638" s="1152"/>
      <c r="BD638" s="1152"/>
    </row>
    <row r="639" spans="1:56" hidden="1" outlineLevel="1" x14ac:dyDescent="0.3">
      <c r="A639" s="1182"/>
      <c r="B639" s="460" t="str">
        <f>IF('PART B Staff Costs'!B66="","",'PART B Staff Costs'!B66)</f>
        <v/>
      </c>
      <c r="C639" s="460" t="str">
        <f>IF('PART B Staff Costs'!C66="","",'PART B Staff Costs'!C66)</f>
        <v xml:space="preserve"> </v>
      </c>
      <c r="D639" s="461" t="str">
        <f>IF('PART B Staff Costs'!D66="","",'PART B Staff Costs'!D66)</f>
        <v/>
      </c>
      <c r="E639" s="461" t="str">
        <f>IF('PART B Staff Costs'!E66="","",'PART B Staff Costs'!E66)</f>
        <v/>
      </c>
      <c r="F639" s="461" t="str">
        <f>IF('PART B Staff Costs'!F66="","",'PART B Staff Costs'!F66)</f>
        <v/>
      </c>
      <c r="G639" s="461" t="str">
        <f>IF('PART B Staff Costs'!G66="","",'PART B Staff Costs'!G66)</f>
        <v/>
      </c>
      <c r="H639" s="454" t="str">
        <f t="shared" ref="H639" si="2788">CONCATENATE(IF(D639=0,"",D639)," ",IF(E639=0,"",E639)," ",IF(F639=0,"",F639),,IF(OR(G639=0,G639=""),"",CONCATENATE(" (",G639,")")))</f>
        <v xml:space="preserve">  </v>
      </c>
      <c r="I639" s="454" t="s">
        <v>313</v>
      </c>
      <c r="J639" s="333">
        <f>_xlfn.IFNA('PART B Staff Costs'!H66*'PART B Staff Costs'!J$10,0)*new_xrate</f>
        <v>0</v>
      </c>
      <c r="K639" s="441"/>
      <c r="L639" s="334">
        <f>_xlfn.IFNA(IF(pStartYear+1&gt;pEndYear,0,VLOOKUP(CONCATENATE(
IF(OR($D639="Continuing",$D639="Fixed-Term"),"Fortnight",IF($D639="Casual","Casual",)),
$E639,
IF(OR($D639="Continuing",$D639="Fixed-Term"),
IF(LEFT($F639,6)="UOM 10","UOM 10",(LEFT($F639,LEN($F639)-1)&amp;MIN(RIGHT($F639,1)+COUNTIFS($J640:K640,"&gt;0")/2,VLOOKUP(LEFT($F639,LEN($F639)-2),tSalaryMax,2,FALSE)))),
IF($D639="Casual",
$F639,))
),tSalaryRate,5,FALSE)*VLOOKUP($G639,tSalaryRateMultiplier,2,FALSE)*'PART B Staff Costs'!L$10),0)*new_xrate</f>
        <v>0</v>
      </c>
      <c r="M639" s="449"/>
      <c r="N639" s="333">
        <f>_xlfn.IFNA(IF(pStartYear+2&gt;pEndYear,0,VLOOKUP(CONCATENATE(
IF(OR($D639="Continuing",$D639="Fixed-Term"),"Fortnight",IF($D639="Casual","Casual",)),
$E639,
IF(OR($D639="Continuing",$D639="Fixed-Term"),
IF(LEFT($F639,6)="UOM 10","UOM 10",(LEFT($F639,LEN($F639)-1)&amp;MIN(RIGHT($F639,1)+COUNTIFS($J640:M640,"&gt;0")/2,VLOOKUP(LEFT($F639,LEN($F639)-2),tSalaryMax,2,FALSE)))),
IF($D639="Casual",
$F639,))
),tSalaryRate,5,FALSE)*VLOOKUP($G639,tSalaryRateMultiplier,2,FALSE)*'PART B Staff Costs'!N$10),0)*new_xrate</f>
        <v>0</v>
      </c>
      <c r="O639" s="441"/>
      <c r="P639" s="334">
        <f>_xlfn.IFNA(IF(pStartYear+3&gt;pEndYear,0,VLOOKUP(CONCATENATE(
IF(OR($D639="Continuing",$D639="Fixed-Term"),"Fortnight",IF($D639="Casual","Casual",)),
$E639,
IF(OR($D639="Continuing",$D639="Fixed-Term"),
IF(LEFT($F639,6)="UOM 10","UOM 10",(LEFT($F639,LEN($F639)-1)&amp;MIN(RIGHT($F639,1)+COUNTIFS($J640:O640,"&gt;0")/2,VLOOKUP(LEFT($F639,LEN($F639)-2),tSalaryMax,2,FALSE)))),
IF($D639="Casual",
$F639,))
),tSalaryRate,5,FALSE)*VLOOKUP($G639,tSalaryRateMultiplier,2,FALSE)*'PART B Staff Costs'!P$10),0)*new_xrate</f>
        <v>0</v>
      </c>
      <c r="Q639" s="449"/>
      <c r="R639" s="333">
        <f>_xlfn.IFNA(IF(pStartYear+4&gt;pEndYear,0,VLOOKUP(CONCATENATE(
IF(OR($D639="Continuing",$D639="Fixed-Term"),"Fortnight",IF($D639="Casual","Casual",)),
$E639,
IF(OR($D639="Continuing",$D639="Fixed-Term"),
IF(LEFT($F639,6)="UOM 10","UOM 10",(LEFT($F639,LEN($F639)-1)&amp;MIN(RIGHT($F639,1)+COUNTIFS($J640:Q640,"&gt;0")/2,VLOOKUP(LEFT($F639,LEN($F639)-2),tSalaryMax,2,FALSE)))),
IF($D639="Casual",
$F639,))
),tSalaryRate,5,FALSE)*VLOOKUP($G639,tSalaryRateMultiplier,2,FALSE)*'PART B Staff Costs'!R$10),0)*new_xrate</f>
        <v>0</v>
      </c>
      <c r="S639" s="441"/>
      <c r="T639" s="334">
        <f>_xlfn.IFNA(IF(pStartYear+5&gt;pEndYear,0,VLOOKUP(CONCATENATE(
IF(OR($D639="Continuing",$D639="Fixed-Term"),"Fortnight",IF($D639="Casual","Casual",)),
$E639,
IF(OR($D639="Continuing",$D639="Fixed-Term"),
IF(LEFT($F639,6)="UOM 10","UOM 10",(LEFT($F639,LEN($F639)-1)&amp;MIN(RIGHT($F639,1)+COUNTIFS($J640:S640,"&gt;0")/2,VLOOKUP(LEFT($F639,LEN($F639)-2),tSalaryMax,2,FALSE)))),
IF($D639="Casual",
$F639,))
),tSalaryRate,5,FALSE)*VLOOKUP($G639,tSalaryRateMultiplier,2,FALSE)*'PART B Staff Costs'!T$10),0)*new_xrate</f>
        <v>0</v>
      </c>
      <c r="U639" s="449"/>
      <c r="V639" s="333">
        <f>_xlfn.IFNA(IF(pStartYear+6&gt;pEndYear,0,VLOOKUP(CONCATENATE(
IF(OR($D639="Continuing",$D639="Fixed-Term"),"Fortnight",IF($D639="Casual","Casual",)),
$E639,
IF(OR($D639="Continuing",$D639="Fixed-Term"),
IF(LEFT($F639,6)="UOM 10","UOM 10",(LEFT($F639,LEN($F639)-1)&amp;MIN(RIGHT($F639,1)+COUNTIFS($J640:U640,"&gt;0")/2,VLOOKUP(LEFT($F639,LEN($F639)-2),tSalaryMax,2,FALSE)))),
IF($D639="Casual",
$F639,))
),tSalaryRate,5,FALSE)*VLOOKUP($G639,tSalaryRateMultiplier,2,FALSE)*'PART B Staff Costs'!V$10),0)*new_xrate</f>
        <v>0</v>
      </c>
      <c r="W639" s="441"/>
      <c r="X639" s="334">
        <f>_xlfn.IFNA(IF(pStartYear+7&gt;pEndYear,0,VLOOKUP(CONCATENATE(
IF(OR($D639="Continuing",$D639="Fixed-Term"),"Fortnight",IF($D639="Casual","Casual",)),
$E639,
IF(OR($D639="Continuing",$D639="Fixed-Term"),
IF(LEFT($F639,6)="UOM 10","UOM 10",(LEFT($F639,LEN($F639)-1)&amp;MIN(RIGHT($F639,1)+COUNTIFS($J640:W640,"&gt;0")/2,VLOOKUP(LEFT($F639,LEN($F639)-2),tSalaryMax,2,FALSE)))),
IF($D639="Casual",
$F639,))
),tSalaryRate,5,FALSE)*VLOOKUP($G639,tSalaryRateMultiplier,2,FALSE)*'PART B Staff Costs'!X$10),0)*new_xrate</f>
        <v>0</v>
      </c>
      <c r="Y639" s="449"/>
      <c r="Z639" s="333">
        <f>_xlfn.IFNA(IF(pStartYear+8&gt;pEndYear,0,VLOOKUP(CONCATENATE(
IF(OR($D639="Continuing",$D639="Fixed-Term"),"Fortnight",IF($D639="Casual","Casual",)),
$E639,
IF(OR($D639="Continuing",$D639="Fixed-Term"),
IF(LEFT($F639,6)="UOM 10","UOM 10",(LEFT($F639,LEN($F639)-1)&amp;MIN(RIGHT($F639,1)+COUNTIFS($J640:Y640,"&gt;0")/2,VLOOKUP(LEFT($F639,LEN($F639)-2),tSalaryMax,2,FALSE)))),
IF($D639="Casual",
$F639,))
),tSalaryRate,5,FALSE)*VLOOKUP($G639,tSalaryRateMultiplier,2,FALSE)*'PART B Staff Costs'!Z$10),0)*new_xrate</f>
        <v>0</v>
      </c>
      <c r="AA639" s="441"/>
      <c r="AB639" s="334">
        <f>_xlfn.IFNA(IF(pStartYear+9&gt;pEndYear,0,VLOOKUP(CONCATENATE(
IF(OR($D639="Continuing",$D639="Fixed-Term"),"Fortnight",IF($D639="Casual","Casual",)),
$E639,
IF(OR($D639="Continuing",$D639="Fixed-Term"),
IF(LEFT($F639,6)="UOM 10","UOM 10",(LEFT($F639,LEN($F639)-1)&amp;MIN(RIGHT($F639,1)+COUNTIFS($J640:AA640,"&gt;0")/2,VLOOKUP(LEFT($F639,LEN($F639)-2),tSalaryMax,2,FALSE)))),
IF($D639="Casual",
$F639,))
),tSalaryRate,5,FALSE)*VLOOKUP($G639,tSalaryRateMultiplier,2,FALSE)*'PART B Staff Costs'!AB$10),0)*new_xrate</f>
        <v>0</v>
      </c>
      <c r="AC639" s="449"/>
      <c r="AD639" s="335"/>
      <c r="AE639" s="1152"/>
      <c r="AF639" s="1152"/>
      <c r="AG639" s="1152"/>
      <c r="AH639" s="1152"/>
      <c r="AI639" s="1152"/>
      <c r="AJ639" s="1152"/>
      <c r="AK639" s="1152"/>
      <c r="AL639" s="1152"/>
      <c r="AM639" s="1152"/>
      <c r="AN639" s="1152"/>
      <c r="AO639" s="1152"/>
      <c r="AP639" s="1152"/>
      <c r="AQ639" s="1152"/>
      <c r="AR639" s="1152"/>
      <c r="AS639" s="1152"/>
      <c r="AT639" s="1152"/>
      <c r="AU639" s="1152"/>
      <c r="AV639" s="1152"/>
      <c r="AW639" s="1152"/>
      <c r="AX639" s="1152"/>
      <c r="AY639" s="1152"/>
      <c r="AZ639" s="1152"/>
      <c r="BA639" s="1152"/>
      <c r="BB639" s="1152"/>
      <c r="BC639" s="1152"/>
      <c r="BD639" s="1152"/>
    </row>
    <row r="640" spans="1:56" hidden="1" outlineLevel="1" x14ac:dyDescent="0.3">
      <c r="A640" s="1182"/>
      <c r="B640" s="1377"/>
      <c r="C640" s="1377"/>
      <c r="D640" s="1377"/>
      <c r="E640" s="1377"/>
      <c r="F640" s="1377"/>
      <c r="G640" s="1377"/>
      <c r="H640" s="1378"/>
      <c r="I640" s="455" t="str">
        <f>IF('PART B Staff Costs'!G635&lt;&gt;"",CONCATENATE("Time/Requested salary"," (",'PART B Staff Costs'!G635,")"),"Time/Requested salary")</f>
        <v>Time/Requested salary</v>
      </c>
      <c r="J640" s="337">
        <f>_xlfn.IFNA('PART B Staff Costs'!I66,0)</f>
        <v>0</v>
      </c>
      <c r="K640" s="442">
        <f>IF('PART B Staff Costs'!$G$66="FTE",J640*J639*(First_year_fraction/12),J640*J639)</f>
        <v>0</v>
      </c>
      <c r="L640" s="338">
        <f>_xlfn.IFNA('PART B Staff Costs'!K66,0)</f>
        <v>0</v>
      </c>
      <c r="M640" s="450">
        <f>IF(pStartYear+1=pEndYear,IF('PART B Staff Costs'!$G$66="FTE",(L640*L639)*Last_Year_Fraction/12,L640*L639),L640*L639)</f>
        <v>0</v>
      </c>
      <c r="N640" s="337">
        <f>_xlfn.IFNA('PART B Staff Costs'!M66,0)</f>
        <v>0</v>
      </c>
      <c r="O640" s="442">
        <f>IF(pStartYear+2=pEndYear,IF('PART B Staff Costs'!$G$66="FTE",(N640*N639)*Last_Year_Fraction/12,N640*N639),N640*N639)</f>
        <v>0</v>
      </c>
      <c r="P640" s="338">
        <f>_xlfn.IFNA('PART B Staff Costs'!O66,0)</f>
        <v>0</v>
      </c>
      <c r="Q640" s="450">
        <f>IF(pStartYear+3=pEndYear,IF('PART B Staff Costs'!$G$66="FTE",(P640*P639)*Last_Year_Fraction/12,P640*P639),P640*P639)</f>
        <v>0</v>
      </c>
      <c r="R640" s="337">
        <f>_xlfn.IFNA('PART B Staff Costs'!Q66,0)</f>
        <v>0</v>
      </c>
      <c r="S640" s="442">
        <f>IF(pStartYear+4=pEndYear,IF('PART B Staff Costs'!$G$66="FTE",(R640*R639)*Last_Year_Fraction/12,R640*R639),R640*R639)</f>
        <v>0</v>
      </c>
      <c r="T640" s="338">
        <f>_xlfn.IFNA('PART B Staff Costs'!S66,0)</f>
        <v>0</v>
      </c>
      <c r="U640" s="450">
        <f>IF(pStartYear+5=pEndYear,IF('PART B Staff Costs'!$G$66="FTE",(T640*T639)*Last_Year_Fraction/12,T640*T639),T640*T639)</f>
        <v>0</v>
      </c>
      <c r="V640" s="337">
        <f>_xlfn.IFNA('PART B Staff Costs'!U66,0)</f>
        <v>0</v>
      </c>
      <c r="W640" s="442">
        <f>IF(pStartYear+6=pEndYear,IF('PART B Staff Costs'!$G$66="FTE",(V640*V639)*Last_Year_Fraction/12,V640*V639),V640*V639)</f>
        <v>0</v>
      </c>
      <c r="X640" s="338">
        <f>_xlfn.IFNA('PART B Staff Costs'!W66,0)</f>
        <v>0</v>
      </c>
      <c r="Y640" s="450">
        <f>IF(pStartYear+7=pEndYear,IF('PART B Staff Costs'!$G$66="FTE",(X640*X639)*Last_Year_Fraction/12,X640*X639),X640*X639)</f>
        <v>0</v>
      </c>
      <c r="Z640" s="337">
        <f>_xlfn.IFNA('PART B Staff Costs'!Y66,0)</f>
        <v>0</v>
      </c>
      <c r="AA640" s="442">
        <f>IF(pStartYear+8=pEndYear,IF('PART B Staff Costs'!$G$66="FTE",(Z640*Z639)*Last_Year_Fraction/12,Z640*Z639),Z640*Z639)</f>
        <v>0</v>
      </c>
      <c r="AB640" s="338">
        <f>_xlfn.IFNA('PART B Staff Costs'!AA66,0)</f>
        <v>0</v>
      </c>
      <c r="AC640" s="450">
        <f>IF(pStartYear+9=pEndYear,IF('PART B Staff Costs'!$G$66="FTE",(AB640*AB639)*Last_Year_Fraction/12,AB640*AB639),AB640*AB639)</f>
        <v>0</v>
      </c>
      <c r="AD640" s="335"/>
      <c r="AE640" s="1152"/>
      <c r="AF640" s="1152"/>
      <c r="AG640" s="1152"/>
      <c r="AH640" s="1152"/>
      <c r="AI640" s="1152"/>
      <c r="AJ640" s="1152"/>
      <c r="AK640" s="1152"/>
      <c r="AL640" s="1152"/>
      <c r="AM640" s="1152"/>
      <c r="AN640" s="1152"/>
      <c r="AO640" s="1152"/>
      <c r="AP640" s="1152"/>
      <c r="AQ640" s="1152"/>
      <c r="AR640" s="1152"/>
      <c r="AS640" s="1152"/>
      <c r="AT640" s="1152"/>
      <c r="AU640" s="1152"/>
      <c r="AV640" s="1152"/>
      <c r="AW640" s="1152"/>
      <c r="AX640" s="1152"/>
      <c r="AY640" s="1152"/>
      <c r="AZ640" s="1152"/>
      <c r="BA640" s="1152"/>
      <c r="BB640" s="1152"/>
      <c r="BC640" s="1152"/>
      <c r="BD640" s="1152"/>
    </row>
    <row r="641" spans="1:56" hidden="1" outlineLevel="1" x14ac:dyDescent="0.3">
      <c r="A641" s="1182"/>
      <c r="B641" s="1379"/>
      <c r="C641" s="1379"/>
      <c r="D641" s="1379"/>
      <c r="E641" s="1379"/>
      <c r="F641" s="1379"/>
      <c r="G641" s="1379"/>
      <c r="H641" s="1380"/>
      <c r="I641" s="455" t="str">
        <f>IF(tbBudgetCurrency="AUD - Australian Dollar",CONCATENATE("Leave Loading (max of AU$",vl_Max_Leave_Loading,")"),CONCATENATE("Leave Loading (max of ",ROUND(vl_Max_Leave_Loading*new_xrate,2)," ",LEFT(tbBudgetCurrency,3),")"))</f>
        <v>Leave Loading (max of AU$1611.3)</v>
      </c>
      <c r="J641" s="339">
        <f>_xlfn.IFNA(VLOOKUP($D639,tbLeaveLoading,2,FALSE),0)</f>
        <v>0</v>
      </c>
      <c r="K641" s="443">
        <f>IF(K640*J641&gt;vl_Max_Leave_Loading*new_xrate,vl_Max_Leave_Loading*new_xrate,K640*J641)</f>
        <v>0</v>
      </c>
      <c r="L641" s="340">
        <f>_xlfn.IFNA(VLOOKUP($D639,tbLeaveLoading,2,FALSE),0)</f>
        <v>0</v>
      </c>
      <c r="M641" s="451">
        <f>IF(M640*L641&gt;vl_Max_Leave_Loading*new_xrate,vl_Max_Leave_Loading*new_xrate,M640*L641)</f>
        <v>0</v>
      </c>
      <c r="N641" s="339">
        <f>_xlfn.IFNA(VLOOKUP($D639,tbLeaveLoading,2,FALSE),0)</f>
        <v>0</v>
      </c>
      <c r="O641" s="443">
        <f>IF(O640*N641&gt;vl_Max_Leave_Loading*new_xrate,vl_Max_Leave_Loading*new_xrate,O640*N641)</f>
        <v>0</v>
      </c>
      <c r="P641" s="340">
        <f>_xlfn.IFNA(VLOOKUP($D639,tbLeaveLoading,2,FALSE),0)</f>
        <v>0</v>
      </c>
      <c r="Q641" s="451">
        <f>IF(Q640*P641&gt;vl_Max_Leave_Loading*new_xrate,vl_Max_Leave_Loading*new_xrate,Q640*P641)</f>
        <v>0</v>
      </c>
      <c r="R641" s="339">
        <f>_xlfn.IFNA(VLOOKUP($D639,tbLeaveLoading,2,FALSE),0)</f>
        <v>0</v>
      </c>
      <c r="S641" s="443">
        <f>IF(S640*R641&gt;vl_Max_Leave_Loading*new_xrate,vl_Max_Leave_Loading*new_xrate,S640*R641)</f>
        <v>0</v>
      </c>
      <c r="T641" s="340">
        <f>_xlfn.IFNA(VLOOKUP($D639,tbLeaveLoading,2,FALSE),0)</f>
        <v>0</v>
      </c>
      <c r="U641" s="451">
        <f>IF(U640*T641&gt;vl_Max_Leave_Loading*new_xrate,vl_Max_Leave_Loading*new_xrate,U640*T641)</f>
        <v>0</v>
      </c>
      <c r="V641" s="339">
        <f>_xlfn.IFNA(VLOOKUP($D639,tbLeaveLoading,2,FALSE),0)</f>
        <v>0</v>
      </c>
      <c r="W641" s="443">
        <f>IF(W640*V641&gt;vl_Max_Leave_Loading*new_xrate,vl_Max_Leave_Loading*new_xrate,W640*V641)</f>
        <v>0</v>
      </c>
      <c r="X641" s="340">
        <f>_xlfn.IFNA(VLOOKUP($D639,tbLeaveLoading,2,FALSE),0)</f>
        <v>0</v>
      </c>
      <c r="Y641" s="451">
        <f>IF(Y640*X641&gt;vl_Max_Leave_Loading*new_xrate,vl_Max_Leave_Loading*new_xrate,Y640*X641)</f>
        <v>0</v>
      </c>
      <c r="Z641" s="339">
        <f>_xlfn.IFNA(VLOOKUP($D639,tbLeaveLoading,2,FALSE),0)</f>
        <v>0</v>
      </c>
      <c r="AA641" s="443">
        <f>IF(AA640*Z641&gt;vl_Max_Leave_Loading*new_xrate,vl_Max_Leave_Loading*new_xrate,AA640*Z641)</f>
        <v>0</v>
      </c>
      <c r="AB641" s="340">
        <f>_xlfn.IFNA(VLOOKUP($D639,tbLeaveLoading,2,FALSE),0)</f>
        <v>0</v>
      </c>
      <c r="AC641" s="451">
        <f>IF(AC640*AB641&gt;vl_Max_Leave_Loading*new_xrate,vl_Max_Leave_Loading*new_xrate,AC640*AB641)</f>
        <v>0</v>
      </c>
      <c r="AD641" s="335"/>
      <c r="AE641" s="1152"/>
      <c r="AF641" s="1152"/>
      <c r="AG641" s="1152"/>
      <c r="AH641" s="1152"/>
      <c r="AI641" s="1152"/>
      <c r="AJ641" s="1152"/>
      <c r="AK641" s="1152"/>
      <c r="AL641" s="1152"/>
      <c r="AM641" s="1152"/>
      <c r="AN641" s="1152"/>
      <c r="AO641" s="1152"/>
      <c r="AP641" s="1152"/>
      <c r="AQ641" s="1152"/>
      <c r="AR641" s="1152"/>
      <c r="AS641" s="1152"/>
      <c r="AT641" s="1152"/>
      <c r="AU641" s="1152"/>
      <c r="AV641" s="1152"/>
      <c r="AW641" s="1152"/>
      <c r="AX641" s="1152"/>
      <c r="AY641" s="1152"/>
      <c r="AZ641" s="1152"/>
      <c r="BA641" s="1152"/>
      <c r="BB641" s="1152"/>
      <c r="BC641" s="1152"/>
      <c r="BD641" s="1152"/>
    </row>
    <row r="642" spans="1:56" hidden="1" outlineLevel="1" x14ac:dyDescent="0.3">
      <c r="A642" s="1182"/>
      <c r="B642" s="1379"/>
      <c r="C642" s="1379"/>
      <c r="D642" s="1379"/>
      <c r="E642" s="1379"/>
      <c r="F642" s="1379"/>
      <c r="G642" s="1379"/>
      <c r="H642" s="1380"/>
      <c r="I642" s="455" t="s">
        <v>314</v>
      </c>
      <c r="J642" s="339">
        <f>_xlfn.IFNA(_xlfn.IFNA(VLOOKUP(CONCATENATE(pStartYear,$D639),tbSuperannuation,4,FALSE),VLOOKUP($D639,tbSuperannuation2026onwards,2,FALSE)),0)</f>
        <v>0</v>
      </c>
      <c r="K642" s="443">
        <f>K640*J642</f>
        <v>0</v>
      </c>
      <c r="L642" s="340">
        <f>_xlfn.IFNA(_xlfn.IFNA(VLOOKUP(CONCATENATE(pStartYear+1,$D639),tbSuperannuation,4,FALSE),VLOOKUP($D639,tbSuperannuation2026onwards,2,FALSE)),0)</f>
        <v>0</v>
      </c>
      <c r="M642" s="451">
        <f t="shared" ref="M642" si="2789">M640*L642</f>
        <v>0</v>
      </c>
      <c r="N642" s="339">
        <f>_xlfn.IFNA(_xlfn.IFNA(VLOOKUP(CONCATENATE(pStartYear+2,$D639),tbSuperannuation,4,FALSE),VLOOKUP($D639,tbSuperannuation2026onwards,2,FALSE)),0)</f>
        <v>0</v>
      </c>
      <c r="O642" s="443">
        <f>O640*N642</f>
        <v>0</v>
      </c>
      <c r="P642" s="340">
        <f>_xlfn.IFNA(_xlfn.IFNA(VLOOKUP(CONCATENATE(pStartYear+3,$D639),tbSuperannuation,4,FALSE),VLOOKUP($D639,tbSuperannuation2026onwards,2,FALSE)),0)</f>
        <v>0</v>
      </c>
      <c r="Q642" s="451">
        <f t="shared" ref="Q642" si="2790">Q640*P642</f>
        <v>0</v>
      </c>
      <c r="R642" s="339">
        <f>_xlfn.IFNA(_xlfn.IFNA(VLOOKUP(CONCATENATE(pStartYear+4,$D639),tbSuperannuation,4,FALSE),VLOOKUP($D639,tbSuperannuation2026onwards,2,FALSE)),0)</f>
        <v>0</v>
      </c>
      <c r="S642" s="443">
        <f>S640*R642</f>
        <v>0</v>
      </c>
      <c r="T642" s="340">
        <f>_xlfn.IFNA(_xlfn.IFNA(VLOOKUP(CONCATENATE(pStartYear+5,$D639),tbSuperannuation,4,FALSE),VLOOKUP($D639,tbSuperannuation2026onwards,2,FALSE)),0)</f>
        <v>0</v>
      </c>
      <c r="U642" s="451">
        <f t="shared" ref="U642" si="2791">U640*T642</f>
        <v>0</v>
      </c>
      <c r="V642" s="339">
        <f>_xlfn.IFNA(_xlfn.IFNA(VLOOKUP(CONCATENATE(pStartYear+6,$D639),tbSuperannuation,4,FALSE),VLOOKUP($D639,tbSuperannuation2026onwards,2,FALSE)),0)</f>
        <v>0</v>
      </c>
      <c r="W642" s="443">
        <f>W640*V642</f>
        <v>0</v>
      </c>
      <c r="X642" s="340">
        <f>_xlfn.IFNA(_xlfn.IFNA(VLOOKUP(CONCATENATE(pStartYear+7,$D639),tbSuperannuation,4,FALSE),VLOOKUP($D639,tbSuperannuation2026onwards,2,FALSE)),0)</f>
        <v>0</v>
      </c>
      <c r="Y642" s="451">
        <f t="shared" ref="Y642" si="2792">Y640*X642</f>
        <v>0</v>
      </c>
      <c r="Z642" s="339">
        <f>_xlfn.IFNA(_xlfn.IFNA(VLOOKUP(CONCATENATE(pStartYear+8,$D639),tbSuperannuation,4,FALSE),VLOOKUP($D639,tbSuperannuation2026onwards,2,FALSE)),0)</f>
        <v>0</v>
      </c>
      <c r="AA642" s="443">
        <f>AA640*Z642</f>
        <v>0</v>
      </c>
      <c r="AB642" s="340">
        <f>_xlfn.IFNA(_xlfn.IFNA(VLOOKUP(CONCATENATE(pStartYear+9,$D639),tbSuperannuation,4,FALSE),VLOOKUP($D639,tbSuperannuation2026onwards,2,FALSE)),0)</f>
        <v>0</v>
      </c>
      <c r="AC642" s="451">
        <f t="shared" ref="AC642" si="2793">AC640*AB642</f>
        <v>0</v>
      </c>
      <c r="AD642" s="335"/>
      <c r="AE642" s="1152"/>
      <c r="AF642" s="1152"/>
      <c r="AG642" s="1152"/>
      <c r="AH642" s="1152"/>
      <c r="AI642" s="1152"/>
      <c r="AJ642" s="1152"/>
      <c r="AK642" s="1152"/>
      <c r="AL642" s="1152"/>
      <c r="AM642" s="1152"/>
      <c r="AN642" s="1152"/>
      <c r="AO642" s="1152"/>
      <c r="AP642" s="1152"/>
      <c r="AQ642" s="1152"/>
      <c r="AR642" s="1152"/>
      <c r="AS642" s="1152"/>
      <c r="AT642" s="1152"/>
      <c r="AU642" s="1152"/>
      <c r="AV642" s="1152"/>
      <c r="AW642" s="1152"/>
      <c r="AX642" s="1152"/>
      <c r="AY642" s="1152"/>
      <c r="AZ642" s="1152"/>
      <c r="BA642" s="1152"/>
      <c r="BB642" s="1152"/>
      <c r="BC642" s="1152"/>
      <c r="BD642" s="1152"/>
    </row>
    <row r="643" spans="1:56" hidden="1" outlineLevel="1" x14ac:dyDescent="0.3">
      <c r="A643" s="1182"/>
      <c r="B643" s="1379"/>
      <c r="C643" s="1379"/>
      <c r="D643" s="1379"/>
      <c r="E643" s="1379"/>
      <c r="F643" s="1379"/>
      <c r="G643" s="1379"/>
      <c r="H643" s="1380"/>
      <c r="I643" s="341" t="s">
        <v>315</v>
      </c>
      <c r="J643" s="342"/>
      <c r="K643" s="444">
        <f>K641+K642+K640</f>
        <v>0</v>
      </c>
      <c r="L643" s="342"/>
      <c r="M643" s="444">
        <f t="shared" ref="M643" si="2794">M641+M642+M640</f>
        <v>0</v>
      </c>
      <c r="N643" s="342"/>
      <c r="O643" s="444">
        <f>O641+O642+O640</f>
        <v>0</v>
      </c>
      <c r="P643" s="342"/>
      <c r="Q643" s="444">
        <f t="shared" ref="Q643" si="2795">Q641+Q642+Q640</f>
        <v>0</v>
      </c>
      <c r="R643" s="342"/>
      <c r="S643" s="444">
        <f>S641+S642+S640</f>
        <v>0</v>
      </c>
      <c r="T643" s="342"/>
      <c r="U643" s="444">
        <f t="shared" ref="U643" si="2796">U641+U642+U640</f>
        <v>0</v>
      </c>
      <c r="V643" s="342"/>
      <c r="W643" s="444">
        <f>W641+W642+W640</f>
        <v>0</v>
      </c>
      <c r="X643" s="342"/>
      <c r="Y643" s="444">
        <f t="shared" ref="Y643" si="2797">Y641+Y642+Y640</f>
        <v>0</v>
      </c>
      <c r="Z643" s="342"/>
      <c r="AA643" s="444">
        <f>AA641+AA642+AA640</f>
        <v>0</v>
      </c>
      <c r="AB643" s="342"/>
      <c r="AC643" s="444">
        <f t="shared" ref="AC643" si="2798">AC641+AC642+AC640</f>
        <v>0</v>
      </c>
      <c r="AD643" s="335">
        <f t="shared" ref="AD643:AD713" si="2799">IFERROR($K643+$M643+$O643+$Q643+$S643+$U643+$W643+$Y643+$AA643+$AC643,0)</f>
        <v>0</v>
      </c>
      <c r="AE643" s="1152"/>
      <c r="AF643" s="1152"/>
      <c r="AG643" s="1152"/>
      <c r="AH643" s="1152"/>
      <c r="AI643" s="1152"/>
      <c r="AJ643" s="1152"/>
      <c r="AK643" s="1152"/>
      <c r="AL643" s="1152"/>
      <c r="AM643" s="1152"/>
      <c r="AN643" s="1152"/>
      <c r="AO643" s="1152"/>
      <c r="AP643" s="1152"/>
      <c r="AQ643" s="1152"/>
      <c r="AR643" s="1152"/>
      <c r="AS643" s="1152"/>
      <c r="AT643" s="1152"/>
      <c r="AU643" s="1152"/>
      <c r="AV643" s="1152"/>
      <c r="AW643" s="1152"/>
      <c r="AX643" s="1152"/>
      <c r="AY643" s="1152"/>
      <c r="AZ643" s="1152"/>
      <c r="BA643" s="1152"/>
      <c r="BB643" s="1152"/>
      <c r="BC643" s="1152"/>
      <c r="BD643" s="1152"/>
    </row>
    <row r="644" spans="1:56" hidden="1" outlineLevel="1" x14ac:dyDescent="0.3">
      <c r="A644" s="1182"/>
      <c r="B644" s="1379"/>
      <c r="C644" s="1379"/>
      <c r="D644" s="1379"/>
      <c r="E644" s="1379"/>
      <c r="F644" s="1379"/>
      <c r="G644" s="1379"/>
      <c r="H644" s="1380"/>
      <c r="I644" s="455" t="s">
        <v>316</v>
      </c>
      <c r="J644" s="339">
        <f>_xlfn.IFNA(_xlfn.IFNA(VLOOKUP(pStartYear,tbPayrollTax,2,FALSE),vl_MaxPayrollTax),0)</f>
        <v>5.8500000000000003E-2</v>
      </c>
      <c r="K644" s="443">
        <f>J644*K643</f>
        <v>0</v>
      </c>
      <c r="L644" s="340">
        <f>_xlfn.IFNA(_xlfn.IFNA(VLOOKUP(pStartYear+1,tbPayrollTax,2,FALSE),vl_MaxPayrollTax),0)</f>
        <v>5.8500000000000003E-2</v>
      </c>
      <c r="M644" s="451">
        <f t="shared" ref="M644" si="2800">L644*M643</f>
        <v>0</v>
      </c>
      <c r="N644" s="339">
        <f>_xlfn.IFNA(_xlfn.IFNA(VLOOKUP(pStartYear+2,tbPayrollTax,2,FALSE),vl_MaxPayrollTax),0)</f>
        <v>5.8500000000000003E-2</v>
      </c>
      <c r="O644" s="443">
        <f>N644*O643</f>
        <v>0</v>
      </c>
      <c r="P644" s="340">
        <f>_xlfn.IFNA(_xlfn.IFNA(VLOOKUP(pStartYear+3,tbPayrollTax,2,FALSE),vl_MaxPayrollTax),0)</f>
        <v>5.8500000000000003E-2</v>
      </c>
      <c r="Q644" s="451">
        <f t="shared" ref="Q644" si="2801">P644*Q643</f>
        <v>0</v>
      </c>
      <c r="R644" s="339">
        <f>_xlfn.IFNA(_xlfn.IFNA(VLOOKUP(pStartYear+4,tbPayrollTax,2,FALSE),vl_MaxPayrollTax),0)</f>
        <v>5.8500000000000003E-2</v>
      </c>
      <c r="S644" s="443">
        <f>R644*S643</f>
        <v>0</v>
      </c>
      <c r="T644" s="340">
        <f>_xlfn.IFNA(_xlfn.IFNA(VLOOKUP(pStartYear+5,tbPayrollTax,2,FALSE),vl_MaxPayrollTax),0)</f>
        <v>5.8500000000000003E-2</v>
      </c>
      <c r="U644" s="451">
        <f t="shared" ref="U644" si="2802">T644*U643</f>
        <v>0</v>
      </c>
      <c r="V644" s="339">
        <f>_xlfn.IFNA(_xlfn.IFNA(VLOOKUP(pStartYear+6,tbPayrollTax,2,FALSE),vl_MaxPayrollTax),0)</f>
        <v>5.8500000000000003E-2</v>
      </c>
      <c r="W644" s="443">
        <f>V644*W643</f>
        <v>0</v>
      </c>
      <c r="X644" s="340">
        <f>_xlfn.IFNA(_xlfn.IFNA(VLOOKUP(pStartYear+7,tbPayrollTax,2,FALSE),vl_MaxPayrollTax),0)</f>
        <v>5.8500000000000003E-2</v>
      </c>
      <c r="Y644" s="451">
        <f t="shared" ref="Y644" si="2803">X644*Y643</f>
        <v>0</v>
      </c>
      <c r="Z644" s="339">
        <f>_xlfn.IFNA(_xlfn.IFNA(VLOOKUP(pStartYear+8,tbPayrollTax,2,FALSE),vl_MaxPayrollTax),0)</f>
        <v>5.8500000000000003E-2</v>
      </c>
      <c r="AA644" s="443">
        <f>Z644*AA643</f>
        <v>0</v>
      </c>
      <c r="AB644" s="340">
        <f>_xlfn.IFNA(_xlfn.IFNA(VLOOKUP(pStartYear+9,tbPayrollTax,2,FALSE),vl_MaxPayrollTax),0)</f>
        <v>5.8500000000000003E-2</v>
      </c>
      <c r="AC644" s="451">
        <f t="shared" ref="AC644" si="2804">AB644*AC643</f>
        <v>0</v>
      </c>
      <c r="AD644" s="335"/>
      <c r="AE644" s="1152"/>
      <c r="AF644" s="1152"/>
      <c r="AG644" s="1152"/>
      <c r="AH644" s="1152"/>
      <c r="AI644" s="1152"/>
      <c r="AJ644" s="1152"/>
      <c r="AK644" s="1152"/>
      <c r="AL644" s="1152"/>
      <c r="AM644" s="1152"/>
      <c r="AN644" s="1152"/>
      <c r="AO644" s="1152"/>
      <c r="AP644" s="1152"/>
      <c r="AQ644" s="1152"/>
      <c r="AR644" s="1152"/>
      <c r="AS644" s="1152"/>
      <c r="AT644" s="1152"/>
      <c r="AU644" s="1152"/>
      <c r="AV644" s="1152"/>
      <c r="AW644" s="1152"/>
      <c r="AX644" s="1152"/>
      <c r="AY644" s="1152"/>
      <c r="AZ644" s="1152"/>
      <c r="BA644" s="1152"/>
      <c r="BB644" s="1152"/>
      <c r="BC644" s="1152"/>
      <c r="BD644" s="1152"/>
    </row>
    <row r="645" spans="1:56" hidden="1" outlineLevel="1" x14ac:dyDescent="0.3">
      <c r="A645" s="1182"/>
      <c r="B645" s="1379"/>
      <c r="C645" s="1379"/>
      <c r="D645" s="1379"/>
      <c r="E645" s="1379"/>
      <c r="F645" s="1379"/>
      <c r="G645" s="1379"/>
      <c r="H645" s="1380"/>
      <c r="I645" s="455" t="s">
        <v>317</v>
      </c>
      <c r="J645" s="339">
        <f>_xlfn.IFNA(VLOOKUP($D639,tbWorkCover,2,FALSE),0)</f>
        <v>0</v>
      </c>
      <c r="K645" s="443">
        <f>J645*K643</f>
        <v>0</v>
      </c>
      <c r="L645" s="340">
        <f>_xlfn.IFNA(VLOOKUP($D639,tbWorkCover,2,FALSE),0)</f>
        <v>0</v>
      </c>
      <c r="M645" s="451">
        <f t="shared" ref="M645" si="2805">L645*M643</f>
        <v>0</v>
      </c>
      <c r="N645" s="339">
        <f>_xlfn.IFNA(VLOOKUP($D639,tbWorkCover,2,FALSE),0)</f>
        <v>0</v>
      </c>
      <c r="O645" s="443">
        <f>N645*O643</f>
        <v>0</v>
      </c>
      <c r="P645" s="340">
        <f>_xlfn.IFNA(VLOOKUP($D639,tbWorkCover,2,FALSE),0)</f>
        <v>0</v>
      </c>
      <c r="Q645" s="451">
        <f t="shared" ref="Q645" si="2806">P645*Q643</f>
        <v>0</v>
      </c>
      <c r="R645" s="339">
        <f>_xlfn.IFNA(VLOOKUP($D639,tbWorkCover,2,FALSE),0)</f>
        <v>0</v>
      </c>
      <c r="S645" s="443">
        <f>R645*S643</f>
        <v>0</v>
      </c>
      <c r="T645" s="340">
        <f>_xlfn.IFNA(VLOOKUP($D639,tbWorkCover,2,FALSE),0)</f>
        <v>0</v>
      </c>
      <c r="U645" s="451">
        <f t="shared" ref="U645" si="2807">T645*U643</f>
        <v>0</v>
      </c>
      <c r="V645" s="339">
        <f>_xlfn.IFNA(VLOOKUP($D639,tbWorkCover,2,FALSE),0)</f>
        <v>0</v>
      </c>
      <c r="W645" s="443">
        <f>V645*W643</f>
        <v>0</v>
      </c>
      <c r="X645" s="340">
        <f>_xlfn.IFNA(VLOOKUP($D639,tbWorkCover,2,FALSE),0)</f>
        <v>0</v>
      </c>
      <c r="Y645" s="451">
        <f t="shared" ref="Y645" si="2808">X645*Y643</f>
        <v>0</v>
      </c>
      <c r="Z645" s="339">
        <f>_xlfn.IFNA(VLOOKUP($D639,tbWorkCover,2,FALSE),0)</f>
        <v>0</v>
      </c>
      <c r="AA645" s="443">
        <f>Z645*AA643</f>
        <v>0</v>
      </c>
      <c r="AB645" s="340">
        <f>_xlfn.IFNA(VLOOKUP($D639,tbWorkCover,2,FALSE),0)</f>
        <v>0</v>
      </c>
      <c r="AC645" s="451">
        <f t="shared" ref="AC645" si="2809">AB645*AC643</f>
        <v>0</v>
      </c>
      <c r="AD645" s="335"/>
      <c r="AE645" s="1152"/>
      <c r="AF645" s="1152"/>
      <c r="AG645" s="1152"/>
      <c r="AH645" s="1152"/>
      <c r="AI645" s="1152"/>
      <c r="AJ645" s="1152"/>
      <c r="AK645" s="1152"/>
      <c r="AL645" s="1152"/>
      <c r="AM645" s="1152"/>
      <c r="AN645" s="1152"/>
      <c r="AO645" s="1152"/>
      <c r="AP645" s="1152"/>
      <c r="AQ645" s="1152"/>
      <c r="AR645" s="1152"/>
      <c r="AS645" s="1152"/>
      <c r="AT645" s="1152"/>
      <c r="AU645" s="1152"/>
      <c r="AV645" s="1152"/>
      <c r="AW645" s="1152"/>
      <c r="AX645" s="1152"/>
      <c r="AY645" s="1152"/>
      <c r="AZ645" s="1152"/>
      <c r="BA645" s="1152"/>
      <c r="BB645" s="1152"/>
      <c r="BC645" s="1152"/>
      <c r="BD645" s="1152"/>
    </row>
    <row r="646" spans="1:56" hidden="1" outlineLevel="1" x14ac:dyDescent="0.3">
      <c r="A646" s="1182"/>
      <c r="B646" s="1379"/>
      <c r="C646" s="1379"/>
      <c r="D646" s="1379"/>
      <c r="E646" s="1379"/>
      <c r="F646" s="1379"/>
      <c r="G646" s="1379"/>
      <c r="H646" s="1380"/>
      <c r="I646" s="455" t="s">
        <v>318</v>
      </c>
      <c r="J646" s="339">
        <f>_xlfn.IFNA(VLOOKUP($D639,tbLongServiceLeave,2,FALSE),0)</f>
        <v>0</v>
      </c>
      <c r="K646" s="443">
        <f>J646*K640</f>
        <v>0</v>
      </c>
      <c r="L646" s="340">
        <f>_xlfn.IFNA(VLOOKUP($D639,tbLongServiceLeave,2,FALSE),0)</f>
        <v>0</v>
      </c>
      <c r="M646" s="451">
        <f t="shared" ref="M646" si="2810">L646*M640</f>
        <v>0</v>
      </c>
      <c r="N646" s="339">
        <f>_xlfn.IFNA(VLOOKUP($D639,tbLongServiceLeave,2,FALSE),0)</f>
        <v>0</v>
      </c>
      <c r="O646" s="443">
        <f>N646*O640</f>
        <v>0</v>
      </c>
      <c r="P646" s="340">
        <f>_xlfn.IFNA(VLOOKUP($D639,tbLongServiceLeave,2,FALSE),0)</f>
        <v>0</v>
      </c>
      <c r="Q646" s="451">
        <f t="shared" ref="Q646" si="2811">P646*Q640</f>
        <v>0</v>
      </c>
      <c r="R646" s="339">
        <f>_xlfn.IFNA(VLOOKUP($D639,tbLongServiceLeave,2,FALSE),0)</f>
        <v>0</v>
      </c>
      <c r="S646" s="443">
        <f>R646*S640</f>
        <v>0</v>
      </c>
      <c r="T646" s="340">
        <f>_xlfn.IFNA(VLOOKUP($D639,tbLongServiceLeave,2,FALSE),0)</f>
        <v>0</v>
      </c>
      <c r="U646" s="451">
        <f t="shared" ref="U646" si="2812">T646*U640</f>
        <v>0</v>
      </c>
      <c r="V646" s="339">
        <f>_xlfn.IFNA(VLOOKUP($D639,tbLongServiceLeave,2,FALSE),0)</f>
        <v>0</v>
      </c>
      <c r="W646" s="443">
        <f>V646*W640</f>
        <v>0</v>
      </c>
      <c r="X646" s="340">
        <f>_xlfn.IFNA(VLOOKUP($D639,tbLongServiceLeave,2,FALSE),0)</f>
        <v>0</v>
      </c>
      <c r="Y646" s="451">
        <f t="shared" ref="Y646" si="2813">X646*Y640</f>
        <v>0</v>
      </c>
      <c r="Z646" s="339">
        <f>_xlfn.IFNA(VLOOKUP($D639,tbLongServiceLeave,2,FALSE),0)</f>
        <v>0</v>
      </c>
      <c r="AA646" s="443">
        <f>Z646*AA640</f>
        <v>0</v>
      </c>
      <c r="AB646" s="340">
        <f>_xlfn.IFNA(VLOOKUP($D639,tbLongServiceLeave,2,FALSE),0)</f>
        <v>0</v>
      </c>
      <c r="AC646" s="451">
        <f t="shared" ref="AC646" si="2814">AB646*AC640</f>
        <v>0</v>
      </c>
      <c r="AD646" s="335"/>
      <c r="AE646" s="1152"/>
      <c r="AF646" s="1152"/>
      <c r="AG646" s="1152"/>
      <c r="AH646" s="1152"/>
      <c r="AI646" s="1152"/>
      <c r="AJ646" s="1152"/>
      <c r="AK646" s="1152"/>
      <c r="AL646" s="1152"/>
      <c r="AM646" s="1152"/>
      <c r="AN646" s="1152"/>
      <c r="AO646" s="1152"/>
      <c r="AP646" s="1152"/>
      <c r="AQ646" s="1152"/>
      <c r="AR646" s="1152"/>
      <c r="AS646" s="1152"/>
      <c r="AT646" s="1152"/>
      <c r="AU646" s="1152"/>
      <c r="AV646" s="1152"/>
      <c r="AW646" s="1152"/>
      <c r="AX646" s="1152"/>
      <c r="AY646" s="1152"/>
      <c r="AZ646" s="1152"/>
      <c r="BA646" s="1152"/>
      <c r="BB646" s="1152"/>
      <c r="BC646" s="1152"/>
      <c r="BD646" s="1152"/>
    </row>
    <row r="647" spans="1:56" hidden="1" outlineLevel="1" x14ac:dyDescent="0.3">
      <c r="A647" s="1182"/>
      <c r="B647" s="1379"/>
      <c r="C647" s="1379"/>
      <c r="D647" s="1379"/>
      <c r="E647" s="1379"/>
      <c r="F647" s="1379"/>
      <c r="G647" s="1379"/>
      <c r="H647" s="1380"/>
      <c r="I647" s="455" t="s">
        <v>319</v>
      </c>
      <c r="J647" s="339">
        <f>_xlfn.IFNA(VLOOKUP($D639,tbParentalLeave,2,FALSE),0)</f>
        <v>0</v>
      </c>
      <c r="K647" s="443">
        <f>J647*K640</f>
        <v>0</v>
      </c>
      <c r="L647" s="340">
        <f>_xlfn.IFNA(VLOOKUP($D639,tbParentalLeave,2,FALSE),0)</f>
        <v>0</v>
      </c>
      <c r="M647" s="451">
        <f t="shared" ref="M647" si="2815">L647*M640</f>
        <v>0</v>
      </c>
      <c r="N647" s="339">
        <f>_xlfn.IFNA(VLOOKUP($D639,tbParentalLeave,2,FALSE),0)</f>
        <v>0</v>
      </c>
      <c r="O647" s="443">
        <f>N647*O640</f>
        <v>0</v>
      </c>
      <c r="P647" s="340">
        <f>_xlfn.IFNA(VLOOKUP($D639,tbParentalLeave,2,FALSE),0)</f>
        <v>0</v>
      </c>
      <c r="Q647" s="451">
        <f t="shared" ref="Q647" si="2816">P647*Q640</f>
        <v>0</v>
      </c>
      <c r="R647" s="339">
        <f>_xlfn.IFNA(VLOOKUP($D639,tbParentalLeave,2,FALSE),0)</f>
        <v>0</v>
      </c>
      <c r="S647" s="443">
        <f>R647*S640</f>
        <v>0</v>
      </c>
      <c r="T647" s="340">
        <f>_xlfn.IFNA(VLOOKUP($D639,tbParentalLeave,2,FALSE),0)</f>
        <v>0</v>
      </c>
      <c r="U647" s="451">
        <f t="shared" ref="U647" si="2817">T647*U640</f>
        <v>0</v>
      </c>
      <c r="V647" s="339">
        <f>_xlfn.IFNA(VLOOKUP($D639,tbParentalLeave,2,FALSE),0)</f>
        <v>0</v>
      </c>
      <c r="W647" s="443">
        <f>V647*W640</f>
        <v>0</v>
      </c>
      <c r="X647" s="340">
        <f>_xlfn.IFNA(VLOOKUP($D639,tbParentalLeave,2,FALSE),0)</f>
        <v>0</v>
      </c>
      <c r="Y647" s="451">
        <f t="shared" ref="Y647" si="2818">X647*Y640</f>
        <v>0</v>
      </c>
      <c r="Z647" s="339">
        <f>_xlfn.IFNA(VLOOKUP($D639,tbParentalLeave,2,FALSE),0)</f>
        <v>0</v>
      </c>
      <c r="AA647" s="443">
        <f>Z647*AA640</f>
        <v>0</v>
      </c>
      <c r="AB647" s="340">
        <f>_xlfn.IFNA(VLOOKUP($D639,tbParentalLeave,2,FALSE),0)</f>
        <v>0</v>
      </c>
      <c r="AC647" s="451">
        <f t="shared" ref="AC647" si="2819">AB647*AC640</f>
        <v>0</v>
      </c>
      <c r="AD647" s="335"/>
      <c r="AE647" s="1152"/>
      <c r="AF647" s="1152"/>
      <c r="AG647" s="1152"/>
      <c r="AH647" s="1152"/>
      <c r="AI647" s="1152"/>
      <c r="AJ647" s="1152"/>
      <c r="AK647" s="1152"/>
      <c r="AL647" s="1152"/>
      <c r="AM647" s="1152"/>
      <c r="AN647" s="1152"/>
      <c r="AO647" s="1152"/>
      <c r="AP647" s="1152"/>
      <c r="AQ647" s="1152"/>
      <c r="AR647" s="1152"/>
      <c r="AS647" s="1152"/>
      <c r="AT647" s="1152"/>
      <c r="AU647" s="1152"/>
      <c r="AV647" s="1152"/>
      <c r="AW647" s="1152"/>
      <c r="AX647" s="1152"/>
      <c r="AY647" s="1152"/>
      <c r="AZ647" s="1152"/>
      <c r="BA647" s="1152"/>
      <c r="BB647" s="1152"/>
      <c r="BC647" s="1152"/>
      <c r="BD647" s="1152"/>
    </row>
    <row r="648" spans="1:56" hidden="1" outlineLevel="1" x14ac:dyDescent="0.3">
      <c r="A648" s="1182"/>
      <c r="B648" s="1379"/>
      <c r="C648" s="1379"/>
      <c r="D648" s="1379"/>
      <c r="E648" s="1379"/>
      <c r="F648" s="1379"/>
      <c r="G648" s="1379"/>
      <c r="H648" s="1380"/>
      <c r="I648" s="437" t="s">
        <v>320</v>
      </c>
      <c r="J648" s="438">
        <f>vl_overridden_uom_oncosts_per</f>
        <v>0</v>
      </c>
      <c r="K648" s="445">
        <f>J648*K640</f>
        <v>0</v>
      </c>
      <c r="L648" s="438">
        <f>vl_overridden_uom_oncosts_per</f>
        <v>0</v>
      </c>
      <c r="M648" s="445">
        <f>L648*M640</f>
        <v>0</v>
      </c>
      <c r="N648" s="438">
        <f>vl_overridden_uom_oncosts_per</f>
        <v>0</v>
      </c>
      <c r="O648" s="445">
        <f t="shared" ref="O648" si="2820">N648*O640</f>
        <v>0</v>
      </c>
      <c r="P648" s="438">
        <f>vl_overridden_uom_oncosts_per</f>
        <v>0</v>
      </c>
      <c r="Q648" s="445">
        <f t="shared" ref="Q648" si="2821">P648*Q640</f>
        <v>0</v>
      </c>
      <c r="R648" s="438">
        <f>vl_overridden_uom_oncosts_per</f>
        <v>0</v>
      </c>
      <c r="S648" s="445">
        <f t="shared" ref="S648" si="2822">R648*S640</f>
        <v>0</v>
      </c>
      <c r="T648" s="438">
        <f>vl_overridden_uom_oncosts_per</f>
        <v>0</v>
      </c>
      <c r="U648" s="445">
        <f t="shared" ref="U648" si="2823">T648*U640</f>
        <v>0</v>
      </c>
      <c r="V648" s="438">
        <f>vl_overridden_uom_oncosts_per</f>
        <v>0</v>
      </c>
      <c r="W648" s="445">
        <f t="shared" ref="W648" si="2824">V648*W640</f>
        <v>0</v>
      </c>
      <c r="X648" s="438">
        <f>vl_overridden_uom_oncosts_per</f>
        <v>0</v>
      </c>
      <c r="Y648" s="445">
        <f t="shared" ref="Y648" si="2825">X648*Y640</f>
        <v>0</v>
      </c>
      <c r="Z648" s="438">
        <f>vl_overridden_uom_oncosts_per</f>
        <v>0</v>
      </c>
      <c r="AA648" s="445">
        <f t="shared" ref="AA648" si="2826">Z648*AA640</f>
        <v>0</v>
      </c>
      <c r="AB648" s="438">
        <f>vl_overridden_uom_oncosts_per</f>
        <v>0</v>
      </c>
      <c r="AC648" s="445">
        <f t="shared" ref="AC648" si="2827">AB648*AC640</f>
        <v>0</v>
      </c>
      <c r="AD648" s="335"/>
      <c r="AE648" s="1152"/>
      <c r="AF648" s="1152"/>
      <c r="AG648" s="1152"/>
      <c r="AH648" s="1152"/>
      <c r="AI648" s="1152"/>
      <c r="AJ648" s="1152"/>
      <c r="AK648" s="1152"/>
      <c r="AL648" s="1152"/>
      <c r="AM648" s="1152"/>
      <c r="AN648" s="1152"/>
      <c r="AO648" s="1152"/>
      <c r="AP648" s="1152"/>
      <c r="AQ648" s="1152"/>
      <c r="AR648" s="1152"/>
      <c r="AS648" s="1152"/>
      <c r="AT648" s="1152"/>
      <c r="AU648" s="1152"/>
      <c r="AV648" s="1152"/>
      <c r="AW648" s="1152"/>
      <c r="AX648" s="1152"/>
      <c r="AY648" s="1152"/>
      <c r="AZ648" s="1152"/>
      <c r="BA648" s="1152"/>
      <c r="BB648" s="1152"/>
      <c r="BC648" s="1152"/>
      <c r="BD648" s="1152"/>
    </row>
    <row r="649" spans="1:56" hidden="1" outlineLevel="1" x14ac:dyDescent="0.3">
      <c r="A649" s="1182"/>
      <c r="B649" s="1379"/>
      <c r="C649" s="1379"/>
      <c r="D649" s="1379"/>
      <c r="E649" s="1379"/>
      <c r="F649" s="1379"/>
      <c r="G649" s="1379"/>
      <c r="H649" s="1380"/>
      <c r="I649" s="341" t="s">
        <v>321</v>
      </c>
      <c r="J649" s="342"/>
      <c r="K649" s="444">
        <f>SUM(K643:K648)</f>
        <v>0</v>
      </c>
      <c r="L649" s="342"/>
      <c r="M649" s="444">
        <f t="shared" ref="M649" si="2828">SUM(M643:M648)</f>
        <v>0</v>
      </c>
      <c r="N649" s="342"/>
      <c r="O649" s="444">
        <f t="shared" ref="O649" si="2829">SUM(O643:O648)</f>
        <v>0</v>
      </c>
      <c r="P649" s="342"/>
      <c r="Q649" s="444">
        <f t="shared" ref="Q649" si="2830">SUM(Q643:Q648)</f>
        <v>0</v>
      </c>
      <c r="R649" s="342"/>
      <c r="S649" s="444">
        <f t="shared" ref="S649" si="2831">SUM(S643:S648)</f>
        <v>0</v>
      </c>
      <c r="T649" s="342"/>
      <c r="U649" s="444">
        <f t="shared" ref="U649" si="2832">SUM(U643:U648)</f>
        <v>0</v>
      </c>
      <c r="V649" s="342"/>
      <c r="W649" s="444">
        <f t="shared" ref="W649" si="2833">SUM(W643:W648)</f>
        <v>0</v>
      </c>
      <c r="X649" s="342"/>
      <c r="Y649" s="444">
        <f t="shared" ref="Y649" si="2834">SUM(Y643:Y648)</f>
        <v>0</v>
      </c>
      <c r="Z649" s="342"/>
      <c r="AA649" s="444">
        <f t="shared" ref="AA649" si="2835">SUM(AA643:AA648)</f>
        <v>0</v>
      </c>
      <c r="AB649" s="342"/>
      <c r="AC649" s="444">
        <f t="shared" ref="AC649" si="2836">SUM(AC643:AC648)</f>
        <v>0</v>
      </c>
      <c r="AD649" s="335">
        <f t="shared" si="2799"/>
        <v>0</v>
      </c>
      <c r="AE649" s="1152"/>
      <c r="AF649" s="1152"/>
      <c r="AG649" s="1152"/>
      <c r="AH649" s="1152"/>
      <c r="AI649" s="1152"/>
      <c r="AJ649" s="1152"/>
      <c r="AK649" s="1152"/>
      <c r="AL649" s="1152"/>
      <c r="AM649" s="1152"/>
      <c r="AN649" s="1152"/>
      <c r="AO649" s="1152"/>
      <c r="AP649" s="1152"/>
      <c r="AQ649" s="1152"/>
      <c r="AR649" s="1152"/>
      <c r="AS649" s="1152"/>
      <c r="AT649" s="1152"/>
      <c r="AU649" s="1152"/>
      <c r="AV649" s="1152"/>
      <c r="AW649" s="1152"/>
      <c r="AX649" s="1152"/>
      <c r="AY649" s="1152"/>
      <c r="AZ649" s="1152"/>
      <c r="BA649" s="1152"/>
      <c r="BB649" s="1152"/>
      <c r="BC649" s="1152"/>
      <c r="BD649" s="1152"/>
    </row>
    <row r="650" spans="1:56" hidden="1" outlineLevel="1" x14ac:dyDescent="0.3">
      <c r="A650" s="1182"/>
      <c r="B650" s="1379"/>
      <c r="C650" s="1379"/>
      <c r="D650" s="1379"/>
      <c r="E650" s="1379"/>
      <c r="F650" s="1379"/>
      <c r="G650" s="1379"/>
      <c r="H650" s="1380"/>
      <c r="I650" s="455" t="s">
        <v>322</v>
      </c>
      <c r="J650" s="339">
        <f>_xlfn.IFNA(VLOOKUP($D639,tbAnnualLeaveProvision,2,FALSE),0)</f>
        <v>0</v>
      </c>
      <c r="K650" s="443">
        <f>J650*K640</f>
        <v>0</v>
      </c>
      <c r="L650" s="340">
        <f>_xlfn.IFNA(VLOOKUP($D639,tbAnnualLeaveProvision,2,FALSE),0)</f>
        <v>0</v>
      </c>
      <c r="M650" s="451">
        <f t="shared" ref="M650" si="2837">L650*M640</f>
        <v>0</v>
      </c>
      <c r="N650" s="339">
        <f>_xlfn.IFNA(VLOOKUP($D639,tbAnnualLeaveProvision,2,FALSE),0)</f>
        <v>0</v>
      </c>
      <c r="O650" s="443">
        <f>N650*O640</f>
        <v>0</v>
      </c>
      <c r="P650" s="340">
        <f>_xlfn.IFNA(VLOOKUP($D639,tbAnnualLeaveProvision,2,FALSE),0)</f>
        <v>0</v>
      </c>
      <c r="Q650" s="451">
        <f t="shared" ref="Q650" si="2838">P650*Q640</f>
        <v>0</v>
      </c>
      <c r="R650" s="339">
        <f>_xlfn.IFNA(VLOOKUP($D639,tbAnnualLeaveProvision,2,FALSE),0)</f>
        <v>0</v>
      </c>
      <c r="S650" s="443">
        <f>R650*S640</f>
        <v>0</v>
      </c>
      <c r="T650" s="340">
        <f>_xlfn.IFNA(VLOOKUP($D639,tbAnnualLeaveProvision,2,FALSE),0)</f>
        <v>0</v>
      </c>
      <c r="U650" s="451">
        <f t="shared" ref="U650" si="2839">T650*U640</f>
        <v>0</v>
      </c>
      <c r="V650" s="339">
        <f>_xlfn.IFNA(VLOOKUP($D639,tbAnnualLeaveProvision,2,FALSE),0)</f>
        <v>0</v>
      </c>
      <c r="W650" s="443">
        <f>V650*W640</f>
        <v>0</v>
      </c>
      <c r="X650" s="340">
        <f>_xlfn.IFNA(VLOOKUP($D639,tbAnnualLeaveProvision,2,FALSE),0)</f>
        <v>0</v>
      </c>
      <c r="Y650" s="451">
        <f t="shared" ref="Y650" si="2840">X650*Y640</f>
        <v>0</v>
      </c>
      <c r="Z650" s="339">
        <f>_xlfn.IFNA(VLOOKUP($D639,tbAnnualLeaveProvision,2,FALSE),0)</f>
        <v>0</v>
      </c>
      <c r="AA650" s="443">
        <f>Z650*AA640</f>
        <v>0</v>
      </c>
      <c r="AB650" s="340">
        <f>_xlfn.IFNA(VLOOKUP($D639,tbAnnualLeaveProvision,2,FALSE),0)</f>
        <v>0</v>
      </c>
      <c r="AC650" s="451">
        <f t="shared" ref="AC650" si="2841">AB650*AC640</f>
        <v>0</v>
      </c>
      <c r="AD650" s="335"/>
      <c r="AE650" s="1152"/>
      <c r="AF650" s="1152"/>
      <c r="AG650" s="1152"/>
      <c r="AH650" s="1152"/>
      <c r="AI650" s="1152"/>
      <c r="AJ650" s="1152"/>
      <c r="AK650" s="1152"/>
      <c r="AL650" s="1152"/>
      <c r="AM650" s="1152"/>
      <c r="AN650" s="1152"/>
      <c r="AO650" s="1152"/>
      <c r="AP650" s="1152"/>
      <c r="AQ650" s="1152"/>
      <c r="AR650" s="1152"/>
      <c r="AS650" s="1152"/>
      <c r="AT650" s="1152"/>
      <c r="AU650" s="1152"/>
      <c r="AV650" s="1152"/>
      <c r="AW650" s="1152"/>
      <c r="AX650" s="1152"/>
      <c r="AY650" s="1152"/>
      <c r="AZ650" s="1152"/>
      <c r="BA650" s="1152"/>
      <c r="BB650" s="1152"/>
      <c r="BC650" s="1152"/>
      <c r="BD650" s="1152"/>
    </row>
    <row r="651" spans="1:56" hidden="1" outlineLevel="1" x14ac:dyDescent="0.3">
      <c r="A651" s="1182"/>
      <c r="B651" s="1379"/>
      <c r="C651" s="1379"/>
      <c r="D651" s="1379"/>
      <c r="E651" s="1379"/>
      <c r="F651" s="1379"/>
      <c r="G651" s="1379"/>
      <c r="H651" s="1380"/>
      <c r="I651" s="455" t="s">
        <v>330</v>
      </c>
      <c r="J651" s="339"/>
      <c r="K651" s="446">
        <f>K649+K650</f>
        <v>0</v>
      </c>
      <c r="L651" s="340"/>
      <c r="M651" s="452">
        <f t="shared" ref="M651" si="2842">M649+M650</f>
        <v>0</v>
      </c>
      <c r="N651" s="339"/>
      <c r="O651" s="446">
        <f>O649+O650</f>
        <v>0</v>
      </c>
      <c r="P651" s="340"/>
      <c r="Q651" s="452">
        <f t="shared" ref="Q651" si="2843">Q649+Q650</f>
        <v>0</v>
      </c>
      <c r="R651" s="339"/>
      <c r="S651" s="446">
        <f>S649+S650</f>
        <v>0</v>
      </c>
      <c r="T651" s="340"/>
      <c r="U651" s="452">
        <f t="shared" ref="U651" si="2844">U649+U650</f>
        <v>0</v>
      </c>
      <c r="V651" s="339"/>
      <c r="W651" s="446">
        <f>W649+W650</f>
        <v>0</v>
      </c>
      <c r="X651" s="340"/>
      <c r="Y651" s="452">
        <f t="shared" ref="Y651" si="2845">Y649+Y650</f>
        <v>0</v>
      </c>
      <c r="Z651" s="339"/>
      <c r="AA651" s="446">
        <f>AA649+AA650</f>
        <v>0</v>
      </c>
      <c r="AB651" s="340"/>
      <c r="AC651" s="452">
        <f t="shared" ref="AC651" si="2846">AC649+AC650</f>
        <v>0</v>
      </c>
      <c r="AD651" s="335"/>
      <c r="AE651" s="1152"/>
      <c r="AF651" s="1152"/>
      <c r="AG651" s="1152"/>
      <c r="AH651" s="1152"/>
      <c r="AI651" s="1152"/>
      <c r="AJ651" s="1152"/>
      <c r="AK651" s="1152"/>
      <c r="AL651" s="1152"/>
      <c r="AM651" s="1152"/>
      <c r="AN651" s="1152"/>
      <c r="AO651" s="1152"/>
      <c r="AP651" s="1152"/>
      <c r="AQ651" s="1152"/>
      <c r="AR651" s="1152"/>
      <c r="AS651" s="1152"/>
      <c r="AT651" s="1152"/>
      <c r="AU651" s="1152"/>
      <c r="AV651" s="1152"/>
      <c r="AW651" s="1152"/>
      <c r="AX651" s="1152"/>
      <c r="AY651" s="1152"/>
      <c r="AZ651" s="1152"/>
      <c r="BA651" s="1152"/>
      <c r="BB651" s="1152"/>
      <c r="BC651" s="1152"/>
      <c r="BD651" s="1152"/>
    </row>
    <row r="652" spans="1:56" hidden="1" outlineLevel="1" x14ac:dyDescent="0.3">
      <c r="A652" s="1182"/>
      <c r="B652" s="1379"/>
      <c r="C652" s="1379"/>
      <c r="D652" s="1379"/>
      <c r="E652" s="1379"/>
      <c r="F652" s="1379"/>
      <c r="G652" s="1379"/>
      <c r="H652" s="1380"/>
      <c r="I652" s="462" t="s">
        <v>324</v>
      </c>
      <c r="J652" s="344"/>
      <c r="K652" s="443">
        <f>-(K649/vl_working_days_per_year)*J652</f>
        <v>0</v>
      </c>
      <c r="L652" s="345"/>
      <c r="M652" s="451">
        <f>-(M649/vl_working_days_per_year)*L652</f>
        <v>0</v>
      </c>
      <c r="N652" s="344"/>
      <c r="O652" s="443">
        <f>-(O649/vl_working_days_per_year)*N652</f>
        <v>0</v>
      </c>
      <c r="P652" s="345"/>
      <c r="Q652" s="451">
        <f>-(Q649/vl_working_days_per_year)*P652</f>
        <v>0</v>
      </c>
      <c r="R652" s="344"/>
      <c r="S652" s="443">
        <f>-(S649/vl_working_days_per_year)*R652</f>
        <v>0</v>
      </c>
      <c r="T652" s="345"/>
      <c r="U652" s="451">
        <f>-(U649/vl_working_days_per_year)*T652</f>
        <v>0</v>
      </c>
      <c r="V652" s="344"/>
      <c r="W652" s="443">
        <f>-(W649/vl_working_days_per_year)*V652</f>
        <v>0</v>
      </c>
      <c r="X652" s="345"/>
      <c r="Y652" s="451">
        <f>-(Y649/vl_working_days_per_year)*X652</f>
        <v>0</v>
      </c>
      <c r="Z652" s="344"/>
      <c r="AA652" s="443">
        <f>-(AA649/vl_working_days_per_year)*Z652</f>
        <v>0</v>
      </c>
      <c r="AB652" s="345"/>
      <c r="AC652" s="451">
        <f>-(AC649/vl_working_days_per_year)*AB652</f>
        <v>0</v>
      </c>
      <c r="AD652" s="335">
        <f t="shared" si="2799"/>
        <v>0</v>
      </c>
      <c r="AE652" s="1152"/>
      <c r="AF652" s="1152"/>
      <c r="AG652" s="1152"/>
      <c r="AH652" s="1152"/>
      <c r="AI652" s="1152"/>
      <c r="AJ652" s="1152"/>
      <c r="AK652" s="1152"/>
      <c r="AL652" s="1152"/>
      <c r="AM652" s="1152"/>
      <c r="AN652" s="1152"/>
      <c r="AO652" s="1152"/>
      <c r="AP652" s="1152"/>
      <c r="AQ652" s="1152"/>
      <c r="AR652" s="1152"/>
      <c r="AS652" s="1152"/>
      <c r="AT652" s="1152"/>
      <c r="AU652" s="1152"/>
      <c r="AV652" s="1152"/>
      <c r="AW652" s="1152"/>
      <c r="AX652" s="1152"/>
      <c r="AY652" s="1152"/>
      <c r="AZ652" s="1152"/>
      <c r="BA652" s="1152"/>
      <c r="BB652" s="1152"/>
      <c r="BC652" s="1152"/>
      <c r="BD652" s="1152"/>
    </row>
    <row r="653" spans="1:56" hidden="1" outlineLevel="1" x14ac:dyDescent="0.3">
      <c r="A653" s="1182"/>
      <c r="B653" s="1379"/>
      <c r="C653" s="1379"/>
      <c r="D653" s="1379"/>
      <c r="E653" s="1379"/>
      <c r="F653" s="1379"/>
      <c r="G653" s="1379"/>
      <c r="H653" s="1380"/>
      <c r="I653" s="341" t="s">
        <v>325</v>
      </c>
      <c r="J653" s="346"/>
      <c r="K653" s="444">
        <f>K651+K652</f>
        <v>0</v>
      </c>
      <c r="L653" s="346"/>
      <c r="M653" s="444">
        <f t="shared" ref="M653" si="2847">M651+M652</f>
        <v>0</v>
      </c>
      <c r="N653" s="346"/>
      <c r="O653" s="444">
        <f>O651+O652</f>
        <v>0</v>
      </c>
      <c r="P653" s="346"/>
      <c r="Q653" s="444">
        <f t="shared" ref="Q653" si="2848">Q651+Q652</f>
        <v>0</v>
      </c>
      <c r="R653" s="346"/>
      <c r="S653" s="444">
        <f>S651+S652</f>
        <v>0</v>
      </c>
      <c r="T653" s="346"/>
      <c r="U653" s="444">
        <f t="shared" ref="U653" si="2849">U651+U652</f>
        <v>0</v>
      </c>
      <c r="V653" s="346"/>
      <c r="W653" s="444">
        <f>W651+W652</f>
        <v>0</v>
      </c>
      <c r="X653" s="346"/>
      <c r="Y653" s="444">
        <f t="shared" ref="Y653" si="2850">Y651+Y652</f>
        <v>0</v>
      </c>
      <c r="Z653" s="346"/>
      <c r="AA653" s="444">
        <f>AA651+AA652</f>
        <v>0</v>
      </c>
      <c r="AB653" s="346"/>
      <c r="AC653" s="444">
        <f t="shared" ref="AC653" si="2851">AC651+AC652</f>
        <v>0</v>
      </c>
      <c r="AD653" s="335">
        <f t="shared" si="2799"/>
        <v>0</v>
      </c>
      <c r="AE653" s="1152"/>
      <c r="AF653" s="1152"/>
      <c r="AG653" s="1152"/>
      <c r="AH653" s="1152"/>
      <c r="AI653" s="1152"/>
      <c r="AJ653" s="1152"/>
      <c r="AK653" s="1152"/>
      <c r="AL653" s="1152"/>
      <c r="AM653" s="1152"/>
      <c r="AN653" s="1152"/>
      <c r="AO653" s="1152"/>
      <c r="AP653" s="1152"/>
      <c r="AQ653" s="1152"/>
      <c r="AR653" s="1152"/>
      <c r="AS653" s="1152"/>
      <c r="AT653" s="1152"/>
      <c r="AU653" s="1152"/>
      <c r="AV653" s="1152"/>
      <c r="AW653" s="1152"/>
      <c r="AX653" s="1152"/>
      <c r="AY653" s="1152"/>
      <c r="AZ653" s="1152"/>
      <c r="BA653" s="1152"/>
      <c r="BB653" s="1152"/>
      <c r="BC653" s="1152"/>
      <c r="BD653" s="1152"/>
    </row>
    <row r="654" spans="1:56" s="1" customFormat="1" ht="15" hidden="1" customHeight="1" outlineLevel="1" x14ac:dyDescent="0.3">
      <c r="A654" s="727"/>
      <c r="B654" s="1379"/>
      <c r="C654" s="1379"/>
      <c r="D654" s="1379"/>
      <c r="E654" s="1379"/>
      <c r="F654" s="1379"/>
      <c r="G654" s="1379"/>
      <c r="H654" s="1380"/>
      <c r="I654" s="463" t="s">
        <v>326</v>
      </c>
      <c r="J654" s="383">
        <f>IFERROR(K654/K640,0)</f>
        <v>0</v>
      </c>
      <c r="K654" s="447">
        <f>SUM(K641:K642,K644:K647,K650)</f>
        <v>0</v>
      </c>
      <c r="L654" s="434">
        <f>IFERROR(M654/M640,0)</f>
        <v>0</v>
      </c>
      <c r="M654" s="453">
        <f t="shared" ref="M654" si="2852">SUM(M641:M642,M644:M647,M650)</f>
        <v>0</v>
      </c>
      <c r="N654" s="383">
        <f t="shared" ref="N654" si="2853">IFERROR(O654/O640,0)</f>
        <v>0</v>
      </c>
      <c r="O654" s="447">
        <f t="shared" ref="O654" si="2854">SUM(O641:O642,O644:O647,O650)</f>
        <v>0</v>
      </c>
      <c r="P654" s="434">
        <f t="shared" ref="P654" si="2855">IFERROR(Q654/Q640,0)</f>
        <v>0</v>
      </c>
      <c r="Q654" s="453">
        <f t="shared" ref="Q654" si="2856">SUM(Q641:Q642,Q644:Q647,Q650)</f>
        <v>0</v>
      </c>
      <c r="R654" s="383">
        <f t="shared" ref="R654" si="2857">IFERROR(S654/S640,0)</f>
        <v>0</v>
      </c>
      <c r="S654" s="447">
        <f t="shared" ref="S654" si="2858">SUM(S641:S642,S644:S647,S650)</f>
        <v>0</v>
      </c>
      <c r="T654" s="434">
        <f t="shared" ref="T654" si="2859">IFERROR(U654/U640,0)</f>
        <v>0</v>
      </c>
      <c r="U654" s="453">
        <f t="shared" ref="U654" si="2860">SUM(U641:U642,U644:U647,U650)</f>
        <v>0</v>
      </c>
      <c r="V654" s="383">
        <f t="shared" ref="V654" si="2861">IFERROR(W654/W640,0)</f>
        <v>0</v>
      </c>
      <c r="W654" s="447">
        <f t="shared" ref="W654" si="2862">SUM(W641:W642,W644:W647,W650)</f>
        <v>0</v>
      </c>
      <c r="X654" s="434">
        <f t="shared" ref="X654" si="2863">IFERROR(Y654/Y640,0)</f>
        <v>0</v>
      </c>
      <c r="Y654" s="453">
        <f t="shared" ref="Y654" si="2864">SUM(Y641:Y642,Y644:Y647,Y650)</f>
        <v>0</v>
      </c>
      <c r="Z654" s="383">
        <f t="shared" ref="Z654" si="2865">IFERROR(AA654/AA640,0)</f>
        <v>0</v>
      </c>
      <c r="AA654" s="447">
        <f t="shared" ref="AA654" si="2866">SUM(AA641:AA642,AA644:AA647,AA650)</f>
        <v>0</v>
      </c>
      <c r="AB654" s="434">
        <f t="shared" ref="AB654" si="2867">IFERROR(AC654/AC640,0)</f>
        <v>0</v>
      </c>
      <c r="AC654" s="453">
        <f t="shared" ref="AC654" si="2868">SUM(AC641:AC642,AC644:AC647,AC650)</f>
        <v>0</v>
      </c>
      <c r="AD654" s="377">
        <f t="shared" si="2799"/>
        <v>0</v>
      </c>
      <c r="AE654" s="14"/>
      <c r="AF654" s="14"/>
      <c r="AG654" s="14"/>
      <c r="AH654" s="14"/>
      <c r="AI654" s="14"/>
      <c r="AJ654" s="14"/>
      <c r="AK654" s="14"/>
      <c r="AL654" s="14"/>
      <c r="AM654" s="14"/>
      <c r="AN654" s="14"/>
      <c r="AO654" s="14"/>
      <c r="AP654" s="14"/>
      <c r="AQ654" s="14"/>
      <c r="AR654" s="14"/>
      <c r="AS654" s="14"/>
      <c r="AT654" s="14"/>
      <c r="AU654" s="14"/>
      <c r="AV654" s="14"/>
      <c r="AW654" s="14"/>
      <c r="AX654" s="14"/>
      <c r="AY654" s="14"/>
      <c r="AZ654" s="14"/>
      <c r="BA654" s="14"/>
      <c r="BB654" s="14"/>
      <c r="BC654" s="14"/>
      <c r="BD654" s="14"/>
    </row>
    <row r="655" spans="1:56" hidden="1" outlineLevel="1" x14ac:dyDescent="0.3">
      <c r="A655" s="1182"/>
      <c r="B655" s="1379"/>
      <c r="C655" s="1379"/>
      <c r="D655" s="1379"/>
      <c r="E655" s="1379"/>
      <c r="F655" s="1379"/>
      <c r="G655" s="1379"/>
      <c r="H655" s="1380"/>
      <c r="I655" s="463" t="s">
        <v>327</v>
      </c>
      <c r="J655" s="384">
        <f>pCRInKind</f>
        <v>2.5</v>
      </c>
      <c r="K655" s="447"/>
      <c r="L655" s="435">
        <f>pCRInKind</f>
        <v>2.5</v>
      </c>
      <c r="M655" s="453"/>
      <c r="N655" s="384">
        <f>pCRInKind</f>
        <v>2.5</v>
      </c>
      <c r="O655" s="447"/>
      <c r="P655" s="435">
        <f>pCRInKind</f>
        <v>2.5</v>
      </c>
      <c r="Q655" s="453"/>
      <c r="R655" s="384">
        <f>pCRInKind</f>
        <v>2.5</v>
      </c>
      <c r="S655" s="447"/>
      <c r="T655" s="435">
        <f>pCRInKind</f>
        <v>2.5</v>
      </c>
      <c r="U655" s="453"/>
      <c r="V655" s="384">
        <f>pCRInKind</f>
        <v>2.5</v>
      </c>
      <c r="W655" s="447"/>
      <c r="X655" s="435">
        <f>pCRInKind</f>
        <v>2.5</v>
      </c>
      <c r="Y655" s="453"/>
      <c r="Z655" s="384">
        <f>pCRInKind</f>
        <v>2.5</v>
      </c>
      <c r="AA655" s="447"/>
      <c r="AB655" s="435">
        <f>pCRInKind</f>
        <v>2.5</v>
      </c>
      <c r="AC655" s="453"/>
      <c r="AD655" s="335"/>
      <c r="AE655" s="1152"/>
      <c r="AF655" s="1152"/>
      <c r="AG655" s="1152"/>
      <c r="AH655" s="1152"/>
      <c r="AI655" s="1152"/>
      <c r="AJ655" s="1152"/>
      <c r="AK655" s="1152"/>
      <c r="AL655" s="1152"/>
      <c r="AM655" s="1152"/>
      <c r="AN655" s="1152"/>
      <c r="AO655" s="1152"/>
      <c r="AP655" s="1152"/>
      <c r="AQ655" s="1152"/>
      <c r="AR655" s="1152"/>
      <c r="AS655" s="1152"/>
      <c r="AT655" s="1152"/>
      <c r="AU655" s="1152"/>
      <c r="AV655" s="1152"/>
      <c r="AW655" s="1152"/>
      <c r="AX655" s="1152"/>
      <c r="AY655" s="1152"/>
      <c r="AZ655" s="1152"/>
      <c r="BA655" s="1152"/>
      <c r="BB655" s="1152"/>
      <c r="BC655" s="1152"/>
      <c r="BD655" s="1152"/>
    </row>
    <row r="656" spans="1:56" ht="16.2" hidden="1" outlineLevel="1" thickBot="1" x14ac:dyDescent="0.35">
      <c r="A656" s="1182"/>
      <c r="B656" s="710"/>
      <c r="C656" s="347"/>
      <c r="D656" s="347"/>
      <c r="E656" s="347"/>
      <c r="F656" s="347"/>
      <c r="G656" s="347"/>
      <c r="H656" s="347"/>
      <c r="I656" s="436" t="s">
        <v>329</v>
      </c>
      <c r="J656" s="348"/>
      <c r="K656" s="349">
        <f>J655*K651</f>
        <v>0</v>
      </c>
      <c r="L656" s="348"/>
      <c r="M656" s="349">
        <f t="shared" ref="M656" si="2869">L655*M651</f>
        <v>0</v>
      </c>
      <c r="N656" s="348"/>
      <c r="O656" s="349">
        <f>N655*O651</f>
        <v>0</v>
      </c>
      <c r="P656" s="348"/>
      <c r="Q656" s="349">
        <f t="shared" ref="Q656" si="2870">P655*Q651</f>
        <v>0</v>
      </c>
      <c r="R656" s="348"/>
      <c r="S656" s="349">
        <f>R655*S651</f>
        <v>0</v>
      </c>
      <c r="T656" s="348"/>
      <c r="U656" s="349">
        <f t="shared" ref="U656" si="2871">T655*U651</f>
        <v>0</v>
      </c>
      <c r="V656" s="348"/>
      <c r="W656" s="349">
        <f>V655*W651</f>
        <v>0</v>
      </c>
      <c r="X656" s="348"/>
      <c r="Y656" s="349">
        <f t="shared" ref="Y656" si="2872">X655*Y651</f>
        <v>0</v>
      </c>
      <c r="Z656" s="348"/>
      <c r="AA656" s="349">
        <f>Z655*AA651</f>
        <v>0</v>
      </c>
      <c r="AB656" s="348"/>
      <c r="AC656" s="349">
        <f t="shared" ref="AC656" si="2873">AB655*AC651</f>
        <v>0</v>
      </c>
      <c r="AD656" s="335">
        <f t="shared" si="2799"/>
        <v>0</v>
      </c>
      <c r="AE656" s="1152"/>
      <c r="AF656" s="1152"/>
      <c r="AG656" s="1152"/>
      <c r="AH656" s="1152"/>
      <c r="AI656" s="1152"/>
      <c r="AJ656" s="1152"/>
      <c r="AK656" s="1152"/>
      <c r="AL656" s="1152"/>
      <c r="AM656" s="1152"/>
      <c r="AN656" s="1152"/>
      <c r="AO656" s="1152"/>
      <c r="AP656" s="1152"/>
      <c r="AQ656" s="1152"/>
      <c r="AR656" s="1152"/>
      <c r="AS656" s="1152"/>
      <c r="AT656" s="1152"/>
      <c r="AU656" s="1152"/>
      <c r="AV656" s="1152"/>
      <c r="AW656" s="1152"/>
      <c r="AX656" s="1152"/>
      <c r="AY656" s="1152"/>
      <c r="AZ656" s="1152"/>
      <c r="BA656" s="1152"/>
      <c r="BB656" s="1152"/>
      <c r="BC656" s="1152"/>
      <c r="BD656" s="1152"/>
    </row>
    <row r="657" spans="1:30" ht="15" hidden="1" outlineLevel="1" thickBot="1" x14ac:dyDescent="0.35">
      <c r="A657" s="1182"/>
      <c r="B657" s="1181"/>
      <c r="C657" s="1181"/>
      <c r="D657" s="1181"/>
      <c r="E657" s="1181"/>
      <c r="F657" s="1181"/>
      <c r="G657" s="1181"/>
      <c r="H657" s="1181"/>
      <c r="I657" s="350"/>
      <c r="J657" s="351"/>
      <c r="K657" s="351"/>
      <c r="L657" s="351"/>
      <c r="M657" s="352"/>
      <c r="N657" s="351"/>
      <c r="O657" s="352"/>
      <c r="P657" s="351"/>
      <c r="Q657" s="352"/>
      <c r="R657" s="351"/>
      <c r="S657" s="352"/>
      <c r="T657" s="351"/>
      <c r="U657" s="352"/>
      <c r="V657" s="351"/>
      <c r="W657" s="352"/>
      <c r="X657" s="351"/>
      <c r="Y657" s="352"/>
      <c r="Z657" s="351"/>
      <c r="AA657" s="352"/>
      <c r="AB657" s="351"/>
      <c r="AC657" s="352"/>
      <c r="AD657" s="353" t="str">
        <f>IF(tbBudgetCurrency="AUD - Australian Dollar","",IFERROR(K657+M657+O657+Q657+S657+U657+W657+Y657+AA657+AC657,0))</f>
        <v/>
      </c>
    </row>
    <row r="658" spans="1:30" hidden="1" outlineLevel="1" x14ac:dyDescent="0.3">
      <c r="A658" s="1182"/>
      <c r="B658" s="460" t="str">
        <f>IF('PART B Staff Costs'!B67="","",'PART B Staff Costs'!B67)</f>
        <v/>
      </c>
      <c r="C658" s="460" t="str">
        <f>IF('PART B Staff Costs'!C67="","",'PART B Staff Costs'!C67)</f>
        <v xml:space="preserve"> </v>
      </c>
      <c r="D658" s="461" t="str">
        <f>IF('PART B Staff Costs'!D67="","",'PART B Staff Costs'!D67)</f>
        <v/>
      </c>
      <c r="E658" s="461" t="str">
        <f>IF('PART B Staff Costs'!E67="","",'PART B Staff Costs'!E67)</f>
        <v/>
      </c>
      <c r="F658" s="461" t="str">
        <f>IF('PART B Staff Costs'!F67="","",'PART B Staff Costs'!F67)</f>
        <v/>
      </c>
      <c r="G658" s="461" t="str">
        <f>IF('PART B Staff Costs'!G67="","",'PART B Staff Costs'!G67)</f>
        <v/>
      </c>
      <c r="H658" s="454" t="str">
        <f t="shared" ref="H658" si="2874">CONCATENATE(IF(D658=0,"",D658)," ",IF(E658=0,"",E658)," ",IF(F658=0,"",F658),,IF(OR(G658=0,G658=""),"",CONCATENATE(" (",G658,")")))</f>
        <v xml:space="preserve">  </v>
      </c>
      <c r="I658" s="454" t="s">
        <v>313</v>
      </c>
      <c r="J658" s="333">
        <f>_xlfn.IFNA('PART B Staff Costs'!H67*'PART B Staff Costs'!J$10,0)*new_xrate</f>
        <v>0</v>
      </c>
      <c r="K658" s="441"/>
      <c r="L658" s="334">
        <f>_xlfn.IFNA(IF(pStartYear+1&gt;pEndYear,0,VLOOKUP(CONCATENATE(
IF(OR($D658="Continuing",$D658="Fixed-Term"),"Fortnight",IF($D658="Casual","Casual",)),
$E658,
IF(OR($D658="Continuing",$D658="Fixed-Term"),
IF(LEFT($F658,6)="UOM 10","UOM 10",(LEFT($F658,LEN($F658)-1)&amp;MIN(RIGHT($F658,1)+COUNTIFS($J659:K659,"&gt;0")/2,VLOOKUP(LEFT($F658,LEN($F658)-2),tSalaryMax,2,FALSE)))),
IF($D658="Casual",
$F658,))
),tSalaryRate,5,FALSE)*VLOOKUP($G658,tSalaryRateMultiplier,2,FALSE)*'PART B Staff Costs'!L$10),0)*new_xrate</f>
        <v>0</v>
      </c>
      <c r="M658" s="449"/>
      <c r="N658" s="333">
        <f>_xlfn.IFNA(IF(pStartYear+2&gt;pEndYear,0,VLOOKUP(CONCATENATE(
IF(OR($D658="Continuing",$D658="Fixed-Term"),"Fortnight",IF($D658="Casual","Casual",)),
$E658,
IF(OR($D658="Continuing",$D658="Fixed-Term"),
IF(LEFT($F658,6)="UOM 10","UOM 10",(LEFT($F658,LEN($F658)-1)&amp;MIN(RIGHT($F658,1)+COUNTIFS($J659:M659,"&gt;0")/2,VLOOKUP(LEFT($F658,LEN($F658)-2),tSalaryMax,2,FALSE)))),
IF($D658="Casual",
$F658,))
),tSalaryRate,5,FALSE)*VLOOKUP($G658,tSalaryRateMultiplier,2,FALSE)*'PART B Staff Costs'!N$10),0)*new_xrate</f>
        <v>0</v>
      </c>
      <c r="O658" s="441"/>
      <c r="P658" s="334">
        <f>_xlfn.IFNA(IF(pStartYear+3&gt;pEndYear,0,VLOOKUP(CONCATENATE(
IF(OR($D658="Continuing",$D658="Fixed-Term"),"Fortnight",IF($D658="Casual","Casual",)),
$E658,
IF(OR($D658="Continuing",$D658="Fixed-Term"),
IF(LEFT($F658,6)="UOM 10","UOM 10",(LEFT($F658,LEN($F658)-1)&amp;MIN(RIGHT($F658,1)+COUNTIFS($J659:O659,"&gt;0")/2,VLOOKUP(LEFT($F658,LEN($F658)-2),tSalaryMax,2,FALSE)))),
IF($D658="Casual",
$F658,))
),tSalaryRate,5,FALSE)*VLOOKUP($G658,tSalaryRateMultiplier,2,FALSE)*'PART B Staff Costs'!P$10),0)*new_xrate</f>
        <v>0</v>
      </c>
      <c r="Q658" s="449"/>
      <c r="R658" s="333">
        <f>_xlfn.IFNA(IF(pStartYear+4&gt;pEndYear,0,VLOOKUP(CONCATENATE(
IF(OR($D658="Continuing",$D658="Fixed-Term"),"Fortnight",IF($D658="Casual","Casual",)),
$E658,
IF(OR($D658="Continuing",$D658="Fixed-Term"),
IF(LEFT($F658,6)="UOM 10","UOM 10",(LEFT($F658,LEN($F658)-1)&amp;MIN(RIGHT($F658,1)+COUNTIFS($J659:Q659,"&gt;0")/2,VLOOKUP(LEFT($F658,LEN($F658)-2),tSalaryMax,2,FALSE)))),
IF($D658="Casual",
$F658,))
),tSalaryRate,5,FALSE)*VLOOKUP($G658,tSalaryRateMultiplier,2,FALSE)*'PART B Staff Costs'!R$10),0)*new_xrate</f>
        <v>0</v>
      </c>
      <c r="S658" s="441"/>
      <c r="T658" s="334">
        <f>_xlfn.IFNA(IF(pStartYear+5&gt;pEndYear,0,VLOOKUP(CONCATENATE(
IF(OR($D658="Continuing",$D658="Fixed-Term"),"Fortnight",IF($D658="Casual","Casual",)),
$E658,
IF(OR($D658="Continuing",$D658="Fixed-Term"),
IF(LEFT($F658,6)="UOM 10","UOM 10",(LEFT($F658,LEN($F658)-1)&amp;MIN(RIGHT($F658,1)+COUNTIFS($J659:S659,"&gt;0")/2,VLOOKUP(LEFT($F658,LEN($F658)-2),tSalaryMax,2,FALSE)))),
IF($D658="Casual",
$F658,))
),tSalaryRate,5,FALSE)*VLOOKUP($G658,tSalaryRateMultiplier,2,FALSE)*'PART B Staff Costs'!T$10),0)*new_xrate</f>
        <v>0</v>
      </c>
      <c r="U658" s="449"/>
      <c r="V658" s="333">
        <f>_xlfn.IFNA(IF(pStartYear+6&gt;pEndYear,0,VLOOKUP(CONCATENATE(
IF(OR($D658="Continuing",$D658="Fixed-Term"),"Fortnight",IF($D658="Casual","Casual",)),
$E658,
IF(OR($D658="Continuing",$D658="Fixed-Term"),
IF(LEFT($F658,6)="UOM 10","UOM 10",(LEFT($F658,LEN($F658)-1)&amp;MIN(RIGHT($F658,1)+COUNTIFS($J659:U659,"&gt;0")/2,VLOOKUP(LEFT($F658,LEN($F658)-2),tSalaryMax,2,FALSE)))),
IF($D658="Casual",
$F658,))
),tSalaryRate,5,FALSE)*VLOOKUP($G658,tSalaryRateMultiplier,2,FALSE)*'PART B Staff Costs'!V$10),0)*new_xrate</f>
        <v>0</v>
      </c>
      <c r="W658" s="441"/>
      <c r="X658" s="334">
        <f>_xlfn.IFNA(IF(pStartYear+7&gt;pEndYear,0,VLOOKUP(CONCATENATE(
IF(OR($D658="Continuing",$D658="Fixed-Term"),"Fortnight",IF($D658="Casual","Casual",)),
$E658,
IF(OR($D658="Continuing",$D658="Fixed-Term"),
IF(LEFT($F658,6)="UOM 10","UOM 10",(LEFT($F658,LEN($F658)-1)&amp;MIN(RIGHT($F658,1)+COUNTIFS($J659:W659,"&gt;0")/2,VLOOKUP(LEFT($F658,LEN($F658)-2),tSalaryMax,2,FALSE)))),
IF($D658="Casual",
$F658,))
),tSalaryRate,5,FALSE)*VLOOKUP($G658,tSalaryRateMultiplier,2,FALSE)*'PART B Staff Costs'!X$10),0)*new_xrate</f>
        <v>0</v>
      </c>
      <c r="Y658" s="449"/>
      <c r="Z658" s="333">
        <f>_xlfn.IFNA(IF(pStartYear+8&gt;pEndYear,0,VLOOKUP(CONCATENATE(
IF(OR($D658="Continuing",$D658="Fixed-Term"),"Fortnight",IF($D658="Casual","Casual",)),
$E658,
IF(OR($D658="Continuing",$D658="Fixed-Term"),
IF(LEFT($F658,6)="UOM 10","UOM 10",(LEFT($F658,LEN($F658)-1)&amp;MIN(RIGHT($F658,1)+COUNTIFS($J659:Y659,"&gt;0")/2,VLOOKUP(LEFT($F658,LEN($F658)-2),tSalaryMax,2,FALSE)))),
IF($D658="Casual",
$F658,))
),tSalaryRate,5,FALSE)*VLOOKUP($G658,tSalaryRateMultiplier,2,FALSE)*'PART B Staff Costs'!Z$10),0)*new_xrate</f>
        <v>0</v>
      </c>
      <c r="AA658" s="441"/>
      <c r="AB658" s="334">
        <f>_xlfn.IFNA(IF(pStartYear+9&gt;pEndYear,0,VLOOKUP(CONCATENATE(
IF(OR($D658="Continuing",$D658="Fixed-Term"),"Fortnight",IF($D658="Casual","Casual",)),
$E658,
IF(OR($D658="Continuing",$D658="Fixed-Term"),
IF(LEFT($F658,6)="UOM 10","UOM 10",(LEFT($F658,LEN($F658)-1)&amp;MIN(RIGHT($F658,1)+COUNTIFS($J659:AA659,"&gt;0")/2,VLOOKUP(LEFT($F658,LEN($F658)-2),tSalaryMax,2,FALSE)))),
IF($D658="Casual",
$F658,))
),tSalaryRate,5,FALSE)*VLOOKUP($G658,tSalaryRateMultiplier,2,FALSE)*'PART B Staff Costs'!AB$10),0)*new_xrate</f>
        <v>0</v>
      </c>
      <c r="AC658" s="449"/>
      <c r="AD658" s="335"/>
    </row>
    <row r="659" spans="1:30" hidden="1" outlineLevel="1" x14ac:dyDescent="0.3">
      <c r="A659" s="1182"/>
      <c r="B659" s="1377"/>
      <c r="C659" s="1377"/>
      <c r="D659" s="1377"/>
      <c r="E659" s="1377"/>
      <c r="F659" s="1377"/>
      <c r="G659" s="1377"/>
      <c r="H659" s="1378"/>
      <c r="I659" s="455" t="str">
        <f>IF('PART B Staff Costs'!G654&lt;&gt;"",CONCATENATE("Time/Requested salary"," (",'PART B Staff Costs'!G654,")"),"Time/Requested salary")</f>
        <v>Time/Requested salary</v>
      </c>
      <c r="J659" s="337">
        <f>_xlfn.IFNA('PART B Staff Costs'!I67,0)</f>
        <v>0</v>
      </c>
      <c r="K659" s="442">
        <f>IF('PART B Staff Costs'!$G$67="FTE",J659*J658*(First_year_fraction/12),J659*J658)</f>
        <v>0</v>
      </c>
      <c r="L659" s="338">
        <f>_xlfn.IFNA('PART B Staff Costs'!K67,0)</f>
        <v>0</v>
      </c>
      <c r="M659" s="450">
        <f>IF(pStartYear+1=pEndYear,IF('PART B Staff Costs'!$G$67="FTE",(L659*L658)*Last_Year_Fraction/12,L659*L658),L659*L658)</f>
        <v>0</v>
      </c>
      <c r="N659" s="337">
        <f>_xlfn.IFNA('PART B Staff Costs'!M67,0)</f>
        <v>0</v>
      </c>
      <c r="O659" s="442">
        <f>IF(pStartYear+2=pEndYear,IF('PART B Staff Costs'!$G$67="FTE",(N659*N658)*Last_Year_Fraction/12,N659*N658),N659*N658)</f>
        <v>0</v>
      </c>
      <c r="P659" s="338">
        <f>_xlfn.IFNA('PART B Staff Costs'!O67,0)</f>
        <v>0</v>
      </c>
      <c r="Q659" s="450">
        <f>IF(pStartYear+3=pEndYear,IF('PART B Staff Costs'!$G$67="FTE",(P659*P658)*Last_Year_Fraction/12,P659*P658),P659*P658)</f>
        <v>0</v>
      </c>
      <c r="R659" s="337">
        <f>_xlfn.IFNA('PART B Staff Costs'!Q67,0)</f>
        <v>0</v>
      </c>
      <c r="S659" s="442">
        <f>IF(pStartYear+4=pEndYear,IF('PART B Staff Costs'!$G$67="FTE",(R659*R658)*Last_Year_Fraction/12,R659*R658),R659*R658)</f>
        <v>0</v>
      </c>
      <c r="T659" s="338">
        <f>_xlfn.IFNA('PART B Staff Costs'!S67,0)</f>
        <v>0</v>
      </c>
      <c r="U659" s="450">
        <f>IF(pStartYear+5=pEndYear,IF('PART B Staff Costs'!$G$67="FTE",(T659*T658)*Last_Year_Fraction/12,T659*T658),T659*T658)</f>
        <v>0</v>
      </c>
      <c r="V659" s="337">
        <f>_xlfn.IFNA('PART B Staff Costs'!U67,0)</f>
        <v>0</v>
      </c>
      <c r="W659" s="442">
        <f>IF(pStartYear+6=pEndYear,IF('PART B Staff Costs'!$G$67="FTE",(V659*V658)*Last_Year_Fraction/12,V659*V658),V659*V658)</f>
        <v>0</v>
      </c>
      <c r="X659" s="338">
        <f>_xlfn.IFNA('PART B Staff Costs'!W67,0)</f>
        <v>0</v>
      </c>
      <c r="Y659" s="450">
        <f>IF(pStartYear+7=pEndYear,IF('PART B Staff Costs'!$G$67="FTE",(X659*X658)*Last_Year_Fraction/12,X659*X658),X659*X658)</f>
        <v>0</v>
      </c>
      <c r="Z659" s="337">
        <f>_xlfn.IFNA('PART B Staff Costs'!Y67,0)</f>
        <v>0</v>
      </c>
      <c r="AA659" s="442">
        <f>IF(pStartYear+8=pEndYear,IF('PART B Staff Costs'!$G$67="FTE",(Z659*Z658)*Last_Year_Fraction/12,Z659*Z658),Z659*Z658)</f>
        <v>0</v>
      </c>
      <c r="AB659" s="338">
        <f>_xlfn.IFNA('PART B Staff Costs'!AA67,0)</f>
        <v>0</v>
      </c>
      <c r="AC659" s="450">
        <f>IF(pStartYear+9=pEndYear,IF('PART B Staff Costs'!$G$67="FTE",(AB659*AB658)*Last_Year_Fraction/12,AB659*AB658),AB659*AB658)</f>
        <v>0</v>
      </c>
      <c r="AD659" s="335"/>
    </row>
    <row r="660" spans="1:30" hidden="1" outlineLevel="1" x14ac:dyDescent="0.3">
      <c r="A660" s="1182"/>
      <c r="B660" s="1379"/>
      <c r="C660" s="1379"/>
      <c r="D660" s="1379"/>
      <c r="E660" s="1379"/>
      <c r="F660" s="1379"/>
      <c r="G660" s="1379"/>
      <c r="H660" s="1380"/>
      <c r="I660" s="455" t="str">
        <f>IF(tbBudgetCurrency="AUD - Australian Dollar",CONCATENATE("Leave Loading (max of AU$",vl_Max_Leave_Loading,")"),CONCATENATE("Leave Loading (max of ",ROUND(vl_Max_Leave_Loading*new_xrate,2)," ",LEFT(tbBudgetCurrency,3),")"))</f>
        <v>Leave Loading (max of AU$1611.3)</v>
      </c>
      <c r="J660" s="339">
        <f>_xlfn.IFNA(VLOOKUP($D658,tbLeaveLoading,2,FALSE),0)</f>
        <v>0</v>
      </c>
      <c r="K660" s="443">
        <f>IF(K659*J660&gt;vl_Max_Leave_Loading*new_xrate,vl_Max_Leave_Loading*new_xrate,K659*J660)</f>
        <v>0</v>
      </c>
      <c r="L660" s="340">
        <f>_xlfn.IFNA(VLOOKUP($D658,tbLeaveLoading,2,FALSE),0)</f>
        <v>0</v>
      </c>
      <c r="M660" s="451">
        <f>IF(M659*L660&gt;vl_Max_Leave_Loading*new_xrate,vl_Max_Leave_Loading*new_xrate,M659*L660)</f>
        <v>0</v>
      </c>
      <c r="N660" s="339">
        <f>_xlfn.IFNA(VLOOKUP($D658,tbLeaveLoading,2,FALSE),0)</f>
        <v>0</v>
      </c>
      <c r="O660" s="443">
        <f>IF(O659*N660&gt;vl_Max_Leave_Loading*new_xrate,vl_Max_Leave_Loading*new_xrate,O659*N660)</f>
        <v>0</v>
      </c>
      <c r="P660" s="340">
        <f>_xlfn.IFNA(VLOOKUP($D658,tbLeaveLoading,2,FALSE),0)</f>
        <v>0</v>
      </c>
      <c r="Q660" s="451">
        <f>IF(Q659*P660&gt;vl_Max_Leave_Loading*new_xrate,vl_Max_Leave_Loading*new_xrate,Q659*P660)</f>
        <v>0</v>
      </c>
      <c r="R660" s="339">
        <f>_xlfn.IFNA(VLOOKUP($D658,tbLeaveLoading,2,FALSE),0)</f>
        <v>0</v>
      </c>
      <c r="S660" s="443">
        <f>IF(S659*R660&gt;vl_Max_Leave_Loading*new_xrate,vl_Max_Leave_Loading*new_xrate,S659*R660)</f>
        <v>0</v>
      </c>
      <c r="T660" s="340">
        <f>_xlfn.IFNA(VLOOKUP($D658,tbLeaveLoading,2,FALSE),0)</f>
        <v>0</v>
      </c>
      <c r="U660" s="451">
        <f>IF(U659*T660&gt;vl_Max_Leave_Loading*new_xrate,vl_Max_Leave_Loading*new_xrate,U659*T660)</f>
        <v>0</v>
      </c>
      <c r="V660" s="339">
        <f>_xlfn.IFNA(VLOOKUP($D658,tbLeaveLoading,2,FALSE),0)</f>
        <v>0</v>
      </c>
      <c r="W660" s="443">
        <f>IF(W659*V660&gt;vl_Max_Leave_Loading*new_xrate,vl_Max_Leave_Loading*new_xrate,W659*V660)</f>
        <v>0</v>
      </c>
      <c r="X660" s="340">
        <f>_xlfn.IFNA(VLOOKUP($D658,tbLeaveLoading,2,FALSE),0)</f>
        <v>0</v>
      </c>
      <c r="Y660" s="451">
        <f>IF(Y659*X660&gt;vl_Max_Leave_Loading*new_xrate,vl_Max_Leave_Loading*new_xrate,Y659*X660)</f>
        <v>0</v>
      </c>
      <c r="Z660" s="339">
        <f>_xlfn.IFNA(VLOOKUP($D658,tbLeaveLoading,2,FALSE),0)</f>
        <v>0</v>
      </c>
      <c r="AA660" s="443">
        <f>IF(AA659*Z660&gt;vl_Max_Leave_Loading*new_xrate,vl_Max_Leave_Loading*new_xrate,AA659*Z660)</f>
        <v>0</v>
      </c>
      <c r="AB660" s="340">
        <f>_xlfn.IFNA(VLOOKUP($D658,tbLeaveLoading,2,FALSE),0)</f>
        <v>0</v>
      </c>
      <c r="AC660" s="451">
        <f>IF(AC659*AB660&gt;vl_Max_Leave_Loading*new_xrate,vl_Max_Leave_Loading*new_xrate,AC659*AB660)</f>
        <v>0</v>
      </c>
      <c r="AD660" s="335"/>
    </row>
    <row r="661" spans="1:30" hidden="1" outlineLevel="1" x14ac:dyDescent="0.3">
      <c r="A661" s="1182"/>
      <c r="B661" s="1379"/>
      <c r="C661" s="1379"/>
      <c r="D661" s="1379"/>
      <c r="E661" s="1379"/>
      <c r="F661" s="1379"/>
      <c r="G661" s="1379"/>
      <c r="H661" s="1380"/>
      <c r="I661" s="455" t="s">
        <v>314</v>
      </c>
      <c r="J661" s="339">
        <f>_xlfn.IFNA(_xlfn.IFNA(VLOOKUP(CONCATENATE(pStartYear,$D658),tbSuperannuation,4,FALSE),VLOOKUP($D658,tbSuperannuation2026onwards,2,FALSE)),0)</f>
        <v>0</v>
      </c>
      <c r="K661" s="443">
        <f>K659*J661</f>
        <v>0</v>
      </c>
      <c r="L661" s="340">
        <f>_xlfn.IFNA(_xlfn.IFNA(VLOOKUP(CONCATENATE(pStartYear+1,$D658),tbSuperannuation,4,FALSE),VLOOKUP($D658,tbSuperannuation2026onwards,2,FALSE)),0)</f>
        <v>0</v>
      </c>
      <c r="M661" s="451">
        <f t="shared" ref="M661" si="2875">M659*L661</f>
        <v>0</v>
      </c>
      <c r="N661" s="339">
        <f>_xlfn.IFNA(_xlfn.IFNA(VLOOKUP(CONCATENATE(pStartYear+2,$D658),tbSuperannuation,4,FALSE),VLOOKUP($D658,tbSuperannuation2026onwards,2,FALSE)),0)</f>
        <v>0</v>
      </c>
      <c r="O661" s="443">
        <f>O659*N661</f>
        <v>0</v>
      </c>
      <c r="P661" s="340">
        <f>_xlfn.IFNA(_xlfn.IFNA(VLOOKUP(CONCATENATE(pStartYear+3,$D658),tbSuperannuation,4,FALSE),VLOOKUP($D658,tbSuperannuation2026onwards,2,FALSE)),0)</f>
        <v>0</v>
      </c>
      <c r="Q661" s="451">
        <f t="shared" ref="Q661" si="2876">Q659*P661</f>
        <v>0</v>
      </c>
      <c r="R661" s="339">
        <f>_xlfn.IFNA(_xlfn.IFNA(VLOOKUP(CONCATENATE(pStartYear+4,$D658),tbSuperannuation,4,FALSE),VLOOKUP($D658,tbSuperannuation2026onwards,2,FALSE)),0)</f>
        <v>0</v>
      </c>
      <c r="S661" s="443">
        <f>S659*R661</f>
        <v>0</v>
      </c>
      <c r="T661" s="340">
        <f>_xlfn.IFNA(_xlfn.IFNA(VLOOKUP(CONCATENATE(pStartYear+5,$D658),tbSuperannuation,4,FALSE),VLOOKUP($D658,tbSuperannuation2026onwards,2,FALSE)),0)</f>
        <v>0</v>
      </c>
      <c r="U661" s="451">
        <f t="shared" ref="U661" si="2877">U659*T661</f>
        <v>0</v>
      </c>
      <c r="V661" s="339">
        <f>_xlfn.IFNA(_xlfn.IFNA(VLOOKUP(CONCATENATE(pStartYear+6,$D658),tbSuperannuation,4,FALSE),VLOOKUP($D658,tbSuperannuation2026onwards,2,FALSE)),0)</f>
        <v>0</v>
      </c>
      <c r="W661" s="443">
        <f>W659*V661</f>
        <v>0</v>
      </c>
      <c r="X661" s="340">
        <f>_xlfn.IFNA(_xlfn.IFNA(VLOOKUP(CONCATENATE(pStartYear+7,$D658),tbSuperannuation,4,FALSE),VLOOKUP($D658,tbSuperannuation2026onwards,2,FALSE)),0)</f>
        <v>0</v>
      </c>
      <c r="Y661" s="451">
        <f t="shared" ref="Y661" si="2878">Y659*X661</f>
        <v>0</v>
      </c>
      <c r="Z661" s="339">
        <f>_xlfn.IFNA(_xlfn.IFNA(VLOOKUP(CONCATENATE(pStartYear+8,$D658),tbSuperannuation,4,FALSE),VLOOKUP($D658,tbSuperannuation2026onwards,2,FALSE)),0)</f>
        <v>0</v>
      </c>
      <c r="AA661" s="443">
        <f>AA659*Z661</f>
        <v>0</v>
      </c>
      <c r="AB661" s="340">
        <f>_xlfn.IFNA(_xlfn.IFNA(VLOOKUP(CONCATENATE(pStartYear+9,$D658),tbSuperannuation,4,FALSE),VLOOKUP($D658,tbSuperannuation2026onwards,2,FALSE)),0)</f>
        <v>0</v>
      </c>
      <c r="AC661" s="451">
        <f t="shared" ref="AC661" si="2879">AC659*AB661</f>
        <v>0</v>
      </c>
      <c r="AD661" s="335"/>
    </row>
    <row r="662" spans="1:30" hidden="1" outlineLevel="1" x14ac:dyDescent="0.3">
      <c r="A662" s="1182"/>
      <c r="B662" s="1379"/>
      <c r="C662" s="1379"/>
      <c r="D662" s="1379"/>
      <c r="E662" s="1379"/>
      <c r="F662" s="1379"/>
      <c r="G662" s="1379"/>
      <c r="H662" s="1380"/>
      <c r="I662" s="341" t="s">
        <v>315</v>
      </c>
      <c r="J662" s="342"/>
      <c r="K662" s="444">
        <f>K660+K661+K659</f>
        <v>0</v>
      </c>
      <c r="L662" s="342"/>
      <c r="M662" s="444">
        <f t="shared" ref="M662" si="2880">M660+M661+M659</f>
        <v>0</v>
      </c>
      <c r="N662" s="342"/>
      <c r="O662" s="444">
        <f>O660+O661+O659</f>
        <v>0</v>
      </c>
      <c r="P662" s="342"/>
      <c r="Q662" s="444">
        <f t="shared" ref="Q662" si="2881">Q660+Q661+Q659</f>
        <v>0</v>
      </c>
      <c r="R662" s="342"/>
      <c r="S662" s="444">
        <f>S660+S661+S659</f>
        <v>0</v>
      </c>
      <c r="T662" s="342"/>
      <c r="U662" s="444">
        <f t="shared" ref="U662" si="2882">U660+U661+U659</f>
        <v>0</v>
      </c>
      <c r="V662" s="342"/>
      <c r="W662" s="444">
        <f>W660+W661+W659</f>
        <v>0</v>
      </c>
      <c r="X662" s="342"/>
      <c r="Y662" s="444">
        <f t="shared" ref="Y662" si="2883">Y660+Y661+Y659</f>
        <v>0</v>
      </c>
      <c r="Z662" s="342"/>
      <c r="AA662" s="444">
        <f>AA660+AA661+AA659</f>
        <v>0</v>
      </c>
      <c r="AB662" s="342"/>
      <c r="AC662" s="444">
        <f t="shared" ref="AC662" si="2884">AC660+AC661+AC659</f>
        <v>0</v>
      </c>
      <c r="AD662" s="335">
        <f t="shared" si="2799"/>
        <v>0</v>
      </c>
    </row>
    <row r="663" spans="1:30" hidden="1" outlineLevel="1" x14ac:dyDescent="0.3">
      <c r="A663" s="1182"/>
      <c r="B663" s="1379"/>
      <c r="C663" s="1379"/>
      <c r="D663" s="1379"/>
      <c r="E663" s="1379"/>
      <c r="F663" s="1379"/>
      <c r="G663" s="1379"/>
      <c r="H663" s="1380"/>
      <c r="I663" s="455" t="s">
        <v>316</v>
      </c>
      <c r="J663" s="339">
        <f>_xlfn.IFNA(_xlfn.IFNA(VLOOKUP(pStartYear,tbPayrollTax,2,FALSE),vl_MaxPayrollTax),0)</f>
        <v>5.8500000000000003E-2</v>
      </c>
      <c r="K663" s="443">
        <f>J663*K662</f>
        <v>0</v>
      </c>
      <c r="L663" s="340">
        <f>_xlfn.IFNA(_xlfn.IFNA(VLOOKUP(pStartYear+1,tbPayrollTax,2,FALSE),vl_MaxPayrollTax),0)</f>
        <v>5.8500000000000003E-2</v>
      </c>
      <c r="M663" s="451">
        <f t="shared" ref="M663" si="2885">L663*M662</f>
        <v>0</v>
      </c>
      <c r="N663" s="339">
        <f>_xlfn.IFNA(_xlfn.IFNA(VLOOKUP(pStartYear+2,tbPayrollTax,2,FALSE),vl_MaxPayrollTax),0)</f>
        <v>5.8500000000000003E-2</v>
      </c>
      <c r="O663" s="443">
        <f>N663*O662</f>
        <v>0</v>
      </c>
      <c r="P663" s="340">
        <f>_xlfn.IFNA(_xlfn.IFNA(VLOOKUP(pStartYear+3,tbPayrollTax,2,FALSE),vl_MaxPayrollTax),0)</f>
        <v>5.8500000000000003E-2</v>
      </c>
      <c r="Q663" s="451">
        <f t="shared" ref="Q663" si="2886">P663*Q662</f>
        <v>0</v>
      </c>
      <c r="R663" s="339">
        <f>_xlfn.IFNA(_xlfn.IFNA(VLOOKUP(pStartYear+4,tbPayrollTax,2,FALSE),vl_MaxPayrollTax),0)</f>
        <v>5.8500000000000003E-2</v>
      </c>
      <c r="S663" s="443">
        <f>R663*S662</f>
        <v>0</v>
      </c>
      <c r="T663" s="340">
        <f>_xlfn.IFNA(_xlfn.IFNA(VLOOKUP(pStartYear+5,tbPayrollTax,2,FALSE),vl_MaxPayrollTax),0)</f>
        <v>5.8500000000000003E-2</v>
      </c>
      <c r="U663" s="451">
        <f t="shared" ref="U663" si="2887">T663*U662</f>
        <v>0</v>
      </c>
      <c r="V663" s="339">
        <f>_xlfn.IFNA(_xlfn.IFNA(VLOOKUP(pStartYear+6,tbPayrollTax,2,FALSE),vl_MaxPayrollTax),0)</f>
        <v>5.8500000000000003E-2</v>
      </c>
      <c r="W663" s="443">
        <f>V663*W662</f>
        <v>0</v>
      </c>
      <c r="X663" s="340">
        <f>_xlfn.IFNA(_xlfn.IFNA(VLOOKUP(pStartYear+7,tbPayrollTax,2,FALSE),vl_MaxPayrollTax),0)</f>
        <v>5.8500000000000003E-2</v>
      </c>
      <c r="Y663" s="451">
        <f t="shared" ref="Y663" si="2888">X663*Y662</f>
        <v>0</v>
      </c>
      <c r="Z663" s="339">
        <f>_xlfn.IFNA(_xlfn.IFNA(VLOOKUP(pStartYear+8,tbPayrollTax,2,FALSE),vl_MaxPayrollTax),0)</f>
        <v>5.8500000000000003E-2</v>
      </c>
      <c r="AA663" s="443">
        <f>Z663*AA662</f>
        <v>0</v>
      </c>
      <c r="AB663" s="340">
        <f>_xlfn.IFNA(_xlfn.IFNA(VLOOKUP(pStartYear+9,tbPayrollTax,2,FALSE),vl_MaxPayrollTax),0)</f>
        <v>5.8500000000000003E-2</v>
      </c>
      <c r="AC663" s="451">
        <f t="shared" ref="AC663" si="2889">AB663*AC662</f>
        <v>0</v>
      </c>
      <c r="AD663" s="335"/>
    </row>
    <row r="664" spans="1:30" hidden="1" outlineLevel="1" x14ac:dyDescent="0.3">
      <c r="A664" s="1182"/>
      <c r="B664" s="1379"/>
      <c r="C664" s="1379"/>
      <c r="D664" s="1379"/>
      <c r="E664" s="1379"/>
      <c r="F664" s="1379"/>
      <c r="G664" s="1379"/>
      <c r="H664" s="1380"/>
      <c r="I664" s="455" t="s">
        <v>317</v>
      </c>
      <c r="J664" s="339">
        <f>_xlfn.IFNA(VLOOKUP($D658,tbWorkCover,2,FALSE),0)</f>
        <v>0</v>
      </c>
      <c r="K664" s="443">
        <f>J664*K662</f>
        <v>0</v>
      </c>
      <c r="L664" s="340">
        <f>_xlfn.IFNA(VLOOKUP($D658,tbWorkCover,2,FALSE),0)</f>
        <v>0</v>
      </c>
      <c r="M664" s="451">
        <f t="shared" ref="M664" si="2890">L664*M662</f>
        <v>0</v>
      </c>
      <c r="N664" s="339">
        <f>_xlfn.IFNA(VLOOKUP($D658,tbWorkCover,2,FALSE),0)</f>
        <v>0</v>
      </c>
      <c r="O664" s="443">
        <f>N664*O662</f>
        <v>0</v>
      </c>
      <c r="P664" s="340">
        <f>_xlfn.IFNA(VLOOKUP($D658,tbWorkCover,2,FALSE),0)</f>
        <v>0</v>
      </c>
      <c r="Q664" s="451">
        <f t="shared" ref="Q664" si="2891">P664*Q662</f>
        <v>0</v>
      </c>
      <c r="R664" s="339">
        <f>_xlfn.IFNA(VLOOKUP($D658,tbWorkCover,2,FALSE),0)</f>
        <v>0</v>
      </c>
      <c r="S664" s="443">
        <f>R664*S662</f>
        <v>0</v>
      </c>
      <c r="T664" s="340">
        <f>_xlfn.IFNA(VLOOKUP($D658,tbWorkCover,2,FALSE),0)</f>
        <v>0</v>
      </c>
      <c r="U664" s="451">
        <f t="shared" ref="U664" si="2892">T664*U662</f>
        <v>0</v>
      </c>
      <c r="V664" s="339">
        <f>_xlfn.IFNA(VLOOKUP($D658,tbWorkCover,2,FALSE),0)</f>
        <v>0</v>
      </c>
      <c r="W664" s="443">
        <f>V664*W662</f>
        <v>0</v>
      </c>
      <c r="X664" s="340">
        <f>_xlfn.IFNA(VLOOKUP($D658,tbWorkCover,2,FALSE),0)</f>
        <v>0</v>
      </c>
      <c r="Y664" s="451">
        <f t="shared" ref="Y664" si="2893">X664*Y662</f>
        <v>0</v>
      </c>
      <c r="Z664" s="339">
        <f>_xlfn.IFNA(VLOOKUP($D658,tbWorkCover,2,FALSE),0)</f>
        <v>0</v>
      </c>
      <c r="AA664" s="443">
        <f>Z664*AA662</f>
        <v>0</v>
      </c>
      <c r="AB664" s="340">
        <f>_xlfn.IFNA(VLOOKUP($D658,tbWorkCover,2,FALSE),0)</f>
        <v>0</v>
      </c>
      <c r="AC664" s="451">
        <f t="shared" ref="AC664" si="2894">AB664*AC662</f>
        <v>0</v>
      </c>
      <c r="AD664" s="335"/>
    </row>
    <row r="665" spans="1:30" hidden="1" outlineLevel="1" x14ac:dyDescent="0.3">
      <c r="A665" s="1182"/>
      <c r="B665" s="1379"/>
      <c r="C665" s="1379"/>
      <c r="D665" s="1379"/>
      <c r="E665" s="1379"/>
      <c r="F665" s="1379"/>
      <c r="G665" s="1379"/>
      <c r="H665" s="1380"/>
      <c r="I665" s="455" t="s">
        <v>318</v>
      </c>
      <c r="J665" s="339">
        <f>_xlfn.IFNA(VLOOKUP($D658,tbLongServiceLeave,2,FALSE),0)</f>
        <v>0</v>
      </c>
      <c r="K665" s="443">
        <f>J665*K659</f>
        <v>0</v>
      </c>
      <c r="L665" s="340">
        <f>_xlfn.IFNA(VLOOKUP($D658,tbLongServiceLeave,2,FALSE),0)</f>
        <v>0</v>
      </c>
      <c r="M665" s="451">
        <f t="shared" ref="M665" si="2895">L665*M659</f>
        <v>0</v>
      </c>
      <c r="N665" s="339">
        <f>_xlfn.IFNA(VLOOKUP($D658,tbLongServiceLeave,2,FALSE),0)</f>
        <v>0</v>
      </c>
      <c r="O665" s="443">
        <f>N665*O659</f>
        <v>0</v>
      </c>
      <c r="P665" s="340">
        <f>_xlfn.IFNA(VLOOKUP($D658,tbLongServiceLeave,2,FALSE),0)</f>
        <v>0</v>
      </c>
      <c r="Q665" s="451">
        <f t="shared" ref="Q665" si="2896">P665*Q659</f>
        <v>0</v>
      </c>
      <c r="R665" s="339">
        <f>_xlfn.IFNA(VLOOKUP($D658,tbLongServiceLeave,2,FALSE),0)</f>
        <v>0</v>
      </c>
      <c r="S665" s="443">
        <f>R665*S659</f>
        <v>0</v>
      </c>
      <c r="T665" s="340">
        <f>_xlfn.IFNA(VLOOKUP($D658,tbLongServiceLeave,2,FALSE),0)</f>
        <v>0</v>
      </c>
      <c r="U665" s="451">
        <f t="shared" ref="U665" si="2897">T665*U659</f>
        <v>0</v>
      </c>
      <c r="V665" s="339">
        <f>_xlfn.IFNA(VLOOKUP($D658,tbLongServiceLeave,2,FALSE),0)</f>
        <v>0</v>
      </c>
      <c r="W665" s="443">
        <f>V665*W659</f>
        <v>0</v>
      </c>
      <c r="X665" s="340">
        <f>_xlfn.IFNA(VLOOKUP($D658,tbLongServiceLeave,2,FALSE),0)</f>
        <v>0</v>
      </c>
      <c r="Y665" s="451">
        <f t="shared" ref="Y665" si="2898">X665*Y659</f>
        <v>0</v>
      </c>
      <c r="Z665" s="339">
        <f>_xlfn.IFNA(VLOOKUP($D658,tbLongServiceLeave,2,FALSE),0)</f>
        <v>0</v>
      </c>
      <c r="AA665" s="443">
        <f>Z665*AA659</f>
        <v>0</v>
      </c>
      <c r="AB665" s="340">
        <f>_xlfn.IFNA(VLOOKUP($D658,tbLongServiceLeave,2,FALSE),0)</f>
        <v>0</v>
      </c>
      <c r="AC665" s="451">
        <f t="shared" ref="AC665" si="2899">AB665*AC659</f>
        <v>0</v>
      </c>
      <c r="AD665" s="335"/>
    </row>
    <row r="666" spans="1:30" hidden="1" outlineLevel="1" x14ac:dyDescent="0.3">
      <c r="A666" s="1182"/>
      <c r="B666" s="1379"/>
      <c r="C666" s="1379"/>
      <c r="D666" s="1379"/>
      <c r="E666" s="1379"/>
      <c r="F666" s="1379"/>
      <c r="G666" s="1379"/>
      <c r="H666" s="1380"/>
      <c r="I666" s="455" t="s">
        <v>319</v>
      </c>
      <c r="J666" s="339">
        <f>_xlfn.IFNA(VLOOKUP($D658,tbParentalLeave,2,FALSE),0)</f>
        <v>0</v>
      </c>
      <c r="K666" s="443">
        <f>J666*K659</f>
        <v>0</v>
      </c>
      <c r="L666" s="340">
        <f>_xlfn.IFNA(VLOOKUP($D658,tbParentalLeave,2,FALSE),0)</f>
        <v>0</v>
      </c>
      <c r="M666" s="451">
        <f t="shared" ref="M666" si="2900">L666*M659</f>
        <v>0</v>
      </c>
      <c r="N666" s="339">
        <f>_xlfn.IFNA(VLOOKUP($D658,tbParentalLeave,2,FALSE),0)</f>
        <v>0</v>
      </c>
      <c r="O666" s="443">
        <f>N666*O659</f>
        <v>0</v>
      </c>
      <c r="P666" s="340">
        <f>_xlfn.IFNA(VLOOKUP($D658,tbParentalLeave,2,FALSE),0)</f>
        <v>0</v>
      </c>
      <c r="Q666" s="451">
        <f t="shared" ref="Q666" si="2901">P666*Q659</f>
        <v>0</v>
      </c>
      <c r="R666" s="339">
        <f>_xlfn.IFNA(VLOOKUP($D658,tbParentalLeave,2,FALSE),0)</f>
        <v>0</v>
      </c>
      <c r="S666" s="443">
        <f>R666*S659</f>
        <v>0</v>
      </c>
      <c r="T666" s="340">
        <f>_xlfn.IFNA(VLOOKUP($D658,tbParentalLeave,2,FALSE),0)</f>
        <v>0</v>
      </c>
      <c r="U666" s="451">
        <f t="shared" ref="U666" si="2902">T666*U659</f>
        <v>0</v>
      </c>
      <c r="V666" s="339">
        <f>_xlfn.IFNA(VLOOKUP($D658,tbParentalLeave,2,FALSE),0)</f>
        <v>0</v>
      </c>
      <c r="W666" s="443">
        <f>V666*W659</f>
        <v>0</v>
      </c>
      <c r="X666" s="340">
        <f>_xlfn.IFNA(VLOOKUP($D658,tbParentalLeave,2,FALSE),0)</f>
        <v>0</v>
      </c>
      <c r="Y666" s="451">
        <f t="shared" ref="Y666" si="2903">X666*Y659</f>
        <v>0</v>
      </c>
      <c r="Z666" s="339">
        <f>_xlfn.IFNA(VLOOKUP($D658,tbParentalLeave,2,FALSE),0)</f>
        <v>0</v>
      </c>
      <c r="AA666" s="443">
        <f>Z666*AA659</f>
        <v>0</v>
      </c>
      <c r="AB666" s="340">
        <f>_xlfn.IFNA(VLOOKUP($D658,tbParentalLeave,2,FALSE),0)</f>
        <v>0</v>
      </c>
      <c r="AC666" s="451">
        <f t="shared" ref="AC666" si="2904">AB666*AC659</f>
        <v>0</v>
      </c>
      <c r="AD666" s="335"/>
    </row>
    <row r="667" spans="1:30" hidden="1" outlineLevel="1" x14ac:dyDescent="0.3">
      <c r="A667" s="1182"/>
      <c r="B667" s="1379"/>
      <c r="C667" s="1379"/>
      <c r="D667" s="1379"/>
      <c r="E667" s="1379"/>
      <c r="F667" s="1379"/>
      <c r="G667" s="1379"/>
      <c r="H667" s="1380"/>
      <c r="I667" s="437" t="s">
        <v>320</v>
      </c>
      <c r="J667" s="438">
        <f>vl_overridden_uom_oncosts_per</f>
        <v>0</v>
      </c>
      <c r="K667" s="445">
        <f>J667*K659</f>
        <v>0</v>
      </c>
      <c r="L667" s="438">
        <f>vl_overridden_uom_oncosts_per</f>
        <v>0</v>
      </c>
      <c r="M667" s="445">
        <f>L667*M659</f>
        <v>0</v>
      </c>
      <c r="N667" s="438">
        <f>vl_overridden_uom_oncosts_per</f>
        <v>0</v>
      </c>
      <c r="O667" s="445">
        <f t="shared" ref="O667" si="2905">N667*O659</f>
        <v>0</v>
      </c>
      <c r="P667" s="438">
        <f>vl_overridden_uom_oncosts_per</f>
        <v>0</v>
      </c>
      <c r="Q667" s="445">
        <f t="shared" ref="Q667" si="2906">P667*Q659</f>
        <v>0</v>
      </c>
      <c r="R667" s="438">
        <f>vl_overridden_uom_oncosts_per</f>
        <v>0</v>
      </c>
      <c r="S667" s="445">
        <f t="shared" ref="S667" si="2907">R667*S659</f>
        <v>0</v>
      </c>
      <c r="T667" s="438">
        <f>vl_overridden_uom_oncosts_per</f>
        <v>0</v>
      </c>
      <c r="U667" s="445">
        <f t="shared" ref="U667" si="2908">T667*U659</f>
        <v>0</v>
      </c>
      <c r="V667" s="438">
        <f>vl_overridden_uom_oncosts_per</f>
        <v>0</v>
      </c>
      <c r="W667" s="445">
        <f t="shared" ref="W667" si="2909">V667*W659</f>
        <v>0</v>
      </c>
      <c r="X667" s="438">
        <f>vl_overridden_uom_oncosts_per</f>
        <v>0</v>
      </c>
      <c r="Y667" s="445">
        <f t="shared" ref="Y667" si="2910">X667*Y659</f>
        <v>0</v>
      </c>
      <c r="Z667" s="438">
        <f>vl_overridden_uom_oncosts_per</f>
        <v>0</v>
      </c>
      <c r="AA667" s="445">
        <f t="shared" ref="AA667" si="2911">Z667*AA659</f>
        <v>0</v>
      </c>
      <c r="AB667" s="438">
        <f>vl_overridden_uom_oncosts_per</f>
        <v>0</v>
      </c>
      <c r="AC667" s="445">
        <f t="shared" ref="AC667" si="2912">AB667*AC659</f>
        <v>0</v>
      </c>
      <c r="AD667" s="335"/>
    </row>
    <row r="668" spans="1:30" hidden="1" outlineLevel="1" x14ac:dyDescent="0.3">
      <c r="A668" s="1182"/>
      <c r="B668" s="1379"/>
      <c r="C668" s="1379"/>
      <c r="D668" s="1379"/>
      <c r="E668" s="1379"/>
      <c r="F668" s="1379"/>
      <c r="G668" s="1379"/>
      <c r="H668" s="1380"/>
      <c r="I668" s="341" t="s">
        <v>321</v>
      </c>
      <c r="J668" s="342"/>
      <c r="K668" s="444">
        <f>SUM(K662:K667)</f>
        <v>0</v>
      </c>
      <c r="L668" s="342"/>
      <c r="M668" s="444">
        <f t="shared" ref="M668" si="2913">SUM(M662:M667)</f>
        <v>0</v>
      </c>
      <c r="N668" s="342"/>
      <c r="O668" s="444">
        <f t="shared" ref="O668" si="2914">SUM(O662:O667)</f>
        <v>0</v>
      </c>
      <c r="P668" s="342"/>
      <c r="Q668" s="444">
        <f t="shared" ref="Q668" si="2915">SUM(Q662:Q667)</f>
        <v>0</v>
      </c>
      <c r="R668" s="342"/>
      <c r="S668" s="444">
        <f t="shared" ref="S668" si="2916">SUM(S662:S667)</f>
        <v>0</v>
      </c>
      <c r="T668" s="342"/>
      <c r="U668" s="444">
        <f t="shared" ref="U668" si="2917">SUM(U662:U667)</f>
        <v>0</v>
      </c>
      <c r="V668" s="342"/>
      <c r="W668" s="444">
        <f t="shared" ref="W668" si="2918">SUM(W662:W667)</f>
        <v>0</v>
      </c>
      <c r="X668" s="342"/>
      <c r="Y668" s="444">
        <f t="shared" ref="Y668" si="2919">SUM(Y662:Y667)</f>
        <v>0</v>
      </c>
      <c r="Z668" s="342"/>
      <c r="AA668" s="444">
        <f t="shared" ref="AA668" si="2920">SUM(AA662:AA667)</f>
        <v>0</v>
      </c>
      <c r="AB668" s="342"/>
      <c r="AC668" s="444">
        <f t="shared" ref="AC668" si="2921">SUM(AC662:AC667)</f>
        <v>0</v>
      </c>
      <c r="AD668" s="335">
        <f t="shared" si="2799"/>
        <v>0</v>
      </c>
    </row>
    <row r="669" spans="1:30" hidden="1" outlineLevel="1" x14ac:dyDescent="0.3">
      <c r="A669" s="1182"/>
      <c r="B669" s="1379"/>
      <c r="C669" s="1379"/>
      <c r="D669" s="1379"/>
      <c r="E669" s="1379"/>
      <c r="F669" s="1379"/>
      <c r="G669" s="1379"/>
      <c r="H669" s="1380"/>
      <c r="I669" s="455" t="s">
        <v>322</v>
      </c>
      <c r="J669" s="339">
        <f>_xlfn.IFNA(VLOOKUP($D658,tbAnnualLeaveProvision,2,FALSE),0)</f>
        <v>0</v>
      </c>
      <c r="K669" s="443">
        <f>J669*K659</f>
        <v>0</v>
      </c>
      <c r="L669" s="340">
        <f>_xlfn.IFNA(VLOOKUP($D658,tbAnnualLeaveProvision,2,FALSE),0)</f>
        <v>0</v>
      </c>
      <c r="M669" s="451">
        <f t="shared" ref="M669" si="2922">L669*M659</f>
        <v>0</v>
      </c>
      <c r="N669" s="339">
        <f>_xlfn.IFNA(VLOOKUP($D658,tbAnnualLeaveProvision,2,FALSE),0)</f>
        <v>0</v>
      </c>
      <c r="O669" s="443">
        <f>N669*O659</f>
        <v>0</v>
      </c>
      <c r="P669" s="340">
        <f>_xlfn.IFNA(VLOOKUP($D658,tbAnnualLeaveProvision,2,FALSE),0)</f>
        <v>0</v>
      </c>
      <c r="Q669" s="451">
        <f t="shared" ref="Q669" si="2923">P669*Q659</f>
        <v>0</v>
      </c>
      <c r="R669" s="339">
        <f>_xlfn.IFNA(VLOOKUP($D658,tbAnnualLeaveProvision,2,FALSE),0)</f>
        <v>0</v>
      </c>
      <c r="S669" s="443">
        <f>R669*S659</f>
        <v>0</v>
      </c>
      <c r="T669" s="340">
        <f>_xlfn.IFNA(VLOOKUP($D658,tbAnnualLeaveProvision,2,FALSE),0)</f>
        <v>0</v>
      </c>
      <c r="U669" s="451">
        <f t="shared" ref="U669" si="2924">T669*U659</f>
        <v>0</v>
      </c>
      <c r="V669" s="339">
        <f>_xlfn.IFNA(VLOOKUP($D658,tbAnnualLeaveProvision,2,FALSE),0)</f>
        <v>0</v>
      </c>
      <c r="W669" s="443">
        <f>V669*W659</f>
        <v>0</v>
      </c>
      <c r="X669" s="340">
        <f>_xlfn.IFNA(VLOOKUP($D658,tbAnnualLeaveProvision,2,FALSE),0)</f>
        <v>0</v>
      </c>
      <c r="Y669" s="451">
        <f t="shared" ref="Y669" si="2925">X669*Y659</f>
        <v>0</v>
      </c>
      <c r="Z669" s="339">
        <f>_xlfn.IFNA(VLOOKUP($D658,tbAnnualLeaveProvision,2,FALSE),0)</f>
        <v>0</v>
      </c>
      <c r="AA669" s="443">
        <f>Z669*AA659</f>
        <v>0</v>
      </c>
      <c r="AB669" s="340">
        <f>_xlfn.IFNA(VLOOKUP($D658,tbAnnualLeaveProvision,2,FALSE),0)</f>
        <v>0</v>
      </c>
      <c r="AC669" s="451">
        <f t="shared" ref="AC669" si="2926">AB669*AC659</f>
        <v>0</v>
      </c>
      <c r="AD669" s="335"/>
    </row>
    <row r="670" spans="1:30" hidden="1" outlineLevel="1" x14ac:dyDescent="0.3">
      <c r="A670" s="1182"/>
      <c r="B670" s="1379"/>
      <c r="C670" s="1379"/>
      <c r="D670" s="1379"/>
      <c r="E670" s="1379"/>
      <c r="F670" s="1379"/>
      <c r="G670" s="1379"/>
      <c r="H670" s="1380"/>
      <c r="I670" s="455" t="s">
        <v>330</v>
      </c>
      <c r="J670" s="339"/>
      <c r="K670" s="446">
        <f>K668+K669</f>
        <v>0</v>
      </c>
      <c r="L670" s="340"/>
      <c r="M670" s="452">
        <f t="shared" ref="M670" si="2927">M668+M669</f>
        <v>0</v>
      </c>
      <c r="N670" s="339"/>
      <c r="O670" s="446">
        <f>O668+O669</f>
        <v>0</v>
      </c>
      <c r="P670" s="340"/>
      <c r="Q670" s="452">
        <f t="shared" ref="Q670" si="2928">Q668+Q669</f>
        <v>0</v>
      </c>
      <c r="R670" s="339"/>
      <c r="S670" s="446">
        <f>S668+S669</f>
        <v>0</v>
      </c>
      <c r="T670" s="340"/>
      <c r="U670" s="452">
        <f t="shared" ref="U670" si="2929">U668+U669</f>
        <v>0</v>
      </c>
      <c r="V670" s="339"/>
      <c r="W670" s="446">
        <f>W668+W669</f>
        <v>0</v>
      </c>
      <c r="X670" s="340"/>
      <c r="Y670" s="452">
        <f t="shared" ref="Y670" si="2930">Y668+Y669</f>
        <v>0</v>
      </c>
      <c r="Z670" s="339"/>
      <c r="AA670" s="446">
        <f>AA668+AA669</f>
        <v>0</v>
      </c>
      <c r="AB670" s="340"/>
      <c r="AC670" s="452">
        <f t="shared" ref="AC670" si="2931">AC668+AC669</f>
        <v>0</v>
      </c>
      <c r="AD670" s="335"/>
    </row>
    <row r="671" spans="1:30" hidden="1" outlineLevel="1" x14ac:dyDescent="0.3">
      <c r="A671" s="1182"/>
      <c r="B671" s="1379"/>
      <c r="C671" s="1379"/>
      <c r="D671" s="1379"/>
      <c r="E671" s="1379"/>
      <c r="F671" s="1379"/>
      <c r="G671" s="1379"/>
      <c r="H671" s="1380"/>
      <c r="I671" s="462" t="s">
        <v>324</v>
      </c>
      <c r="J671" s="344"/>
      <c r="K671" s="443">
        <f>-(K668/vl_working_days_per_year)*J671</f>
        <v>0</v>
      </c>
      <c r="L671" s="345"/>
      <c r="M671" s="451">
        <f>-(M668/vl_working_days_per_year)*L671</f>
        <v>0</v>
      </c>
      <c r="N671" s="344"/>
      <c r="O671" s="443">
        <f>-(O668/vl_working_days_per_year)*N671</f>
        <v>0</v>
      </c>
      <c r="P671" s="345"/>
      <c r="Q671" s="451">
        <f>-(Q668/vl_working_days_per_year)*P671</f>
        <v>0</v>
      </c>
      <c r="R671" s="344"/>
      <c r="S671" s="443">
        <f>-(S668/vl_working_days_per_year)*R671</f>
        <v>0</v>
      </c>
      <c r="T671" s="345"/>
      <c r="U671" s="451">
        <f>-(U668/vl_working_days_per_year)*T671</f>
        <v>0</v>
      </c>
      <c r="V671" s="344"/>
      <c r="W671" s="443">
        <f>-(W668/vl_working_days_per_year)*V671</f>
        <v>0</v>
      </c>
      <c r="X671" s="345"/>
      <c r="Y671" s="451">
        <f>-(Y668/vl_working_days_per_year)*X671</f>
        <v>0</v>
      </c>
      <c r="Z671" s="344"/>
      <c r="AA671" s="443">
        <f>-(AA668/vl_working_days_per_year)*Z671</f>
        <v>0</v>
      </c>
      <c r="AB671" s="345"/>
      <c r="AC671" s="451">
        <f>-(AC668/vl_working_days_per_year)*AB671</f>
        <v>0</v>
      </c>
      <c r="AD671" s="335">
        <f t="shared" si="2799"/>
        <v>0</v>
      </c>
    </row>
    <row r="672" spans="1:30" hidden="1" outlineLevel="1" x14ac:dyDescent="0.3">
      <c r="A672" s="1182"/>
      <c r="B672" s="1379"/>
      <c r="C672" s="1379"/>
      <c r="D672" s="1379"/>
      <c r="E672" s="1379"/>
      <c r="F672" s="1379"/>
      <c r="G672" s="1379"/>
      <c r="H672" s="1380"/>
      <c r="I672" s="341" t="s">
        <v>325</v>
      </c>
      <c r="J672" s="346"/>
      <c r="K672" s="444">
        <f>K670+K671</f>
        <v>0</v>
      </c>
      <c r="L672" s="346"/>
      <c r="M672" s="444">
        <f t="shared" ref="M672" si="2932">M670+M671</f>
        <v>0</v>
      </c>
      <c r="N672" s="346"/>
      <c r="O672" s="444">
        <f>O670+O671</f>
        <v>0</v>
      </c>
      <c r="P672" s="346"/>
      <c r="Q672" s="444">
        <f t="shared" ref="Q672" si="2933">Q670+Q671</f>
        <v>0</v>
      </c>
      <c r="R672" s="346"/>
      <c r="S672" s="444">
        <f>S670+S671</f>
        <v>0</v>
      </c>
      <c r="T672" s="346"/>
      <c r="U672" s="444">
        <f t="shared" ref="U672" si="2934">U670+U671</f>
        <v>0</v>
      </c>
      <c r="V672" s="346"/>
      <c r="W672" s="444">
        <f>W670+W671</f>
        <v>0</v>
      </c>
      <c r="X672" s="346"/>
      <c r="Y672" s="444">
        <f t="shared" ref="Y672" si="2935">Y670+Y671</f>
        <v>0</v>
      </c>
      <c r="Z672" s="346"/>
      <c r="AA672" s="444">
        <f>AA670+AA671</f>
        <v>0</v>
      </c>
      <c r="AB672" s="346"/>
      <c r="AC672" s="444">
        <f t="shared" ref="AC672" si="2936">AC670+AC671</f>
        <v>0</v>
      </c>
      <c r="AD672" s="335">
        <f t="shared" si="2799"/>
        <v>0</v>
      </c>
    </row>
    <row r="673" spans="1:56" s="1" customFormat="1" ht="15" hidden="1" customHeight="1" outlineLevel="1" x14ac:dyDescent="0.3">
      <c r="A673" s="727"/>
      <c r="B673" s="1379"/>
      <c r="C673" s="1379"/>
      <c r="D673" s="1379"/>
      <c r="E673" s="1379"/>
      <c r="F673" s="1379"/>
      <c r="G673" s="1379"/>
      <c r="H673" s="1380"/>
      <c r="I673" s="463" t="s">
        <v>326</v>
      </c>
      <c r="J673" s="383">
        <f>IFERROR(K673/K659,0)</f>
        <v>0</v>
      </c>
      <c r="K673" s="447">
        <f>SUM(K660:K661,K663:K666,K669)</f>
        <v>0</v>
      </c>
      <c r="L673" s="434">
        <f>IFERROR(M673/M659,0)</f>
        <v>0</v>
      </c>
      <c r="M673" s="453">
        <f t="shared" ref="M673" si="2937">SUM(M660:M661,M663:M666,M669)</f>
        <v>0</v>
      </c>
      <c r="N673" s="383">
        <f t="shared" ref="N673" si="2938">IFERROR(O673/O659,0)</f>
        <v>0</v>
      </c>
      <c r="O673" s="447">
        <f t="shared" ref="O673" si="2939">SUM(O660:O661,O663:O666,O669)</f>
        <v>0</v>
      </c>
      <c r="P673" s="434">
        <f t="shared" ref="P673" si="2940">IFERROR(Q673/Q659,0)</f>
        <v>0</v>
      </c>
      <c r="Q673" s="453">
        <f t="shared" ref="Q673" si="2941">SUM(Q660:Q661,Q663:Q666,Q669)</f>
        <v>0</v>
      </c>
      <c r="R673" s="383">
        <f t="shared" ref="R673" si="2942">IFERROR(S673/S659,0)</f>
        <v>0</v>
      </c>
      <c r="S673" s="447">
        <f t="shared" ref="S673" si="2943">SUM(S660:S661,S663:S666,S669)</f>
        <v>0</v>
      </c>
      <c r="T673" s="434">
        <f t="shared" ref="T673" si="2944">IFERROR(U673/U659,0)</f>
        <v>0</v>
      </c>
      <c r="U673" s="453">
        <f t="shared" ref="U673" si="2945">SUM(U660:U661,U663:U666,U669)</f>
        <v>0</v>
      </c>
      <c r="V673" s="383">
        <f t="shared" ref="V673" si="2946">IFERROR(W673/W659,0)</f>
        <v>0</v>
      </c>
      <c r="W673" s="447">
        <f t="shared" ref="W673" si="2947">SUM(W660:W661,W663:W666,W669)</f>
        <v>0</v>
      </c>
      <c r="X673" s="434">
        <f t="shared" ref="X673" si="2948">IFERROR(Y673/Y659,0)</f>
        <v>0</v>
      </c>
      <c r="Y673" s="453">
        <f t="shared" ref="Y673" si="2949">SUM(Y660:Y661,Y663:Y666,Y669)</f>
        <v>0</v>
      </c>
      <c r="Z673" s="383">
        <f t="shared" ref="Z673" si="2950">IFERROR(AA673/AA659,0)</f>
        <v>0</v>
      </c>
      <c r="AA673" s="447">
        <f t="shared" ref="AA673" si="2951">SUM(AA660:AA661,AA663:AA666,AA669)</f>
        <v>0</v>
      </c>
      <c r="AB673" s="434">
        <f t="shared" ref="AB673" si="2952">IFERROR(AC673/AC659,0)</f>
        <v>0</v>
      </c>
      <c r="AC673" s="453">
        <f t="shared" ref="AC673" si="2953">SUM(AC660:AC661,AC663:AC666,AC669)</f>
        <v>0</v>
      </c>
      <c r="AD673" s="377">
        <f t="shared" si="2799"/>
        <v>0</v>
      </c>
      <c r="AE673" s="14"/>
      <c r="AF673" s="14"/>
      <c r="AG673" s="14"/>
      <c r="AH673" s="14"/>
      <c r="AI673" s="14"/>
      <c r="AJ673" s="14"/>
      <c r="AK673" s="14"/>
      <c r="AL673" s="14"/>
      <c r="AM673" s="14"/>
      <c r="AN673" s="14"/>
      <c r="AO673" s="14"/>
      <c r="AP673" s="14"/>
      <c r="AQ673" s="14"/>
      <c r="AR673" s="14"/>
      <c r="AS673" s="14"/>
      <c r="AT673" s="14"/>
      <c r="AU673" s="14"/>
      <c r="AV673" s="14"/>
      <c r="AW673" s="14"/>
      <c r="AX673" s="14"/>
      <c r="AY673" s="14"/>
      <c r="AZ673" s="14"/>
      <c r="BA673" s="14"/>
      <c r="BB673" s="14"/>
      <c r="BC673" s="14"/>
      <c r="BD673" s="14"/>
    </row>
    <row r="674" spans="1:56" hidden="1" outlineLevel="1" x14ac:dyDescent="0.3">
      <c r="A674" s="1182"/>
      <c r="B674" s="1379"/>
      <c r="C674" s="1379"/>
      <c r="D674" s="1379"/>
      <c r="E674" s="1379"/>
      <c r="F674" s="1379"/>
      <c r="G674" s="1379"/>
      <c r="H674" s="1380"/>
      <c r="I674" s="463" t="s">
        <v>327</v>
      </c>
      <c r="J674" s="384">
        <f>pCRInKind</f>
        <v>2.5</v>
      </c>
      <c r="K674" s="447"/>
      <c r="L674" s="435">
        <f>pCRInKind</f>
        <v>2.5</v>
      </c>
      <c r="M674" s="453"/>
      <c r="N674" s="384">
        <f>pCRInKind</f>
        <v>2.5</v>
      </c>
      <c r="O674" s="447"/>
      <c r="P674" s="435">
        <f>pCRInKind</f>
        <v>2.5</v>
      </c>
      <c r="Q674" s="453"/>
      <c r="R674" s="384">
        <f>pCRInKind</f>
        <v>2.5</v>
      </c>
      <c r="S674" s="447"/>
      <c r="T674" s="435">
        <f>pCRInKind</f>
        <v>2.5</v>
      </c>
      <c r="U674" s="453"/>
      <c r="V674" s="384">
        <f>pCRInKind</f>
        <v>2.5</v>
      </c>
      <c r="W674" s="447"/>
      <c r="X674" s="435">
        <f>pCRInKind</f>
        <v>2.5</v>
      </c>
      <c r="Y674" s="453"/>
      <c r="Z674" s="384">
        <f>pCRInKind</f>
        <v>2.5</v>
      </c>
      <c r="AA674" s="447"/>
      <c r="AB674" s="435">
        <f>pCRInKind</f>
        <v>2.5</v>
      </c>
      <c r="AC674" s="453"/>
      <c r="AD674" s="335"/>
      <c r="AE674" s="1152"/>
      <c r="AF674" s="1152"/>
      <c r="AG674" s="1152"/>
      <c r="AH674" s="1152"/>
      <c r="AI674" s="1152"/>
      <c r="AJ674" s="1152"/>
      <c r="AK674" s="1152"/>
      <c r="AL674" s="1152"/>
      <c r="AM674" s="1152"/>
      <c r="AN674" s="1152"/>
      <c r="AO674" s="1152"/>
      <c r="AP674" s="1152"/>
      <c r="AQ674" s="1152"/>
      <c r="AR674" s="1152"/>
      <c r="AS674" s="1152"/>
      <c r="AT674" s="1152"/>
      <c r="AU674" s="1152"/>
      <c r="AV674" s="1152"/>
      <c r="AW674" s="1152"/>
      <c r="AX674" s="1152"/>
      <c r="AY674" s="1152"/>
      <c r="AZ674" s="1152"/>
      <c r="BA674" s="1152"/>
      <c r="BB674" s="1152"/>
      <c r="BC674" s="1152"/>
      <c r="BD674" s="1152"/>
    </row>
    <row r="675" spans="1:56" ht="16.2" hidden="1" outlineLevel="1" thickBot="1" x14ac:dyDescent="0.35">
      <c r="A675" s="1182"/>
      <c r="B675" s="710"/>
      <c r="C675" s="347"/>
      <c r="D675" s="347"/>
      <c r="E675" s="347"/>
      <c r="F675" s="347"/>
      <c r="G675" s="347"/>
      <c r="H675" s="347"/>
      <c r="I675" s="436" t="s">
        <v>329</v>
      </c>
      <c r="J675" s="348"/>
      <c r="K675" s="349">
        <f>J674*K670</f>
        <v>0</v>
      </c>
      <c r="L675" s="348"/>
      <c r="M675" s="349">
        <f t="shared" ref="M675" si="2954">L674*M670</f>
        <v>0</v>
      </c>
      <c r="N675" s="348"/>
      <c r="O675" s="349">
        <f>N674*O670</f>
        <v>0</v>
      </c>
      <c r="P675" s="348"/>
      <c r="Q675" s="349">
        <f t="shared" ref="Q675" si="2955">P674*Q670</f>
        <v>0</v>
      </c>
      <c r="R675" s="348"/>
      <c r="S675" s="349">
        <f>R674*S670</f>
        <v>0</v>
      </c>
      <c r="T675" s="348"/>
      <c r="U675" s="349">
        <f t="shared" ref="U675" si="2956">T674*U670</f>
        <v>0</v>
      </c>
      <c r="V675" s="348"/>
      <c r="W675" s="349">
        <f>V674*W670</f>
        <v>0</v>
      </c>
      <c r="X675" s="348"/>
      <c r="Y675" s="349">
        <f t="shared" ref="Y675" si="2957">X674*Y670</f>
        <v>0</v>
      </c>
      <c r="Z675" s="348"/>
      <c r="AA675" s="349">
        <f>Z674*AA670</f>
        <v>0</v>
      </c>
      <c r="AB675" s="348"/>
      <c r="AC675" s="349">
        <f t="shared" ref="AC675" si="2958">AB674*AC670</f>
        <v>0</v>
      </c>
      <c r="AD675" s="335">
        <f t="shared" si="2799"/>
        <v>0</v>
      </c>
      <c r="AE675" s="1152"/>
      <c r="AF675" s="1152"/>
      <c r="AG675" s="1152"/>
      <c r="AH675" s="1152"/>
      <c r="AI675" s="1152"/>
      <c r="AJ675" s="1152"/>
      <c r="AK675" s="1152"/>
      <c r="AL675" s="1152"/>
      <c r="AM675" s="1152"/>
      <c r="AN675" s="1152"/>
      <c r="AO675" s="1152"/>
      <c r="AP675" s="1152"/>
      <c r="AQ675" s="1152"/>
      <c r="AR675" s="1152"/>
      <c r="AS675" s="1152"/>
      <c r="AT675" s="1152"/>
      <c r="AU675" s="1152"/>
      <c r="AV675" s="1152"/>
      <c r="AW675" s="1152"/>
      <c r="AX675" s="1152"/>
      <c r="AY675" s="1152"/>
      <c r="AZ675" s="1152"/>
      <c r="BA675" s="1152"/>
      <c r="BB675" s="1152"/>
      <c r="BC675" s="1152"/>
      <c r="BD675" s="1152"/>
    </row>
    <row r="676" spans="1:56" ht="15" hidden="1" outlineLevel="1" thickBot="1" x14ac:dyDescent="0.35">
      <c r="A676" s="1182"/>
      <c r="B676" s="1181"/>
      <c r="C676" s="1181"/>
      <c r="D676" s="1181"/>
      <c r="E676" s="1181"/>
      <c r="F676" s="1181"/>
      <c r="G676" s="1181"/>
      <c r="H676" s="1181"/>
      <c r="I676" s="350"/>
      <c r="J676" s="351"/>
      <c r="K676" s="351"/>
      <c r="L676" s="351"/>
      <c r="M676" s="352"/>
      <c r="N676" s="351"/>
      <c r="O676" s="352"/>
      <c r="P676" s="351"/>
      <c r="Q676" s="352"/>
      <c r="R676" s="351"/>
      <c r="S676" s="352"/>
      <c r="T676" s="351"/>
      <c r="U676" s="352"/>
      <c r="V676" s="351"/>
      <c r="W676" s="352"/>
      <c r="X676" s="351"/>
      <c r="Y676" s="352"/>
      <c r="Z676" s="351"/>
      <c r="AA676" s="352"/>
      <c r="AB676" s="351"/>
      <c r="AC676" s="352"/>
      <c r="AD676" s="353" t="str">
        <f>IF(tbBudgetCurrency="AUD - Australian Dollar","",IFERROR(K676+M676+O676+Q676+S676+U676+W676+Y676+AA676+AC676,0))</f>
        <v/>
      </c>
      <c r="AE676" s="1152"/>
      <c r="AF676" s="1152"/>
      <c r="AG676" s="1152"/>
      <c r="AH676" s="1152"/>
      <c r="AI676" s="1152"/>
      <c r="AJ676" s="1152"/>
      <c r="AK676" s="1152"/>
      <c r="AL676" s="1152"/>
      <c r="AM676" s="1152"/>
      <c r="AN676" s="1152"/>
      <c r="AO676" s="1152"/>
      <c r="AP676" s="1152"/>
      <c r="AQ676" s="1152"/>
      <c r="AR676" s="1152"/>
      <c r="AS676" s="1152"/>
      <c r="AT676" s="1152"/>
      <c r="AU676" s="1152"/>
      <c r="AV676" s="1152"/>
      <c r="AW676" s="1152"/>
      <c r="AX676" s="1152"/>
      <c r="AY676" s="1152"/>
      <c r="AZ676" s="1152"/>
      <c r="BA676" s="1152"/>
      <c r="BB676" s="1152"/>
      <c r="BC676" s="1152"/>
      <c r="BD676" s="1152"/>
    </row>
    <row r="677" spans="1:56" hidden="1" outlineLevel="1" x14ac:dyDescent="0.3">
      <c r="A677" s="1182"/>
      <c r="B677" s="460" t="str">
        <f>IF('PART B Staff Costs'!B68="","",'PART B Staff Costs'!B68)</f>
        <v/>
      </c>
      <c r="C677" s="460" t="str">
        <f>IF('PART B Staff Costs'!C68="","",'PART B Staff Costs'!C68)</f>
        <v xml:space="preserve"> </v>
      </c>
      <c r="D677" s="461" t="str">
        <f>IF('PART B Staff Costs'!D68="","",'PART B Staff Costs'!D68)</f>
        <v/>
      </c>
      <c r="E677" s="461" t="str">
        <f>IF('PART B Staff Costs'!E68="","",'PART B Staff Costs'!E68)</f>
        <v/>
      </c>
      <c r="F677" s="461" t="str">
        <f>IF('PART B Staff Costs'!F68="","",'PART B Staff Costs'!F68)</f>
        <v/>
      </c>
      <c r="G677" s="461" t="str">
        <f>IF('PART B Staff Costs'!G68="","",'PART B Staff Costs'!G68)</f>
        <v/>
      </c>
      <c r="H677" s="454" t="str">
        <f t="shared" ref="H677" si="2959">CONCATENATE(IF(D677=0,"",D677)," ",IF(E677=0,"",E677)," ",IF(F677=0,"",F677),,IF(OR(G677=0,G677=""),"",CONCATENATE(" (",G677,")")))</f>
        <v xml:space="preserve">  </v>
      </c>
      <c r="I677" s="454" t="s">
        <v>313</v>
      </c>
      <c r="J677" s="333">
        <f>_xlfn.IFNA('PART B Staff Costs'!H68*'PART B Staff Costs'!J$10,0)*new_xrate</f>
        <v>0</v>
      </c>
      <c r="K677" s="441"/>
      <c r="L677" s="334">
        <f>_xlfn.IFNA(IF(pStartYear+1&gt;pEndYear,0,VLOOKUP(CONCATENATE(
IF(OR($D677="Continuing",$D677="Fixed-Term"),"Fortnight",IF($D677="Casual","Casual",)),
$E677,
IF(OR($D677="Continuing",$D677="Fixed-Term"),
IF(LEFT($F677,6)="UOM 10","UOM 10",(LEFT($F677,LEN($F677)-1)&amp;MIN(RIGHT($F677,1)+COUNTIFS($J678:K678,"&gt;0")/2,VLOOKUP(LEFT($F677,LEN($F677)-2),tSalaryMax,2,FALSE)))),
IF($D677="Casual",
$F677,))
),tSalaryRate,5,FALSE)*VLOOKUP($G677,tSalaryRateMultiplier,2,FALSE)*'PART B Staff Costs'!L$10),0)*new_xrate</f>
        <v>0</v>
      </c>
      <c r="M677" s="449"/>
      <c r="N677" s="333">
        <f>_xlfn.IFNA(IF(pStartYear+2&gt;pEndYear,0,VLOOKUP(CONCATENATE(
IF(OR($D677="Continuing",$D677="Fixed-Term"),"Fortnight",IF($D677="Casual","Casual",)),
$E677,
IF(OR($D677="Continuing",$D677="Fixed-Term"),
IF(LEFT($F677,6)="UOM 10","UOM 10",(LEFT($F677,LEN($F677)-1)&amp;MIN(RIGHT($F677,1)+COUNTIFS($J678:M678,"&gt;0")/2,VLOOKUP(LEFT($F677,LEN($F677)-2),tSalaryMax,2,FALSE)))),
IF($D677="Casual",
$F677,))
),tSalaryRate,5,FALSE)*VLOOKUP($G677,tSalaryRateMultiplier,2,FALSE)*'PART B Staff Costs'!N$10),0)*new_xrate</f>
        <v>0</v>
      </c>
      <c r="O677" s="441"/>
      <c r="P677" s="334">
        <f>_xlfn.IFNA(IF(pStartYear+3&gt;pEndYear,0,VLOOKUP(CONCATENATE(
IF(OR($D677="Continuing",$D677="Fixed-Term"),"Fortnight",IF($D677="Casual","Casual",)),
$E677,
IF(OR($D677="Continuing",$D677="Fixed-Term"),
IF(LEFT($F677,6)="UOM 10","UOM 10",(LEFT($F677,LEN($F677)-1)&amp;MIN(RIGHT($F677,1)+COUNTIFS($J678:O678,"&gt;0")/2,VLOOKUP(LEFT($F677,LEN($F677)-2),tSalaryMax,2,FALSE)))),
IF($D677="Casual",
$F677,))
),tSalaryRate,5,FALSE)*VLOOKUP($G677,tSalaryRateMultiplier,2,FALSE)*'PART B Staff Costs'!P$10),0)*new_xrate</f>
        <v>0</v>
      </c>
      <c r="Q677" s="449"/>
      <c r="R677" s="333">
        <f>_xlfn.IFNA(IF(pStartYear+4&gt;pEndYear,0,VLOOKUP(CONCATENATE(
IF(OR($D677="Continuing",$D677="Fixed-Term"),"Fortnight",IF($D677="Casual","Casual",)),
$E677,
IF(OR($D677="Continuing",$D677="Fixed-Term"),
IF(LEFT($F677,6)="UOM 10","UOM 10",(LEFT($F677,LEN($F677)-1)&amp;MIN(RIGHT($F677,1)+COUNTIFS($J678:Q678,"&gt;0")/2,VLOOKUP(LEFT($F677,LEN($F677)-2),tSalaryMax,2,FALSE)))),
IF($D677="Casual",
$F677,))
),tSalaryRate,5,FALSE)*VLOOKUP($G677,tSalaryRateMultiplier,2,FALSE)*'PART B Staff Costs'!R$10),0)*new_xrate</f>
        <v>0</v>
      </c>
      <c r="S677" s="441"/>
      <c r="T677" s="334">
        <f>_xlfn.IFNA(IF(pStartYear+5&gt;pEndYear,0,VLOOKUP(CONCATENATE(
IF(OR($D677="Continuing",$D677="Fixed-Term"),"Fortnight",IF($D677="Casual","Casual",)),
$E677,
IF(OR($D677="Continuing",$D677="Fixed-Term"),
IF(LEFT($F677,6)="UOM 10","UOM 10",(LEFT($F677,LEN($F677)-1)&amp;MIN(RIGHT($F677,1)+COUNTIFS($J678:S678,"&gt;0")/2,VLOOKUP(LEFT($F677,LEN($F677)-2),tSalaryMax,2,FALSE)))),
IF($D677="Casual",
$F677,))
),tSalaryRate,5,FALSE)*VLOOKUP($G677,tSalaryRateMultiplier,2,FALSE)*'PART B Staff Costs'!T$10),0)*new_xrate</f>
        <v>0</v>
      </c>
      <c r="U677" s="449"/>
      <c r="V677" s="333">
        <f>_xlfn.IFNA(IF(pStartYear+6&gt;pEndYear,0,VLOOKUP(CONCATENATE(
IF(OR($D677="Continuing",$D677="Fixed-Term"),"Fortnight",IF($D677="Casual","Casual",)),
$E677,
IF(OR($D677="Continuing",$D677="Fixed-Term"),
IF(LEFT($F677,6)="UOM 10","UOM 10",(LEFT($F677,LEN($F677)-1)&amp;MIN(RIGHT($F677,1)+COUNTIFS($J678:U678,"&gt;0")/2,VLOOKUP(LEFT($F677,LEN($F677)-2),tSalaryMax,2,FALSE)))),
IF($D677="Casual",
$F677,))
),tSalaryRate,5,FALSE)*VLOOKUP($G677,tSalaryRateMultiplier,2,FALSE)*'PART B Staff Costs'!V$10),0)*new_xrate</f>
        <v>0</v>
      </c>
      <c r="W677" s="441"/>
      <c r="X677" s="334">
        <f>_xlfn.IFNA(IF(pStartYear+7&gt;pEndYear,0,VLOOKUP(CONCATENATE(
IF(OR($D677="Continuing",$D677="Fixed-Term"),"Fortnight",IF($D677="Casual","Casual",)),
$E677,
IF(OR($D677="Continuing",$D677="Fixed-Term"),
IF(LEFT($F677,6)="UOM 10","UOM 10",(LEFT($F677,LEN($F677)-1)&amp;MIN(RIGHT($F677,1)+COUNTIFS($J678:W678,"&gt;0")/2,VLOOKUP(LEFT($F677,LEN($F677)-2),tSalaryMax,2,FALSE)))),
IF($D677="Casual",
$F677,))
),tSalaryRate,5,FALSE)*VLOOKUP($G677,tSalaryRateMultiplier,2,FALSE)*'PART B Staff Costs'!X$10),0)*new_xrate</f>
        <v>0</v>
      </c>
      <c r="Y677" s="449"/>
      <c r="Z677" s="333">
        <f>_xlfn.IFNA(IF(pStartYear+8&gt;pEndYear,0,VLOOKUP(CONCATENATE(
IF(OR($D677="Continuing",$D677="Fixed-Term"),"Fortnight",IF($D677="Casual","Casual",)),
$E677,
IF(OR($D677="Continuing",$D677="Fixed-Term"),
IF(LEFT($F677,6)="UOM 10","UOM 10",(LEFT($F677,LEN($F677)-1)&amp;MIN(RIGHT($F677,1)+COUNTIFS($J678:Y678,"&gt;0")/2,VLOOKUP(LEFT($F677,LEN($F677)-2),tSalaryMax,2,FALSE)))),
IF($D677="Casual",
$F677,))
),tSalaryRate,5,FALSE)*VLOOKUP($G677,tSalaryRateMultiplier,2,FALSE)*'PART B Staff Costs'!Z$10),0)*new_xrate</f>
        <v>0</v>
      </c>
      <c r="AA677" s="441"/>
      <c r="AB677" s="334">
        <f>_xlfn.IFNA(IF(pStartYear+9&gt;pEndYear,0,VLOOKUP(CONCATENATE(
IF(OR($D677="Continuing",$D677="Fixed-Term"),"Fortnight",IF($D677="Casual","Casual",)),
$E677,
IF(OR($D677="Continuing",$D677="Fixed-Term"),
IF(LEFT($F677,6)="UOM 10","UOM 10",(LEFT($F677,LEN($F677)-1)&amp;MIN(RIGHT($F677,1)+COUNTIFS($J678:AA678,"&gt;0")/2,VLOOKUP(LEFT($F677,LEN($F677)-2),tSalaryMax,2,FALSE)))),
IF($D677="Casual",
$F677,))
),tSalaryRate,5,FALSE)*VLOOKUP($G677,tSalaryRateMultiplier,2,FALSE)*'PART B Staff Costs'!AB$10),0)*new_xrate</f>
        <v>0</v>
      </c>
      <c r="AC677" s="449"/>
      <c r="AD677" s="335"/>
      <c r="AE677" s="1152"/>
      <c r="AF677" s="1152"/>
      <c r="AG677" s="1152"/>
      <c r="AH677" s="1152"/>
      <c r="AI677" s="1152"/>
      <c r="AJ677" s="1152"/>
      <c r="AK677" s="1152"/>
      <c r="AL677" s="1152"/>
      <c r="AM677" s="1152"/>
      <c r="AN677" s="1152"/>
      <c r="AO677" s="1152"/>
      <c r="AP677" s="1152"/>
      <c r="AQ677" s="1152"/>
      <c r="AR677" s="1152"/>
      <c r="AS677" s="1152"/>
      <c r="AT677" s="1152"/>
      <c r="AU677" s="1152"/>
      <c r="AV677" s="1152"/>
      <c r="AW677" s="1152"/>
      <c r="AX677" s="1152"/>
      <c r="AY677" s="1152"/>
      <c r="AZ677" s="1152"/>
      <c r="BA677" s="1152"/>
      <c r="BB677" s="1152"/>
      <c r="BC677" s="1152"/>
      <c r="BD677" s="1152"/>
    </row>
    <row r="678" spans="1:56" hidden="1" outlineLevel="1" x14ac:dyDescent="0.3">
      <c r="A678" s="1182"/>
      <c r="B678" s="1377"/>
      <c r="C678" s="1377"/>
      <c r="D678" s="1377"/>
      <c r="E678" s="1377"/>
      <c r="F678" s="1377"/>
      <c r="G678" s="1377"/>
      <c r="H678" s="1378"/>
      <c r="I678" s="455" t="str">
        <f>IF('PART B Staff Costs'!G673&lt;&gt;"",CONCATENATE("Time/Requested salary"," (",'PART B Staff Costs'!G673,")"),"Time/Requested salary")</f>
        <v>Time/Requested salary</v>
      </c>
      <c r="J678" s="337">
        <f>_xlfn.IFNA('PART B Staff Costs'!I68,0)</f>
        <v>0</v>
      </c>
      <c r="K678" s="442">
        <f>IF('PART B Staff Costs'!$G$68="FTE",J678*J677*(First_year_fraction/12),J678*J677)</f>
        <v>0</v>
      </c>
      <c r="L678" s="338">
        <f>_xlfn.IFNA('PART B Staff Costs'!K68,0)</f>
        <v>0</v>
      </c>
      <c r="M678" s="450">
        <f>IF(pStartYear+1=pEndYear,IF('PART B Staff Costs'!$G$68="FTE",(L678*L677)*Last_Year_Fraction/12,L678*L677),L678*L677)</f>
        <v>0</v>
      </c>
      <c r="N678" s="337">
        <f>_xlfn.IFNA('PART B Staff Costs'!M68,0)</f>
        <v>0</v>
      </c>
      <c r="O678" s="442">
        <f>IF(pStartYear+2=pEndYear,IF('PART B Staff Costs'!$G$68="FTE",(N678*N677)*Last_Year_Fraction/12,N678*N677),N678*N677)</f>
        <v>0</v>
      </c>
      <c r="P678" s="338">
        <f>_xlfn.IFNA('PART B Staff Costs'!O68,0)</f>
        <v>0</v>
      </c>
      <c r="Q678" s="450">
        <f>IF(pStartYear+3=pEndYear,IF('PART B Staff Costs'!$G$68="FTE",(P678*P677)*Last_Year_Fraction/12,P678*P677),P678*P677)</f>
        <v>0</v>
      </c>
      <c r="R678" s="337">
        <f>_xlfn.IFNA('PART B Staff Costs'!Q68,0)</f>
        <v>0</v>
      </c>
      <c r="S678" s="442">
        <f>IF(pStartYear+4=pEndYear,IF('PART B Staff Costs'!$G$68="FTE",(R678*R677)*Last_Year_Fraction/12,R678*R677),R678*R677)</f>
        <v>0</v>
      </c>
      <c r="T678" s="338">
        <f>_xlfn.IFNA('PART B Staff Costs'!S68,0)</f>
        <v>0</v>
      </c>
      <c r="U678" s="450">
        <f>IF(pStartYear+5=pEndYear,IF('PART B Staff Costs'!$G$68="FTE",(T678*T677)*Last_Year_Fraction/12,T678*T677),T678*T677)</f>
        <v>0</v>
      </c>
      <c r="V678" s="337">
        <f>_xlfn.IFNA('PART B Staff Costs'!U68,0)</f>
        <v>0</v>
      </c>
      <c r="W678" s="442">
        <f>IF(pStartYear+6=pEndYear,IF('PART B Staff Costs'!$G$68="FTE",(V678*V677)*Last_Year_Fraction/12,V678*V677),V678*V677)</f>
        <v>0</v>
      </c>
      <c r="X678" s="338">
        <f>_xlfn.IFNA('PART B Staff Costs'!W68,0)</f>
        <v>0</v>
      </c>
      <c r="Y678" s="450">
        <f>IF(pStartYear+7=pEndYear,IF('PART B Staff Costs'!$G$68="FTE",(X678*X677)*Last_Year_Fraction/12,X678*X677),X678*X677)</f>
        <v>0</v>
      </c>
      <c r="Z678" s="337">
        <f>_xlfn.IFNA('PART B Staff Costs'!Y68,0)</f>
        <v>0</v>
      </c>
      <c r="AA678" s="442">
        <f>IF(pStartYear+8=pEndYear,IF('PART B Staff Costs'!$G$68="FTE",(Z678*Z677)*Last_Year_Fraction/12,Z678*Z677),Z678*Z677)</f>
        <v>0</v>
      </c>
      <c r="AB678" s="338">
        <f>_xlfn.IFNA('PART B Staff Costs'!AA68,0)</f>
        <v>0</v>
      </c>
      <c r="AC678" s="450">
        <f>IF(pStartYear+9=pEndYear,IF('PART B Staff Costs'!$G$68="FTE",(AB678*AB677)*Last_Year_Fraction/12,AB678*AB677),AB678*AB677)</f>
        <v>0</v>
      </c>
      <c r="AD678" s="335"/>
      <c r="AE678" s="1152"/>
      <c r="AF678" s="1152"/>
      <c r="AG678" s="1152"/>
      <c r="AH678" s="1152"/>
      <c r="AI678" s="1152"/>
      <c r="AJ678" s="1152"/>
      <c r="AK678" s="1152"/>
      <c r="AL678" s="1152"/>
      <c r="AM678" s="1152"/>
      <c r="AN678" s="1152"/>
      <c r="AO678" s="1152"/>
      <c r="AP678" s="1152"/>
      <c r="AQ678" s="1152"/>
      <c r="AR678" s="1152"/>
      <c r="AS678" s="1152"/>
      <c r="AT678" s="1152"/>
      <c r="AU678" s="1152"/>
      <c r="AV678" s="1152"/>
      <c r="AW678" s="1152"/>
      <c r="AX678" s="1152"/>
      <c r="AY678" s="1152"/>
      <c r="AZ678" s="1152"/>
      <c r="BA678" s="1152"/>
      <c r="BB678" s="1152"/>
      <c r="BC678" s="1152"/>
      <c r="BD678" s="1152"/>
    </row>
    <row r="679" spans="1:56" hidden="1" outlineLevel="1" x14ac:dyDescent="0.3">
      <c r="A679" s="1182"/>
      <c r="B679" s="1379"/>
      <c r="C679" s="1379"/>
      <c r="D679" s="1379"/>
      <c r="E679" s="1379"/>
      <c r="F679" s="1379"/>
      <c r="G679" s="1379"/>
      <c r="H679" s="1380"/>
      <c r="I679" s="455" t="str">
        <f>IF(tbBudgetCurrency="AUD - Australian Dollar",CONCATENATE("Leave Loading (max of AU$",vl_Max_Leave_Loading,")"),CONCATENATE("Leave Loading (max of ",ROUND(vl_Max_Leave_Loading*new_xrate,2)," ",LEFT(tbBudgetCurrency,3),")"))</f>
        <v>Leave Loading (max of AU$1611.3)</v>
      </c>
      <c r="J679" s="339">
        <f>_xlfn.IFNA(VLOOKUP($D677,tbLeaveLoading,2,FALSE),0)</f>
        <v>0</v>
      </c>
      <c r="K679" s="443">
        <f>IF(K678*J679&gt;vl_Max_Leave_Loading*new_xrate,vl_Max_Leave_Loading*new_xrate,K678*J679)</f>
        <v>0</v>
      </c>
      <c r="L679" s="340">
        <f>_xlfn.IFNA(VLOOKUP($D677,tbLeaveLoading,2,FALSE),0)</f>
        <v>0</v>
      </c>
      <c r="M679" s="451">
        <f>IF(M678*L679&gt;vl_Max_Leave_Loading*new_xrate,vl_Max_Leave_Loading*new_xrate,M678*L679)</f>
        <v>0</v>
      </c>
      <c r="N679" s="339">
        <f>_xlfn.IFNA(VLOOKUP($D677,tbLeaveLoading,2,FALSE),0)</f>
        <v>0</v>
      </c>
      <c r="O679" s="443">
        <f>IF(O678*N679&gt;vl_Max_Leave_Loading*new_xrate,vl_Max_Leave_Loading*new_xrate,O678*N679)</f>
        <v>0</v>
      </c>
      <c r="P679" s="340">
        <f>_xlfn.IFNA(VLOOKUP($D677,tbLeaveLoading,2,FALSE),0)</f>
        <v>0</v>
      </c>
      <c r="Q679" s="451">
        <f>IF(Q678*P679&gt;vl_Max_Leave_Loading*new_xrate,vl_Max_Leave_Loading*new_xrate,Q678*P679)</f>
        <v>0</v>
      </c>
      <c r="R679" s="339">
        <f>_xlfn.IFNA(VLOOKUP($D677,tbLeaveLoading,2,FALSE),0)</f>
        <v>0</v>
      </c>
      <c r="S679" s="443">
        <f>IF(S678*R679&gt;vl_Max_Leave_Loading*new_xrate,vl_Max_Leave_Loading*new_xrate,S678*R679)</f>
        <v>0</v>
      </c>
      <c r="T679" s="340">
        <f>_xlfn.IFNA(VLOOKUP($D677,tbLeaveLoading,2,FALSE),0)</f>
        <v>0</v>
      </c>
      <c r="U679" s="451">
        <f>IF(U678*T679&gt;vl_Max_Leave_Loading*new_xrate,vl_Max_Leave_Loading*new_xrate,U678*T679)</f>
        <v>0</v>
      </c>
      <c r="V679" s="339">
        <f>_xlfn.IFNA(VLOOKUP($D677,tbLeaveLoading,2,FALSE),0)</f>
        <v>0</v>
      </c>
      <c r="W679" s="443">
        <f>IF(W678*V679&gt;vl_Max_Leave_Loading*new_xrate,vl_Max_Leave_Loading*new_xrate,W678*V679)</f>
        <v>0</v>
      </c>
      <c r="X679" s="340">
        <f>_xlfn.IFNA(VLOOKUP($D677,tbLeaveLoading,2,FALSE),0)</f>
        <v>0</v>
      </c>
      <c r="Y679" s="451">
        <f>IF(Y678*X679&gt;vl_Max_Leave_Loading*new_xrate,vl_Max_Leave_Loading*new_xrate,Y678*X679)</f>
        <v>0</v>
      </c>
      <c r="Z679" s="339">
        <f>_xlfn.IFNA(VLOOKUP($D677,tbLeaveLoading,2,FALSE),0)</f>
        <v>0</v>
      </c>
      <c r="AA679" s="443">
        <f>IF(AA678*Z679&gt;vl_Max_Leave_Loading*new_xrate,vl_Max_Leave_Loading*new_xrate,AA678*Z679)</f>
        <v>0</v>
      </c>
      <c r="AB679" s="340">
        <f>_xlfn.IFNA(VLOOKUP($D677,tbLeaveLoading,2,FALSE),0)</f>
        <v>0</v>
      </c>
      <c r="AC679" s="451">
        <f>IF(AC678*AB679&gt;vl_Max_Leave_Loading*new_xrate,vl_Max_Leave_Loading*new_xrate,AC678*AB679)</f>
        <v>0</v>
      </c>
      <c r="AD679" s="335"/>
      <c r="AE679" s="1152"/>
      <c r="AF679" s="1152"/>
      <c r="AG679" s="1152"/>
      <c r="AH679" s="1152"/>
      <c r="AI679" s="1152"/>
      <c r="AJ679" s="1152"/>
      <c r="AK679" s="1152"/>
      <c r="AL679" s="1152"/>
      <c r="AM679" s="1152"/>
      <c r="AN679" s="1152"/>
      <c r="AO679" s="1152"/>
      <c r="AP679" s="1152"/>
      <c r="AQ679" s="1152"/>
      <c r="AR679" s="1152"/>
      <c r="AS679" s="1152"/>
      <c r="AT679" s="1152"/>
      <c r="AU679" s="1152"/>
      <c r="AV679" s="1152"/>
      <c r="AW679" s="1152"/>
      <c r="AX679" s="1152"/>
      <c r="AY679" s="1152"/>
      <c r="AZ679" s="1152"/>
      <c r="BA679" s="1152"/>
      <c r="BB679" s="1152"/>
      <c r="BC679" s="1152"/>
      <c r="BD679" s="1152"/>
    </row>
    <row r="680" spans="1:56" hidden="1" outlineLevel="1" x14ac:dyDescent="0.3">
      <c r="A680" s="1182"/>
      <c r="B680" s="1379"/>
      <c r="C680" s="1379"/>
      <c r="D680" s="1379"/>
      <c r="E680" s="1379"/>
      <c r="F680" s="1379"/>
      <c r="G680" s="1379"/>
      <c r="H680" s="1380"/>
      <c r="I680" s="455" t="s">
        <v>314</v>
      </c>
      <c r="J680" s="339">
        <f>_xlfn.IFNA(_xlfn.IFNA(VLOOKUP(CONCATENATE(pStartYear,$D677),tbSuperannuation,4,FALSE),VLOOKUP($D677,tbSuperannuation2026onwards,2,FALSE)),0)</f>
        <v>0</v>
      </c>
      <c r="K680" s="443">
        <f>K678*J680</f>
        <v>0</v>
      </c>
      <c r="L680" s="340">
        <f>_xlfn.IFNA(_xlfn.IFNA(VLOOKUP(CONCATENATE(pStartYear+1,$D677),tbSuperannuation,4,FALSE),VLOOKUP($D677,tbSuperannuation2026onwards,2,FALSE)),0)</f>
        <v>0</v>
      </c>
      <c r="M680" s="451">
        <f t="shared" ref="M680" si="2960">M678*L680</f>
        <v>0</v>
      </c>
      <c r="N680" s="339">
        <f>_xlfn.IFNA(_xlfn.IFNA(VLOOKUP(CONCATENATE(pStartYear+2,$D677),tbSuperannuation,4,FALSE),VLOOKUP($D677,tbSuperannuation2026onwards,2,FALSE)),0)</f>
        <v>0</v>
      </c>
      <c r="O680" s="443">
        <f>O678*N680</f>
        <v>0</v>
      </c>
      <c r="P680" s="340">
        <f>_xlfn.IFNA(_xlfn.IFNA(VLOOKUP(CONCATENATE(pStartYear+3,$D677),tbSuperannuation,4,FALSE),VLOOKUP($D677,tbSuperannuation2026onwards,2,FALSE)),0)</f>
        <v>0</v>
      </c>
      <c r="Q680" s="451">
        <f t="shared" ref="Q680" si="2961">Q678*P680</f>
        <v>0</v>
      </c>
      <c r="R680" s="339">
        <f>_xlfn.IFNA(_xlfn.IFNA(VLOOKUP(CONCATENATE(pStartYear+4,$D677),tbSuperannuation,4,FALSE),VLOOKUP($D677,tbSuperannuation2026onwards,2,FALSE)),0)</f>
        <v>0</v>
      </c>
      <c r="S680" s="443">
        <f>S678*R680</f>
        <v>0</v>
      </c>
      <c r="T680" s="340">
        <f>_xlfn.IFNA(_xlfn.IFNA(VLOOKUP(CONCATENATE(pStartYear+5,$D677),tbSuperannuation,4,FALSE),VLOOKUP($D677,tbSuperannuation2026onwards,2,FALSE)),0)</f>
        <v>0</v>
      </c>
      <c r="U680" s="451">
        <f t="shared" ref="U680" si="2962">U678*T680</f>
        <v>0</v>
      </c>
      <c r="V680" s="339">
        <f>_xlfn.IFNA(_xlfn.IFNA(VLOOKUP(CONCATENATE(pStartYear+6,$D677),tbSuperannuation,4,FALSE),VLOOKUP($D677,tbSuperannuation2026onwards,2,FALSE)),0)</f>
        <v>0</v>
      </c>
      <c r="W680" s="443">
        <f>W678*V680</f>
        <v>0</v>
      </c>
      <c r="X680" s="340">
        <f>_xlfn.IFNA(_xlfn.IFNA(VLOOKUP(CONCATENATE(pStartYear+7,$D677),tbSuperannuation,4,FALSE),VLOOKUP($D677,tbSuperannuation2026onwards,2,FALSE)),0)</f>
        <v>0</v>
      </c>
      <c r="Y680" s="451">
        <f t="shared" ref="Y680" si="2963">Y678*X680</f>
        <v>0</v>
      </c>
      <c r="Z680" s="339">
        <f>_xlfn.IFNA(_xlfn.IFNA(VLOOKUP(CONCATENATE(pStartYear+8,$D677),tbSuperannuation,4,FALSE),VLOOKUP($D677,tbSuperannuation2026onwards,2,FALSE)),0)</f>
        <v>0</v>
      </c>
      <c r="AA680" s="443">
        <f>AA678*Z680</f>
        <v>0</v>
      </c>
      <c r="AB680" s="340">
        <f>_xlfn.IFNA(_xlfn.IFNA(VLOOKUP(CONCATENATE(pStartYear+9,$D677),tbSuperannuation,4,FALSE),VLOOKUP($D677,tbSuperannuation2026onwards,2,FALSE)),0)</f>
        <v>0</v>
      </c>
      <c r="AC680" s="451">
        <f t="shared" ref="AC680" si="2964">AC678*AB680</f>
        <v>0</v>
      </c>
      <c r="AD680" s="335"/>
      <c r="AE680" s="1152"/>
      <c r="AF680" s="1152"/>
      <c r="AG680" s="1152"/>
      <c r="AH680" s="1152"/>
      <c r="AI680" s="1152"/>
      <c r="AJ680" s="1152"/>
      <c r="AK680" s="1152"/>
      <c r="AL680" s="1152"/>
      <c r="AM680" s="1152"/>
      <c r="AN680" s="1152"/>
      <c r="AO680" s="1152"/>
      <c r="AP680" s="1152"/>
      <c r="AQ680" s="1152"/>
      <c r="AR680" s="1152"/>
      <c r="AS680" s="1152"/>
      <c r="AT680" s="1152"/>
      <c r="AU680" s="1152"/>
      <c r="AV680" s="1152"/>
      <c r="AW680" s="1152"/>
      <c r="AX680" s="1152"/>
      <c r="AY680" s="1152"/>
      <c r="AZ680" s="1152"/>
      <c r="BA680" s="1152"/>
      <c r="BB680" s="1152"/>
      <c r="BC680" s="1152"/>
      <c r="BD680" s="1152"/>
    </row>
    <row r="681" spans="1:56" hidden="1" outlineLevel="1" x14ac:dyDescent="0.3">
      <c r="A681" s="1182"/>
      <c r="B681" s="1379"/>
      <c r="C681" s="1379"/>
      <c r="D681" s="1379"/>
      <c r="E681" s="1379"/>
      <c r="F681" s="1379"/>
      <c r="G681" s="1379"/>
      <c r="H681" s="1380"/>
      <c r="I681" s="341" t="s">
        <v>315</v>
      </c>
      <c r="J681" s="342"/>
      <c r="K681" s="444">
        <f>K679+K680+K678</f>
        <v>0</v>
      </c>
      <c r="L681" s="342"/>
      <c r="M681" s="444">
        <f t="shared" ref="M681" si="2965">M679+M680+M678</f>
        <v>0</v>
      </c>
      <c r="N681" s="342"/>
      <c r="O681" s="444">
        <f>O679+O680+O678</f>
        <v>0</v>
      </c>
      <c r="P681" s="342"/>
      <c r="Q681" s="444">
        <f t="shared" ref="Q681" si="2966">Q679+Q680+Q678</f>
        <v>0</v>
      </c>
      <c r="R681" s="342"/>
      <c r="S681" s="444">
        <f>S679+S680+S678</f>
        <v>0</v>
      </c>
      <c r="T681" s="342"/>
      <c r="U681" s="444">
        <f t="shared" ref="U681" si="2967">U679+U680+U678</f>
        <v>0</v>
      </c>
      <c r="V681" s="342"/>
      <c r="W681" s="444">
        <f>W679+W680+W678</f>
        <v>0</v>
      </c>
      <c r="X681" s="342"/>
      <c r="Y681" s="444">
        <f t="shared" ref="Y681" si="2968">Y679+Y680+Y678</f>
        <v>0</v>
      </c>
      <c r="Z681" s="342"/>
      <c r="AA681" s="444">
        <f>AA679+AA680+AA678</f>
        <v>0</v>
      </c>
      <c r="AB681" s="342"/>
      <c r="AC681" s="444">
        <f t="shared" ref="AC681" si="2969">AC679+AC680+AC678</f>
        <v>0</v>
      </c>
      <c r="AD681" s="335">
        <f t="shared" si="2799"/>
        <v>0</v>
      </c>
      <c r="AE681" s="1152"/>
      <c r="AF681" s="1152"/>
      <c r="AG681" s="1152"/>
      <c r="AH681" s="1152"/>
      <c r="AI681" s="1152"/>
      <c r="AJ681" s="1152"/>
      <c r="AK681" s="1152"/>
      <c r="AL681" s="1152"/>
      <c r="AM681" s="1152"/>
      <c r="AN681" s="1152"/>
      <c r="AO681" s="1152"/>
      <c r="AP681" s="1152"/>
      <c r="AQ681" s="1152"/>
      <c r="AR681" s="1152"/>
      <c r="AS681" s="1152"/>
      <c r="AT681" s="1152"/>
      <c r="AU681" s="1152"/>
      <c r="AV681" s="1152"/>
      <c r="AW681" s="1152"/>
      <c r="AX681" s="1152"/>
      <c r="AY681" s="1152"/>
      <c r="AZ681" s="1152"/>
      <c r="BA681" s="1152"/>
      <c r="BB681" s="1152"/>
      <c r="BC681" s="1152"/>
      <c r="BD681" s="1152"/>
    </row>
    <row r="682" spans="1:56" hidden="1" outlineLevel="1" x14ac:dyDescent="0.3">
      <c r="A682" s="1182"/>
      <c r="B682" s="1379"/>
      <c r="C682" s="1379"/>
      <c r="D682" s="1379"/>
      <c r="E682" s="1379"/>
      <c r="F682" s="1379"/>
      <c r="G682" s="1379"/>
      <c r="H682" s="1380"/>
      <c r="I682" s="455" t="s">
        <v>316</v>
      </c>
      <c r="J682" s="339">
        <f>_xlfn.IFNA(_xlfn.IFNA(VLOOKUP(pStartYear,tbPayrollTax,2,FALSE),vl_MaxPayrollTax),0)</f>
        <v>5.8500000000000003E-2</v>
      </c>
      <c r="K682" s="443">
        <f>J682*K681</f>
        <v>0</v>
      </c>
      <c r="L682" s="340">
        <f>_xlfn.IFNA(_xlfn.IFNA(VLOOKUP(pStartYear+1,tbPayrollTax,2,FALSE),vl_MaxPayrollTax),0)</f>
        <v>5.8500000000000003E-2</v>
      </c>
      <c r="M682" s="451">
        <f t="shared" ref="M682" si="2970">L682*M681</f>
        <v>0</v>
      </c>
      <c r="N682" s="339">
        <f>_xlfn.IFNA(_xlfn.IFNA(VLOOKUP(pStartYear+2,tbPayrollTax,2,FALSE),vl_MaxPayrollTax),0)</f>
        <v>5.8500000000000003E-2</v>
      </c>
      <c r="O682" s="443">
        <f>N682*O681</f>
        <v>0</v>
      </c>
      <c r="P682" s="340">
        <f>_xlfn.IFNA(_xlfn.IFNA(VLOOKUP(pStartYear+3,tbPayrollTax,2,FALSE),vl_MaxPayrollTax),0)</f>
        <v>5.8500000000000003E-2</v>
      </c>
      <c r="Q682" s="451">
        <f t="shared" ref="Q682" si="2971">P682*Q681</f>
        <v>0</v>
      </c>
      <c r="R682" s="339">
        <f>_xlfn.IFNA(_xlfn.IFNA(VLOOKUP(pStartYear+4,tbPayrollTax,2,FALSE),vl_MaxPayrollTax),0)</f>
        <v>5.8500000000000003E-2</v>
      </c>
      <c r="S682" s="443">
        <f>R682*S681</f>
        <v>0</v>
      </c>
      <c r="T682" s="340">
        <f>_xlfn.IFNA(_xlfn.IFNA(VLOOKUP(pStartYear+5,tbPayrollTax,2,FALSE),vl_MaxPayrollTax),0)</f>
        <v>5.8500000000000003E-2</v>
      </c>
      <c r="U682" s="451">
        <f t="shared" ref="U682" si="2972">T682*U681</f>
        <v>0</v>
      </c>
      <c r="V682" s="339">
        <f>_xlfn.IFNA(_xlfn.IFNA(VLOOKUP(pStartYear+6,tbPayrollTax,2,FALSE),vl_MaxPayrollTax),0)</f>
        <v>5.8500000000000003E-2</v>
      </c>
      <c r="W682" s="443">
        <f>V682*W681</f>
        <v>0</v>
      </c>
      <c r="X682" s="340">
        <f>_xlfn.IFNA(_xlfn.IFNA(VLOOKUP(pStartYear+7,tbPayrollTax,2,FALSE),vl_MaxPayrollTax),0)</f>
        <v>5.8500000000000003E-2</v>
      </c>
      <c r="Y682" s="451">
        <f t="shared" ref="Y682" si="2973">X682*Y681</f>
        <v>0</v>
      </c>
      <c r="Z682" s="339">
        <f>_xlfn.IFNA(_xlfn.IFNA(VLOOKUP(pStartYear+8,tbPayrollTax,2,FALSE),vl_MaxPayrollTax),0)</f>
        <v>5.8500000000000003E-2</v>
      </c>
      <c r="AA682" s="443">
        <f>Z682*AA681</f>
        <v>0</v>
      </c>
      <c r="AB682" s="340">
        <f>_xlfn.IFNA(_xlfn.IFNA(VLOOKUP(pStartYear+9,tbPayrollTax,2,FALSE),vl_MaxPayrollTax),0)</f>
        <v>5.8500000000000003E-2</v>
      </c>
      <c r="AC682" s="451">
        <f t="shared" ref="AC682" si="2974">AB682*AC681</f>
        <v>0</v>
      </c>
      <c r="AD682" s="335"/>
      <c r="AE682" s="1152"/>
      <c r="AF682" s="1152"/>
      <c r="AG682" s="1152"/>
      <c r="AH682" s="1152"/>
      <c r="AI682" s="1152"/>
      <c r="AJ682" s="1152"/>
      <c r="AK682" s="1152"/>
      <c r="AL682" s="1152"/>
      <c r="AM682" s="1152"/>
      <c r="AN682" s="1152"/>
      <c r="AO682" s="1152"/>
      <c r="AP682" s="1152"/>
      <c r="AQ682" s="1152"/>
      <c r="AR682" s="1152"/>
      <c r="AS682" s="1152"/>
      <c r="AT682" s="1152"/>
      <c r="AU682" s="1152"/>
      <c r="AV682" s="1152"/>
      <c r="AW682" s="1152"/>
      <c r="AX682" s="1152"/>
      <c r="AY682" s="1152"/>
      <c r="AZ682" s="1152"/>
      <c r="BA682" s="1152"/>
      <c r="BB682" s="1152"/>
      <c r="BC682" s="1152"/>
      <c r="BD682" s="1152"/>
    </row>
    <row r="683" spans="1:56" hidden="1" outlineLevel="1" x14ac:dyDescent="0.3">
      <c r="A683" s="1182"/>
      <c r="B683" s="1379"/>
      <c r="C683" s="1379"/>
      <c r="D683" s="1379"/>
      <c r="E683" s="1379"/>
      <c r="F683" s="1379"/>
      <c r="G683" s="1379"/>
      <c r="H683" s="1380"/>
      <c r="I683" s="455" t="s">
        <v>317</v>
      </c>
      <c r="J683" s="339">
        <f>_xlfn.IFNA(VLOOKUP($D677,tbWorkCover,2,FALSE),0)</f>
        <v>0</v>
      </c>
      <c r="K683" s="443">
        <f>J683*K681</f>
        <v>0</v>
      </c>
      <c r="L683" s="340">
        <f>_xlfn.IFNA(VLOOKUP($D677,tbWorkCover,2,FALSE),0)</f>
        <v>0</v>
      </c>
      <c r="M683" s="451">
        <f t="shared" ref="M683" si="2975">L683*M681</f>
        <v>0</v>
      </c>
      <c r="N683" s="339">
        <f>_xlfn.IFNA(VLOOKUP($D677,tbWorkCover,2,FALSE),0)</f>
        <v>0</v>
      </c>
      <c r="O683" s="443">
        <f>N683*O681</f>
        <v>0</v>
      </c>
      <c r="P683" s="340">
        <f>_xlfn.IFNA(VLOOKUP($D677,tbWorkCover,2,FALSE),0)</f>
        <v>0</v>
      </c>
      <c r="Q683" s="451">
        <f t="shared" ref="Q683" si="2976">P683*Q681</f>
        <v>0</v>
      </c>
      <c r="R683" s="339">
        <f>_xlfn.IFNA(VLOOKUP($D677,tbWorkCover,2,FALSE),0)</f>
        <v>0</v>
      </c>
      <c r="S683" s="443">
        <f>R683*S681</f>
        <v>0</v>
      </c>
      <c r="T683" s="340">
        <f>_xlfn.IFNA(VLOOKUP($D677,tbWorkCover,2,FALSE),0)</f>
        <v>0</v>
      </c>
      <c r="U683" s="451">
        <f t="shared" ref="U683" si="2977">T683*U681</f>
        <v>0</v>
      </c>
      <c r="V683" s="339">
        <f>_xlfn.IFNA(VLOOKUP($D677,tbWorkCover,2,FALSE),0)</f>
        <v>0</v>
      </c>
      <c r="W683" s="443">
        <f>V683*W681</f>
        <v>0</v>
      </c>
      <c r="X683" s="340">
        <f>_xlfn.IFNA(VLOOKUP($D677,tbWorkCover,2,FALSE),0)</f>
        <v>0</v>
      </c>
      <c r="Y683" s="451">
        <f t="shared" ref="Y683" si="2978">X683*Y681</f>
        <v>0</v>
      </c>
      <c r="Z683" s="339">
        <f>_xlfn.IFNA(VLOOKUP($D677,tbWorkCover,2,FALSE),0)</f>
        <v>0</v>
      </c>
      <c r="AA683" s="443">
        <f>Z683*AA681</f>
        <v>0</v>
      </c>
      <c r="AB683" s="340">
        <f>_xlfn.IFNA(VLOOKUP($D677,tbWorkCover,2,FALSE),0)</f>
        <v>0</v>
      </c>
      <c r="AC683" s="451">
        <f t="shared" ref="AC683" si="2979">AB683*AC681</f>
        <v>0</v>
      </c>
      <c r="AD683" s="335"/>
      <c r="AE683" s="1152"/>
      <c r="AF683" s="1152"/>
      <c r="AG683" s="1152"/>
      <c r="AH683" s="1152"/>
      <c r="AI683" s="1152"/>
      <c r="AJ683" s="1152"/>
      <c r="AK683" s="1152"/>
      <c r="AL683" s="1152"/>
      <c r="AM683" s="1152"/>
      <c r="AN683" s="1152"/>
      <c r="AO683" s="1152"/>
      <c r="AP683" s="1152"/>
      <c r="AQ683" s="1152"/>
      <c r="AR683" s="1152"/>
      <c r="AS683" s="1152"/>
      <c r="AT683" s="1152"/>
      <c r="AU683" s="1152"/>
      <c r="AV683" s="1152"/>
      <c r="AW683" s="1152"/>
      <c r="AX683" s="1152"/>
      <c r="AY683" s="1152"/>
      <c r="AZ683" s="1152"/>
      <c r="BA683" s="1152"/>
      <c r="BB683" s="1152"/>
      <c r="BC683" s="1152"/>
      <c r="BD683" s="1152"/>
    </row>
    <row r="684" spans="1:56" hidden="1" outlineLevel="1" x14ac:dyDescent="0.3">
      <c r="A684" s="1182"/>
      <c r="B684" s="1379"/>
      <c r="C684" s="1379"/>
      <c r="D684" s="1379"/>
      <c r="E684" s="1379"/>
      <c r="F684" s="1379"/>
      <c r="G684" s="1379"/>
      <c r="H684" s="1380"/>
      <c r="I684" s="455" t="s">
        <v>318</v>
      </c>
      <c r="J684" s="339">
        <f>_xlfn.IFNA(VLOOKUP($D677,tbLongServiceLeave,2,FALSE),0)</f>
        <v>0</v>
      </c>
      <c r="K684" s="443">
        <f>J684*K678</f>
        <v>0</v>
      </c>
      <c r="L684" s="340">
        <f>_xlfn.IFNA(VLOOKUP($D677,tbLongServiceLeave,2,FALSE),0)</f>
        <v>0</v>
      </c>
      <c r="M684" s="451">
        <f t="shared" ref="M684" si="2980">L684*M678</f>
        <v>0</v>
      </c>
      <c r="N684" s="339">
        <f>_xlfn.IFNA(VLOOKUP($D677,tbLongServiceLeave,2,FALSE),0)</f>
        <v>0</v>
      </c>
      <c r="O684" s="443">
        <f>N684*O678</f>
        <v>0</v>
      </c>
      <c r="P684" s="340">
        <f>_xlfn.IFNA(VLOOKUP($D677,tbLongServiceLeave,2,FALSE),0)</f>
        <v>0</v>
      </c>
      <c r="Q684" s="451">
        <f t="shared" ref="Q684" si="2981">P684*Q678</f>
        <v>0</v>
      </c>
      <c r="R684" s="339">
        <f>_xlfn.IFNA(VLOOKUP($D677,tbLongServiceLeave,2,FALSE),0)</f>
        <v>0</v>
      </c>
      <c r="S684" s="443">
        <f>R684*S678</f>
        <v>0</v>
      </c>
      <c r="T684" s="340">
        <f>_xlfn.IFNA(VLOOKUP($D677,tbLongServiceLeave,2,FALSE),0)</f>
        <v>0</v>
      </c>
      <c r="U684" s="451">
        <f t="shared" ref="U684" si="2982">T684*U678</f>
        <v>0</v>
      </c>
      <c r="V684" s="339">
        <f>_xlfn.IFNA(VLOOKUP($D677,tbLongServiceLeave,2,FALSE),0)</f>
        <v>0</v>
      </c>
      <c r="W684" s="443">
        <f>V684*W678</f>
        <v>0</v>
      </c>
      <c r="X684" s="340">
        <f>_xlfn.IFNA(VLOOKUP($D677,tbLongServiceLeave,2,FALSE),0)</f>
        <v>0</v>
      </c>
      <c r="Y684" s="451">
        <f t="shared" ref="Y684" si="2983">X684*Y678</f>
        <v>0</v>
      </c>
      <c r="Z684" s="339">
        <f>_xlfn.IFNA(VLOOKUP($D677,tbLongServiceLeave,2,FALSE),0)</f>
        <v>0</v>
      </c>
      <c r="AA684" s="443">
        <f>Z684*AA678</f>
        <v>0</v>
      </c>
      <c r="AB684" s="340">
        <f>_xlfn.IFNA(VLOOKUP($D677,tbLongServiceLeave,2,FALSE),0)</f>
        <v>0</v>
      </c>
      <c r="AC684" s="451">
        <f t="shared" ref="AC684" si="2984">AB684*AC678</f>
        <v>0</v>
      </c>
      <c r="AD684" s="335"/>
      <c r="AE684" s="1152"/>
      <c r="AF684" s="1152"/>
      <c r="AG684" s="1152"/>
      <c r="AH684" s="1152"/>
      <c r="AI684" s="1152"/>
      <c r="AJ684" s="1152"/>
      <c r="AK684" s="1152"/>
      <c r="AL684" s="1152"/>
      <c r="AM684" s="1152"/>
      <c r="AN684" s="1152"/>
      <c r="AO684" s="1152"/>
      <c r="AP684" s="1152"/>
      <c r="AQ684" s="1152"/>
      <c r="AR684" s="1152"/>
      <c r="AS684" s="1152"/>
      <c r="AT684" s="1152"/>
      <c r="AU684" s="1152"/>
      <c r="AV684" s="1152"/>
      <c r="AW684" s="1152"/>
      <c r="AX684" s="1152"/>
      <c r="AY684" s="1152"/>
      <c r="AZ684" s="1152"/>
      <c r="BA684" s="1152"/>
      <c r="BB684" s="1152"/>
      <c r="BC684" s="1152"/>
      <c r="BD684" s="1152"/>
    </row>
    <row r="685" spans="1:56" hidden="1" outlineLevel="1" x14ac:dyDescent="0.3">
      <c r="A685" s="1182"/>
      <c r="B685" s="1379"/>
      <c r="C685" s="1379"/>
      <c r="D685" s="1379"/>
      <c r="E685" s="1379"/>
      <c r="F685" s="1379"/>
      <c r="G685" s="1379"/>
      <c r="H685" s="1380"/>
      <c r="I685" s="455" t="s">
        <v>319</v>
      </c>
      <c r="J685" s="339">
        <f>_xlfn.IFNA(VLOOKUP($D677,tbParentalLeave,2,FALSE),0)</f>
        <v>0</v>
      </c>
      <c r="K685" s="443">
        <f>J685*K678</f>
        <v>0</v>
      </c>
      <c r="L685" s="340">
        <f>_xlfn.IFNA(VLOOKUP($D677,tbParentalLeave,2,FALSE),0)</f>
        <v>0</v>
      </c>
      <c r="M685" s="451">
        <f t="shared" ref="M685" si="2985">L685*M678</f>
        <v>0</v>
      </c>
      <c r="N685" s="339">
        <f>_xlfn.IFNA(VLOOKUP($D677,tbParentalLeave,2,FALSE),0)</f>
        <v>0</v>
      </c>
      <c r="O685" s="443">
        <f>N685*O678</f>
        <v>0</v>
      </c>
      <c r="P685" s="340">
        <f>_xlfn.IFNA(VLOOKUP($D677,tbParentalLeave,2,FALSE),0)</f>
        <v>0</v>
      </c>
      <c r="Q685" s="451">
        <f t="shared" ref="Q685" si="2986">P685*Q678</f>
        <v>0</v>
      </c>
      <c r="R685" s="339">
        <f>_xlfn.IFNA(VLOOKUP($D677,tbParentalLeave,2,FALSE),0)</f>
        <v>0</v>
      </c>
      <c r="S685" s="443">
        <f>R685*S678</f>
        <v>0</v>
      </c>
      <c r="T685" s="340">
        <f>_xlfn.IFNA(VLOOKUP($D677,tbParentalLeave,2,FALSE),0)</f>
        <v>0</v>
      </c>
      <c r="U685" s="451">
        <f t="shared" ref="U685" si="2987">T685*U678</f>
        <v>0</v>
      </c>
      <c r="V685" s="339">
        <f>_xlfn.IFNA(VLOOKUP($D677,tbParentalLeave,2,FALSE),0)</f>
        <v>0</v>
      </c>
      <c r="W685" s="443">
        <f>V685*W678</f>
        <v>0</v>
      </c>
      <c r="X685" s="340">
        <f>_xlfn.IFNA(VLOOKUP($D677,tbParentalLeave,2,FALSE),0)</f>
        <v>0</v>
      </c>
      <c r="Y685" s="451">
        <f t="shared" ref="Y685" si="2988">X685*Y678</f>
        <v>0</v>
      </c>
      <c r="Z685" s="339">
        <f>_xlfn.IFNA(VLOOKUP($D677,tbParentalLeave,2,FALSE),0)</f>
        <v>0</v>
      </c>
      <c r="AA685" s="443">
        <f>Z685*AA678</f>
        <v>0</v>
      </c>
      <c r="AB685" s="340">
        <f>_xlfn.IFNA(VLOOKUP($D677,tbParentalLeave,2,FALSE),0)</f>
        <v>0</v>
      </c>
      <c r="AC685" s="451">
        <f t="shared" ref="AC685" si="2989">AB685*AC678</f>
        <v>0</v>
      </c>
      <c r="AD685" s="335"/>
      <c r="AE685" s="1152"/>
      <c r="AF685" s="1152"/>
      <c r="AG685" s="1152"/>
      <c r="AH685" s="1152"/>
      <c r="AI685" s="1152"/>
      <c r="AJ685" s="1152"/>
      <c r="AK685" s="1152"/>
      <c r="AL685" s="1152"/>
      <c r="AM685" s="1152"/>
      <c r="AN685" s="1152"/>
      <c r="AO685" s="1152"/>
      <c r="AP685" s="1152"/>
      <c r="AQ685" s="1152"/>
      <c r="AR685" s="1152"/>
      <c r="AS685" s="1152"/>
      <c r="AT685" s="1152"/>
      <c r="AU685" s="1152"/>
      <c r="AV685" s="1152"/>
      <c r="AW685" s="1152"/>
      <c r="AX685" s="1152"/>
      <c r="AY685" s="1152"/>
      <c r="AZ685" s="1152"/>
      <c r="BA685" s="1152"/>
      <c r="BB685" s="1152"/>
      <c r="BC685" s="1152"/>
      <c r="BD685" s="1152"/>
    </row>
    <row r="686" spans="1:56" hidden="1" outlineLevel="1" x14ac:dyDescent="0.3">
      <c r="A686" s="1182"/>
      <c r="B686" s="1379"/>
      <c r="C686" s="1379"/>
      <c r="D686" s="1379"/>
      <c r="E686" s="1379"/>
      <c r="F686" s="1379"/>
      <c r="G686" s="1379"/>
      <c r="H686" s="1380"/>
      <c r="I686" s="437" t="s">
        <v>320</v>
      </c>
      <c r="J686" s="438">
        <f>vl_overridden_uom_oncosts_per</f>
        <v>0</v>
      </c>
      <c r="K686" s="445">
        <f>J686*K678</f>
        <v>0</v>
      </c>
      <c r="L686" s="438">
        <f>vl_overridden_uom_oncosts_per</f>
        <v>0</v>
      </c>
      <c r="M686" s="445">
        <f>L686*M678</f>
        <v>0</v>
      </c>
      <c r="N686" s="438">
        <f>vl_overridden_uom_oncosts_per</f>
        <v>0</v>
      </c>
      <c r="O686" s="445">
        <f t="shared" ref="O686" si="2990">N686*O678</f>
        <v>0</v>
      </c>
      <c r="P686" s="438">
        <f>vl_overridden_uom_oncosts_per</f>
        <v>0</v>
      </c>
      <c r="Q686" s="445">
        <f t="shared" ref="Q686" si="2991">P686*Q678</f>
        <v>0</v>
      </c>
      <c r="R686" s="438">
        <f>vl_overridden_uom_oncosts_per</f>
        <v>0</v>
      </c>
      <c r="S686" s="445">
        <f t="shared" ref="S686" si="2992">R686*S678</f>
        <v>0</v>
      </c>
      <c r="T686" s="438">
        <f>vl_overridden_uom_oncosts_per</f>
        <v>0</v>
      </c>
      <c r="U686" s="445">
        <f t="shared" ref="U686" si="2993">T686*U678</f>
        <v>0</v>
      </c>
      <c r="V686" s="438">
        <f>vl_overridden_uom_oncosts_per</f>
        <v>0</v>
      </c>
      <c r="W686" s="445">
        <f t="shared" ref="W686" si="2994">V686*W678</f>
        <v>0</v>
      </c>
      <c r="X686" s="438">
        <f>vl_overridden_uom_oncosts_per</f>
        <v>0</v>
      </c>
      <c r="Y686" s="445">
        <f t="shared" ref="Y686" si="2995">X686*Y678</f>
        <v>0</v>
      </c>
      <c r="Z686" s="438">
        <f>vl_overridden_uom_oncosts_per</f>
        <v>0</v>
      </c>
      <c r="AA686" s="445">
        <f t="shared" ref="AA686" si="2996">Z686*AA678</f>
        <v>0</v>
      </c>
      <c r="AB686" s="438">
        <f>vl_overridden_uom_oncosts_per</f>
        <v>0</v>
      </c>
      <c r="AC686" s="445">
        <f t="shared" ref="AC686" si="2997">AB686*AC678</f>
        <v>0</v>
      </c>
      <c r="AD686" s="335"/>
      <c r="AE686" s="1152"/>
      <c r="AF686" s="1152"/>
      <c r="AG686" s="1152"/>
      <c r="AH686" s="1152"/>
      <c r="AI686" s="1152"/>
      <c r="AJ686" s="1152"/>
      <c r="AK686" s="1152"/>
      <c r="AL686" s="1152"/>
      <c r="AM686" s="1152"/>
      <c r="AN686" s="1152"/>
      <c r="AO686" s="1152"/>
      <c r="AP686" s="1152"/>
      <c r="AQ686" s="1152"/>
      <c r="AR686" s="1152"/>
      <c r="AS686" s="1152"/>
      <c r="AT686" s="1152"/>
      <c r="AU686" s="1152"/>
      <c r="AV686" s="1152"/>
      <c r="AW686" s="1152"/>
      <c r="AX686" s="1152"/>
      <c r="AY686" s="1152"/>
      <c r="AZ686" s="1152"/>
      <c r="BA686" s="1152"/>
      <c r="BB686" s="1152"/>
      <c r="BC686" s="1152"/>
      <c r="BD686" s="1152"/>
    </row>
    <row r="687" spans="1:56" hidden="1" outlineLevel="1" x14ac:dyDescent="0.3">
      <c r="A687" s="1182"/>
      <c r="B687" s="1379"/>
      <c r="C687" s="1379"/>
      <c r="D687" s="1379"/>
      <c r="E687" s="1379"/>
      <c r="F687" s="1379"/>
      <c r="G687" s="1379"/>
      <c r="H687" s="1380"/>
      <c r="I687" s="341" t="s">
        <v>321</v>
      </c>
      <c r="J687" s="342"/>
      <c r="K687" s="444">
        <f>SUM(K681:K686)</f>
        <v>0</v>
      </c>
      <c r="L687" s="342"/>
      <c r="M687" s="444">
        <f t="shared" ref="M687" si="2998">SUM(M681:M686)</f>
        <v>0</v>
      </c>
      <c r="N687" s="342"/>
      <c r="O687" s="444">
        <f t="shared" ref="O687" si="2999">SUM(O681:O686)</f>
        <v>0</v>
      </c>
      <c r="P687" s="342"/>
      <c r="Q687" s="444">
        <f t="shared" ref="Q687" si="3000">SUM(Q681:Q686)</f>
        <v>0</v>
      </c>
      <c r="R687" s="342"/>
      <c r="S687" s="444">
        <f t="shared" ref="S687" si="3001">SUM(S681:S686)</f>
        <v>0</v>
      </c>
      <c r="T687" s="342"/>
      <c r="U687" s="444">
        <f t="shared" ref="U687" si="3002">SUM(U681:U686)</f>
        <v>0</v>
      </c>
      <c r="V687" s="342"/>
      <c r="W687" s="444">
        <f t="shared" ref="W687" si="3003">SUM(W681:W686)</f>
        <v>0</v>
      </c>
      <c r="X687" s="342"/>
      <c r="Y687" s="444">
        <f t="shared" ref="Y687" si="3004">SUM(Y681:Y686)</f>
        <v>0</v>
      </c>
      <c r="Z687" s="342"/>
      <c r="AA687" s="444">
        <f t="shared" ref="AA687" si="3005">SUM(AA681:AA686)</f>
        <v>0</v>
      </c>
      <c r="AB687" s="342"/>
      <c r="AC687" s="444">
        <f t="shared" ref="AC687" si="3006">SUM(AC681:AC686)</f>
        <v>0</v>
      </c>
      <c r="AD687" s="335">
        <f t="shared" si="2799"/>
        <v>0</v>
      </c>
      <c r="AE687" s="1152"/>
      <c r="AF687" s="1152"/>
      <c r="AG687" s="1152"/>
      <c r="AH687" s="1152"/>
      <c r="AI687" s="1152"/>
      <c r="AJ687" s="1152"/>
      <c r="AK687" s="1152"/>
      <c r="AL687" s="1152"/>
      <c r="AM687" s="1152"/>
      <c r="AN687" s="1152"/>
      <c r="AO687" s="1152"/>
      <c r="AP687" s="1152"/>
      <c r="AQ687" s="1152"/>
      <c r="AR687" s="1152"/>
      <c r="AS687" s="1152"/>
      <c r="AT687" s="1152"/>
      <c r="AU687" s="1152"/>
      <c r="AV687" s="1152"/>
      <c r="AW687" s="1152"/>
      <c r="AX687" s="1152"/>
      <c r="AY687" s="1152"/>
      <c r="AZ687" s="1152"/>
      <c r="BA687" s="1152"/>
      <c r="BB687" s="1152"/>
      <c r="BC687" s="1152"/>
      <c r="BD687" s="1152"/>
    </row>
    <row r="688" spans="1:56" hidden="1" outlineLevel="1" x14ac:dyDescent="0.3">
      <c r="A688" s="1182"/>
      <c r="B688" s="1379"/>
      <c r="C688" s="1379"/>
      <c r="D688" s="1379"/>
      <c r="E688" s="1379"/>
      <c r="F688" s="1379"/>
      <c r="G688" s="1379"/>
      <c r="H688" s="1380"/>
      <c r="I688" s="455" t="s">
        <v>322</v>
      </c>
      <c r="J688" s="339">
        <f>_xlfn.IFNA(VLOOKUP($D677,tbAnnualLeaveProvision,2,FALSE),0)</f>
        <v>0</v>
      </c>
      <c r="K688" s="443">
        <f>J688*K678</f>
        <v>0</v>
      </c>
      <c r="L688" s="340">
        <f>_xlfn.IFNA(VLOOKUP($D677,tbAnnualLeaveProvision,2,FALSE),0)</f>
        <v>0</v>
      </c>
      <c r="M688" s="451">
        <f t="shared" ref="M688" si="3007">L688*M678</f>
        <v>0</v>
      </c>
      <c r="N688" s="339">
        <f>_xlfn.IFNA(VLOOKUP($D677,tbAnnualLeaveProvision,2,FALSE),0)</f>
        <v>0</v>
      </c>
      <c r="O688" s="443">
        <f>N688*O678</f>
        <v>0</v>
      </c>
      <c r="P688" s="340">
        <f>_xlfn.IFNA(VLOOKUP($D677,tbAnnualLeaveProvision,2,FALSE),0)</f>
        <v>0</v>
      </c>
      <c r="Q688" s="451">
        <f t="shared" ref="Q688" si="3008">P688*Q678</f>
        <v>0</v>
      </c>
      <c r="R688" s="339">
        <f>_xlfn.IFNA(VLOOKUP($D677,tbAnnualLeaveProvision,2,FALSE),0)</f>
        <v>0</v>
      </c>
      <c r="S688" s="443">
        <f>R688*S678</f>
        <v>0</v>
      </c>
      <c r="T688" s="340">
        <f>_xlfn.IFNA(VLOOKUP($D677,tbAnnualLeaveProvision,2,FALSE),0)</f>
        <v>0</v>
      </c>
      <c r="U688" s="451">
        <f t="shared" ref="U688" si="3009">T688*U678</f>
        <v>0</v>
      </c>
      <c r="V688" s="339">
        <f>_xlfn.IFNA(VLOOKUP($D677,tbAnnualLeaveProvision,2,FALSE),0)</f>
        <v>0</v>
      </c>
      <c r="W688" s="443">
        <f>V688*W678</f>
        <v>0</v>
      </c>
      <c r="X688" s="340">
        <f>_xlfn.IFNA(VLOOKUP($D677,tbAnnualLeaveProvision,2,FALSE),0)</f>
        <v>0</v>
      </c>
      <c r="Y688" s="451">
        <f t="shared" ref="Y688" si="3010">X688*Y678</f>
        <v>0</v>
      </c>
      <c r="Z688" s="339">
        <f>_xlfn.IFNA(VLOOKUP($D677,tbAnnualLeaveProvision,2,FALSE),0)</f>
        <v>0</v>
      </c>
      <c r="AA688" s="443">
        <f>Z688*AA678</f>
        <v>0</v>
      </c>
      <c r="AB688" s="340">
        <f>_xlfn.IFNA(VLOOKUP($D677,tbAnnualLeaveProvision,2,FALSE),0)</f>
        <v>0</v>
      </c>
      <c r="AC688" s="451">
        <f t="shared" ref="AC688" si="3011">AB688*AC678</f>
        <v>0</v>
      </c>
      <c r="AD688" s="335"/>
      <c r="AE688" s="1152"/>
      <c r="AF688" s="1152"/>
      <c r="AG688" s="1152"/>
      <c r="AH688" s="1152"/>
      <c r="AI688" s="1152"/>
      <c r="AJ688" s="1152"/>
      <c r="AK688" s="1152"/>
      <c r="AL688" s="1152"/>
      <c r="AM688" s="1152"/>
      <c r="AN688" s="1152"/>
      <c r="AO688" s="1152"/>
      <c r="AP688" s="1152"/>
      <c r="AQ688" s="1152"/>
      <c r="AR688" s="1152"/>
      <c r="AS688" s="1152"/>
      <c r="AT688" s="1152"/>
      <c r="AU688" s="1152"/>
      <c r="AV688" s="1152"/>
      <c r="AW688" s="1152"/>
      <c r="AX688" s="1152"/>
      <c r="AY688" s="1152"/>
      <c r="AZ688" s="1152"/>
      <c r="BA688" s="1152"/>
      <c r="BB688" s="1152"/>
      <c r="BC688" s="1152"/>
      <c r="BD688" s="1152"/>
    </row>
    <row r="689" spans="1:56" hidden="1" outlineLevel="1" x14ac:dyDescent="0.3">
      <c r="A689" s="1182"/>
      <c r="B689" s="1379"/>
      <c r="C689" s="1379"/>
      <c r="D689" s="1379"/>
      <c r="E689" s="1379"/>
      <c r="F689" s="1379"/>
      <c r="G689" s="1379"/>
      <c r="H689" s="1380"/>
      <c r="I689" s="455" t="s">
        <v>330</v>
      </c>
      <c r="J689" s="339"/>
      <c r="K689" s="446">
        <f>K687+K688</f>
        <v>0</v>
      </c>
      <c r="L689" s="340"/>
      <c r="M689" s="452">
        <f t="shared" ref="M689" si="3012">M687+M688</f>
        <v>0</v>
      </c>
      <c r="N689" s="339"/>
      <c r="O689" s="446">
        <f>O687+O688</f>
        <v>0</v>
      </c>
      <c r="P689" s="340"/>
      <c r="Q689" s="452">
        <f t="shared" ref="Q689" si="3013">Q687+Q688</f>
        <v>0</v>
      </c>
      <c r="R689" s="339"/>
      <c r="S689" s="446">
        <f>S687+S688</f>
        <v>0</v>
      </c>
      <c r="T689" s="340"/>
      <c r="U689" s="452">
        <f t="shared" ref="U689" si="3014">U687+U688</f>
        <v>0</v>
      </c>
      <c r="V689" s="339"/>
      <c r="W689" s="446">
        <f>W687+W688</f>
        <v>0</v>
      </c>
      <c r="X689" s="340"/>
      <c r="Y689" s="452">
        <f t="shared" ref="Y689" si="3015">Y687+Y688</f>
        <v>0</v>
      </c>
      <c r="Z689" s="339"/>
      <c r="AA689" s="446">
        <f>AA687+AA688</f>
        <v>0</v>
      </c>
      <c r="AB689" s="340"/>
      <c r="AC689" s="452">
        <f t="shared" ref="AC689" si="3016">AC687+AC688</f>
        <v>0</v>
      </c>
      <c r="AD689" s="335"/>
      <c r="AE689" s="1152"/>
      <c r="AF689" s="1152"/>
      <c r="AG689" s="1152"/>
      <c r="AH689" s="1152"/>
      <c r="AI689" s="1152"/>
      <c r="AJ689" s="1152"/>
      <c r="AK689" s="1152"/>
      <c r="AL689" s="1152"/>
      <c r="AM689" s="1152"/>
      <c r="AN689" s="1152"/>
      <c r="AO689" s="1152"/>
      <c r="AP689" s="1152"/>
      <c r="AQ689" s="1152"/>
      <c r="AR689" s="1152"/>
      <c r="AS689" s="1152"/>
      <c r="AT689" s="1152"/>
      <c r="AU689" s="1152"/>
      <c r="AV689" s="1152"/>
      <c r="AW689" s="1152"/>
      <c r="AX689" s="1152"/>
      <c r="AY689" s="1152"/>
      <c r="AZ689" s="1152"/>
      <c r="BA689" s="1152"/>
      <c r="BB689" s="1152"/>
      <c r="BC689" s="1152"/>
      <c r="BD689" s="1152"/>
    </row>
    <row r="690" spans="1:56" hidden="1" outlineLevel="1" x14ac:dyDescent="0.3">
      <c r="A690" s="1182"/>
      <c r="B690" s="1379"/>
      <c r="C690" s="1379"/>
      <c r="D690" s="1379"/>
      <c r="E690" s="1379"/>
      <c r="F690" s="1379"/>
      <c r="G690" s="1379"/>
      <c r="H690" s="1380"/>
      <c r="I690" s="462" t="s">
        <v>324</v>
      </c>
      <c r="J690" s="344"/>
      <c r="K690" s="443">
        <f>-(K687/vl_working_days_per_year)*J690</f>
        <v>0</v>
      </c>
      <c r="L690" s="345"/>
      <c r="M690" s="451">
        <f>-(M687/vl_working_days_per_year)*L690</f>
        <v>0</v>
      </c>
      <c r="N690" s="344"/>
      <c r="O690" s="443">
        <f>-(O687/vl_working_days_per_year)*N690</f>
        <v>0</v>
      </c>
      <c r="P690" s="345"/>
      <c r="Q690" s="451">
        <f>-(Q687/vl_working_days_per_year)*P690</f>
        <v>0</v>
      </c>
      <c r="R690" s="344"/>
      <c r="S690" s="443">
        <f>-(S687/vl_working_days_per_year)*R690</f>
        <v>0</v>
      </c>
      <c r="T690" s="345"/>
      <c r="U690" s="451">
        <f>-(U687/vl_working_days_per_year)*T690</f>
        <v>0</v>
      </c>
      <c r="V690" s="344"/>
      <c r="W690" s="443">
        <f>-(W687/vl_working_days_per_year)*V690</f>
        <v>0</v>
      </c>
      <c r="X690" s="345"/>
      <c r="Y690" s="451">
        <f>-(Y687/vl_working_days_per_year)*X690</f>
        <v>0</v>
      </c>
      <c r="Z690" s="344"/>
      <c r="AA690" s="443">
        <f>-(AA687/vl_working_days_per_year)*Z690</f>
        <v>0</v>
      </c>
      <c r="AB690" s="345"/>
      <c r="AC690" s="451">
        <f>-(AC687/vl_working_days_per_year)*AB690</f>
        <v>0</v>
      </c>
      <c r="AD690" s="335">
        <f t="shared" si="2799"/>
        <v>0</v>
      </c>
      <c r="AE690" s="1152"/>
      <c r="AF690" s="1152"/>
      <c r="AG690" s="1152"/>
      <c r="AH690" s="1152"/>
      <c r="AI690" s="1152"/>
      <c r="AJ690" s="1152"/>
      <c r="AK690" s="1152"/>
      <c r="AL690" s="1152"/>
      <c r="AM690" s="1152"/>
      <c r="AN690" s="1152"/>
      <c r="AO690" s="1152"/>
      <c r="AP690" s="1152"/>
      <c r="AQ690" s="1152"/>
      <c r="AR690" s="1152"/>
      <c r="AS690" s="1152"/>
      <c r="AT690" s="1152"/>
      <c r="AU690" s="1152"/>
      <c r="AV690" s="1152"/>
      <c r="AW690" s="1152"/>
      <c r="AX690" s="1152"/>
      <c r="AY690" s="1152"/>
      <c r="AZ690" s="1152"/>
      <c r="BA690" s="1152"/>
      <c r="BB690" s="1152"/>
      <c r="BC690" s="1152"/>
      <c r="BD690" s="1152"/>
    </row>
    <row r="691" spans="1:56" hidden="1" outlineLevel="1" x14ac:dyDescent="0.3">
      <c r="A691" s="1182"/>
      <c r="B691" s="1379"/>
      <c r="C691" s="1379"/>
      <c r="D691" s="1379"/>
      <c r="E691" s="1379"/>
      <c r="F691" s="1379"/>
      <c r="G691" s="1379"/>
      <c r="H691" s="1380"/>
      <c r="I691" s="341" t="s">
        <v>325</v>
      </c>
      <c r="J691" s="346"/>
      <c r="K691" s="444">
        <f>K689+K690</f>
        <v>0</v>
      </c>
      <c r="L691" s="346"/>
      <c r="M691" s="444">
        <f t="shared" ref="M691" si="3017">M689+M690</f>
        <v>0</v>
      </c>
      <c r="N691" s="346"/>
      <c r="O691" s="444">
        <f>O689+O690</f>
        <v>0</v>
      </c>
      <c r="P691" s="346"/>
      <c r="Q691" s="444">
        <f t="shared" ref="Q691" si="3018">Q689+Q690</f>
        <v>0</v>
      </c>
      <c r="R691" s="346"/>
      <c r="S691" s="444">
        <f>S689+S690</f>
        <v>0</v>
      </c>
      <c r="T691" s="346"/>
      <c r="U691" s="444">
        <f t="shared" ref="U691" si="3019">U689+U690</f>
        <v>0</v>
      </c>
      <c r="V691" s="346"/>
      <c r="W691" s="444">
        <f>W689+W690</f>
        <v>0</v>
      </c>
      <c r="X691" s="346"/>
      <c r="Y691" s="444">
        <f t="shared" ref="Y691" si="3020">Y689+Y690</f>
        <v>0</v>
      </c>
      <c r="Z691" s="346"/>
      <c r="AA691" s="444">
        <f>AA689+AA690</f>
        <v>0</v>
      </c>
      <c r="AB691" s="346"/>
      <c r="AC691" s="444">
        <f t="shared" ref="AC691" si="3021">AC689+AC690</f>
        <v>0</v>
      </c>
      <c r="AD691" s="335">
        <f t="shared" si="2799"/>
        <v>0</v>
      </c>
      <c r="AE691" s="1152"/>
      <c r="AF691" s="1152"/>
      <c r="AG691" s="1152"/>
      <c r="AH691" s="1152"/>
      <c r="AI691" s="1152"/>
      <c r="AJ691" s="1152"/>
      <c r="AK691" s="1152"/>
      <c r="AL691" s="1152"/>
      <c r="AM691" s="1152"/>
      <c r="AN691" s="1152"/>
      <c r="AO691" s="1152"/>
      <c r="AP691" s="1152"/>
      <c r="AQ691" s="1152"/>
      <c r="AR691" s="1152"/>
      <c r="AS691" s="1152"/>
      <c r="AT691" s="1152"/>
      <c r="AU691" s="1152"/>
      <c r="AV691" s="1152"/>
      <c r="AW691" s="1152"/>
      <c r="AX691" s="1152"/>
      <c r="AY691" s="1152"/>
      <c r="AZ691" s="1152"/>
      <c r="BA691" s="1152"/>
      <c r="BB691" s="1152"/>
      <c r="BC691" s="1152"/>
      <c r="BD691" s="1152"/>
    </row>
    <row r="692" spans="1:56" s="1" customFormat="1" ht="15" hidden="1" customHeight="1" outlineLevel="1" x14ac:dyDescent="0.3">
      <c r="A692" s="727"/>
      <c r="B692" s="1379"/>
      <c r="C692" s="1379"/>
      <c r="D692" s="1379"/>
      <c r="E692" s="1379"/>
      <c r="F692" s="1379"/>
      <c r="G692" s="1379"/>
      <c r="H692" s="1380"/>
      <c r="I692" s="463" t="s">
        <v>326</v>
      </c>
      <c r="J692" s="383">
        <f>IFERROR(K692/K678,0)</f>
        <v>0</v>
      </c>
      <c r="K692" s="447">
        <f>SUM(K679:K680,K682:K685,K688)</f>
        <v>0</v>
      </c>
      <c r="L692" s="434">
        <f>IFERROR(M692/M678,0)</f>
        <v>0</v>
      </c>
      <c r="M692" s="453">
        <f t="shared" ref="M692" si="3022">SUM(M679:M680,M682:M685,M688)</f>
        <v>0</v>
      </c>
      <c r="N692" s="383">
        <f t="shared" ref="N692" si="3023">IFERROR(O692/O678,0)</f>
        <v>0</v>
      </c>
      <c r="O692" s="447">
        <f t="shared" ref="O692" si="3024">SUM(O679:O680,O682:O685,O688)</f>
        <v>0</v>
      </c>
      <c r="P692" s="434">
        <f t="shared" ref="P692" si="3025">IFERROR(Q692/Q678,0)</f>
        <v>0</v>
      </c>
      <c r="Q692" s="453">
        <f t="shared" ref="Q692" si="3026">SUM(Q679:Q680,Q682:Q685,Q688)</f>
        <v>0</v>
      </c>
      <c r="R692" s="383">
        <f t="shared" ref="R692" si="3027">IFERROR(S692/S678,0)</f>
        <v>0</v>
      </c>
      <c r="S692" s="447">
        <f t="shared" ref="S692" si="3028">SUM(S679:S680,S682:S685,S688)</f>
        <v>0</v>
      </c>
      <c r="T692" s="434">
        <f t="shared" ref="T692" si="3029">IFERROR(U692/U678,0)</f>
        <v>0</v>
      </c>
      <c r="U692" s="453">
        <f t="shared" ref="U692" si="3030">SUM(U679:U680,U682:U685,U688)</f>
        <v>0</v>
      </c>
      <c r="V692" s="383">
        <f t="shared" ref="V692" si="3031">IFERROR(W692/W678,0)</f>
        <v>0</v>
      </c>
      <c r="W692" s="447">
        <f t="shared" ref="W692" si="3032">SUM(W679:W680,W682:W685,W688)</f>
        <v>0</v>
      </c>
      <c r="X692" s="434">
        <f t="shared" ref="X692" si="3033">IFERROR(Y692/Y678,0)</f>
        <v>0</v>
      </c>
      <c r="Y692" s="453">
        <f t="shared" ref="Y692" si="3034">SUM(Y679:Y680,Y682:Y685,Y688)</f>
        <v>0</v>
      </c>
      <c r="Z692" s="383">
        <f t="shared" ref="Z692" si="3035">IFERROR(AA692/AA678,0)</f>
        <v>0</v>
      </c>
      <c r="AA692" s="447">
        <f t="shared" ref="AA692" si="3036">SUM(AA679:AA680,AA682:AA685,AA688)</f>
        <v>0</v>
      </c>
      <c r="AB692" s="434">
        <f t="shared" ref="AB692" si="3037">IFERROR(AC692/AC678,0)</f>
        <v>0</v>
      </c>
      <c r="AC692" s="453">
        <f t="shared" ref="AC692" si="3038">SUM(AC679:AC680,AC682:AC685,AC688)</f>
        <v>0</v>
      </c>
      <c r="AD692" s="377">
        <f t="shared" si="2799"/>
        <v>0</v>
      </c>
      <c r="AE692" s="14"/>
      <c r="AF692" s="14"/>
      <c r="AG692" s="14"/>
      <c r="AH692" s="14"/>
      <c r="AI692" s="14"/>
      <c r="AJ692" s="14"/>
      <c r="AK692" s="14"/>
      <c r="AL692" s="14"/>
      <c r="AM692" s="14"/>
      <c r="AN692" s="14"/>
      <c r="AO692" s="14"/>
      <c r="AP692" s="14"/>
      <c r="AQ692" s="14"/>
      <c r="AR692" s="14"/>
      <c r="AS692" s="14"/>
      <c r="AT692" s="14"/>
      <c r="AU692" s="14"/>
      <c r="AV692" s="14"/>
      <c r="AW692" s="14"/>
      <c r="AX692" s="14"/>
      <c r="AY692" s="14"/>
      <c r="AZ692" s="14"/>
      <c r="BA692" s="14"/>
      <c r="BB692" s="14"/>
      <c r="BC692" s="14"/>
      <c r="BD692" s="14"/>
    </row>
    <row r="693" spans="1:56" hidden="1" outlineLevel="1" x14ac:dyDescent="0.3">
      <c r="A693" s="1182"/>
      <c r="B693" s="1379"/>
      <c r="C693" s="1379"/>
      <c r="D693" s="1379"/>
      <c r="E693" s="1379"/>
      <c r="F693" s="1379"/>
      <c r="G693" s="1379"/>
      <c r="H693" s="1380"/>
      <c r="I693" s="463" t="s">
        <v>327</v>
      </c>
      <c r="J693" s="384">
        <f>pCRInKind</f>
        <v>2.5</v>
      </c>
      <c r="K693" s="447"/>
      <c r="L693" s="435">
        <f>pCRInKind</f>
        <v>2.5</v>
      </c>
      <c r="M693" s="453"/>
      <c r="N693" s="384">
        <f>pCRInKind</f>
        <v>2.5</v>
      </c>
      <c r="O693" s="447"/>
      <c r="P693" s="435">
        <f>pCRInKind</f>
        <v>2.5</v>
      </c>
      <c r="Q693" s="453"/>
      <c r="R693" s="384">
        <f>pCRInKind</f>
        <v>2.5</v>
      </c>
      <c r="S693" s="447"/>
      <c r="T693" s="435">
        <f>pCRInKind</f>
        <v>2.5</v>
      </c>
      <c r="U693" s="453"/>
      <c r="V693" s="384">
        <f>pCRInKind</f>
        <v>2.5</v>
      </c>
      <c r="W693" s="447"/>
      <c r="X693" s="435">
        <f>pCRInKind</f>
        <v>2.5</v>
      </c>
      <c r="Y693" s="453"/>
      <c r="Z693" s="384">
        <f>pCRInKind</f>
        <v>2.5</v>
      </c>
      <c r="AA693" s="447"/>
      <c r="AB693" s="435">
        <f>pCRInKind</f>
        <v>2.5</v>
      </c>
      <c r="AC693" s="453"/>
      <c r="AD693" s="335"/>
      <c r="AE693" s="1152"/>
      <c r="AF693" s="1152"/>
      <c r="AG693" s="1152"/>
      <c r="AH693" s="1152"/>
      <c r="AI693" s="1152"/>
      <c r="AJ693" s="1152"/>
      <c r="AK693" s="1152"/>
      <c r="AL693" s="1152"/>
      <c r="AM693" s="1152"/>
      <c r="AN693" s="1152"/>
      <c r="AO693" s="1152"/>
      <c r="AP693" s="1152"/>
      <c r="AQ693" s="1152"/>
      <c r="AR693" s="1152"/>
      <c r="AS693" s="1152"/>
      <c r="AT693" s="1152"/>
      <c r="AU693" s="1152"/>
      <c r="AV693" s="1152"/>
      <c r="AW693" s="1152"/>
      <c r="AX693" s="1152"/>
      <c r="AY693" s="1152"/>
      <c r="AZ693" s="1152"/>
      <c r="BA693" s="1152"/>
      <c r="BB693" s="1152"/>
      <c r="BC693" s="1152"/>
      <c r="BD693" s="1152"/>
    </row>
    <row r="694" spans="1:56" ht="16.2" hidden="1" outlineLevel="1" thickBot="1" x14ac:dyDescent="0.35">
      <c r="A694" s="1182"/>
      <c r="B694" s="710"/>
      <c r="C694" s="347"/>
      <c r="D694" s="347"/>
      <c r="E694" s="347"/>
      <c r="F694" s="347"/>
      <c r="G694" s="347"/>
      <c r="H694" s="347"/>
      <c r="I694" s="436" t="s">
        <v>329</v>
      </c>
      <c r="J694" s="348"/>
      <c r="K694" s="349">
        <f>J693*K689</f>
        <v>0</v>
      </c>
      <c r="L694" s="348"/>
      <c r="M694" s="349">
        <f t="shared" ref="M694" si="3039">L693*M689</f>
        <v>0</v>
      </c>
      <c r="N694" s="348"/>
      <c r="O694" s="349">
        <f>N693*O689</f>
        <v>0</v>
      </c>
      <c r="P694" s="348"/>
      <c r="Q694" s="349">
        <f t="shared" ref="Q694" si="3040">P693*Q689</f>
        <v>0</v>
      </c>
      <c r="R694" s="348"/>
      <c r="S694" s="349">
        <f>R693*S689</f>
        <v>0</v>
      </c>
      <c r="T694" s="348"/>
      <c r="U694" s="349">
        <f t="shared" ref="U694" si="3041">T693*U689</f>
        <v>0</v>
      </c>
      <c r="V694" s="348"/>
      <c r="W694" s="349">
        <f>V693*W689</f>
        <v>0</v>
      </c>
      <c r="X694" s="348"/>
      <c r="Y694" s="349">
        <f t="shared" ref="Y694" si="3042">X693*Y689</f>
        <v>0</v>
      </c>
      <c r="Z694" s="348"/>
      <c r="AA694" s="349">
        <f>Z693*AA689</f>
        <v>0</v>
      </c>
      <c r="AB694" s="348"/>
      <c r="AC694" s="349">
        <f t="shared" ref="AC694" si="3043">AB693*AC689</f>
        <v>0</v>
      </c>
      <c r="AD694" s="335">
        <f t="shared" si="2799"/>
        <v>0</v>
      </c>
      <c r="AE694" s="1152"/>
      <c r="AF694" s="1152"/>
      <c r="AG694" s="1152"/>
      <c r="AH694" s="1152"/>
      <c r="AI694" s="1152"/>
      <c r="AJ694" s="1152"/>
      <c r="AK694" s="1152"/>
      <c r="AL694" s="1152"/>
      <c r="AM694" s="1152"/>
      <c r="AN694" s="1152"/>
      <c r="AO694" s="1152"/>
      <c r="AP694" s="1152"/>
      <c r="AQ694" s="1152"/>
      <c r="AR694" s="1152"/>
      <c r="AS694" s="1152"/>
      <c r="AT694" s="1152"/>
      <c r="AU694" s="1152"/>
      <c r="AV694" s="1152"/>
      <c r="AW694" s="1152"/>
      <c r="AX694" s="1152"/>
      <c r="AY694" s="1152"/>
      <c r="AZ694" s="1152"/>
      <c r="BA694" s="1152"/>
      <c r="BB694" s="1152"/>
      <c r="BC694" s="1152"/>
      <c r="BD694" s="1152"/>
    </row>
    <row r="695" spans="1:56" ht="15" hidden="1" outlineLevel="1" thickBot="1" x14ac:dyDescent="0.35">
      <c r="A695" s="1182"/>
      <c r="B695" s="1181"/>
      <c r="C695" s="1181"/>
      <c r="D695" s="1181"/>
      <c r="E695" s="1181"/>
      <c r="F695" s="1181"/>
      <c r="G695" s="1181"/>
      <c r="H695" s="1181"/>
      <c r="I695" s="350"/>
      <c r="J695" s="351"/>
      <c r="K695" s="351"/>
      <c r="L695" s="351"/>
      <c r="M695" s="352"/>
      <c r="N695" s="351"/>
      <c r="O695" s="352"/>
      <c r="P695" s="351"/>
      <c r="Q695" s="352"/>
      <c r="R695" s="351"/>
      <c r="S695" s="352"/>
      <c r="T695" s="351"/>
      <c r="U695" s="352"/>
      <c r="V695" s="351"/>
      <c r="W695" s="352"/>
      <c r="X695" s="351"/>
      <c r="Y695" s="352"/>
      <c r="Z695" s="351"/>
      <c r="AA695" s="352"/>
      <c r="AB695" s="351"/>
      <c r="AC695" s="352"/>
      <c r="AD695" s="353" t="str">
        <f>IF(tbBudgetCurrency="AUD - Australian Dollar","",IFERROR(K695+M695+O695+Q695+S695+U695+W695+Y695+AA695+AC695,0))</f>
        <v/>
      </c>
      <c r="AE695" s="1152"/>
      <c r="AF695" s="1152"/>
      <c r="AG695" s="1152"/>
      <c r="AH695" s="1152"/>
      <c r="AI695" s="1152"/>
      <c r="AJ695" s="1152"/>
      <c r="AK695" s="1152"/>
      <c r="AL695" s="1152"/>
      <c r="AM695" s="1152"/>
      <c r="AN695" s="1152"/>
      <c r="AO695" s="1152"/>
      <c r="AP695" s="1152"/>
      <c r="AQ695" s="1152"/>
      <c r="AR695" s="1152"/>
      <c r="AS695" s="1152"/>
      <c r="AT695" s="1152"/>
      <c r="AU695" s="1152"/>
      <c r="AV695" s="1152"/>
      <c r="AW695" s="1152"/>
      <c r="AX695" s="1152"/>
      <c r="AY695" s="1152"/>
      <c r="AZ695" s="1152"/>
      <c r="BA695" s="1152"/>
      <c r="BB695" s="1152"/>
      <c r="BC695" s="1152"/>
      <c r="BD695" s="1152"/>
    </row>
    <row r="696" spans="1:56" hidden="1" outlineLevel="1" x14ac:dyDescent="0.3">
      <c r="A696" s="1182"/>
      <c r="B696" s="460" t="str">
        <f>IF('PART B Staff Costs'!B69="","",'PART B Staff Costs'!B69)</f>
        <v/>
      </c>
      <c r="C696" s="460" t="str">
        <f>IF('PART B Staff Costs'!C69="","",'PART B Staff Costs'!C69)</f>
        <v xml:space="preserve"> </v>
      </c>
      <c r="D696" s="461" t="str">
        <f>IF('PART B Staff Costs'!D69="","",'PART B Staff Costs'!D69)</f>
        <v/>
      </c>
      <c r="E696" s="461" t="str">
        <f>IF('PART B Staff Costs'!E69="","",'PART B Staff Costs'!E69)</f>
        <v/>
      </c>
      <c r="F696" s="461" t="str">
        <f>IF('PART B Staff Costs'!F69="","",'PART B Staff Costs'!F69)</f>
        <v/>
      </c>
      <c r="G696" s="461" t="str">
        <f>IF('PART B Staff Costs'!G69="","",'PART B Staff Costs'!G69)</f>
        <v/>
      </c>
      <c r="H696" s="454" t="str">
        <f t="shared" ref="H696" si="3044">CONCATENATE(IF(D696=0,"",D696)," ",IF(E696=0,"",E696)," ",IF(F696=0,"",F696),,IF(OR(G696=0,G696=""),"",CONCATENATE(" (",G696,")")))</f>
        <v xml:space="preserve">  </v>
      </c>
      <c r="I696" s="454" t="s">
        <v>313</v>
      </c>
      <c r="J696" s="333">
        <f>_xlfn.IFNA('PART B Staff Costs'!H69*'PART B Staff Costs'!J$10,0)*new_xrate</f>
        <v>0</v>
      </c>
      <c r="K696" s="441"/>
      <c r="L696" s="334">
        <f>_xlfn.IFNA(IF(pStartYear+1&gt;pEndYear,0,VLOOKUP(CONCATENATE(
IF(OR($D696="Continuing",$D696="Fixed-Term"),"Fortnight",IF($D696="Casual","Casual",)),
$E696,
IF(OR($D696="Continuing",$D696="Fixed-Term"),
IF(LEFT($F696,6)="UOM 10","UOM 10",(LEFT($F696,LEN($F696)-1)&amp;MIN(RIGHT($F696,1)+COUNTIFS($J697:K697,"&gt;0")/2,VLOOKUP(LEFT($F696,LEN($F696)-2),tSalaryMax,2,FALSE)))),
IF($D696="Casual",
$F696,))
),tSalaryRate,5,FALSE)*VLOOKUP($G696,tSalaryRateMultiplier,2,FALSE)*'PART B Staff Costs'!L$10),0)*new_xrate</f>
        <v>0</v>
      </c>
      <c r="M696" s="449"/>
      <c r="N696" s="333">
        <f>_xlfn.IFNA(IF(pStartYear+2&gt;pEndYear,0,VLOOKUP(CONCATENATE(
IF(OR($D696="Continuing",$D696="Fixed-Term"),"Fortnight",IF($D696="Casual","Casual",)),
$E696,
IF(OR($D696="Continuing",$D696="Fixed-Term"),
IF(LEFT($F696,6)="UOM 10","UOM 10",(LEFT($F696,LEN($F696)-1)&amp;MIN(RIGHT($F696,1)+COUNTIFS($J697:M697,"&gt;0")/2,VLOOKUP(LEFT($F696,LEN($F696)-2),tSalaryMax,2,FALSE)))),
IF($D696="Casual",
$F696,))
),tSalaryRate,5,FALSE)*VLOOKUP($G696,tSalaryRateMultiplier,2,FALSE)*'PART B Staff Costs'!N$10),0)*new_xrate</f>
        <v>0</v>
      </c>
      <c r="O696" s="441"/>
      <c r="P696" s="334">
        <f>_xlfn.IFNA(IF(pStartYear+3&gt;pEndYear,0,VLOOKUP(CONCATENATE(
IF(OR($D696="Continuing",$D696="Fixed-Term"),"Fortnight",IF($D696="Casual","Casual",)),
$E696,
IF(OR($D696="Continuing",$D696="Fixed-Term"),
IF(LEFT($F696,6)="UOM 10","UOM 10",(LEFT($F696,LEN($F696)-1)&amp;MIN(RIGHT($F696,1)+COUNTIFS($J697:O697,"&gt;0")/2,VLOOKUP(LEFT($F696,LEN($F696)-2),tSalaryMax,2,FALSE)))),
IF($D696="Casual",
$F696,))
),tSalaryRate,5,FALSE)*VLOOKUP($G696,tSalaryRateMultiplier,2,FALSE)*'PART B Staff Costs'!P$10),0)*new_xrate</f>
        <v>0</v>
      </c>
      <c r="Q696" s="449"/>
      <c r="R696" s="333">
        <f>_xlfn.IFNA(IF(pStartYear+4&gt;pEndYear,0,VLOOKUP(CONCATENATE(
IF(OR($D696="Continuing",$D696="Fixed-Term"),"Fortnight",IF($D696="Casual","Casual",)),
$E696,
IF(OR($D696="Continuing",$D696="Fixed-Term"),
IF(LEFT($F696,6)="UOM 10","UOM 10",(LEFT($F696,LEN($F696)-1)&amp;MIN(RIGHT($F696,1)+COUNTIFS($J697:Q697,"&gt;0")/2,VLOOKUP(LEFT($F696,LEN($F696)-2),tSalaryMax,2,FALSE)))),
IF($D696="Casual",
$F696,))
),tSalaryRate,5,FALSE)*VLOOKUP($G696,tSalaryRateMultiplier,2,FALSE)*'PART B Staff Costs'!R$10),0)*new_xrate</f>
        <v>0</v>
      </c>
      <c r="S696" s="441"/>
      <c r="T696" s="334">
        <f>_xlfn.IFNA(IF(pStartYear+5&gt;pEndYear,0,VLOOKUP(CONCATENATE(
IF(OR($D696="Continuing",$D696="Fixed-Term"),"Fortnight",IF($D696="Casual","Casual",)),
$E696,
IF(OR($D696="Continuing",$D696="Fixed-Term"),
IF(LEFT($F696,6)="UOM 10","UOM 10",(LEFT($F696,LEN($F696)-1)&amp;MIN(RIGHT($F696,1)+COUNTIFS($J697:S697,"&gt;0")/2,VLOOKUP(LEFT($F696,LEN($F696)-2),tSalaryMax,2,FALSE)))),
IF($D696="Casual",
$F696,))
),tSalaryRate,5,FALSE)*VLOOKUP($G696,tSalaryRateMultiplier,2,FALSE)*'PART B Staff Costs'!T$10),0)*new_xrate</f>
        <v>0</v>
      </c>
      <c r="U696" s="449"/>
      <c r="V696" s="333">
        <f>_xlfn.IFNA(IF(pStartYear+6&gt;pEndYear,0,VLOOKUP(CONCATENATE(
IF(OR($D696="Continuing",$D696="Fixed-Term"),"Fortnight",IF($D696="Casual","Casual",)),
$E696,
IF(OR($D696="Continuing",$D696="Fixed-Term"),
IF(LEFT($F696,6)="UOM 10","UOM 10",(LEFT($F696,LEN($F696)-1)&amp;MIN(RIGHT($F696,1)+COUNTIFS($J697:U697,"&gt;0")/2,VLOOKUP(LEFT($F696,LEN($F696)-2),tSalaryMax,2,FALSE)))),
IF($D696="Casual",
$F696,))
),tSalaryRate,5,FALSE)*VLOOKUP($G696,tSalaryRateMultiplier,2,FALSE)*'PART B Staff Costs'!V$10),0)*new_xrate</f>
        <v>0</v>
      </c>
      <c r="W696" s="441"/>
      <c r="X696" s="334">
        <f>_xlfn.IFNA(IF(pStartYear+7&gt;pEndYear,0,VLOOKUP(CONCATENATE(
IF(OR($D696="Continuing",$D696="Fixed-Term"),"Fortnight",IF($D696="Casual","Casual",)),
$E696,
IF(OR($D696="Continuing",$D696="Fixed-Term"),
IF(LEFT($F696,6)="UOM 10","UOM 10",(LEFT($F696,LEN($F696)-1)&amp;MIN(RIGHT($F696,1)+COUNTIFS($J697:W697,"&gt;0")/2,VLOOKUP(LEFT($F696,LEN($F696)-2),tSalaryMax,2,FALSE)))),
IF($D696="Casual",
$F696,))
),tSalaryRate,5,FALSE)*VLOOKUP($G696,tSalaryRateMultiplier,2,FALSE)*'PART B Staff Costs'!X$10),0)*new_xrate</f>
        <v>0</v>
      </c>
      <c r="Y696" s="449"/>
      <c r="Z696" s="333">
        <f>_xlfn.IFNA(IF(pStartYear+8&gt;pEndYear,0,VLOOKUP(CONCATENATE(
IF(OR($D696="Continuing",$D696="Fixed-Term"),"Fortnight",IF($D696="Casual","Casual",)),
$E696,
IF(OR($D696="Continuing",$D696="Fixed-Term"),
IF(LEFT($F696,6)="UOM 10","UOM 10",(LEFT($F696,LEN($F696)-1)&amp;MIN(RIGHT($F696,1)+COUNTIFS($J697:Y697,"&gt;0")/2,VLOOKUP(LEFT($F696,LEN($F696)-2),tSalaryMax,2,FALSE)))),
IF($D696="Casual",
$F696,))
),tSalaryRate,5,FALSE)*VLOOKUP($G696,tSalaryRateMultiplier,2,FALSE)*'PART B Staff Costs'!Z$10),0)*new_xrate</f>
        <v>0</v>
      </c>
      <c r="AA696" s="441"/>
      <c r="AB696" s="334">
        <f>_xlfn.IFNA(IF(pStartYear+9&gt;pEndYear,0,VLOOKUP(CONCATENATE(
IF(OR($D696="Continuing",$D696="Fixed-Term"),"Fortnight",IF($D696="Casual","Casual",)),
$E696,
IF(OR($D696="Continuing",$D696="Fixed-Term"),
IF(LEFT($F696,6)="UOM 10","UOM 10",(LEFT($F696,LEN($F696)-1)&amp;MIN(RIGHT($F696,1)+COUNTIFS($J697:AA697,"&gt;0")/2,VLOOKUP(LEFT($F696,LEN($F696)-2),tSalaryMax,2,FALSE)))),
IF($D696="Casual",
$F696,))
),tSalaryRate,5,FALSE)*VLOOKUP($G696,tSalaryRateMultiplier,2,FALSE)*'PART B Staff Costs'!AB$10),0)*new_xrate</f>
        <v>0</v>
      </c>
      <c r="AC696" s="449"/>
      <c r="AD696" s="335"/>
      <c r="AE696" s="1152"/>
      <c r="AF696" s="1152"/>
      <c r="AG696" s="1152"/>
      <c r="AH696" s="1152"/>
      <c r="AI696" s="1152"/>
      <c r="AJ696" s="1152"/>
      <c r="AK696" s="1152"/>
      <c r="AL696" s="1152"/>
      <c r="AM696" s="1152"/>
      <c r="AN696" s="1152"/>
      <c r="AO696" s="1152"/>
      <c r="AP696" s="1152"/>
      <c r="AQ696" s="1152"/>
      <c r="AR696" s="1152"/>
      <c r="AS696" s="1152"/>
      <c r="AT696" s="1152"/>
      <c r="AU696" s="1152"/>
      <c r="AV696" s="1152"/>
      <c r="AW696" s="1152"/>
      <c r="AX696" s="1152"/>
      <c r="AY696" s="1152"/>
      <c r="AZ696" s="1152"/>
      <c r="BA696" s="1152"/>
      <c r="BB696" s="1152"/>
      <c r="BC696" s="1152"/>
      <c r="BD696" s="1152"/>
    </row>
    <row r="697" spans="1:56" hidden="1" outlineLevel="1" x14ac:dyDescent="0.3">
      <c r="A697" s="1182"/>
      <c r="B697" s="1377"/>
      <c r="C697" s="1377"/>
      <c r="D697" s="1377"/>
      <c r="E697" s="1377"/>
      <c r="F697" s="1377"/>
      <c r="G697" s="1377"/>
      <c r="H697" s="1378"/>
      <c r="I697" s="455" t="str">
        <f>IF('PART B Staff Costs'!G692&lt;&gt;"",CONCATENATE("Time/Requested salary"," (",'PART B Staff Costs'!G692,")"),"Time/Requested salary")</f>
        <v>Time/Requested salary</v>
      </c>
      <c r="J697" s="337">
        <f>_xlfn.IFNA('PART B Staff Costs'!I69,0)</f>
        <v>0</v>
      </c>
      <c r="K697" s="442">
        <f>IF('PART B Staff Costs'!$G$69="FTE",J697*J696*(First_year_fraction/12),J697*J696)</f>
        <v>0</v>
      </c>
      <c r="L697" s="338">
        <f>_xlfn.IFNA('PART B Staff Costs'!K69,0)</f>
        <v>0</v>
      </c>
      <c r="M697" s="450">
        <f>IF(pStartYear+1=pEndYear,IF('PART B Staff Costs'!$G$69="FTE",(L697*L696)*Last_Year_Fraction/12,L697*L696),L697*L696)</f>
        <v>0</v>
      </c>
      <c r="N697" s="337">
        <f>_xlfn.IFNA('PART B Staff Costs'!M69,0)</f>
        <v>0</v>
      </c>
      <c r="O697" s="442">
        <f>IF(pStartYear+2=pEndYear,IF('PART B Staff Costs'!$G$69="FTE",(N697*N696)*Last_Year_Fraction/12,N697*N696),N697*N696)</f>
        <v>0</v>
      </c>
      <c r="P697" s="338">
        <f>_xlfn.IFNA('PART B Staff Costs'!O69,0)</f>
        <v>0</v>
      </c>
      <c r="Q697" s="450">
        <f>IF(pStartYear+3=pEndYear,IF('PART B Staff Costs'!$G$69="FTE",(P697*P696)*Last_Year_Fraction/12,P697*P696),P697*P696)</f>
        <v>0</v>
      </c>
      <c r="R697" s="337">
        <f>_xlfn.IFNA('PART B Staff Costs'!Q69,0)</f>
        <v>0</v>
      </c>
      <c r="S697" s="442">
        <f>IF(pStartYear+4=pEndYear,IF('PART B Staff Costs'!$G$69="FTE",(R697*R696)*Last_Year_Fraction/12,R697*R696),R697*R696)</f>
        <v>0</v>
      </c>
      <c r="T697" s="338">
        <f>_xlfn.IFNA('PART B Staff Costs'!S69,0)</f>
        <v>0</v>
      </c>
      <c r="U697" s="450">
        <f>IF(pStartYear+5=pEndYear,IF('PART B Staff Costs'!$G$69="FTE",(T697*T696)*Last_Year_Fraction/12,T697*T696),T697*T696)</f>
        <v>0</v>
      </c>
      <c r="V697" s="337">
        <f>_xlfn.IFNA('PART B Staff Costs'!U69,0)</f>
        <v>0</v>
      </c>
      <c r="W697" s="442">
        <f>IF(pStartYear+6=pEndYear,IF('PART B Staff Costs'!$G$69="FTE",(V697*V696)*Last_Year_Fraction/12,V697*V696),V697*V696)</f>
        <v>0</v>
      </c>
      <c r="X697" s="338">
        <f>_xlfn.IFNA('PART B Staff Costs'!W69,0)</f>
        <v>0</v>
      </c>
      <c r="Y697" s="450">
        <f>IF(pStartYear+7=pEndYear,IF('PART B Staff Costs'!$G$69="FTE",(X697*X696)*Last_Year_Fraction/12,X697*X696),X697*X696)</f>
        <v>0</v>
      </c>
      <c r="Z697" s="337">
        <f>_xlfn.IFNA('PART B Staff Costs'!Y69,0)</f>
        <v>0</v>
      </c>
      <c r="AA697" s="442">
        <f>IF(pStartYear+8=pEndYear,IF('PART B Staff Costs'!$G$69="FTE",(Z697*Z696)*Last_Year_Fraction/12,Z697*Z696),Z697*Z696)</f>
        <v>0</v>
      </c>
      <c r="AB697" s="338">
        <f>_xlfn.IFNA('PART B Staff Costs'!AA69,0)</f>
        <v>0</v>
      </c>
      <c r="AC697" s="450">
        <f>IF(pStartYear+9=pEndYear,IF('PART B Staff Costs'!$G$69="FTE",(AB697*AB696)*Last_Year_Fraction/12,AB697*AB696),AB697*AB696)</f>
        <v>0</v>
      </c>
      <c r="AD697" s="335"/>
      <c r="AE697" s="1152"/>
      <c r="AF697" s="1152"/>
      <c r="AG697" s="1152"/>
      <c r="AH697" s="1152"/>
      <c r="AI697" s="1152"/>
      <c r="AJ697" s="1152"/>
      <c r="AK697" s="1152"/>
      <c r="AL697" s="1152"/>
      <c r="AM697" s="1152"/>
      <c r="AN697" s="1152"/>
      <c r="AO697" s="1152"/>
      <c r="AP697" s="1152"/>
      <c r="AQ697" s="1152"/>
      <c r="AR697" s="1152"/>
      <c r="AS697" s="1152"/>
      <c r="AT697" s="1152"/>
      <c r="AU697" s="1152"/>
      <c r="AV697" s="1152"/>
      <c r="AW697" s="1152"/>
      <c r="AX697" s="1152"/>
      <c r="AY697" s="1152"/>
      <c r="AZ697" s="1152"/>
      <c r="BA697" s="1152"/>
      <c r="BB697" s="1152"/>
      <c r="BC697" s="1152"/>
      <c r="BD697" s="1152"/>
    </row>
    <row r="698" spans="1:56" hidden="1" outlineLevel="1" x14ac:dyDescent="0.3">
      <c r="A698" s="1182"/>
      <c r="B698" s="1379"/>
      <c r="C698" s="1379"/>
      <c r="D698" s="1379"/>
      <c r="E698" s="1379"/>
      <c r="F698" s="1379"/>
      <c r="G698" s="1379"/>
      <c r="H698" s="1380"/>
      <c r="I698" s="455" t="str">
        <f>IF(tbBudgetCurrency="AUD - Australian Dollar",CONCATENATE("Leave Loading (max of AU$",vl_Max_Leave_Loading,")"),CONCATENATE("Leave Loading (max of ",ROUND(vl_Max_Leave_Loading*new_xrate,2)," ",LEFT(tbBudgetCurrency,3),")"))</f>
        <v>Leave Loading (max of AU$1611.3)</v>
      </c>
      <c r="J698" s="339">
        <f>_xlfn.IFNA(VLOOKUP($D696,tbLeaveLoading,2,FALSE),0)</f>
        <v>0</v>
      </c>
      <c r="K698" s="443">
        <f>IF(K697*J698&gt;vl_Max_Leave_Loading*new_xrate,vl_Max_Leave_Loading*new_xrate,K697*J698)</f>
        <v>0</v>
      </c>
      <c r="L698" s="340">
        <f>_xlfn.IFNA(VLOOKUP($D696,tbLeaveLoading,2,FALSE),0)</f>
        <v>0</v>
      </c>
      <c r="M698" s="451">
        <f>IF(M697*L698&gt;vl_Max_Leave_Loading*new_xrate,vl_Max_Leave_Loading*new_xrate,M697*L698)</f>
        <v>0</v>
      </c>
      <c r="N698" s="339">
        <f>_xlfn.IFNA(VLOOKUP($D696,tbLeaveLoading,2,FALSE),0)</f>
        <v>0</v>
      </c>
      <c r="O698" s="443">
        <f>IF(O697*N698&gt;vl_Max_Leave_Loading*new_xrate,vl_Max_Leave_Loading*new_xrate,O697*N698)</f>
        <v>0</v>
      </c>
      <c r="P698" s="340">
        <f>_xlfn.IFNA(VLOOKUP($D696,tbLeaveLoading,2,FALSE),0)</f>
        <v>0</v>
      </c>
      <c r="Q698" s="451">
        <f>IF(Q697*P698&gt;vl_Max_Leave_Loading*new_xrate,vl_Max_Leave_Loading*new_xrate,Q697*P698)</f>
        <v>0</v>
      </c>
      <c r="R698" s="339">
        <f>_xlfn.IFNA(VLOOKUP($D696,tbLeaveLoading,2,FALSE),0)</f>
        <v>0</v>
      </c>
      <c r="S698" s="443">
        <f>IF(S697*R698&gt;vl_Max_Leave_Loading*new_xrate,vl_Max_Leave_Loading*new_xrate,S697*R698)</f>
        <v>0</v>
      </c>
      <c r="T698" s="340">
        <f>_xlfn.IFNA(VLOOKUP($D696,tbLeaveLoading,2,FALSE),0)</f>
        <v>0</v>
      </c>
      <c r="U698" s="451">
        <f>IF(U697*T698&gt;vl_Max_Leave_Loading*new_xrate,vl_Max_Leave_Loading*new_xrate,U697*T698)</f>
        <v>0</v>
      </c>
      <c r="V698" s="339">
        <f>_xlfn.IFNA(VLOOKUP($D696,tbLeaveLoading,2,FALSE),0)</f>
        <v>0</v>
      </c>
      <c r="W698" s="443">
        <f>IF(W697*V698&gt;vl_Max_Leave_Loading*new_xrate,vl_Max_Leave_Loading*new_xrate,W697*V698)</f>
        <v>0</v>
      </c>
      <c r="X698" s="340">
        <f>_xlfn.IFNA(VLOOKUP($D696,tbLeaveLoading,2,FALSE),0)</f>
        <v>0</v>
      </c>
      <c r="Y698" s="451">
        <f>IF(Y697*X698&gt;vl_Max_Leave_Loading*new_xrate,vl_Max_Leave_Loading*new_xrate,Y697*X698)</f>
        <v>0</v>
      </c>
      <c r="Z698" s="339">
        <f>_xlfn.IFNA(VLOOKUP($D696,tbLeaveLoading,2,FALSE),0)</f>
        <v>0</v>
      </c>
      <c r="AA698" s="443">
        <f>IF(AA697*Z698&gt;vl_Max_Leave_Loading*new_xrate,vl_Max_Leave_Loading*new_xrate,AA697*Z698)</f>
        <v>0</v>
      </c>
      <c r="AB698" s="340">
        <f>_xlfn.IFNA(VLOOKUP($D696,tbLeaveLoading,2,FALSE),0)</f>
        <v>0</v>
      </c>
      <c r="AC698" s="451">
        <f>IF(AC697*AB698&gt;vl_Max_Leave_Loading*new_xrate,vl_Max_Leave_Loading*new_xrate,AC697*AB698)</f>
        <v>0</v>
      </c>
      <c r="AD698" s="335"/>
      <c r="AE698" s="1152"/>
      <c r="AF698" s="1152"/>
      <c r="AG698" s="1152"/>
      <c r="AH698" s="1152"/>
      <c r="AI698" s="1152"/>
      <c r="AJ698" s="1152"/>
      <c r="AK698" s="1152"/>
      <c r="AL698" s="1152"/>
      <c r="AM698" s="1152"/>
      <c r="AN698" s="1152"/>
      <c r="AO698" s="1152"/>
      <c r="AP698" s="1152"/>
      <c r="AQ698" s="1152"/>
      <c r="AR698" s="1152"/>
      <c r="AS698" s="1152"/>
      <c r="AT698" s="1152"/>
      <c r="AU698" s="1152"/>
      <c r="AV698" s="1152"/>
      <c r="AW698" s="1152"/>
      <c r="AX698" s="1152"/>
      <c r="AY698" s="1152"/>
      <c r="AZ698" s="1152"/>
      <c r="BA698" s="1152"/>
      <c r="BB698" s="1152"/>
      <c r="BC698" s="1152"/>
      <c r="BD698" s="1152"/>
    </row>
    <row r="699" spans="1:56" hidden="1" outlineLevel="1" x14ac:dyDescent="0.3">
      <c r="A699" s="1182"/>
      <c r="B699" s="1379"/>
      <c r="C699" s="1379"/>
      <c r="D699" s="1379"/>
      <c r="E699" s="1379"/>
      <c r="F699" s="1379"/>
      <c r="G699" s="1379"/>
      <c r="H699" s="1380"/>
      <c r="I699" s="455" t="s">
        <v>314</v>
      </c>
      <c r="J699" s="339">
        <f>_xlfn.IFNA(_xlfn.IFNA(VLOOKUP(CONCATENATE(pStartYear,$D696),tbSuperannuation,4,FALSE),VLOOKUP($D696,tbSuperannuation2026onwards,2,FALSE)),0)</f>
        <v>0</v>
      </c>
      <c r="K699" s="443">
        <f>K697*J699</f>
        <v>0</v>
      </c>
      <c r="L699" s="340">
        <f>_xlfn.IFNA(_xlfn.IFNA(VLOOKUP(CONCATENATE(pStartYear+1,$D696),tbSuperannuation,4,FALSE),VLOOKUP($D696,tbSuperannuation2026onwards,2,FALSE)),0)</f>
        <v>0</v>
      </c>
      <c r="M699" s="451">
        <f t="shared" ref="M699" si="3045">M697*L699</f>
        <v>0</v>
      </c>
      <c r="N699" s="339">
        <f>_xlfn.IFNA(_xlfn.IFNA(VLOOKUP(CONCATENATE(pStartYear+2,$D696),tbSuperannuation,4,FALSE),VLOOKUP($D696,tbSuperannuation2026onwards,2,FALSE)),0)</f>
        <v>0</v>
      </c>
      <c r="O699" s="443">
        <f>O697*N699</f>
        <v>0</v>
      </c>
      <c r="P699" s="340">
        <f>_xlfn.IFNA(_xlfn.IFNA(VLOOKUP(CONCATENATE(pStartYear+3,$D696),tbSuperannuation,4,FALSE),VLOOKUP($D696,tbSuperannuation2026onwards,2,FALSE)),0)</f>
        <v>0</v>
      </c>
      <c r="Q699" s="451">
        <f t="shared" ref="Q699" si="3046">Q697*P699</f>
        <v>0</v>
      </c>
      <c r="R699" s="339">
        <f>_xlfn.IFNA(_xlfn.IFNA(VLOOKUP(CONCATENATE(pStartYear+4,$D696),tbSuperannuation,4,FALSE),VLOOKUP($D696,tbSuperannuation2026onwards,2,FALSE)),0)</f>
        <v>0</v>
      </c>
      <c r="S699" s="443">
        <f>S697*R699</f>
        <v>0</v>
      </c>
      <c r="T699" s="340">
        <f>_xlfn.IFNA(_xlfn.IFNA(VLOOKUP(CONCATENATE(pStartYear+5,$D696),tbSuperannuation,4,FALSE),VLOOKUP($D696,tbSuperannuation2026onwards,2,FALSE)),0)</f>
        <v>0</v>
      </c>
      <c r="U699" s="451">
        <f t="shared" ref="U699" si="3047">U697*T699</f>
        <v>0</v>
      </c>
      <c r="V699" s="339">
        <f>_xlfn.IFNA(_xlfn.IFNA(VLOOKUP(CONCATENATE(pStartYear+6,$D696),tbSuperannuation,4,FALSE),VLOOKUP($D696,tbSuperannuation2026onwards,2,FALSE)),0)</f>
        <v>0</v>
      </c>
      <c r="W699" s="443">
        <f>W697*V699</f>
        <v>0</v>
      </c>
      <c r="X699" s="340">
        <f>_xlfn.IFNA(_xlfn.IFNA(VLOOKUP(CONCATENATE(pStartYear+7,$D696),tbSuperannuation,4,FALSE),VLOOKUP($D696,tbSuperannuation2026onwards,2,FALSE)),0)</f>
        <v>0</v>
      </c>
      <c r="Y699" s="451">
        <f t="shared" ref="Y699" si="3048">Y697*X699</f>
        <v>0</v>
      </c>
      <c r="Z699" s="339">
        <f>_xlfn.IFNA(_xlfn.IFNA(VLOOKUP(CONCATENATE(pStartYear+8,$D696),tbSuperannuation,4,FALSE),VLOOKUP($D696,tbSuperannuation2026onwards,2,FALSE)),0)</f>
        <v>0</v>
      </c>
      <c r="AA699" s="443">
        <f>AA697*Z699</f>
        <v>0</v>
      </c>
      <c r="AB699" s="340">
        <f>_xlfn.IFNA(_xlfn.IFNA(VLOOKUP(CONCATENATE(pStartYear+9,$D696),tbSuperannuation,4,FALSE),VLOOKUP($D696,tbSuperannuation2026onwards,2,FALSE)),0)</f>
        <v>0</v>
      </c>
      <c r="AC699" s="451">
        <f t="shared" ref="AC699" si="3049">AC697*AB699</f>
        <v>0</v>
      </c>
      <c r="AD699" s="335"/>
      <c r="AE699" s="1152"/>
      <c r="AF699" s="1152"/>
      <c r="AG699" s="1152"/>
      <c r="AH699" s="1152"/>
      <c r="AI699" s="1152"/>
      <c r="AJ699" s="1152"/>
      <c r="AK699" s="1152"/>
      <c r="AL699" s="1152"/>
      <c r="AM699" s="1152"/>
      <c r="AN699" s="1152"/>
      <c r="AO699" s="1152"/>
      <c r="AP699" s="1152"/>
      <c r="AQ699" s="1152"/>
      <c r="AR699" s="1152"/>
      <c r="AS699" s="1152"/>
      <c r="AT699" s="1152"/>
      <c r="AU699" s="1152"/>
      <c r="AV699" s="1152"/>
      <c r="AW699" s="1152"/>
      <c r="AX699" s="1152"/>
      <c r="AY699" s="1152"/>
      <c r="AZ699" s="1152"/>
      <c r="BA699" s="1152"/>
      <c r="BB699" s="1152"/>
      <c r="BC699" s="1152"/>
      <c r="BD699" s="1152"/>
    </row>
    <row r="700" spans="1:56" hidden="1" outlineLevel="1" x14ac:dyDescent="0.3">
      <c r="A700" s="1182"/>
      <c r="B700" s="1379"/>
      <c r="C700" s="1379"/>
      <c r="D700" s="1379"/>
      <c r="E700" s="1379"/>
      <c r="F700" s="1379"/>
      <c r="G700" s="1379"/>
      <c r="H700" s="1380"/>
      <c r="I700" s="341" t="s">
        <v>315</v>
      </c>
      <c r="J700" s="342"/>
      <c r="K700" s="444">
        <f>K698+K699+K697</f>
        <v>0</v>
      </c>
      <c r="L700" s="342"/>
      <c r="M700" s="444">
        <f t="shared" ref="M700" si="3050">M698+M699+M697</f>
        <v>0</v>
      </c>
      <c r="N700" s="342"/>
      <c r="O700" s="444">
        <f>O698+O699+O697</f>
        <v>0</v>
      </c>
      <c r="P700" s="342"/>
      <c r="Q700" s="444">
        <f t="shared" ref="Q700" si="3051">Q698+Q699+Q697</f>
        <v>0</v>
      </c>
      <c r="R700" s="342"/>
      <c r="S700" s="444">
        <f>S698+S699+S697</f>
        <v>0</v>
      </c>
      <c r="T700" s="342"/>
      <c r="U700" s="444">
        <f t="shared" ref="U700" si="3052">U698+U699+U697</f>
        <v>0</v>
      </c>
      <c r="V700" s="342"/>
      <c r="W700" s="444">
        <f>W698+W699+W697</f>
        <v>0</v>
      </c>
      <c r="X700" s="342"/>
      <c r="Y700" s="444">
        <f t="shared" ref="Y700" si="3053">Y698+Y699+Y697</f>
        <v>0</v>
      </c>
      <c r="Z700" s="342"/>
      <c r="AA700" s="444">
        <f>AA698+AA699+AA697</f>
        <v>0</v>
      </c>
      <c r="AB700" s="342"/>
      <c r="AC700" s="444">
        <f t="shared" ref="AC700" si="3054">AC698+AC699+AC697</f>
        <v>0</v>
      </c>
      <c r="AD700" s="335">
        <f t="shared" si="2799"/>
        <v>0</v>
      </c>
      <c r="AE700" s="1152"/>
      <c r="AF700" s="1152"/>
      <c r="AG700" s="1152"/>
      <c r="AH700" s="1152"/>
      <c r="AI700" s="1152"/>
      <c r="AJ700" s="1152"/>
      <c r="AK700" s="1152"/>
      <c r="AL700" s="1152"/>
      <c r="AM700" s="1152"/>
      <c r="AN700" s="1152"/>
      <c r="AO700" s="1152"/>
      <c r="AP700" s="1152"/>
      <c r="AQ700" s="1152"/>
      <c r="AR700" s="1152"/>
      <c r="AS700" s="1152"/>
      <c r="AT700" s="1152"/>
      <c r="AU700" s="1152"/>
      <c r="AV700" s="1152"/>
      <c r="AW700" s="1152"/>
      <c r="AX700" s="1152"/>
      <c r="AY700" s="1152"/>
      <c r="AZ700" s="1152"/>
      <c r="BA700" s="1152"/>
      <c r="BB700" s="1152"/>
      <c r="BC700" s="1152"/>
      <c r="BD700" s="1152"/>
    </row>
    <row r="701" spans="1:56" hidden="1" outlineLevel="1" x14ac:dyDescent="0.3">
      <c r="A701" s="1182"/>
      <c r="B701" s="1379"/>
      <c r="C701" s="1379"/>
      <c r="D701" s="1379"/>
      <c r="E701" s="1379"/>
      <c r="F701" s="1379"/>
      <c r="G701" s="1379"/>
      <c r="H701" s="1380"/>
      <c r="I701" s="455" t="s">
        <v>316</v>
      </c>
      <c r="J701" s="339">
        <f>_xlfn.IFNA(_xlfn.IFNA(VLOOKUP(pStartYear,tbPayrollTax,2,FALSE),vl_MaxPayrollTax),0)</f>
        <v>5.8500000000000003E-2</v>
      </c>
      <c r="K701" s="443">
        <f>J701*K700</f>
        <v>0</v>
      </c>
      <c r="L701" s="340">
        <f>_xlfn.IFNA(_xlfn.IFNA(VLOOKUP(pStartYear+1,tbPayrollTax,2,FALSE),vl_MaxPayrollTax),0)</f>
        <v>5.8500000000000003E-2</v>
      </c>
      <c r="M701" s="451">
        <f t="shared" ref="M701" si="3055">L701*M700</f>
        <v>0</v>
      </c>
      <c r="N701" s="339">
        <f>_xlfn.IFNA(_xlfn.IFNA(VLOOKUP(pStartYear+2,tbPayrollTax,2,FALSE),vl_MaxPayrollTax),0)</f>
        <v>5.8500000000000003E-2</v>
      </c>
      <c r="O701" s="443">
        <f>N701*O700</f>
        <v>0</v>
      </c>
      <c r="P701" s="340">
        <f>_xlfn.IFNA(_xlfn.IFNA(VLOOKUP(pStartYear+3,tbPayrollTax,2,FALSE),vl_MaxPayrollTax),0)</f>
        <v>5.8500000000000003E-2</v>
      </c>
      <c r="Q701" s="451">
        <f t="shared" ref="Q701" si="3056">P701*Q700</f>
        <v>0</v>
      </c>
      <c r="R701" s="339">
        <f>_xlfn.IFNA(_xlfn.IFNA(VLOOKUP(pStartYear+4,tbPayrollTax,2,FALSE),vl_MaxPayrollTax),0)</f>
        <v>5.8500000000000003E-2</v>
      </c>
      <c r="S701" s="443">
        <f>R701*S700</f>
        <v>0</v>
      </c>
      <c r="T701" s="340">
        <f>_xlfn.IFNA(_xlfn.IFNA(VLOOKUP(pStartYear+5,tbPayrollTax,2,FALSE),vl_MaxPayrollTax),0)</f>
        <v>5.8500000000000003E-2</v>
      </c>
      <c r="U701" s="451">
        <f t="shared" ref="U701" si="3057">T701*U700</f>
        <v>0</v>
      </c>
      <c r="V701" s="339">
        <f>_xlfn.IFNA(_xlfn.IFNA(VLOOKUP(pStartYear+6,tbPayrollTax,2,FALSE),vl_MaxPayrollTax),0)</f>
        <v>5.8500000000000003E-2</v>
      </c>
      <c r="W701" s="443">
        <f>V701*W700</f>
        <v>0</v>
      </c>
      <c r="X701" s="340">
        <f>_xlfn.IFNA(_xlfn.IFNA(VLOOKUP(pStartYear+7,tbPayrollTax,2,FALSE),vl_MaxPayrollTax),0)</f>
        <v>5.8500000000000003E-2</v>
      </c>
      <c r="Y701" s="451">
        <f t="shared" ref="Y701" si="3058">X701*Y700</f>
        <v>0</v>
      </c>
      <c r="Z701" s="339">
        <f>_xlfn.IFNA(_xlfn.IFNA(VLOOKUP(pStartYear+8,tbPayrollTax,2,FALSE),vl_MaxPayrollTax),0)</f>
        <v>5.8500000000000003E-2</v>
      </c>
      <c r="AA701" s="443">
        <f>Z701*AA700</f>
        <v>0</v>
      </c>
      <c r="AB701" s="340">
        <f>_xlfn.IFNA(_xlfn.IFNA(VLOOKUP(pStartYear+9,tbPayrollTax,2,FALSE),vl_MaxPayrollTax),0)</f>
        <v>5.8500000000000003E-2</v>
      </c>
      <c r="AC701" s="451">
        <f t="shared" ref="AC701" si="3059">AB701*AC700</f>
        <v>0</v>
      </c>
      <c r="AD701" s="335"/>
      <c r="AE701" s="1152"/>
      <c r="AF701" s="1152"/>
      <c r="AG701" s="1152"/>
      <c r="AH701" s="1152"/>
      <c r="AI701" s="1152"/>
      <c r="AJ701" s="1152"/>
      <c r="AK701" s="1152"/>
      <c r="AL701" s="1152"/>
      <c r="AM701" s="1152"/>
      <c r="AN701" s="1152"/>
      <c r="AO701" s="1152"/>
      <c r="AP701" s="1152"/>
      <c r="AQ701" s="1152"/>
      <c r="AR701" s="1152"/>
      <c r="AS701" s="1152"/>
      <c r="AT701" s="1152"/>
      <c r="AU701" s="1152"/>
      <c r="AV701" s="1152"/>
      <c r="AW701" s="1152"/>
      <c r="AX701" s="1152"/>
      <c r="AY701" s="1152"/>
      <c r="AZ701" s="1152"/>
      <c r="BA701" s="1152"/>
      <c r="BB701" s="1152"/>
      <c r="BC701" s="1152"/>
      <c r="BD701" s="1152"/>
    </row>
    <row r="702" spans="1:56" hidden="1" outlineLevel="1" x14ac:dyDescent="0.3">
      <c r="A702" s="1182"/>
      <c r="B702" s="1379"/>
      <c r="C702" s="1379"/>
      <c r="D702" s="1379"/>
      <c r="E702" s="1379"/>
      <c r="F702" s="1379"/>
      <c r="G702" s="1379"/>
      <c r="H702" s="1380"/>
      <c r="I702" s="455" t="s">
        <v>317</v>
      </c>
      <c r="J702" s="339">
        <f>_xlfn.IFNA(VLOOKUP($D696,tbWorkCover,2,FALSE),0)</f>
        <v>0</v>
      </c>
      <c r="K702" s="443">
        <f>J702*K700</f>
        <v>0</v>
      </c>
      <c r="L702" s="340">
        <f>_xlfn.IFNA(VLOOKUP($D696,tbWorkCover,2,FALSE),0)</f>
        <v>0</v>
      </c>
      <c r="M702" s="451">
        <f t="shared" ref="M702" si="3060">L702*M700</f>
        <v>0</v>
      </c>
      <c r="N702" s="339">
        <f>_xlfn.IFNA(VLOOKUP($D696,tbWorkCover,2,FALSE),0)</f>
        <v>0</v>
      </c>
      <c r="O702" s="443">
        <f>N702*O700</f>
        <v>0</v>
      </c>
      <c r="P702" s="340">
        <f>_xlfn.IFNA(VLOOKUP($D696,tbWorkCover,2,FALSE),0)</f>
        <v>0</v>
      </c>
      <c r="Q702" s="451">
        <f t="shared" ref="Q702" si="3061">P702*Q700</f>
        <v>0</v>
      </c>
      <c r="R702" s="339">
        <f>_xlfn.IFNA(VLOOKUP($D696,tbWorkCover,2,FALSE),0)</f>
        <v>0</v>
      </c>
      <c r="S702" s="443">
        <f>R702*S700</f>
        <v>0</v>
      </c>
      <c r="T702" s="340">
        <f>_xlfn.IFNA(VLOOKUP($D696,tbWorkCover,2,FALSE),0)</f>
        <v>0</v>
      </c>
      <c r="U702" s="451">
        <f t="shared" ref="U702" si="3062">T702*U700</f>
        <v>0</v>
      </c>
      <c r="V702" s="339">
        <f>_xlfn.IFNA(VLOOKUP($D696,tbWorkCover,2,FALSE),0)</f>
        <v>0</v>
      </c>
      <c r="W702" s="443">
        <f>V702*W700</f>
        <v>0</v>
      </c>
      <c r="X702" s="340">
        <f>_xlfn.IFNA(VLOOKUP($D696,tbWorkCover,2,FALSE),0)</f>
        <v>0</v>
      </c>
      <c r="Y702" s="451">
        <f t="shared" ref="Y702" si="3063">X702*Y700</f>
        <v>0</v>
      </c>
      <c r="Z702" s="339">
        <f>_xlfn.IFNA(VLOOKUP($D696,tbWorkCover,2,FALSE),0)</f>
        <v>0</v>
      </c>
      <c r="AA702" s="443">
        <f>Z702*AA700</f>
        <v>0</v>
      </c>
      <c r="AB702" s="340">
        <f>_xlfn.IFNA(VLOOKUP($D696,tbWorkCover,2,FALSE),0)</f>
        <v>0</v>
      </c>
      <c r="AC702" s="451">
        <f t="shared" ref="AC702" si="3064">AB702*AC700</f>
        <v>0</v>
      </c>
      <c r="AD702" s="335"/>
      <c r="AE702" s="1152"/>
      <c r="AF702" s="1152"/>
      <c r="AG702" s="1152"/>
      <c r="AH702" s="1152"/>
      <c r="AI702" s="1152"/>
      <c r="AJ702" s="1152"/>
      <c r="AK702" s="1152"/>
      <c r="AL702" s="1152"/>
      <c r="AM702" s="1152"/>
      <c r="AN702" s="1152"/>
      <c r="AO702" s="1152"/>
      <c r="AP702" s="1152"/>
      <c r="AQ702" s="1152"/>
      <c r="AR702" s="1152"/>
      <c r="AS702" s="1152"/>
      <c r="AT702" s="1152"/>
      <c r="AU702" s="1152"/>
      <c r="AV702" s="1152"/>
      <c r="AW702" s="1152"/>
      <c r="AX702" s="1152"/>
      <c r="AY702" s="1152"/>
      <c r="AZ702" s="1152"/>
      <c r="BA702" s="1152"/>
      <c r="BB702" s="1152"/>
      <c r="BC702" s="1152"/>
      <c r="BD702" s="1152"/>
    </row>
    <row r="703" spans="1:56" hidden="1" outlineLevel="1" x14ac:dyDescent="0.3">
      <c r="A703" s="1182"/>
      <c r="B703" s="1379"/>
      <c r="C703" s="1379"/>
      <c r="D703" s="1379"/>
      <c r="E703" s="1379"/>
      <c r="F703" s="1379"/>
      <c r="G703" s="1379"/>
      <c r="H703" s="1380"/>
      <c r="I703" s="455" t="s">
        <v>318</v>
      </c>
      <c r="J703" s="339">
        <f>_xlfn.IFNA(VLOOKUP($D696,tbLongServiceLeave,2,FALSE),0)</f>
        <v>0</v>
      </c>
      <c r="K703" s="443">
        <f>J703*K697</f>
        <v>0</v>
      </c>
      <c r="L703" s="340">
        <f>_xlfn.IFNA(VLOOKUP($D696,tbLongServiceLeave,2,FALSE),0)</f>
        <v>0</v>
      </c>
      <c r="M703" s="451">
        <f t="shared" ref="M703" si="3065">L703*M697</f>
        <v>0</v>
      </c>
      <c r="N703" s="339">
        <f>_xlfn.IFNA(VLOOKUP($D696,tbLongServiceLeave,2,FALSE),0)</f>
        <v>0</v>
      </c>
      <c r="O703" s="443">
        <f>N703*O697</f>
        <v>0</v>
      </c>
      <c r="P703" s="340">
        <f>_xlfn.IFNA(VLOOKUP($D696,tbLongServiceLeave,2,FALSE),0)</f>
        <v>0</v>
      </c>
      <c r="Q703" s="451">
        <f t="shared" ref="Q703" si="3066">P703*Q697</f>
        <v>0</v>
      </c>
      <c r="R703" s="339">
        <f>_xlfn.IFNA(VLOOKUP($D696,tbLongServiceLeave,2,FALSE),0)</f>
        <v>0</v>
      </c>
      <c r="S703" s="443">
        <f>R703*S697</f>
        <v>0</v>
      </c>
      <c r="T703" s="340">
        <f>_xlfn.IFNA(VLOOKUP($D696,tbLongServiceLeave,2,FALSE),0)</f>
        <v>0</v>
      </c>
      <c r="U703" s="451">
        <f t="shared" ref="U703" si="3067">T703*U697</f>
        <v>0</v>
      </c>
      <c r="V703" s="339">
        <f>_xlfn.IFNA(VLOOKUP($D696,tbLongServiceLeave,2,FALSE),0)</f>
        <v>0</v>
      </c>
      <c r="W703" s="443">
        <f>V703*W697</f>
        <v>0</v>
      </c>
      <c r="X703" s="340">
        <f>_xlfn.IFNA(VLOOKUP($D696,tbLongServiceLeave,2,FALSE),0)</f>
        <v>0</v>
      </c>
      <c r="Y703" s="451">
        <f t="shared" ref="Y703" si="3068">X703*Y697</f>
        <v>0</v>
      </c>
      <c r="Z703" s="339">
        <f>_xlfn.IFNA(VLOOKUP($D696,tbLongServiceLeave,2,FALSE),0)</f>
        <v>0</v>
      </c>
      <c r="AA703" s="443">
        <f>Z703*AA697</f>
        <v>0</v>
      </c>
      <c r="AB703" s="340">
        <f>_xlfn.IFNA(VLOOKUP($D696,tbLongServiceLeave,2,FALSE),0)</f>
        <v>0</v>
      </c>
      <c r="AC703" s="451">
        <f t="shared" ref="AC703" si="3069">AB703*AC697</f>
        <v>0</v>
      </c>
      <c r="AD703" s="335"/>
      <c r="AE703" s="1152"/>
      <c r="AF703" s="1152"/>
      <c r="AG703" s="1152"/>
      <c r="AH703" s="1152"/>
      <c r="AI703" s="1152"/>
      <c r="AJ703" s="1152"/>
      <c r="AK703" s="1152"/>
      <c r="AL703" s="1152"/>
      <c r="AM703" s="1152"/>
      <c r="AN703" s="1152"/>
      <c r="AO703" s="1152"/>
      <c r="AP703" s="1152"/>
      <c r="AQ703" s="1152"/>
      <c r="AR703" s="1152"/>
      <c r="AS703" s="1152"/>
      <c r="AT703" s="1152"/>
      <c r="AU703" s="1152"/>
      <c r="AV703" s="1152"/>
      <c r="AW703" s="1152"/>
      <c r="AX703" s="1152"/>
      <c r="AY703" s="1152"/>
      <c r="AZ703" s="1152"/>
      <c r="BA703" s="1152"/>
      <c r="BB703" s="1152"/>
      <c r="BC703" s="1152"/>
      <c r="BD703" s="1152"/>
    </row>
    <row r="704" spans="1:56" hidden="1" outlineLevel="1" x14ac:dyDescent="0.3">
      <c r="A704" s="1182"/>
      <c r="B704" s="1379"/>
      <c r="C704" s="1379"/>
      <c r="D704" s="1379"/>
      <c r="E704" s="1379"/>
      <c r="F704" s="1379"/>
      <c r="G704" s="1379"/>
      <c r="H704" s="1380"/>
      <c r="I704" s="455" t="s">
        <v>319</v>
      </c>
      <c r="J704" s="339">
        <f>_xlfn.IFNA(VLOOKUP($D696,tbParentalLeave,2,FALSE),0)</f>
        <v>0</v>
      </c>
      <c r="K704" s="443">
        <f>J704*K697</f>
        <v>0</v>
      </c>
      <c r="L704" s="340">
        <f>_xlfn.IFNA(VLOOKUP($D696,tbParentalLeave,2,FALSE),0)</f>
        <v>0</v>
      </c>
      <c r="M704" s="451">
        <f t="shared" ref="M704" si="3070">L704*M697</f>
        <v>0</v>
      </c>
      <c r="N704" s="339">
        <f>_xlfn.IFNA(VLOOKUP($D696,tbParentalLeave,2,FALSE),0)</f>
        <v>0</v>
      </c>
      <c r="O704" s="443">
        <f>N704*O697</f>
        <v>0</v>
      </c>
      <c r="P704" s="340">
        <f>_xlfn.IFNA(VLOOKUP($D696,tbParentalLeave,2,FALSE),0)</f>
        <v>0</v>
      </c>
      <c r="Q704" s="451">
        <f t="shared" ref="Q704" si="3071">P704*Q697</f>
        <v>0</v>
      </c>
      <c r="R704" s="339">
        <f>_xlfn.IFNA(VLOOKUP($D696,tbParentalLeave,2,FALSE),0)</f>
        <v>0</v>
      </c>
      <c r="S704" s="443">
        <f>R704*S697</f>
        <v>0</v>
      </c>
      <c r="T704" s="340">
        <f>_xlfn.IFNA(VLOOKUP($D696,tbParentalLeave,2,FALSE),0)</f>
        <v>0</v>
      </c>
      <c r="U704" s="451">
        <f t="shared" ref="U704" si="3072">T704*U697</f>
        <v>0</v>
      </c>
      <c r="V704" s="339">
        <f>_xlfn.IFNA(VLOOKUP($D696,tbParentalLeave,2,FALSE),0)</f>
        <v>0</v>
      </c>
      <c r="W704" s="443">
        <f>V704*W697</f>
        <v>0</v>
      </c>
      <c r="X704" s="340">
        <f>_xlfn.IFNA(VLOOKUP($D696,tbParentalLeave,2,FALSE),0)</f>
        <v>0</v>
      </c>
      <c r="Y704" s="451">
        <f t="shared" ref="Y704" si="3073">X704*Y697</f>
        <v>0</v>
      </c>
      <c r="Z704" s="339">
        <f>_xlfn.IFNA(VLOOKUP($D696,tbParentalLeave,2,FALSE),0)</f>
        <v>0</v>
      </c>
      <c r="AA704" s="443">
        <f>Z704*AA697</f>
        <v>0</v>
      </c>
      <c r="AB704" s="340">
        <f>_xlfn.IFNA(VLOOKUP($D696,tbParentalLeave,2,FALSE),0)</f>
        <v>0</v>
      </c>
      <c r="AC704" s="451">
        <f t="shared" ref="AC704" si="3074">AB704*AC697</f>
        <v>0</v>
      </c>
      <c r="AD704" s="335"/>
      <c r="AE704" s="1152"/>
      <c r="AF704" s="1152"/>
      <c r="AG704" s="1152"/>
      <c r="AH704" s="1152"/>
      <c r="AI704" s="1152"/>
      <c r="AJ704" s="1152"/>
      <c r="AK704" s="1152"/>
      <c r="AL704" s="1152"/>
      <c r="AM704" s="1152"/>
      <c r="AN704" s="1152"/>
      <c r="AO704" s="1152"/>
      <c r="AP704" s="1152"/>
      <c r="AQ704" s="1152"/>
      <c r="AR704" s="1152"/>
      <c r="AS704" s="1152"/>
      <c r="AT704" s="1152"/>
      <c r="AU704" s="1152"/>
      <c r="AV704" s="1152"/>
      <c r="AW704" s="1152"/>
      <c r="AX704" s="1152"/>
      <c r="AY704" s="1152"/>
      <c r="AZ704" s="1152"/>
      <c r="BA704" s="1152"/>
      <c r="BB704" s="1152"/>
      <c r="BC704" s="1152"/>
      <c r="BD704" s="1152"/>
    </row>
    <row r="705" spans="1:56" hidden="1" outlineLevel="1" x14ac:dyDescent="0.3">
      <c r="A705" s="1182"/>
      <c r="B705" s="1379"/>
      <c r="C705" s="1379"/>
      <c r="D705" s="1379"/>
      <c r="E705" s="1379"/>
      <c r="F705" s="1379"/>
      <c r="G705" s="1379"/>
      <c r="H705" s="1380"/>
      <c r="I705" s="437" t="s">
        <v>320</v>
      </c>
      <c r="J705" s="438">
        <f>vl_overridden_uom_oncosts_per</f>
        <v>0</v>
      </c>
      <c r="K705" s="445">
        <f>J705*K697</f>
        <v>0</v>
      </c>
      <c r="L705" s="438">
        <f>vl_overridden_uom_oncosts_per</f>
        <v>0</v>
      </c>
      <c r="M705" s="445">
        <f>L705*M697</f>
        <v>0</v>
      </c>
      <c r="N705" s="438">
        <f>vl_overridden_uom_oncosts_per</f>
        <v>0</v>
      </c>
      <c r="O705" s="445">
        <f t="shared" ref="O705" si="3075">N705*O697</f>
        <v>0</v>
      </c>
      <c r="P705" s="438">
        <f>vl_overridden_uom_oncosts_per</f>
        <v>0</v>
      </c>
      <c r="Q705" s="445">
        <f t="shared" ref="Q705" si="3076">P705*Q697</f>
        <v>0</v>
      </c>
      <c r="R705" s="438">
        <f>vl_overridden_uom_oncosts_per</f>
        <v>0</v>
      </c>
      <c r="S705" s="445">
        <f t="shared" ref="S705" si="3077">R705*S697</f>
        <v>0</v>
      </c>
      <c r="T705" s="438">
        <f>vl_overridden_uom_oncosts_per</f>
        <v>0</v>
      </c>
      <c r="U705" s="445">
        <f t="shared" ref="U705" si="3078">T705*U697</f>
        <v>0</v>
      </c>
      <c r="V705" s="438">
        <f>vl_overridden_uom_oncosts_per</f>
        <v>0</v>
      </c>
      <c r="W705" s="445">
        <f t="shared" ref="W705" si="3079">V705*W697</f>
        <v>0</v>
      </c>
      <c r="X705" s="438">
        <f>vl_overridden_uom_oncosts_per</f>
        <v>0</v>
      </c>
      <c r="Y705" s="445">
        <f t="shared" ref="Y705" si="3080">X705*Y697</f>
        <v>0</v>
      </c>
      <c r="Z705" s="438">
        <f>vl_overridden_uom_oncosts_per</f>
        <v>0</v>
      </c>
      <c r="AA705" s="445">
        <f t="shared" ref="AA705" si="3081">Z705*AA697</f>
        <v>0</v>
      </c>
      <c r="AB705" s="438">
        <f>vl_overridden_uom_oncosts_per</f>
        <v>0</v>
      </c>
      <c r="AC705" s="445">
        <f t="shared" ref="AC705" si="3082">AB705*AC697</f>
        <v>0</v>
      </c>
      <c r="AD705" s="335"/>
      <c r="AE705" s="1152"/>
      <c r="AF705" s="1152"/>
      <c r="AG705" s="1152"/>
      <c r="AH705" s="1152"/>
      <c r="AI705" s="1152"/>
      <c r="AJ705" s="1152"/>
      <c r="AK705" s="1152"/>
      <c r="AL705" s="1152"/>
      <c r="AM705" s="1152"/>
      <c r="AN705" s="1152"/>
      <c r="AO705" s="1152"/>
      <c r="AP705" s="1152"/>
      <c r="AQ705" s="1152"/>
      <c r="AR705" s="1152"/>
      <c r="AS705" s="1152"/>
      <c r="AT705" s="1152"/>
      <c r="AU705" s="1152"/>
      <c r="AV705" s="1152"/>
      <c r="AW705" s="1152"/>
      <c r="AX705" s="1152"/>
      <c r="AY705" s="1152"/>
      <c r="AZ705" s="1152"/>
      <c r="BA705" s="1152"/>
      <c r="BB705" s="1152"/>
      <c r="BC705" s="1152"/>
      <c r="BD705" s="1152"/>
    </row>
    <row r="706" spans="1:56" hidden="1" outlineLevel="1" x14ac:dyDescent="0.3">
      <c r="A706" s="1182"/>
      <c r="B706" s="1379"/>
      <c r="C706" s="1379"/>
      <c r="D706" s="1379"/>
      <c r="E706" s="1379"/>
      <c r="F706" s="1379"/>
      <c r="G706" s="1379"/>
      <c r="H706" s="1380"/>
      <c r="I706" s="341" t="s">
        <v>321</v>
      </c>
      <c r="J706" s="342"/>
      <c r="K706" s="444">
        <f>SUM(K700:K705)</f>
        <v>0</v>
      </c>
      <c r="L706" s="342"/>
      <c r="M706" s="444">
        <f t="shared" ref="M706" si="3083">SUM(M700:M705)</f>
        <v>0</v>
      </c>
      <c r="N706" s="342"/>
      <c r="O706" s="444">
        <f t="shared" ref="O706" si="3084">SUM(O700:O705)</f>
        <v>0</v>
      </c>
      <c r="P706" s="342"/>
      <c r="Q706" s="444">
        <f t="shared" ref="Q706" si="3085">SUM(Q700:Q705)</f>
        <v>0</v>
      </c>
      <c r="R706" s="342"/>
      <c r="S706" s="444">
        <f t="shared" ref="S706" si="3086">SUM(S700:S705)</f>
        <v>0</v>
      </c>
      <c r="T706" s="342"/>
      <c r="U706" s="444">
        <f t="shared" ref="U706" si="3087">SUM(U700:U705)</f>
        <v>0</v>
      </c>
      <c r="V706" s="342"/>
      <c r="W706" s="444">
        <f t="shared" ref="W706" si="3088">SUM(W700:W705)</f>
        <v>0</v>
      </c>
      <c r="X706" s="342"/>
      <c r="Y706" s="444">
        <f t="shared" ref="Y706" si="3089">SUM(Y700:Y705)</f>
        <v>0</v>
      </c>
      <c r="Z706" s="342"/>
      <c r="AA706" s="444">
        <f t="shared" ref="AA706" si="3090">SUM(AA700:AA705)</f>
        <v>0</v>
      </c>
      <c r="AB706" s="342"/>
      <c r="AC706" s="444">
        <f t="shared" ref="AC706" si="3091">SUM(AC700:AC705)</f>
        <v>0</v>
      </c>
      <c r="AD706" s="335">
        <f t="shared" si="2799"/>
        <v>0</v>
      </c>
      <c r="AE706" s="1152"/>
      <c r="AF706" s="1152"/>
      <c r="AG706" s="1152"/>
      <c r="AH706" s="1152"/>
      <c r="AI706" s="1152"/>
      <c r="AJ706" s="1152"/>
      <c r="AK706" s="1152"/>
      <c r="AL706" s="1152"/>
      <c r="AM706" s="1152"/>
      <c r="AN706" s="1152"/>
      <c r="AO706" s="1152"/>
      <c r="AP706" s="1152"/>
      <c r="AQ706" s="1152"/>
      <c r="AR706" s="1152"/>
      <c r="AS706" s="1152"/>
      <c r="AT706" s="1152"/>
      <c r="AU706" s="1152"/>
      <c r="AV706" s="1152"/>
      <c r="AW706" s="1152"/>
      <c r="AX706" s="1152"/>
      <c r="AY706" s="1152"/>
      <c r="AZ706" s="1152"/>
      <c r="BA706" s="1152"/>
      <c r="BB706" s="1152"/>
      <c r="BC706" s="1152"/>
      <c r="BD706" s="1152"/>
    </row>
    <row r="707" spans="1:56" hidden="1" outlineLevel="1" x14ac:dyDescent="0.3">
      <c r="A707" s="1182"/>
      <c r="B707" s="1379"/>
      <c r="C707" s="1379"/>
      <c r="D707" s="1379"/>
      <c r="E707" s="1379"/>
      <c r="F707" s="1379"/>
      <c r="G707" s="1379"/>
      <c r="H707" s="1380"/>
      <c r="I707" s="455" t="s">
        <v>322</v>
      </c>
      <c r="J707" s="339">
        <f>_xlfn.IFNA(VLOOKUP($D696,tbAnnualLeaveProvision,2,FALSE),0)</f>
        <v>0</v>
      </c>
      <c r="K707" s="443">
        <f>J707*K697</f>
        <v>0</v>
      </c>
      <c r="L707" s="340">
        <f>_xlfn.IFNA(VLOOKUP($D696,tbAnnualLeaveProvision,2,FALSE),0)</f>
        <v>0</v>
      </c>
      <c r="M707" s="451">
        <f t="shared" ref="M707" si="3092">L707*M697</f>
        <v>0</v>
      </c>
      <c r="N707" s="339">
        <f>_xlfn.IFNA(VLOOKUP($D696,tbAnnualLeaveProvision,2,FALSE),0)</f>
        <v>0</v>
      </c>
      <c r="O707" s="443">
        <f>N707*O697</f>
        <v>0</v>
      </c>
      <c r="P707" s="340">
        <f>_xlfn.IFNA(VLOOKUP($D696,tbAnnualLeaveProvision,2,FALSE),0)</f>
        <v>0</v>
      </c>
      <c r="Q707" s="451">
        <f t="shared" ref="Q707" si="3093">P707*Q697</f>
        <v>0</v>
      </c>
      <c r="R707" s="339">
        <f>_xlfn.IFNA(VLOOKUP($D696,tbAnnualLeaveProvision,2,FALSE),0)</f>
        <v>0</v>
      </c>
      <c r="S707" s="443">
        <f>R707*S697</f>
        <v>0</v>
      </c>
      <c r="T707" s="340">
        <f>_xlfn.IFNA(VLOOKUP($D696,tbAnnualLeaveProvision,2,FALSE),0)</f>
        <v>0</v>
      </c>
      <c r="U707" s="451">
        <f t="shared" ref="U707" si="3094">T707*U697</f>
        <v>0</v>
      </c>
      <c r="V707" s="339">
        <f>_xlfn.IFNA(VLOOKUP($D696,tbAnnualLeaveProvision,2,FALSE),0)</f>
        <v>0</v>
      </c>
      <c r="W707" s="443">
        <f>V707*W697</f>
        <v>0</v>
      </c>
      <c r="X707" s="340">
        <f>_xlfn.IFNA(VLOOKUP($D696,tbAnnualLeaveProvision,2,FALSE),0)</f>
        <v>0</v>
      </c>
      <c r="Y707" s="451">
        <f t="shared" ref="Y707" si="3095">X707*Y697</f>
        <v>0</v>
      </c>
      <c r="Z707" s="339">
        <f>_xlfn.IFNA(VLOOKUP($D696,tbAnnualLeaveProvision,2,FALSE),0)</f>
        <v>0</v>
      </c>
      <c r="AA707" s="443">
        <f>Z707*AA697</f>
        <v>0</v>
      </c>
      <c r="AB707" s="340">
        <f>_xlfn.IFNA(VLOOKUP($D696,tbAnnualLeaveProvision,2,FALSE),0)</f>
        <v>0</v>
      </c>
      <c r="AC707" s="451">
        <f t="shared" ref="AC707" si="3096">AB707*AC697</f>
        <v>0</v>
      </c>
      <c r="AD707" s="335"/>
      <c r="AE707" s="1152"/>
      <c r="AF707" s="1152"/>
      <c r="AG707" s="1152"/>
      <c r="AH707" s="1152"/>
      <c r="AI707" s="1152"/>
      <c r="AJ707" s="1152"/>
      <c r="AK707" s="1152"/>
      <c r="AL707" s="1152"/>
      <c r="AM707" s="1152"/>
      <c r="AN707" s="1152"/>
      <c r="AO707" s="1152"/>
      <c r="AP707" s="1152"/>
      <c r="AQ707" s="1152"/>
      <c r="AR707" s="1152"/>
      <c r="AS707" s="1152"/>
      <c r="AT707" s="1152"/>
      <c r="AU707" s="1152"/>
      <c r="AV707" s="1152"/>
      <c r="AW707" s="1152"/>
      <c r="AX707" s="1152"/>
      <c r="AY707" s="1152"/>
      <c r="AZ707" s="1152"/>
      <c r="BA707" s="1152"/>
      <c r="BB707" s="1152"/>
      <c r="BC707" s="1152"/>
      <c r="BD707" s="1152"/>
    </row>
    <row r="708" spans="1:56" hidden="1" outlineLevel="1" x14ac:dyDescent="0.3">
      <c r="A708" s="1182"/>
      <c r="B708" s="1379"/>
      <c r="C708" s="1379"/>
      <c r="D708" s="1379"/>
      <c r="E708" s="1379"/>
      <c r="F708" s="1379"/>
      <c r="G708" s="1379"/>
      <c r="H708" s="1380"/>
      <c r="I708" s="455" t="s">
        <v>330</v>
      </c>
      <c r="J708" s="339"/>
      <c r="K708" s="446">
        <f>K706+K707</f>
        <v>0</v>
      </c>
      <c r="L708" s="340"/>
      <c r="M708" s="452">
        <f t="shared" ref="M708" si="3097">M706+M707</f>
        <v>0</v>
      </c>
      <c r="N708" s="339"/>
      <c r="O708" s="446">
        <f>O706+O707</f>
        <v>0</v>
      </c>
      <c r="P708" s="340"/>
      <c r="Q708" s="452">
        <f t="shared" ref="Q708" si="3098">Q706+Q707</f>
        <v>0</v>
      </c>
      <c r="R708" s="339"/>
      <c r="S708" s="446">
        <f>S706+S707</f>
        <v>0</v>
      </c>
      <c r="T708" s="340"/>
      <c r="U708" s="452">
        <f t="shared" ref="U708" si="3099">U706+U707</f>
        <v>0</v>
      </c>
      <c r="V708" s="339"/>
      <c r="W708" s="446">
        <f>W706+W707</f>
        <v>0</v>
      </c>
      <c r="X708" s="340"/>
      <c r="Y708" s="452">
        <f t="shared" ref="Y708" si="3100">Y706+Y707</f>
        <v>0</v>
      </c>
      <c r="Z708" s="339"/>
      <c r="AA708" s="446">
        <f>AA706+AA707</f>
        <v>0</v>
      </c>
      <c r="AB708" s="340"/>
      <c r="AC708" s="452">
        <f t="shared" ref="AC708" si="3101">AC706+AC707</f>
        <v>0</v>
      </c>
      <c r="AD708" s="335"/>
      <c r="AE708" s="1152"/>
      <c r="AF708" s="1152"/>
      <c r="AG708" s="1152"/>
      <c r="AH708" s="1152"/>
      <c r="AI708" s="1152"/>
      <c r="AJ708" s="1152"/>
      <c r="AK708" s="1152"/>
      <c r="AL708" s="1152"/>
      <c r="AM708" s="1152"/>
      <c r="AN708" s="1152"/>
      <c r="AO708" s="1152"/>
      <c r="AP708" s="1152"/>
      <c r="AQ708" s="1152"/>
      <c r="AR708" s="1152"/>
      <c r="AS708" s="1152"/>
      <c r="AT708" s="1152"/>
      <c r="AU708" s="1152"/>
      <c r="AV708" s="1152"/>
      <c r="AW708" s="1152"/>
      <c r="AX708" s="1152"/>
      <c r="AY708" s="1152"/>
      <c r="AZ708" s="1152"/>
      <c r="BA708" s="1152"/>
      <c r="BB708" s="1152"/>
      <c r="BC708" s="1152"/>
      <c r="BD708" s="1152"/>
    </row>
    <row r="709" spans="1:56" hidden="1" outlineLevel="1" x14ac:dyDescent="0.3">
      <c r="A709" s="1182"/>
      <c r="B709" s="1379"/>
      <c r="C709" s="1379"/>
      <c r="D709" s="1379"/>
      <c r="E709" s="1379"/>
      <c r="F709" s="1379"/>
      <c r="G709" s="1379"/>
      <c r="H709" s="1380"/>
      <c r="I709" s="462" t="s">
        <v>324</v>
      </c>
      <c r="J709" s="344"/>
      <c r="K709" s="443">
        <f>-(K706/vl_working_days_per_year)*J709</f>
        <v>0</v>
      </c>
      <c r="L709" s="345"/>
      <c r="M709" s="451">
        <f>-(M706/vl_working_days_per_year)*L709</f>
        <v>0</v>
      </c>
      <c r="N709" s="344"/>
      <c r="O709" s="443">
        <f>-(O706/vl_working_days_per_year)*N709</f>
        <v>0</v>
      </c>
      <c r="P709" s="345"/>
      <c r="Q709" s="451">
        <f>-(Q706/vl_working_days_per_year)*P709</f>
        <v>0</v>
      </c>
      <c r="R709" s="344"/>
      <c r="S709" s="443">
        <f>-(S706/vl_working_days_per_year)*R709</f>
        <v>0</v>
      </c>
      <c r="T709" s="345"/>
      <c r="U709" s="451">
        <f>-(U706/vl_working_days_per_year)*T709</f>
        <v>0</v>
      </c>
      <c r="V709" s="344"/>
      <c r="W709" s="443">
        <f>-(W706/vl_working_days_per_year)*V709</f>
        <v>0</v>
      </c>
      <c r="X709" s="345"/>
      <c r="Y709" s="451">
        <f>-(Y706/vl_working_days_per_year)*X709</f>
        <v>0</v>
      </c>
      <c r="Z709" s="344"/>
      <c r="AA709" s="443">
        <f>-(AA706/vl_working_days_per_year)*Z709</f>
        <v>0</v>
      </c>
      <c r="AB709" s="345"/>
      <c r="AC709" s="451">
        <f>-(AC706/vl_working_days_per_year)*AB709</f>
        <v>0</v>
      </c>
      <c r="AD709" s="335">
        <f t="shared" si="2799"/>
        <v>0</v>
      </c>
      <c r="AE709" s="1152"/>
      <c r="AF709" s="1152"/>
      <c r="AG709" s="1152"/>
      <c r="AH709" s="1152"/>
      <c r="AI709" s="1152"/>
      <c r="AJ709" s="1152"/>
      <c r="AK709" s="1152"/>
      <c r="AL709" s="1152"/>
      <c r="AM709" s="1152"/>
      <c r="AN709" s="1152"/>
      <c r="AO709" s="1152"/>
      <c r="AP709" s="1152"/>
      <c r="AQ709" s="1152"/>
      <c r="AR709" s="1152"/>
      <c r="AS709" s="1152"/>
      <c r="AT709" s="1152"/>
      <c r="AU709" s="1152"/>
      <c r="AV709" s="1152"/>
      <c r="AW709" s="1152"/>
      <c r="AX709" s="1152"/>
      <c r="AY709" s="1152"/>
      <c r="AZ709" s="1152"/>
      <c r="BA709" s="1152"/>
      <c r="BB709" s="1152"/>
      <c r="BC709" s="1152"/>
      <c r="BD709" s="1152"/>
    </row>
    <row r="710" spans="1:56" hidden="1" outlineLevel="1" x14ac:dyDescent="0.3">
      <c r="A710" s="1182"/>
      <c r="B710" s="1379"/>
      <c r="C710" s="1379"/>
      <c r="D710" s="1379"/>
      <c r="E710" s="1379"/>
      <c r="F710" s="1379"/>
      <c r="G710" s="1379"/>
      <c r="H710" s="1380"/>
      <c r="I710" s="341" t="s">
        <v>325</v>
      </c>
      <c r="J710" s="346"/>
      <c r="K710" s="444">
        <f>K708+K709</f>
        <v>0</v>
      </c>
      <c r="L710" s="346"/>
      <c r="M710" s="444">
        <f t="shared" ref="M710" si="3102">M708+M709</f>
        <v>0</v>
      </c>
      <c r="N710" s="346"/>
      <c r="O710" s="444">
        <f>O708+O709</f>
        <v>0</v>
      </c>
      <c r="P710" s="346"/>
      <c r="Q710" s="444">
        <f t="shared" ref="Q710" si="3103">Q708+Q709</f>
        <v>0</v>
      </c>
      <c r="R710" s="346"/>
      <c r="S710" s="444">
        <f>S708+S709</f>
        <v>0</v>
      </c>
      <c r="T710" s="346"/>
      <c r="U710" s="444">
        <f t="shared" ref="U710" si="3104">U708+U709</f>
        <v>0</v>
      </c>
      <c r="V710" s="346"/>
      <c r="W710" s="444">
        <f>W708+W709</f>
        <v>0</v>
      </c>
      <c r="X710" s="346"/>
      <c r="Y710" s="444">
        <f t="shared" ref="Y710" si="3105">Y708+Y709</f>
        <v>0</v>
      </c>
      <c r="Z710" s="346"/>
      <c r="AA710" s="444">
        <f>AA708+AA709</f>
        <v>0</v>
      </c>
      <c r="AB710" s="346"/>
      <c r="AC710" s="444">
        <f t="shared" ref="AC710" si="3106">AC708+AC709</f>
        <v>0</v>
      </c>
      <c r="AD710" s="335">
        <f t="shared" si="2799"/>
        <v>0</v>
      </c>
      <c r="AE710" s="1152"/>
      <c r="AF710" s="1152"/>
      <c r="AG710" s="1152"/>
      <c r="AH710" s="1152"/>
      <c r="AI710" s="1152"/>
      <c r="AJ710" s="1152"/>
      <c r="AK710" s="1152"/>
      <c r="AL710" s="1152"/>
      <c r="AM710" s="1152"/>
      <c r="AN710" s="1152"/>
      <c r="AO710" s="1152"/>
      <c r="AP710" s="1152"/>
      <c r="AQ710" s="1152"/>
      <c r="AR710" s="1152"/>
      <c r="AS710" s="1152"/>
      <c r="AT710" s="1152"/>
      <c r="AU710" s="1152"/>
      <c r="AV710" s="1152"/>
      <c r="AW710" s="1152"/>
      <c r="AX710" s="1152"/>
      <c r="AY710" s="1152"/>
      <c r="AZ710" s="1152"/>
      <c r="BA710" s="1152"/>
      <c r="BB710" s="1152"/>
      <c r="BC710" s="1152"/>
      <c r="BD710" s="1152"/>
    </row>
    <row r="711" spans="1:56" s="1" customFormat="1" ht="15" hidden="1" customHeight="1" outlineLevel="1" x14ac:dyDescent="0.3">
      <c r="A711" s="727"/>
      <c r="B711" s="1379"/>
      <c r="C711" s="1379"/>
      <c r="D711" s="1379"/>
      <c r="E711" s="1379"/>
      <c r="F711" s="1379"/>
      <c r="G711" s="1379"/>
      <c r="H711" s="1380"/>
      <c r="I711" s="463" t="s">
        <v>326</v>
      </c>
      <c r="J711" s="383">
        <f>IFERROR(K711/K697,0)</f>
        <v>0</v>
      </c>
      <c r="K711" s="447">
        <f>SUM(K698:K699,K701:K704,K707)</f>
        <v>0</v>
      </c>
      <c r="L711" s="434">
        <f>IFERROR(M711/M697,0)</f>
        <v>0</v>
      </c>
      <c r="M711" s="453">
        <f t="shared" ref="M711" si="3107">SUM(M698:M699,M701:M704,M707)</f>
        <v>0</v>
      </c>
      <c r="N711" s="383">
        <f t="shared" ref="N711" si="3108">IFERROR(O711/O697,0)</f>
        <v>0</v>
      </c>
      <c r="O711" s="447">
        <f t="shared" ref="O711" si="3109">SUM(O698:O699,O701:O704,O707)</f>
        <v>0</v>
      </c>
      <c r="P711" s="434">
        <f t="shared" ref="P711" si="3110">IFERROR(Q711/Q697,0)</f>
        <v>0</v>
      </c>
      <c r="Q711" s="453">
        <f t="shared" ref="Q711" si="3111">SUM(Q698:Q699,Q701:Q704,Q707)</f>
        <v>0</v>
      </c>
      <c r="R711" s="383">
        <f t="shared" ref="R711" si="3112">IFERROR(S711/S697,0)</f>
        <v>0</v>
      </c>
      <c r="S711" s="447">
        <f t="shared" ref="S711" si="3113">SUM(S698:S699,S701:S704,S707)</f>
        <v>0</v>
      </c>
      <c r="T711" s="434">
        <f t="shared" ref="T711" si="3114">IFERROR(U711/U697,0)</f>
        <v>0</v>
      </c>
      <c r="U711" s="453">
        <f t="shared" ref="U711" si="3115">SUM(U698:U699,U701:U704,U707)</f>
        <v>0</v>
      </c>
      <c r="V711" s="383">
        <f t="shared" ref="V711" si="3116">IFERROR(W711/W697,0)</f>
        <v>0</v>
      </c>
      <c r="W711" s="447">
        <f t="shared" ref="W711" si="3117">SUM(W698:W699,W701:W704,W707)</f>
        <v>0</v>
      </c>
      <c r="X711" s="434">
        <f t="shared" ref="X711" si="3118">IFERROR(Y711/Y697,0)</f>
        <v>0</v>
      </c>
      <c r="Y711" s="453">
        <f t="shared" ref="Y711" si="3119">SUM(Y698:Y699,Y701:Y704,Y707)</f>
        <v>0</v>
      </c>
      <c r="Z711" s="383">
        <f t="shared" ref="Z711" si="3120">IFERROR(AA711/AA697,0)</f>
        <v>0</v>
      </c>
      <c r="AA711" s="447">
        <f t="shared" ref="AA711" si="3121">SUM(AA698:AA699,AA701:AA704,AA707)</f>
        <v>0</v>
      </c>
      <c r="AB711" s="434">
        <f t="shared" ref="AB711" si="3122">IFERROR(AC711/AC697,0)</f>
        <v>0</v>
      </c>
      <c r="AC711" s="453">
        <f t="shared" ref="AC711" si="3123">SUM(AC698:AC699,AC701:AC704,AC707)</f>
        <v>0</v>
      </c>
      <c r="AD711" s="377">
        <f t="shared" si="2799"/>
        <v>0</v>
      </c>
      <c r="AE711" s="14"/>
      <c r="AF711" s="14"/>
      <c r="AG711" s="14"/>
      <c r="AH711" s="14"/>
      <c r="AI711" s="14"/>
      <c r="AJ711" s="14"/>
      <c r="AK711" s="14"/>
      <c r="AL711" s="14"/>
      <c r="AM711" s="14"/>
      <c r="AN711" s="14"/>
      <c r="AO711" s="14"/>
      <c r="AP711" s="14"/>
      <c r="AQ711" s="14"/>
      <c r="AR711" s="14"/>
      <c r="AS711" s="14"/>
      <c r="AT711" s="14"/>
      <c r="AU711" s="14"/>
      <c r="AV711" s="14"/>
      <c r="AW711" s="14"/>
      <c r="AX711" s="14"/>
      <c r="AY711" s="14"/>
      <c r="AZ711" s="14"/>
      <c r="BA711" s="14"/>
      <c r="BB711" s="14"/>
      <c r="BC711" s="14"/>
      <c r="BD711" s="14"/>
    </row>
    <row r="712" spans="1:56" hidden="1" outlineLevel="1" x14ac:dyDescent="0.3">
      <c r="A712" s="1182"/>
      <c r="B712" s="1379"/>
      <c r="C712" s="1379"/>
      <c r="D712" s="1379"/>
      <c r="E712" s="1379"/>
      <c r="F712" s="1379"/>
      <c r="G712" s="1379"/>
      <c r="H712" s="1380"/>
      <c r="I712" s="463" t="s">
        <v>327</v>
      </c>
      <c r="J712" s="384">
        <f>pCRInKind</f>
        <v>2.5</v>
      </c>
      <c r="K712" s="447"/>
      <c r="L712" s="435">
        <f>pCRInKind</f>
        <v>2.5</v>
      </c>
      <c r="M712" s="453"/>
      <c r="N712" s="384">
        <f>pCRInKind</f>
        <v>2.5</v>
      </c>
      <c r="O712" s="447"/>
      <c r="P712" s="435">
        <f>pCRInKind</f>
        <v>2.5</v>
      </c>
      <c r="Q712" s="453"/>
      <c r="R712" s="384">
        <f>pCRInKind</f>
        <v>2.5</v>
      </c>
      <c r="S712" s="447"/>
      <c r="T712" s="435">
        <f>pCRInKind</f>
        <v>2.5</v>
      </c>
      <c r="U712" s="453"/>
      <c r="V712" s="384">
        <f>pCRInKind</f>
        <v>2.5</v>
      </c>
      <c r="W712" s="447"/>
      <c r="X712" s="435">
        <f>pCRInKind</f>
        <v>2.5</v>
      </c>
      <c r="Y712" s="453"/>
      <c r="Z712" s="384">
        <f>pCRInKind</f>
        <v>2.5</v>
      </c>
      <c r="AA712" s="447"/>
      <c r="AB712" s="435">
        <f>pCRInKind</f>
        <v>2.5</v>
      </c>
      <c r="AC712" s="453"/>
      <c r="AD712" s="335"/>
      <c r="AE712" s="1152"/>
      <c r="AF712" s="1152"/>
      <c r="AG712" s="1152"/>
      <c r="AH712" s="1152"/>
      <c r="AI712" s="1152"/>
      <c r="AJ712" s="1152"/>
      <c r="AK712" s="1152"/>
      <c r="AL712" s="1152"/>
      <c r="AM712" s="1152"/>
      <c r="AN712" s="1152"/>
      <c r="AO712" s="1152"/>
      <c r="AP712" s="1152"/>
      <c r="AQ712" s="1152"/>
      <c r="AR712" s="1152"/>
      <c r="AS712" s="1152"/>
      <c r="AT712" s="1152"/>
      <c r="AU712" s="1152"/>
      <c r="AV712" s="1152"/>
      <c r="AW712" s="1152"/>
      <c r="AX712" s="1152"/>
      <c r="AY712" s="1152"/>
      <c r="AZ712" s="1152"/>
      <c r="BA712" s="1152"/>
      <c r="BB712" s="1152"/>
      <c r="BC712" s="1152"/>
      <c r="BD712" s="1152"/>
    </row>
    <row r="713" spans="1:56" ht="16.2" hidden="1" outlineLevel="1" thickBot="1" x14ac:dyDescent="0.35">
      <c r="A713" s="1182"/>
      <c r="B713" s="710"/>
      <c r="C713" s="347"/>
      <c r="D713" s="347"/>
      <c r="E713" s="347"/>
      <c r="F713" s="347"/>
      <c r="G713" s="347"/>
      <c r="H713" s="347"/>
      <c r="I713" s="436" t="s">
        <v>329</v>
      </c>
      <c r="J713" s="348"/>
      <c r="K713" s="349">
        <f>J712*K708</f>
        <v>0</v>
      </c>
      <c r="L713" s="348"/>
      <c r="M713" s="349">
        <f t="shared" ref="M713" si="3124">L712*M708</f>
        <v>0</v>
      </c>
      <c r="N713" s="348"/>
      <c r="O713" s="349">
        <f>N712*O708</f>
        <v>0</v>
      </c>
      <c r="P713" s="348"/>
      <c r="Q713" s="349">
        <f t="shared" ref="Q713" si="3125">P712*Q708</f>
        <v>0</v>
      </c>
      <c r="R713" s="348"/>
      <c r="S713" s="349">
        <f>R712*S708</f>
        <v>0</v>
      </c>
      <c r="T713" s="348"/>
      <c r="U713" s="349">
        <f t="shared" ref="U713" si="3126">T712*U708</f>
        <v>0</v>
      </c>
      <c r="V713" s="348"/>
      <c r="W713" s="349">
        <f>V712*W708</f>
        <v>0</v>
      </c>
      <c r="X713" s="348"/>
      <c r="Y713" s="349">
        <f t="shared" ref="Y713" si="3127">X712*Y708</f>
        <v>0</v>
      </c>
      <c r="Z713" s="348"/>
      <c r="AA713" s="349">
        <f>Z712*AA708</f>
        <v>0</v>
      </c>
      <c r="AB713" s="348"/>
      <c r="AC713" s="349">
        <f t="shared" ref="AC713" si="3128">AB712*AC708</f>
        <v>0</v>
      </c>
      <c r="AD713" s="335">
        <f t="shared" si="2799"/>
        <v>0</v>
      </c>
      <c r="AE713" s="1152"/>
      <c r="AF713" s="1152"/>
      <c r="AG713" s="1152"/>
      <c r="AH713" s="1152"/>
      <c r="AI713" s="1152"/>
      <c r="AJ713" s="1152"/>
      <c r="AK713" s="1152"/>
      <c r="AL713" s="1152"/>
      <c r="AM713" s="1152"/>
      <c r="AN713" s="1152"/>
      <c r="AO713" s="1152"/>
      <c r="AP713" s="1152"/>
      <c r="AQ713" s="1152"/>
      <c r="AR713" s="1152"/>
      <c r="AS713" s="1152"/>
      <c r="AT713" s="1152"/>
      <c r="AU713" s="1152"/>
      <c r="AV713" s="1152"/>
      <c r="AW713" s="1152"/>
      <c r="AX713" s="1152"/>
      <c r="AY713" s="1152"/>
      <c r="AZ713" s="1152"/>
      <c r="BA713" s="1152"/>
      <c r="BB713" s="1152"/>
      <c r="BC713" s="1152"/>
      <c r="BD713" s="1152"/>
    </row>
    <row r="714" spans="1:56" ht="15" hidden="1" outlineLevel="1" thickBot="1" x14ac:dyDescent="0.35">
      <c r="A714" s="1182"/>
      <c r="B714" s="1181"/>
      <c r="C714" s="1181"/>
      <c r="D714" s="1181"/>
      <c r="E714" s="1181"/>
      <c r="F714" s="1181"/>
      <c r="G714" s="1181"/>
      <c r="H714" s="1181"/>
      <c r="I714" s="350"/>
      <c r="J714" s="351"/>
      <c r="K714" s="351"/>
      <c r="L714" s="351"/>
      <c r="M714" s="352"/>
      <c r="N714" s="351"/>
      <c r="O714" s="352"/>
      <c r="P714" s="351"/>
      <c r="Q714" s="352"/>
      <c r="R714" s="351"/>
      <c r="S714" s="352"/>
      <c r="T714" s="351"/>
      <c r="U714" s="352"/>
      <c r="V714" s="351"/>
      <c r="W714" s="352"/>
      <c r="X714" s="351"/>
      <c r="Y714" s="352"/>
      <c r="Z714" s="351"/>
      <c r="AA714" s="352"/>
      <c r="AB714" s="351"/>
      <c r="AC714" s="352"/>
      <c r="AD714" s="353" t="str">
        <f>IF(tbBudgetCurrency="AUD - Australian Dollar","",IFERROR(K714+M714+O714+Q714+S714+U714+W714+Y714+AA714+AC714,0))</f>
        <v/>
      </c>
      <c r="AE714" s="1152"/>
      <c r="AF714" s="1152"/>
      <c r="AG714" s="1152"/>
      <c r="AH714" s="1152"/>
      <c r="AI714" s="1152"/>
      <c r="AJ714" s="1152"/>
      <c r="AK714" s="1152"/>
      <c r="AL714" s="1152"/>
      <c r="AM714" s="1152"/>
      <c r="AN714" s="1152"/>
      <c r="AO714" s="1152"/>
      <c r="AP714" s="1152"/>
      <c r="AQ714" s="1152"/>
      <c r="AR714" s="1152"/>
      <c r="AS714" s="1152"/>
      <c r="AT714" s="1152"/>
      <c r="AU714" s="1152"/>
      <c r="AV714" s="1152"/>
      <c r="AW714" s="1152"/>
      <c r="AX714" s="1152"/>
      <c r="AY714" s="1152"/>
      <c r="AZ714" s="1152"/>
      <c r="BA714" s="1152"/>
      <c r="BB714" s="1152"/>
      <c r="BC714" s="1152"/>
      <c r="BD714" s="1152"/>
    </row>
    <row r="715" spans="1:56" hidden="1" outlineLevel="1" x14ac:dyDescent="0.3">
      <c r="A715" s="1182"/>
      <c r="B715" s="460" t="str">
        <f>IF('PART B Staff Costs'!B70="","",'PART B Staff Costs'!B70)</f>
        <v/>
      </c>
      <c r="C715" s="460" t="str">
        <f>IF('PART B Staff Costs'!C70="","",'PART B Staff Costs'!C70)</f>
        <v xml:space="preserve"> </v>
      </c>
      <c r="D715" s="461" t="str">
        <f>IF('PART B Staff Costs'!D70="","",'PART B Staff Costs'!D70)</f>
        <v/>
      </c>
      <c r="E715" s="461" t="str">
        <f>IF('PART B Staff Costs'!E70="","",'PART B Staff Costs'!E70)</f>
        <v/>
      </c>
      <c r="F715" s="461" t="str">
        <f>IF('PART B Staff Costs'!F70="","",'PART B Staff Costs'!F70)</f>
        <v/>
      </c>
      <c r="G715" s="461" t="str">
        <f>IF('PART B Staff Costs'!G70="","",'PART B Staff Costs'!G70)</f>
        <v/>
      </c>
      <c r="H715" s="454" t="str">
        <f t="shared" ref="H715" si="3129">CONCATENATE(IF(D715=0,"",D715)," ",IF(E715=0,"",E715)," ",IF(F715=0,"",F715),,IF(OR(G715=0,G715=""),"",CONCATENATE(" (",G715,")")))</f>
        <v xml:space="preserve">  </v>
      </c>
      <c r="I715" s="454" t="s">
        <v>313</v>
      </c>
      <c r="J715" s="333">
        <f>_xlfn.IFNA('PART B Staff Costs'!H70*'PART B Staff Costs'!J$10,0)*new_xrate</f>
        <v>0</v>
      </c>
      <c r="K715" s="441"/>
      <c r="L715" s="334">
        <f>_xlfn.IFNA(IF(pStartYear+1&gt;pEndYear,0,VLOOKUP(CONCATENATE(
IF(OR($D715="Continuing",$D715="Fixed-Term"),"Fortnight",IF($D715="Casual","Casual",)),
$E715,
IF(OR($D715="Continuing",$D715="Fixed-Term"),
IF(LEFT($F715,6)="UOM 10","UOM 10",(LEFT($F715,LEN($F715)-1)&amp;MIN(RIGHT($F715,1)+COUNTIFS($J716:K716,"&gt;0")/2,VLOOKUP(LEFT($F715,LEN($F715)-2),tSalaryMax,2,FALSE)))),
IF($D715="Casual",
$F715,))
),tSalaryRate,5,FALSE)*VLOOKUP($G715,tSalaryRateMultiplier,2,FALSE)*'PART B Staff Costs'!L$10),0)*new_xrate</f>
        <v>0</v>
      </c>
      <c r="M715" s="449"/>
      <c r="N715" s="333">
        <f>_xlfn.IFNA(IF(pStartYear+2&gt;pEndYear,0,VLOOKUP(CONCATENATE(
IF(OR($D715="Continuing",$D715="Fixed-Term"),"Fortnight",IF($D715="Casual","Casual",)),
$E715,
IF(OR($D715="Continuing",$D715="Fixed-Term"),
IF(LEFT($F715,6)="UOM 10","UOM 10",(LEFT($F715,LEN($F715)-1)&amp;MIN(RIGHT($F715,1)+COUNTIFS($J716:M716,"&gt;0")/2,VLOOKUP(LEFT($F715,LEN($F715)-2),tSalaryMax,2,FALSE)))),
IF($D715="Casual",
$F715,))
),tSalaryRate,5,FALSE)*VLOOKUP($G715,tSalaryRateMultiplier,2,FALSE)*'PART B Staff Costs'!N$10),0)*new_xrate</f>
        <v>0</v>
      </c>
      <c r="O715" s="441"/>
      <c r="P715" s="334">
        <f>_xlfn.IFNA(IF(pStartYear+3&gt;pEndYear,0,VLOOKUP(CONCATENATE(
IF(OR($D715="Continuing",$D715="Fixed-Term"),"Fortnight",IF($D715="Casual","Casual",)),
$E715,
IF(OR($D715="Continuing",$D715="Fixed-Term"),
IF(LEFT($F715,6)="UOM 10","UOM 10",(LEFT($F715,LEN($F715)-1)&amp;MIN(RIGHT($F715,1)+COUNTIFS($J716:O716,"&gt;0")/2,VLOOKUP(LEFT($F715,LEN($F715)-2),tSalaryMax,2,FALSE)))),
IF($D715="Casual",
$F715,))
),tSalaryRate,5,FALSE)*VLOOKUP($G715,tSalaryRateMultiplier,2,FALSE)*'PART B Staff Costs'!P$10),0)*new_xrate</f>
        <v>0</v>
      </c>
      <c r="Q715" s="449"/>
      <c r="R715" s="333">
        <f>_xlfn.IFNA(IF(pStartYear+4&gt;pEndYear,0,VLOOKUP(CONCATENATE(
IF(OR($D715="Continuing",$D715="Fixed-Term"),"Fortnight",IF($D715="Casual","Casual",)),
$E715,
IF(OR($D715="Continuing",$D715="Fixed-Term"),
IF(LEFT($F715,6)="UOM 10","UOM 10",(LEFT($F715,LEN($F715)-1)&amp;MIN(RIGHT($F715,1)+COUNTIFS($J716:Q716,"&gt;0")/2,VLOOKUP(LEFT($F715,LEN($F715)-2),tSalaryMax,2,FALSE)))),
IF($D715="Casual",
$F715,))
),tSalaryRate,5,FALSE)*VLOOKUP($G715,tSalaryRateMultiplier,2,FALSE)*'PART B Staff Costs'!R$10),0)*new_xrate</f>
        <v>0</v>
      </c>
      <c r="S715" s="441"/>
      <c r="T715" s="334">
        <f>_xlfn.IFNA(IF(pStartYear+5&gt;pEndYear,0,VLOOKUP(CONCATENATE(
IF(OR($D715="Continuing",$D715="Fixed-Term"),"Fortnight",IF($D715="Casual","Casual",)),
$E715,
IF(OR($D715="Continuing",$D715="Fixed-Term"),
IF(LEFT($F715,6)="UOM 10","UOM 10",(LEFT($F715,LEN($F715)-1)&amp;MIN(RIGHT($F715,1)+COUNTIFS($J716:S716,"&gt;0")/2,VLOOKUP(LEFT($F715,LEN($F715)-2),tSalaryMax,2,FALSE)))),
IF($D715="Casual",
$F715,))
),tSalaryRate,5,FALSE)*VLOOKUP($G715,tSalaryRateMultiplier,2,FALSE)*'PART B Staff Costs'!T$10),0)*new_xrate</f>
        <v>0</v>
      </c>
      <c r="U715" s="449"/>
      <c r="V715" s="333">
        <f>_xlfn.IFNA(IF(pStartYear+6&gt;pEndYear,0,VLOOKUP(CONCATENATE(
IF(OR($D715="Continuing",$D715="Fixed-Term"),"Fortnight",IF($D715="Casual","Casual",)),
$E715,
IF(OR($D715="Continuing",$D715="Fixed-Term"),
IF(LEFT($F715,6)="UOM 10","UOM 10",(LEFT($F715,LEN($F715)-1)&amp;MIN(RIGHT($F715,1)+COUNTIFS($J716:U716,"&gt;0")/2,VLOOKUP(LEFT($F715,LEN($F715)-2),tSalaryMax,2,FALSE)))),
IF($D715="Casual",
$F715,))
),tSalaryRate,5,FALSE)*VLOOKUP($G715,tSalaryRateMultiplier,2,FALSE)*'PART B Staff Costs'!V$10),0)*new_xrate</f>
        <v>0</v>
      </c>
      <c r="W715" s="441"/>
      <c r="X715" s="334">
        <f>_xlfn.IFNA(IF(pStartYear+7&gt;pEndYear,0,VLOOKUP(CONCATENATE(
IF(OR($D715="Continuing",$D715="Fixed-Term"),"Fortnight",IF($D715="Casual","Casual",)),
$E715,
IF(OR($D715="Continuing",$D715="Fixed-Term"),
IF(LEFT($F715,6)="UOM 10","UOM 10",(LEFT($F715,LEN($F715)-1)&amp;MIN(RIGHT($F715,1)+COUNTIFS($J716:W716,"&gt;0")/2,VLOOKUP(LEFT($F715,LEN($F715)-2),tSalaryMax,2,FALSE)))),
IF($D715="Casual",
$F715,))
),tSalaryRate,5,FALSE)*VLOOKUP($G715,tSalaryRateMultiplier,2,FALSE)*'PART B Staff Costs'!X$10),0)*new_xrate</f>
        <v>0</v>
      </c>
      <c r="Y715" s="449"/>
      <c r="Z715" s="333">
        <f>_xlfn.IFNA(IF(pStartYear+8&gt;pEndYear,0,VLOOKUP(CONCATENATE(
IF(OR($D715="Continuing",$D715="Fixed-Term"),"Fortnight",IF($D715="Casual","Casual",)),
$E715,
IF(OR($D715="Continuing",$D715="Fixed-Term"),
IF(LEFT($F715,6)="UOM 10","UOM 10",(LEFT($F715,LEN($F715)-1)&amp;MIN(RIGHT($F715,1)+COUNTIFS($J716:Y716,"&gt;0")/2,VLOOKUP(LEFT($F715,LEN($F715)-2),tSalaryMax,2,FALSE)))),
IF($D715="Casual",
$F715,))
),tSalaryRate,5,FALSE)*VLOOKUP($G715,tSalaryRateMultiplier,2,FALSE)*'PART B Staff Costs'!Z$10),0)*new_xrate</f>
        <v>0</v>
      </c>
      <c r="AA715" s="441"/>
      <c r="AB715" s="334">
        <f>_xlfn.IFNA(IF(pStartYear+9&gt;pEndYear,0,VLOOKUP(CONCATENATE(
IF(OR($D715="Continuing",$D715="Fixed-Term"),"Fortnight",IF($D715="Casual","Casual",)),
$E715,
IF(OR($D715="Continuing",$D715="Fixed-Term"),
IF(LEFT($F715,6)="UOM 10","UOM 10",(LEFT($F715,LEN($F715)-1)&amp;MIN(RIGHT($F715,1)+COUNTIFS($J716:AA716,"&gt;0")/2,VLOOKUP(LEFT($F715,LEN($F715)-2),tSalaryMax,2,FALSE)))),
IF($D715="Casual",
$F715,))
),tSalaryRate,5,FALSE)*VLOOKUP($G715,tSalaryRateMultiplier,2,FALSE)*'PART B Staff Costs'!AB$10),0)*new_xrate</f>
        <v>0</v>
      </c>
      <c r="AC715" s="449"/>
      <c r="AD715" s="335"/>
      <c r="AE715" s="1152"/>
      <c r="AF715" s="1152"/>
      <c r="AG715" s="1152"/>
      <c r="AH715" s="1152"/>
      <c r="AI715" s="1152"/>
      <c r="AJ715" s="1152"/>
      <c r="AK715" s="1152"/>
      <c r="AL715" s="1152"/>
      <c r="AM715" s="1152"/>
      <c r="AN715" s="1152"/>
      <c r="AO715" s="1152"/>
      <c r="AP715" s="1152"/>
      <c r="AQ715" s="1152"/>
      <c r="AR715" s="1152"/>
      <c r="AS715" s="1152"/>
      <c r="AT715" s="1152"/>
      <c r="AU715" s="1152"/>
      <c r="AV715" s="1152"/>
      <c r="AW715" s="1152"/>
      <c r="AX715" s="1152"/>
      <c r="AY715" s="1152"/>
      <c r="AZ715" s="1152"/>
      <c r="BA715" s="1152"/>
      <c r="BB715" s="1152"/>
      <c r="BC715" s="1152"/>
      <c r="BD715" s="1152"/>
    </row>
    <row r="716" spans="1:56" hidden="1" outlineLevel="1" x14ac:dyDescent="0.3">
      <c r="A716" s="1182"/>
      <c r="B716" s="1377"/>
      <c r="C716" s="1377"/>
      <c r="D716" s="1377"/>
      <c r="E716" s="1377"/>
      <c r="F716" s="1377"/>
      <c r="G716" s="1377"/>
      <c r="H716" s="1378"/>
      <c r="I716" s="455" t="str">
        <f>IF('PART B Staff Costs'!G711&lt;&gt;"",CONCATENATE("Time/Requested salary"," (",'PART B Staff Costs'!G711,")"),"Time/Requested salary")</f>
        <v>Time/Requested salary</v>
      </c>
      <c r="J716" s="337">
        <f>_xlfn.IFNA('PART B Staff Costs'!I70,0)</f>
        <v>0</v>
      </c>
      <c r="K716" s="442">
        <f>IF('PART B Staff Costs'!$G$70="FTE",J716*J715*(First_year_fraction/12),J716*J715)</f>
        <v>0</v>
      </c>
      <c r="L716" s="338">
        <f>_xlfn.IFNA('PART B Staff Costs'!K70,0)</f>
        <v>0</v>
      </c>
      <c r="M716" s="450">
        <f>IF(pStartYear+1=pEndYear,IF('PART B Staff Costs'!$G$70="FTE",(L716*L715)*Last_Year_Fraction/12,L716*L715),L716*L715)</f>
        <v>0</v>
      </c>
      <c r="N716" s="337">
        <f>_xlfn.IFNA('PART B Staff Costs'!M70,0)</f>
        <v>0</v>
      </c>
      <c r="O716" s="442">
        <f>IF(pStartYear+2=pEndYear,IF('PART B Staff Costs'!$G$70="FTE",(N716*N715)*Last_Year_Fraction/12,N716*N715),N716*N715)</f>
        <v>0</v>
      </c>
      <c r="P716" s="338">
        <f>_xlfn.IFNA('PART B Staff Costs'!O70,0)</f>
        <v>0</v>
      </c>
      <c r="Q716" s="450">
        <f>IF(pStartYear+3=pEndYear,IF('PART B Staff Costs'!$G$70="FTE",(P716*P715)*Last_Year_Fraction/12,P716*P715),P716*P715)</f>
        <v>0</v>
      </c>
      <c r="R716" s="337">
        <f>_xlfn.IFNA('PART B Staff Costs'!Q70,0)</f>
        <v>0</v>
      </c>
      <c r="S716" s="442">
        <f>IF(pStartYear+4=pEndYear,IF('PART B Staff Costs'!$G$70="FTE",(R716*R715)*Last_Year_Fraction/12,R716*R715),R716*R715)</f>
        <v>0</v>
      </c>
      <c r="T716" s="338">
        <f>_xlfn.IFNA('PART B Staff Costs'!S70,0)</f>
        <v>0</v>
      </c>
      <c r="U716" s="450">
        <f>IF(pStartYear+5=pEndYear,IF('PART B Staff Costs'!$G$70="FTE",(T716*T715)*Last_Year_Fraction/12,T716*T715),T716*T715)</f>
        <v>0</v>
      </c>
      <c r="V716" s="337">
        <f>_xlfn.IFNA('PART B Staff Costs'!U70,0)</f>
        <v>0</v>
      </c>
      <c r="W716" s="442">
        <f>IF(pStartYear+6=pEndYear,IF('PART B Staff Costs'!$G$70="FTE",(V716*V715)*Last_Year_Fraction/12,V716*V715),V716*V715)</f>
        <v>0</v>
      </c>
      <c r="X716" s="338">
        <f>_xlfn.IFNA('PART B Staff Costs'!W70,0)</f>
        <v>0</v>
      </c>
      <c r="Y716" s="450">
        <f>IF(pStartYear+7=pEndYear,IF('PART B Staff Costs'!$G$70="FTE",(X716*X715)*Last_Year_Fraction/12,X716*X715),X716*X715)</f>
        <v>0</v>
      </c>
      <c r="Z716" s="337">
        <f>_xlfn.IFNA('PART B Staff Costs'!Y70,0)</f>
        <v>0</v>
      </c>
      <c r="AA716" s="442">
        <f>IF(pStartYear+8=pEndYear,IF('PART B Staff Costs'!$G$70="FTE",(Z716*Z715)*Last_Year_Fraction/12,Z716*Z715),Z716*Z715)</f>
        <v>0</v>
      </c>
      <c r="AB716" s="338">
        <f>_xlfn.IFNA('PART B Staff Costs'!AA70,0)</f>
        <v>0</v>
      </c>
      <c r="AC716" s="450">
        <f>IF(pStartYear+9=pEndYear,IF('PART B Staff Costs'!$G$70="FTE",(AB716*AB715)*Last_Year_Fraction/12,AB716*AB715),AB716*AB715)</f>
        <v>0</v>
      </c>
      <c r="AD716" s="335"/>
      <c r="AE716" s="1152"/>
      <c r="AF716" s="1152"/>
      <c r="AG716" s="1152"/>
      <c r="AH716" s="1152"/>
      <c r="AI716" s="1152"/>
      <c r="AJ716" s="1152"/>
      <c r="AK716" s="1152"/>
      <c r="AL716" s="1152"/>
      <c r="AM716" s="1152"/>
      <c r="AN716" s="1152"/>
      <c r="AO716" s="1152"/>
      <c r="AP716" s="1152"/>
      <c r="AQ716" s="1152"/>
      <c r="AR716" s="1152"/>
      <c r="AS716" s="1152"/>
      <c r="AT716" s="1152"/>
      <c r="AU716" s="1152"/>
      <c r="AV716" s="1152"/>
      <c r="AW716" s="1152"/>
      <c r="AX716" s="1152"/>
      <c r="AY716" s="1152"/>
      <c r="AZ716" s="1152"/>
      <c r="BA716" s="1152"/>
      <c r="BB716" s="1152"/>
      <c r="BC716" s="1152"/>
      <c r="BD716" s="1152"/>
    </row>
    <row r="717" spans="1:56" hidden="1" outlineLevel="1" x14ac:dyDescent="0.3">
      <c r="A717" s="1182"/>
      <c r="B717" s="1379"/>
      <c r="C717" s="1379"/>
      <c r="D717" s="1379"/>
      <c r="E717" s="1379"/>
      <c r="F717" s="1379"/>
      <c r="G717" s="1379"/>
      <c r="H717" s="1380"/>
      <c r="I717" s="455" t="str">
        <f>IF(tbBudgetCurrency="AUD - Australian Dollar",CONCATENATE("Leave Loading (max of AU$",vl_Max_Leave_Loading,")"),CONCATENATE("Leave Loading (max of ",ROUND(vl_Max_Leave_Loading*new_xrate,2)," ",LEFT(tbBudgetCurrency,3),")"))</f>
        <v>Leave Loading (max of AU$1611.3)</v>
      </c>
      <c r="J717" s="339">
        <f>_xlfn.IFNA(VLOOKUP($D715,tbLeaveLoading,2,FALSE),0)</f>
        <v>0</v>
      </c>
      <c r="K717" s="443">
        <f>IF(K716*J717&gt;vl_Max_Leave_Loading*new_xrate,vl_Max_Leave_Loading*new_xrate,K716*J717)</f>
        <v>0</v>
      </c>
      <c r="L717" s="340">
        <f>_xlfn.IFNA(VLOOKUP($D715,tbLeaveLoading,2,FALSE),0)</f>
        <v>0</v>
      </c>
      <c r="M717" s="451">
        <f>IF(M716*L717&gt;vl_Max_Leave_Loading*new_xrate,vl_Max_Leave_Loading*new_xrate,M716*L717)</f>
        <v>0</v>
      </c>
      <c r="N717" s="339">
        <f>_xlfn.IFNA(VLOOKUP($D715,tbLeaveLoading,2,FALSE),0)</f>
        <v>0</v>
      </c>
      <c r="O717" s="443">
        <f>IF(O716*N717&gt;vl_Max_Leave_Loading*new_xrate,vl_Max_Leave_Loading*new_xrate,O716*N717)</f>
        <v>0</v>
      </c>
      <c r="P717" s="340">
        <f>_xlfn.IFNA(VLOOKUP($D715,tbLeaveLoading,2,FALSE),0)</f>
        <v>0</v>
      </c>
      <c r="Q717" s="451">
        <f>IF(Q716*P717&gt;vl_Max_Leave_Loading*new_xrate,vl_Max_Leave_Loading*new_xrate,Q716*P717)</f>
        <v>0</v>
      </c>
      <c r="R717" s="339">
        <f>_xlfn.IFNA(VLOOKUP($D715,tbLeaveLoading,2,FALSE),0)</f>
        <v>0</v>
      </c>
      <c r="S717" s="443">
        <f>IF(S716*R717&gt;vl_Max_Leave_Loading*new_xrate,vl_Max_Leave_Loading*new_xrate,S716*R717)</f>
        <v>0</v>
      </c>
      <c r="T717" s="340">
        <f>_xlfn.IFNA(VLOOKUP($D715,tbLeaveLoading,2,FALSE),0)</f>
        <v>0</v>
      </c>
      <c r="U717" s="451">
        <f>IF(U716*T717&gt;vl_Max_Leave_Loading*new_xrate,vl_Max_Leave_Loading*new_xrate,U716*T717)</f>
        <v>0</v>
      </c>
      <c r="V717" s="339">
        <f>_xlfn.IFNA(VLOOKUP($D715,tbLeaveLoading,2,FALSE),0)</f>
        <v>0</v>
      </c>
      <c r="W717" s="443">
        <f>IF(W716*V717&gt;vl_Max_Leave_Loading*new_xrate,vl_Max_Leave_Loading*new_xrate,W716*V717)</f>
        <v>0</v>
      </c>
      <c r="X717" s="340">
        <f>_xlfn.IFNA(VLOOKUP($D715,tbLeaveLoading,2,FALSE),0)</f>
        <v>0</v>
      </c>
      <c r="Y717" s="451">
        <f>IF(Y716*X717&gt;vl_Max_Leave_Loading*new_xrate,vl_Max_Leave_Loading*new_xrate,Y716*X717)</f>
        <v>0</v>
      </c>
      <c r="Z717" s="339">
        <f>_xlfn.IFNA(VLOOKUP($D715,tbLeaveLoading,2,FALSE),0)</f>
        <v>0</v>
      </c>
      <c r="AA717" s="443">
        <f>IF(AA716*Z717&gt;vl_Max_Leave_Loading*new_xrate,vl_Max_Leave_Loading*new_xrate,AA716*Z717)</f>
        <v>0</v>
      </c>
      <c r="AB717" s="340">
        <f>_xlfn.IFNA(VLOOKUP($D715,tbLeaveLoading,2,FALSE),0)</f>
        <v>0</v>
      </c>
      <c r="AC717" s="451">
        <f>IF(AC716*AB717&gt;vl_Max_Leave_Loading*new_xrate,vl_Max_Leave_Loading*new_xrate,AC716*AB717)</f>
        <v>0</v>
      </c>
      <c r="AD717" s="335"/>
      <c r="AE717" s="1152"/>
      <c r="AF717" s="1152"/>
      <c r="AG717" s="1152"/>
      <c r="AH717" s="1152"/>
      <c r="AI717" s="1152"/>
      <c r="AJ717" s="1152"/>
      <c r="AK717" s="1152"/>
      <c r="AL717" s="1152"/>
      <c r="AM717" s="1152"/>
      <c r="AN717" s="1152"/>
      <c r="AO717" s="1152"/>
      <c r="AP717" s="1152"/>
      <c r="AQ717" s="1152"/>
      <c r="AR717" s="1152"/>
      <c r="AS717" s="1152"/>
      <c r="AT717" s="1152"/>
      <c r="AU717" s="1152"/>
      <c r="AV717" s="1152"/>
      <c r="AW717" s="1152"/>
      <c r="AX717" s="1152"/>
      <c r="AY717" s="1152"/>
      <c r="AZ717" s="1152"/>
      <c r="BA717" s="1152"/>
      <c r="BB717" s="1152"/>
      <c r="BC717" s="1152"/>
      <c r="BD717" s="1152"/>
    </row>
    <row r="718" spans="1:56" hidden="1" outlineLevel="1" x14ac:dyDescent="0.3">
      <c r="A718" s="1182"/>
      <c r="B718" s="1379"/>
      <c r="C718" s="1379"/>
      <c r="D718" s="1379"/>
      <c r="E718" s="1379"/>
      <c r="F718" s="1379"/>
      <c r="G718" s="1379"/>
      <c r="H718" s="1380"/>
      <c r="I718" s="455" t="s">
        <v>314</v>
      </c>
      <c r="J718" s="339">
        <f>_xlfn.IFNA(_xlfn.IFNA(VLOOKUP(CONCATENATE(pStartYear,$D715),tbSuperannuation,4,FALSE),VLOOKUP($D715,tbSuperannuation2026onwards,2,FALSE)),0)</f>
        <v>0</v>
      </c>
      <c r="K718" s="443">
        <f>K716*J718</f>
        <v>0</v>
      </c>
      <c r="L718" s="340">
        <f>_xlfn.IFNA(_xlfn.IFNA(VLOOKUP(CONCATENATE(pStartYear+1,$D715),tbSuperannuation,4,FALSE),VLOOKUP($D715,tbSuperannuation2026onwards,2,FALSE)),0)</f>
        <v>0</v>
      </c>
      <c r="M718" s="451">
        <f t="shared" ref="M718" si="3130">M716*L718</f>
        <v>0</v>
      </c>
      <c r="N718" s="339">
        <f>_xlfn.IFNA(_xlfn.IFNA(VLOOKUP(CONCATENATE(pStartYear+2,$D715),tbSuperannuation,4,FALSE),VLOOKUP($D715,tbSuperannuation2026onwards,2,FALSE)),0)</f>
        <v>0</v>
      </c>
      <c r="O718" s="443">
        <f>O716*N718</f>
        <v>0</v>
      </c>
      <c r="P718" s="340">
        <f>_xlfn.IFNA(_xlfn.IFNA(VLOOKUP(CONCATENATE(pStartYear+3,$D715),tbSuperannuation,4,FALSE),VLOOKUP($D715,tbSuperannuation2026onwards,2,FALSE)),0)</f>
        <v>0</v>
      </c>
      <c r="Q718" s="451">
        <f t="shared" ref="Q718" si="3131">Q716*P718</f>
        <v>0</v>
      </c>
      <c r="R718" s="339">
        <f>_xlfn.IFNA(_xlfn.IFNA(VLOOKUP(CONCATENATE(pStartYear+4,$D715),tbSuperannuation,4,FALSE),VLOOKUP($D715,tbSuperannuation2026onwards,2,FALSE)),0)</f>
        <v>0</v>
      </c>
      <c r="S718" s="443">
        <f>S716*R718</f>
        <v>0</v>
      </c>
      <c r="T718" s="340">
        <f>_xlfn.IFNA(_xlfn.IFNA(VLOOKUP(CONCATENATE(pStartYear+5,$D715),tbSuperannuation,4,FALSE),VLOOKUP($D715,tbSuperannuation2026onwards,2,FALSE)),0)</f>
        <v>0</v>
      </c>
      <c r="U718" s="451">
        <f t="shared" ref="U718" si="3132">U716*T718</f>
        <v>0</v>
      </c>
      <c r="V718" s="339">
        <f>_xlfn.IFNA(_xlfn.IFNA(VLOOKUP(CONCATENATE(pStartYear+6,$D715),tbSuperannuation,4,FALSE),VLOOKUP($D715,tbSuperannuation2026onwards,2,FALSE)),0)</f>
        <v>0</v>
      </c>
      <c r="W718" s="443">
        <f>W716*V718</f>
        <v>0</v>
      </c>
      <c r="X718" s="340">
        <f>_xlfn.IFNA(_xlfn.IFNA(VLOOKUP(CONCATENATE(pStartYear+7,$D715),tbSuperannuation,4,FALSE),VLOOKUP($D715,tbSuperannuation2026onwards,2,FALSE)),0)</f>
        <v>0</v>
      </c>
      <c r="Y718" s="451">
        <f t="shared" ref="Y718" si="3133">Y716*X718</f>
        <v>0</v>
      </c>
      <c r="Z718" s="339">
        <f>_xlfn.IFNA(_xlfn.IFNA(VLOOKUP(CONCATENATE(pStartYear+8,$D715),tbSuperannuation,4,FALSE),VLOOKUP($D715,tbSuperannuation2026onwards,2,FALSE)),0)</f>
        <v>0</v>
      </c>
      <c r="AA718" s="443">
        <f>AA716*Z718</f>
        <v>0</v>
      </c>
      <c r="AB718" s="340">
        <f>_xlfn.IFNA(_xlfn.IFNA(VLOOKUP(CONCATENATE(pStartYear+9,$D715),tbSuperannuation,4,FALSE),VLOOKUP($D715,tbSuperannuation2026onwards,2,FALSE)),0)</f>
        <v>0</v>
      </c>
      <c r="AC718" s="451">
        <f t="shared" ref="AC718" si="3134">AC716*AB718</f>
        <v>0</v>
      </c>
      <c r="AD718" s="335"/>
      <c r="AE718" s="1152"/>
      <c r="AF718" s="1152"/>
      <c r="AG718" s="1152"/>
      <c r="AH718" s="1152"/>
      <c r="AI718" s="1152"/>
      <c r="AJ718" s="1152"/>
      <c r="AK718" s="1152"/>
      <c r="AL718" s="1152"/>
      <c r="AM718" s="1152"/>
      <c r="AN718" s="1152"/>
      <c r="AO718" s="1152"/>
      <c r="AP718" s="1152"/>
      <c r="AQ718" s="1152"/>
      <c r="AR718" s="1152"/>
      <c r="AS718" s="1152"/>
      <c r="AT718" s="1152"/>
      <c r="AU718" s="1152"/>
      <c r="AV718" s="1152"/>
      <c r="AW718" s="1152"/>
      <c r="AX718" s="1152"/>
      <c r="AY718" s="1152"/>
      <c r="AZ718" s="1152"/>
      <c r="BA718" s="1152"/>
      <c r="BB718" s="1152"/>
      <c r="BC718" s="1152"/>
      <c r="BD718" s="1152"/>
    </row>
    <row r="719" spans="1:56" hidden="1" outlineLevel="1" x14ac:dyDescent="0.3">
      <c r="A719" s="1182"/>
      <c r="B719" s="1379"/>
      <c r="C719" s="1379"/>
      <c r="D719" s="1379"/>
      <c r="E719" s="1379"/>
      <c r="F719" s="1379"/>
      <c r="G719" s="1379"/>
      <c r="H719" s="1380"/>
      <c r="I719" s="341" t="s">
        <v>315</v>
      </c>
      <c r="J719" s="342"/>
      <c r="K719" s="444">
        <f>K717+K718+K716</f>
        <v>0</v>
      </c>
      <c r="L719" s="342"/>
      <c r="M719" s="444">
        <f t="shared" ref="M719" si="3135">M717+M718+M716</f>
        <v>0</v>
      </c>
      <c r="N719" s="342"/>
      <c r="O719" s="444">
        <f>O717+O718+O716</f>
        <v>0</v>
      </c>
      <c r="P719" s="342"/>
      <c r="Q719" s="444">
        <f t="shared" ref="Q719" si="3136">Q717+Q718+Q716</f>
        <v>0</v>
      </c>
      <c r="R719" s="342"/>
      <c r="S719" s="444">
        <f>S717+S718+S716</f>
        <v>0</v>
      </c>
      <c r="T719" s="342"/>
      <c r="U719" s="444">
        <f t="shared" ref="U719" si="3137">U717+U718+U716</f>
        <v>0</v>
      </c>
      <c r="V719" s="342"/>
      <c r="W719" s="444">
        <f>W717+W718+W716</f>
        <v>0</v>
      </c>
      <c r="X719" s="342"/>
      <c r="Y719" s="444">
        <f t="shared" ref="Y719" si="3138">Y717+Y718+Y716</f>
        <v>0</v>
      </c>
      <c r="Z719" s="342"/>
      <c r="AA719" s="444">
        <f>AA717+AA718+AA716</f>
        <v>0</v>
      </c>
      <c r="AB719" s="342"/>
      <c r="AC719" s="444">
        <f t="shared" ref="AC719" si="3139">AC717+AC718+AC716</f>
        <v>0</v>
      </c>
      <c r="AD719" s="335">
        <f t="shared" ref="AD719:AD770" si="3140">IFERROR($K719+$M719+$O719+$Q719+$S719+$U719+$W719+$Y719+$AA719+$AC719,0)</f>
        <v>0</v>
      </c>
      <c r="AE719" s="1152"/>
      <c r="AF719" s="1152"/>
      <c r="AG719" s="1152"/>
      <c r="AH719" s="1152"/>
      <c r="AI719" s="1152"/>
      <c r="AJ719" s="1152"/>
      <c r="AK719" s="1152"/>
      <c r="AL719" s="1152"/>
      <c r="AM719" s="1152"/>
      <c r="AN719" s="1152"/>
      <c r="AO719" s="1152"/>
      <c r="AP719" s="1152"/>
      <c r="AQ719" s="1152"/>
      <c r="AR719" s="1152"/>
      <c r="AS719" s="1152"/>
      <c r="AT719" s="1152"/>
      <c r="AU719" s="1152"/>
      <c r="AV719" s="1152"/>
      <c r="AW719" s="1152"/>
      <c r="AX719" s="1152"/>
      <c r="AY719" s="1152"/>
      <c r="AZ719" s="1152"/>
      <c r="BA719" s="1152"/>
      <c r="BB719" s="1152"/>
      <c r="BC719" s="1152"/>
      <c r="BD719" s="1152"/>
    </row>
    <row r="720" spans="1:56" hidden="1" outlineLevel="1" x14ac:dyDescent="0.3">
      <c r="A720" s="1182"/>
      <c r="B720" s="1379"/>
      <c r="C720" s="1379"/>
      <c r="D720" s="1379"/>
      <c r="E720" s="1379"/>
      <c r="F720" s="1379"/>
      <c r="G720" s="1379"/>
      <c r="H720" s="1380"/>
      <c r="I720" s="455" t="s">
        <v>316</v>
      </c>
      <c r="J720" s="339">
        <f>_xlfn.IFNA(_xlfn.IFNA(VLOOKUP(pStartYear,tbPayrollTax,2,FALSE),vl_MaxPayrollTax),0)</f>
        <v>5.8500000000000003E-2</v>
      </c>
      <c r="K720" s="443">
        <f>J720*K719</f>
        <v>0</v>
      </c>
      <c r="L720" s="340">
        <f>_xlfn.IFNA(_xlfn.IFNA(VLOOKUP(pStartYear+1,tbPayrollTax,2,FALSE),vl_MaxPayrollTax),0)</f>
        <v>5.8500000000000003E-2</v>
      </c>
      <c r="M720" s="451">
        <f t="shared" ref="M720" si="3141">L720*M719</f>
        <v>0</v>
      </c>
      <c r="N720" s="339">
        <f>_xlfn.IFNA(_xlfn.IFNA(VLOOKUP(pStartYear+2,tbPayrollTax,2,FALSE),vl_MaxPayrollTax),0)</f>
        <v>5.8500000000000003E-2</v>
      </c>
      <c r="O720" s="443">
        <f>N720*O719</f>
        <v>0</v>
      </c>
      <c r="P720" s="340">
        <f>_xlfn.IFNA(_xlfn.IFNA(VLOOKUP(pStartYear+3,tbPayrollTax,2,FALSE),vl_MaxPayrollTax),0)</f>
        <v>5.8500000000000003E-2</v>
      </c>
      <c r="Q720" s="451">
        <f t="shared" ref="Q720" si="3142">P720*Q719</f>
        <v>0</v>
      </c>
      <c r="R720" s="339">
        <f>_xlfn.IFNA(_xlfn.IFNA(VLOOKUP(pStartYear+4,tbPayrollTax,2,FALSE),vl_MaxPayrollTax),0)</f>
        <v>5.8500000000000003E-2</v>
      </c>
      <c r="S720" s="443">
        <f>R720*S719</f>
        <v>0</v>
      </c>
      <c r="T720" s="340">
        <f>_xlfn.IFNA(_xlfn.IFNA(VLOOKUP(pStartYear+5,tbPayrollTax,2,FALSE),vl_MaxPayrollTax),0)</f>
        <v>5.8500000000000003E-2</v>
      </c>
      <c r="U720" s="451">
        <f t="shared" ref="U720" si="3143">T720*U719</f>
        <v>0</v>
      </c>
      <c r="V720" s="339">
        <f>_xlfn.IFNA(_xlfn.IFNA(VLOOKUP(pStartYear+6,tbPayrollTax,2,FALSE),vl_MaxPayrollTax),0)</f>
        <v>5.8500000000000003E-2</v>
      </c>
      <c r="W720" s="443">
        <f>V720*W719</f>
        <v>0</v>
      </c>
      <c r="X720" s="340">
        <f>_xlfn.IFNA(_xlfn.IFNA(VLOOKUP(pStartYear+7,tbPayrollTax,2,FALSE),vl_MaxPayrollTax),0)</f>
        <v>5.8500000000000003E-2</v>
      </c>
      <c r="Y720" s="451">
        <f t="shared" ref="Y720" si="3144">X720*Y719</f>
        <v>0</v>
      </c>
      <c r="Z720" s="339">
        <f>_xlfn.IFNA(_xlfn.IFNA(VLOOKUP(pStartYear+8,tbPayrollTax,2,FALSE),vl_MaxPayrollTax),0)</f>
        <v>5.8500000000000003E-2</v>
      </c>
      <c r="AA720" s="443">
        <f>Z720*AA719</f>
        <v>0</v>
      </c>
      <c r="AB720" s="340">
        <f>_xlfn.IFNA(_xlfn.IFNA(VLOOKUP(pStartYear+9,tbPayrollTax,2,FALSE),vl_MaxPayrollTax),0)</f>
        <v>5.8500000000000003E-2</v>
      </c>
      <c r="AC720" s="451">
        <f t="shared" ref="AC720" si="3145">AB720*AC719</f>
        <v>0</v>
      </c>
      <c r="AD720" s="335"/>
      <c r="AE720" s="1152"/>
      <c r="AF720" s="1152"/>
      <c r="AG720" s="1152"/>
      <c r="AH720" s="1152"/>
      <c r="AI720" s="1152"/>
      <c r="AJ720" s="1152"/>
      <c r="AK720" s="1152"/>
      <c r="AL720" s="1152"/>
      <c r="AM720" s="1152"/>
      <c r="AN720" s="1152"/>
      <c r="AO720" s="1152"/>
      <c r="AP720" s="1152"/>
      <c r="AQ720" s="1152"/>
      <c r="AR720" s="1152"/>
      <c r="AS720" s="1152"/>
      <c r="AT720" s="1152"/>
      <c r="AU720" s="1152"/>
      <c r="AV720" s="1152"/>
      <c r="AW720" s="1152"/>
      <c r="AX720" s="1152"/>
      <c r="AY720" s="1152"/>
      <c r="AZ720" s="1152"/>
      <c r="BA720" s="1152"/>
      <c r="BB720" s="1152"/>
      <c r="BC720" s="1152"/>
      <c r="BD720" s="1152"/>
    </row>
    <row r="721" spans="1:56" hidden="1" outlineLevel="1" x14ac:dyDescent="0.3">
      <c r="A721" s="1182"/>
      <c r="B721" s="1379"/>
      <c r="C721" s="1379"/>
      <c r="D721" s="1379"/>
      <c r="E721" s="1379"/>
      <c r="F721" s="1379"/>
      <c r="G721" s="1379"/>
      <c r="H721" s="1380"/>
      <c r="I721" s="455" t="s">
        <v>317</v>
      </c>
      <c r="J721" s="339">
        <f>_xlfn.IFNA(VLOOKUP($D715,tbWorkCover,2,FALSE),0)</f>
        <v>0</v>
      </c>
      <c r="K721" s="443">
        <f>J721*K719</f>
        <v>0</v>
      </c>
      <c r="L721" s="340">
        <f>_xlfn.IFNA(VLOOKUP($D715,tbWorkCover,2,FALSE),0)</f>
        <v>0</v>
      </c>
      <c r="M721" s="451">
        <f t="shared" ref="M721" si="3146">L721*M719</f>
        <v>0</v>
      </c>
      <c r="N721" s="339">
        <f>_xlfn.IFNA(VLOOKUP($D715,tbWorkCover,2,FALSE),0)</f>
        <v>0</v>
      </c>
      <c r="O721" s="443">
        <f>N721*O719</f>
        <v>0</v>
      </c>
      <c r="P721" s="340">
        <f>_xlfn.IFNA(VLOOKUP($D715,tbWorkCover,2,FALSE),0)</f>
        <v>0</v>
      </c>
      <c r="Q721" s="451">
        <f t="shared" ref="Q721" si="3147">P721*Q719</f>
        <v>0</v>
      </c>
      <c r="R721" s="339">
        <f>_xlfn.IFNA(VLOOKUP($D715,tbWorkCover,2,FALSE),0)</f>
        <v>0</v>
      </c>
      <c r="S721" s="443">
        <f>R721*S719</f>
        <v>0</v>
      </c>
      <c r="T721" s="340">
        <f>_xlfn.IFNA(VLOOKUP($D715,tbWorkCover,2,FALSE),0)</f>
        <v>0</v>
      </c>
      <c r="U721" s="451">
        <f t="shared" ref="U721" si="3148">T721*U719</f>
        <v>0</v>
      </c>
      <c r="V721" s="339">
        <f>_xlfn.IFNA(VLOOKUP($D715,tbWorkCover,2,FALSE),0)</f>
        <v>0</v>
      </c>
      <c r="W721" s="443">
        <f>V721*W719</f>
        <v>0</v>
      </c>
      <c r="X721" s="340">
        <f>_xlfn.IFNA(VLOOKUP($D715,tbWorkCover,2,FALSE),0)</f>
        <v>0</v>
      </c>
      <c r="Y721" s="451">
        <f t="shared" ref="Y721" si="3149">X721*Y719</f>
        <v>0</v>
      </c>
      <c r="Z721" s="339">
        <f>_xlfn.IFNA(VLOOKUP($D715,tbWorkCover,2,FALSE),0)</f>
        <v>0</v>
      </c>
      <c r="AA721" s="443">
        <f>Z721*AA719</f>
        <v>0</v>
      </c>
      <c r="AB721" s="340">
        <f>_xlfn.IFNA(VLOOKUP($D715,tbWorkCover,2,FALSE),0)</f>
        <v>0</v>
      </c>
      <c r="AC721" s="451">
        <f t="shared" ref="AC721" si="3150">AB721*AC719</f>
        <v>0</v>
      </c>
      <c r="AD721" s="335"/>
      <c r="AE721" s="1152"/>
      <c r="AF721" s="1152"/>
      <c r="AG721" s="1152"/>
      <c r="AH721" s="1152"/>
      <c r="AI721" s="1152"/>
      <c r="AJ721" s="1152"/>
      <c r="AK721" s="1152"/>
      <c r="AL721" s="1152"/>
      <c r="AM721" s="1152"/>
      <c r="AN721" s="1152"/>
      <c r="AO721" s="1152"/>
      <c r="AP721" s="1152"/>
      <c r="AQ721" s="1152"/>
      <c r="AR721" s="1152"/>
      <c r="AS721" s="1152"/>
      <c r="AT721" s="1152"/>
      <c r="AU721" s="1152"/>
      <c r="AV721" s="1152"/>
      <c r="AW721" s="1152"/>
      <c r="AX721" s="1152"/>
      <c r="AY721" s="1152"/>
      <c r="AZ721" s="1152"/>
      <c r="BA721" s="1152"/>
      <c r="BB721" s="1152"/>
      <c r="BC721" s="1152"/>
      <c r="BD721" s="1152"/>
    </row>
    <row r="722" spans="1:56" hidden="1" outlineLevel="1" x14ac:dyDescent="0.3">
      <c r="A722" s="1182"/>
      <c r="B722" s="1379"/>
      <c r="C722" s="1379"/>
      <c r="D722" s="1379"/>
      <c r="E722" s="1379"/>
      <c r="F722" s="1379"/>
      <c r="G722" s="1379"/>
      <c r="H722" s="1380"/>
      <c r="I722" s="455" t="s">
        <v>318</v>
      </c>
      <c r="J722" s="339">
        <f>_xlfn.IFNA(VLOOKUP($D715,tbLongServiceLeave,2,FALSE),0)</f>
        <v>0</v>
      </c>
      <c r="K722" s="443">
        <f>J722*K716</f>
        <v>0</v>
      </c>
      <c r="L722" s="340">
        <f>_xlfn.IFNA(VLOOKUP($D715,tbLongServiceLeave,2,FALSE),0)</f>
        <v>0</v>
      </c>
      <c r="M722" s="451">
        <f t="shared" ref="M722" si="3151">L722*M716</f>
        <v>0</v>
      </c>
      <c r="N722" s="339">
        <f>_xlfn.IFNA(VLOOKUP($D715,tbLongServiceLeave,2,FALSE),0)</f>
        <v>0</v>
      </c>
      <c r="O722" s="443">
        <f>N722*O716</f>
        <v>0</v>
      </c>
      <c r="P722" s="340">
        <f>_xlfn.IFNA(VLOOKUP($D715,tbLongServiceLeave,2,FALSE),0)</f>
        <v>0</v>
      </c>
      <c r="Q722" s="451">
        <f t="shared" ref="Q722" si="3152">P722*Q716</f>
        <v>0</v>
      </c>
      <c r="R722" s="339">
        <f>_xlfn.IFNA(VLOOKUP($D715,tbLongServiceLeave,2,FALSE),0)</f>
        <v>0</v>
      </c>
      <c r="S722" s="443">
        <f>R722*S716</f>
        <v>0</v>
      </c>
      <c r="T722" s="340">
        <f>_xlfn.IFNA(VLOOKUP($D715,tbLongServiceLeave,2,FALSE),0)</f>
        <v>0</v>
      </c>
      <c r="U722" s="451">
        <f t="shared" ref="U722" si="3153">T722*U716</f>
        <v>0</v>
      </c>
      <c r="V722" s="339">
        <f>_xlfn.IFNA(VLOOKUP($D715,tbLongServiceLeave,2,FALSE),0)</f>
        <v>0</v>
      </c>
      <c r="W722" s="443">
        <f>V722*W716</f>
        <v>0</v>
      </c>
      <c r="X722" s="340">
        <f>_xlfn.IFNA(VLOOKUP($D715,tbLongServiceLeave,2,FALSE),0)</f>
        <v>0</v>
      </c>
      <c r="Y722" s="451">
        <f t="shared" ref="Y722" si="3154">X722*Y716</f>
        <v>0</v>
      </c>
      <c r="Z722" s="339">
        <f>_xlfn.IFNA(VLOOKUP($D715,tbLongServiceLeave,2,FALSE),0)</f>
        <v>0</v>
      </c>
      <c r="AA722" s="443">
        <f>Z722*AA716</f>
        <v>0</v>
      </c>
      <c r="AB722" s="340">
        <f>_xlfn.IFNA(VLOOKUP($D715,tbLongServiceLeave,2,FALSE),0)</f>
        <v>0</v>
      </c>
      <c r="AC722" s="451">
        <f t="shared" ref="AC722" si="3155">AB722*AC716</f>
        <v>0</v>
      </c>
      <c r="AD722" s="335"/>
      <c r="AE722" s="1152"/>
      <c r="AF722" s="1152"/>
      <c r="AG722" s="1152"/>
      <c r="AH722" s="1152"/>
      <c r="AI722" s="1152"/>
      <c r="AJ722" s="1152"/>
      <c r="AK722" s="1152"/>
      <c r="AL722" s="1152"/>
      <c r="AM722" s="1152"/>
      <c r="AN722" s="1152"/>
      <c r="AO722" s="1152"/>
      <c r="AP722" s="1152"/>
      <c r="AQ722" s="1152"/>
      <c r="AR722" s="1152"/>
      <c r="AS722" s="1152"/>
      <c r="AT722" s="1152"/>
      <c r="AU722" s="1152"/>
      <c r="AV722" s="1152"/>
      <c r="AW722" s="1152"/>
      <c r="AX722" s="1152"/>
      <c r="AY722" s="1152"/>
      <c r="AZ722" s="1152"/>
      <c r="BA722" s="1152"/>
      <c r="BB722" s="1152"/>
      <c r="BC722" s="1152"/>
      <c r="BD722" s="1152"/>
    </row>
    <row r="723" spans="1:56" hidden="1" outlineLevel="1" x14ac:dyDescent="0.3">
      <c r="A723" s="1182"/>
      <c r="B723" s="1379"/>
      <c r="C723" s="1379"/>
      <c r="D723" s="1379"/>
      <c r="E723" s="1379"/>
      <c r="F723" s="1379"/>
      <c r="G723" s="1379"/>
      <c r="H723" s="1380"/>
      <c r="I723" s="455" t="s">
        <v>319</v>
      </c>
      <c r="J723" s="339">
        <f>_xlfn.IFNA(VLOOKUP($D715,tbParentalLeave,2,FALSE),0)</f>
        <v>0</v>
      </c>
      <c r="K723" s="443">
        <f>J723*K716</f>
        <v>0</v>
      </c>
      <c r="L723" s="340">
        <f>_xlfn.IFNA(VLOOKUP($D715,tbParentalLeave,2,FALSE),0)</f>
        <v>0</v>
      </c>
      <c r="M723" s="451">
        <f t="shared" ref="M723" si="3156">L723*M716</f>
        <v>0</v>
      </c>
      <c r="N723" s="339">
        <f>_xlfn.IFNA(VLOOKUP($D715,tbParentalLeave,2,FALSE),0)</f>
        <v>0</v>
      </c>
      <c r="O723" s="443">
        <f>N723*O716</f>
        <v>0</v>
      </c>
      <c r="P723" s="340">
        <f>_xlfn.IFNA(VLOOKUP($D715,tbParentalLeave,2,FALSE),0)</f>
        <v>0</v>
      </c>
      <c r="Q723" s="451">
        <f t="shared" ref="Q723" si="3157">P723*Q716</f>
        <v>0</v>
      </c>
      <c r="R723" s="339">
        <f>_xlfn.IFNA(VLOOKUP($D715,tbParentalLeave,2,FALSE),0)</f>
        <v>0</v>
      </c>
      <c r="S723" s="443">
        <f>R723*S716</f>
        <v>0</v>
      </c>
      <c r="T723" s="340">
        <f>_xlfn.IFNA(VLOOKUP($D715,tbParentalLeave,2,FALSE),0)</f>
        <v>0</v>
      </c>
      <c r="U723" s="451">
        <f t="shared" ref="U723" si="3158">T723*U716</f>
        <v>0</v>
      </c>
      <c r="V723" s="339">
        <f>_xlfn.IFNA(VLOOKUP($D715,tbParentalLeave,2,FALSE),0)</f>
        <v>0</v>
      </c>
      <c r="W723" s="443">
        <f>V723*W716</f>
        <v>0</v>
      </c>
      <c r="X723" s="340">
        <f>_xlfn.IFNA(VLOOKUP($D715,tbParentalLeave,2,FALSE),0)</f>
        <v>0</v>
      </c>
      <c r="Y723" s="451">
        <f t="shared" ref="Y723" si="3159">X723*Y716</f>
        <v>0</v>
      </c>
      <c r="Z723" s="339">
        <f>_xlfn.IFNA(VLOOKUP($D715,tbParentalLeave,2,FALSE),0)</f>
        <v>0</v>
      </c>
      <c r="AA723" s="443">
        <f>Z723*AA716</f>
        <v>0</v>
      </c>
      <c r="AB723" s="340">
        <f>_xlfn.IFNA(VLOOKUP($D715,tbParentalLeave,2,FALSE),0)</f>
        <v>0</v>
      </c>
      <c r="AC723" s="451">
        <f t="shared" ref="AC723" si="3160">AB723*AC716</f>
        <v>0</v>
      </c>
      <c r="AD723" s="335"/>
      <c r="AE723" s="1152"/>
      <c r="AF723" s="1152"/>
      <c r="AG723" s="1152"/>
      <c r="AH723" s="1152"/>
      <c r="AI723" s="1152"/>
      <c r="AJ723" s="1152"/>
      <c r="AK723" s="1152"/>
      <c r="AL723" s="1152"/>
      <c r="AM723" s="1152"/>
      <c r="AN723" s="1152"/>
      <c r="AO723" s="1152"/>
      <c r="AP723" s="1152"/>
      <c r="AQ723" s="1152"/>
      <c r="AR723" s="1152"/>
      <c r="AS723" s="1152"/>
      <c r="AT723" s="1152"/>
      <c r="AU723" s="1152"/>
      <c r="AV723" s="1152"/>
      <c r="AW723" s="1152"/>
      <c r="AX723" s="1152"/>
      <c r="AY723" s="1152"/>
      <c r="AZ723" s="1152"/>
      <c r="BA723" s="1152"/>
      <c r="BB723" s="1152"/>
      <c r="BC723" s="1152"/>
      <c r="BD723" s="1152"/>
    </row>
    <row r="724" spans="1:56" hidden="1" outlineLevel="1" x14ac:dyDescent="0.3">
      <c r="A724" s="1182"/>
      <c r="B724" s="1379"/>
      <c r="C724" s="1379"/>
      <c r="D724" s="1379"/>
      <c r="E724" s="1379"/>
      <c r="F724" s="1379"/>
      <c r="G724" s="1379"/>
      <c r="H724" s="1380"/>
      <c r="I724" s="437" t="s">
        <v>320</v>
      </c>
      <c r="J724" s="438">
        <f>vl_overridden_uom_oncosts_per</f>
        <v>0</v>
      </c>
      <c r="K724" s="445">
        <f>J724*K716</f>
        <v>0</v>
      </c>
      <c r="L724" s="438">
        <f>vl_overridden_uom_oncosts_per</f>
        <v>0</v>
      </c>
      <c r="M724" s="445">
        <f>L724*M716</f>
        <v>0</v>
      </c>
      <c r="N724" s="438">
        <f>vl_overridden_uom_oncosts_per</f>
        <v>0</v>
      </c>
      <c r="O724" s="445">
        <f t="shared" ref="O724" si="3161">N724*O716</f>
        <v>0</v>
      </c>
      <c r="P724" s="438">
        <f>vl_overridden_uom_oncosts_per</f>
        <v>0</v>
      </c>
      <c r="Q724" s="445">
        <f t="shared" ref="Q724" si="3162">P724*Q716</f>
        <v>0</v>
      </c>
      <c r="R724" s="438">
        <f>vl_overridden_uom_oncosts_per</f>
        <v>0</v>
      </c>
      <c r="S724" s="445">
        <f t="shared" ref="S724" si="3163">R724*S716</f>
        <v>0</v>
      </c>
      <c r="T724" s="438">
        <f>vl_overridden_uom_oncosts_per</f>
        <v>0</v>
      </c>
      <c r="U724" s="445">
        <f t="shared" ref="U724" si="3164">T724*U716</f>
        <v>0</v>
      </c>
      <c r="V724" s="438">
        <f>vl_overridden_uom_oncosts_per</f>
        <v>0</v>
      </c>
      <c r="W724" s="445">
        <f t="shared" ref="W724" si="3165">V724*W716</f>
        <v>0</v>
      </c>
      <c r="X724" s="438">
        <f>vl_overridden_uom_oncosts_per</f>
        <v>0</v>
      </c>
      <c r="Y724" s="445">
        <f t="shared" ref="Y724" si="3166">X724*Y716</f>
        <v>0</v>
      </c>
      <c r="Z724" s="438">
        <f>vl_overridden_uom_oncosts_per</f>
        <v>0</v>
      </c>
      <c r="AA724" s="445">
        <f t="shared" ref="AA724" si="3167">Z724*AA716</f>
        <v>0</v>
      </c>
      <c r="AB724" s="438">
        <f>vl_overridden_uom_oncosts_per</f>
        <v>0</v>
      </c>
      <c r="AC724" s="445">
        <f t="shared" ref="AC724" si="3168">AB724*AC716</f>
        <v>0</v>
      </c>
      <c r="AD724" s="335"/>
      <c r="AE724" s="1152"/>
      <c r="AF724" s="1152"/>
      <c r="AG724" s="1152"/>
      <c r="AH724" s="1152"/>
      <c r="AI724" s="1152"/>
      <c r="AJ724" s="1152"/>
      <c r="AK724" s="1152"/>
      <c r="AL724" s="1152"/>
      <c r="AM724" s="1152"/>
      <c r="AN724" s="1152"/>
      <c r="AO724" s="1152"/>
      <c r="AP724" s="1152"/>
      <c r="AQ724" s="1152"/>
      <c r="AR724" s="1152"/>
      <c r="AS724" s="1152"/>
      <c r="AT724" s="1152"/>
      <c r="AU724" s="1152"/>
      <c r="AV724" s="1152"/>
      <c r="AW724" s="1152"/>
      <c r="AX724" s="1152"/>
      <c r="AY724" s="1152"/>
      <c r="AZ724" s="1152"/>
      <c r="BA724" s="1152"/>
      <c r="BB724" s="1152"/>
      <c r="BC724" s="1152"/>
      <c r="BD724" s="1152"/>
    </row>
    <row r="725" spans="1:56" hidden="1" outlineLevel="1" x14ac:dyDescent="0.3">
      <c r="A725" s="1182"/>
      <c r="B725" s="1379"/>
      <c r="C725" s="1379"/>
      <c r="D725" s="1379"/>
      <c r="E725" s="1379"/>
      <c r="F725" s="1379"/>
      <c r="G725" s="1379"/>
      <c r="H725" s="1380"/>
      <c r="I725" s="341" t="s">
        <v>321</v>
      </c>
      <c r="J725" s="342"/>
      <c r="K725" s="444">
        <f>SUM(K719:K724)</f>
        <v>0</v>
      </c>
      <c r="L725" s="342"/>
      <c r="M725" s="444">
        <f t="shared" ref="M725" si="3169">SUM(M719:M724)</f>
        <v>0</v>
      </c>
      <c r="N725" s="342"/>
      <c r="O725" s="444">
        <f t="shared" ref="O725" si="3170">SUM(O719:O724)</f>
        <v>0</v>
      </c>
      <c r="P725" s="342"/>
      <c r="Q725" s="444">
        <f t="shared" ref="Q725" si="3171">SUM(Q719:Q724)</f>
        <v>0</v>
      </c>
      <c r="R725" s="342"/>
      <c r="S725" s="444">
        <f t="shared" ref="S725" si="3172">SUM(S719:S724)</f>
        <v>0</v>
      </c>
      <c r="T725" s="342"/>
      <c r="U725" s="444">
        <f t="shared" ref="U725" si="3173">SUM(U719:U724)</f>
        <v>0</v>
      </c>
      <c r="V725" s="342"/>
      <c r="W725" s="444">
        <f t="shared" ref="W725" si="3174">SUM(W719:W724)</f>
        <v>0</v>
      </c>
      <c r="X725" s="342"/>
      <c r="Y725" s="444">
        <f t="shared" ref="Y725" si="3175">SUM(Y719:Y724)</f>
        <v>0</v>
      </c>
      <c r="Z725" s="342"/>
      <c r="AA725" s="444">
        <f t="shared" ref="AA725" si="3176">SUM(AA719:AA724)</f>
        <v>0</v>
      </c>
      <c r="AB725" s="342"/>
      <c r="AC725" s="444">
        <f t="shared" ref="AC725" si="3177">SUM(AC719:AC724)</f>
        <v>0</v>
      </c>
      <c r="AD725" s="335">
        <f t="shared" si="3140"/>
        <v>0</v>
      </c>
      <c r="AE725" s="1152"/>
      <c r="AF725" s="1152"/>
      <c r="AG725" s="1152"/>
      <c r="AH725" s="1152"/>
      <c r="AI725" s="1152"/>
      <c r="AJ725" s="1152"/>
      <c r="AK725" s="1152"/>
      <c r="AL725" s="1152"/>
      <c r="AM725" s="1152"/>
      <c r="AN725" s="1152"/>
      <c r="AO725" s="1152"/>
      <c r="AP725" s="1152"/>
      <c r="AQ725" s="1152"/>
      <c r="AR725" s="1152"/>
      <c r="AS725" s="1152"/>
      <c r="AT725" s="1152"/>
      <c r="AU725" s="1152"/>
      <c r="AV725" s="1152"/>
      <c r="AW725" s="1152"/>
      <c r="AX725" s="1152"/>
      <c r="AY725" s="1152"/>
      <c r="AZ725" s="1152"/>
      <c r="BA725" s="1152"/>
      <c r="BB725" s="1152"/>
      <c r="BC725" s="1152"/>
      <c r="BD725" s="1152"/>
    </row>
    <row r="726" spans="1:56" hidden="1" outlineLevel="1" x14ac:dyDescent="0.3">
      <c r="A726" s="1182"/>
      <c r="B726" s="1379"/>
      <c r="C726" s="1379"/>
      <c r="D726" s="1379"/>
      <c r="E726" s="1379"/>
      <c r="F726" s="1379"/>
      <c r="G726" s="1379"/>
      <c r="H726" s="1380"/>
      <c r="I726" s="455" t="s">
        <v>322</v>
      </c>
      <c r="J726" s="339">
        <f>_xlfn.IFNA(VLOOKUP($D715,tbAnnualLeaveProvision,2,FALSE),0)</f>
        <v>0</v>
      </c>
      <c r="K726" s="443">
        <f>J726*K716</f>
        <v>0</v>
      </c>
      <c r="L726" s="340">
        <f>_xlfn.IFNA(VLOOKUP($D715,tbAnnualLeaveProvision,2,FALSE),0)</f>
        <v>0</v>
      </c>
      <c r="M726" s="451">
        <f t="shared" ref="M726" si="3178">L726*M716</f>
        <v>0</v>
      </c>
      <c r="N726" s="339">
        <f>_xlfn.IFNA(VLOOKUP($D715,tbAnnualLeaveProvision,2,FALSE),0)</f>
        <v>0</v>
      </c>
      <c r="O726" s="443">
        <f>N726*O716</f>
        <v>0</v>
      </c>
      <c r="P726" s="340">
        <f>_xlfn.IFNA(VLOOKUP($D715,tbAnnualLeaveProvision,2,FALSE),0)</f>
        <v>0</v>
      </c>
      <c r="Q726" s="451">
        <f t="shared" ref="Q726" si="3179">P726*Q716</f>
        <v>0</v>
      </c>
      <c r="R726" s="339">
        <f>_xlfn.IFNA(VLOOKUP($D715,tbAnnualLeaveProvision,2,FALSE),0)</f>
        <v>0</v>
      </c>
      <c r="S726" s="443">
        <f>R726*S716</f>
        <v>0</v>
      </c>
      <c r="T726" s="340">
        <f>_xlfn.IFNA(VLOOKUP($D715,tbAnnualLeaveProvision,2,FALSE),0)</f>
        <v>0</v>
      </c>
      <c r="U726" s="451">
        <f t="shared" ref="U726" si="3180">T726*U716</f>
        <v>0</v>
      </c>
      <c r="V726" s="339">
        <f>_xlfn.IFNA(VLOOKUP($D715,tbAnnualLeaveProvision,2,FALSE),0)</f>
        <v>0</v>
      </c>
      <c r="W726" s="443">
        <f>V726*W716</f>
        <v>0</v>
      </c>
      <c r="X726" s="340">
        <f>_xlfn.IFNA(VLOOKUP($D715,tbAnnualLeaveProvision,2,FALSE),0)</f>
        <v>0</v>
      </c>
      <c r="Y726" s="451">
        <f t="shared" ref="Y726" si="3181">X726*Y716</f>
        <v>0</v>
      </c>
      <c r="Z726" s="339">
        <f>_xlfn.IFNA(VLOOKUP($D715,tbAnnualLeaveProvision,2,FALSE),0)</f>
        <v>0</v>
      </c>
      <c r="AA726" s="443">
        <f>Z726*AA716</f>
        <v>0</v>
      </c>
      <c r="AB726" s="340">
        <f>_xlfn.IFNA(VLOOKUP($D715,tbAnnualLeaveProvision,2,FALSE),0)</f>
        <v>0</v>
      </c>
      <c r="AC726" s="451">
        <f t="shared" ref="AC726" si="3182">AB726*AC716</f>
        <v>0</v>
      </c>
      <c r="AD726" s="335"/>
      <c r="AE726" s="1152"/>
      <c r="AF726" s="1152"/>
      <c r="AG726" s="1152"/>
      <c r="AH726" s="1152"/>
      <c r="AI726" s="1152"/>
      <c r="AJ726" s="1152"/>
      <c r="AK726" s="1152"/>
      <c r="AL726" s="1152"/>
      <c r="AM726" s="1152"/>
      <c r="AN726" s="1152"/>
      <c r="AO726" s="1152"/>
      <c r="AP726" s="1152"/>
      <c r="AQ726" s="1152"/>
      <c r="AR726" s="1152"/>
      <c r="AS726" s="1152"/>
      <c r="AT726" s="1152"/>
      <c r="AU726" s="1152"/>
      <c r="AV726" s="1152"/>
      <c r="AW726" s="1152"/>
      <c r="AX726" s="1152"/>
      <c r="AY726" s="1152"/>
      <c r="AZ726" s="1152"/>
      <c r="BA726" s="1152"/>
      <c r="BB726" s="1152"/>
      <c r="BC726" s="1152"/>
      <c r="BD726" s="1152"/>
    </row>
    <row r="727" spans="1:56" hidden="1" outlineLevel="1" x14ac:dyDescent="0.3">
      <c r="A727" s="1182"/>
      <c r="B727" s="1379"/>
      <c r="C727" s="1379"/>
      <c r="D727" s="1379"/>
      <c r="E727" s="1379"/>
      <c r="F727" s="1379"/>
      <c r="G727" s="1379"/>
      <c r="H727" s="1380"/>
      <c r="I727" s="455" t="s">
        <v>330</v>
      </c>
      <c r="J727" s="339"/>
      <c r="K727" s="446">
        <f>K725+K726</f>
        <v>0</v>
      </c>
      <c r="L727" s="340"/>
      <c r="M727" s="452">
        <f t="shared" ref="M727" si="3183">M725+M726</f>
        <v>0</v>
      </c>
      <c r="N727" s="339"/>
      <c r="O727" s="446">
        <f>O725+O726</f>
        <v>0</v>
      </c>
      <c r="P727" s="340"/>
      <c r="Q727" s="452">
        <f t="shared" ref="Q727" si="3184">Q725+Q726</f>
        <v>0</v>
      </c>
      <c r="R727" s="339"/>
      <c r="S727" s="446">
        <f>S725+S726</f>
        <v>0</v>
      </c>
      <c r="T727" s="340"/>
      <c r="U727" s="452">
        <f t="shared" ref="U727" si="3185">U725+U726</f>
        <v>0</v>
      </c>
      <c r="V727" s="339"/>
      <c r="W727" s="446">
        <f>W725+W726</f>
        <v>0</v>
      </c>
      <c r="X727" s="340"/>
      <c r="Y727" s="452">
        <f t="shared" ref="Y727" si="3186">Y725+Y726</f>
        <v>0</v>
      </c>
      <c r="Z727" s="339"/>
      <c r="AA727" s="446">
        <f>AA725+AA726</f>
        <v>0</v>
      </c>
      <c r="AB727" s="340"/>
      <c r="AC727" s="452">
        <f t="shared" ref="AC727" si="3187">AC725+AC726</f>
        <v>0</v>
      </c>
      <c r="AD727" s="335"/>
      <c r="AE727" s="1152"/>
      <c r="AF727" s="1152"/>
      <c r="AG727" s="1152"/>
      <c r="AH727" s="1152"/>
      <c r="AI727" s="1152"/>
      <c r="AJ727" s="1152"/>
      <c r="AK727" s="1152"/>
      <c r="AL727" s="1152"/>
      <c r="AM727" s="1152"/>
      <c r="AN727" s="1152"/>
      <c r="AO727" s="1152"/>
      <c r="AP727" s="1152"/>
      <c r="AQ727" s="1152"/>
      <c r="AR727" s="1152"/>
      <c r="AS727" s="1152"/>
      <c r="AT727" s="1152"/>
      <c r="AU727" s="1152"/>
      <c r="AV727" s="1152"/>
      <c r="AW727" s="1152"/>
      <c r="AX727" s="1152"/>
      <c r="AY727" s="1152"/>
      <c r="AZ727" s="1152"/>
      <c r="BA727" s="1152"/>
      <c r="BB727" s="1152"/>
      <c r="BC727" s="1152"/>
      <c r="BD727" s="1152"/>
    </row>
    <row r="728" spans="1:56" hidden="1" outlineLevel="1" x14ac:dyDescent="0.3">
      <c r="A728" s="1182"/>
      <c r="B728" s="1379"/>
      <c r="C728" s="1379"/>
      <c r="D728" s="1379"/>
      <c r="E728" s="1379"/>
      <c r="F728" s="1379"/>
      <c r="G728" s="1379"/>
      <c r="H728" s="1380"/>
      <c r="I728" s="462" t="s">
        <v>324</v>
      </c>
      <c r="J728" s="344">
        <v>0</v>
      </c>
      <c r="K728" s="443">
        <f>-(K725/vl_working_days_per_year)*J728</f>
        <v>0</v>
      </c>
      <c r="L728" s="345"/>
      <c r="M728" s="451">
        <f>-(M725/vl_working_days_per_year)*L728</f>
        <v>0</v>
      </c>
      <c r="N728" s="344"/>
      <c r="O728" s="443">
        <f>-(O725/vl_working_days_per_year)*N728</f>
        <v>0</v>
      </c>
      <c r="P728" s="345"/>
      <c r="Q728" s="451">
        <f>-(Q725/vl_working_days_per_year)*P728</f>
        <v>0</v>
      </c>
      <c r="R728" s="344"/>
      <c r="S728" s="443">
        <f>-(S725/vl_working_days_per_year)*R728</f>
        <v>0</v>
      </c>
      <c r="T728" s="345"/>
      <c r="U728" s="451">
        <f>-(U725/vl_working_days_per_year)*T728</f>
        <v>0</v>
      </c>
      <c r="V728" s="344"/>
      <c r="W728" s="443">
        <f>-(W725/vl_working_days_per_year)*V728</f>
        <v>0</v>
      </c>
      <c r="X728" s="345"/>
      <c r="Y728" s="451">
        <f>-(Y725/vl_working_days_per_year)*X728</f>
        <v>0</v>
      </c>
      <c r="Z728" s="344"/>
      <c r="AA728" s="443">
        <f>-(AA725/vl_working_days_per_year)*Z728</f>
        <v>0</v>
      </c>
      <c r="AB728" s="345"/>
      <c r="AC728" s="451">
        <f>-(AC725/vl_working_days_per_year)*AB728</f>
        <v>0</v>
      </c>
      <c r="AD728" s="335">
        <f t="shared" si="3140"/>
        <v>0</v>
      </c>
      <c r="AE728" s="1152"/>
      <c r="AF728" s="1152"/>
      <c r="AG728" s="1152"/>
      <c r="AH728" s="1152"/>
      <c r="AI728" s="1152"/>
      <c r="AJ728" s="1152"/>
      <c r="AK728" s="1152"/>
      <c r="AL728" s="1152"/>
      <c r="AM728" s="1152"/>
      <c r="AN728" s="1152"/>
      <c r="AO728" s="1152"/>
      <c r="AP728" s="1152"/>
      <c r="AQ728" s="1152"/>
      <c r="AR728" s="1152"/>
      <c r="AS728" s="1152"/>
      <c r="AT728" s="1152"/>
      <c r="AU728" s="1152"/>
      <c r="AV728" s="1152"/>
      <c r="AW728" s="1152"/>
      <c r="AX728" s="1152"/>
      <c r="AY728" s="1152"/>
      <c r="AZ728" s="1152"/>
      <c r="BA728" s="1152"/>
      <c r="BB728" s="1152"/>
      <c r="BC728" s="1152"/>
      <c r="BD728" s="1152"/>
    </row>
    <row r="729" spans="1:56" hidden="1" outlineLevel="1" x14ac:dyDescent="0.3">
      <c r="A729" s="1182"/>
      <c r="B729" s="1379"/>
      <c r="C729" s="1379"/>
      <c r="D729" s="1379"/>
      <c r="E729" s="1379"/>
      <c r="F729" s="1379"/>
      <c r="G729" s="1379"/>
      <c r="H729" s="1380"/>
      <c r="I729" s="341" t="s">
        <v>325</v>
      </c>
      <c r="J729" s="346"/>
      <c r="K729" s="444">
        <f>K727+K728</f>
        <v>0</v>
      </c>
      <c r="L729" s="346"/>
      <c r="M729" s="444">
        <f t="shared" ref="M729" si="3188">M727+M728</f>
        <v>0</v>
      </c>
      <c r="N729" s="346"/>
      <c r="O729" s="444">
        <f>O727+O728</f>
        <v>0</v>
      </c>
      <c r="P729" s="346"/>
      <c r="Q729" s="444">
        <f t="shared" ref="Q729" si="3189">Q727+Q728</f>
        <v>0</v>
      </c>
      <c r="R729" s="346"/>
      <c r="S729" s="444">
        <f>S727+S728</f>
        <v>0</v>
      </c>
      <c r="T729" s="346"/>
      <c r="U729" s="444">
        <f t="shared" ref="U729" si="3190">U727+U728</f>
        <v>0</v>
      </c>
      <c r="V729" s="346"/>
      <c r="W729" s="444">
        <f>W727+W728</f>
        <v>0</v>
      </c>
      <c r="X729" s="346"/>
      <c r="Y729" s="444">
        <f t="shared" ref="Y729" si="3191">Y727+Y728</f>
        <v>0</v>
      </c>
      <c r="Z729" s="346"/>
      <c r="AA729" s="444">
        <f>AA727+AA728</f>
        <v>0</v>
      </c>
      <c r="AB729" s="346"/>
      <c r="AC729" s="444">
        <f t="shared" ref="AC729" si="3192">AC727+AC728</f>
        <v>0</v>
      </c>
      <c r="AD729" s="335">
        <f t="shared" si="3140"/>
        <v>0</v>
      </c>
      <c r="AE729" s="1152"/>
      <c r="AF729" s="1152"/>
      <c r="AG729" s="1152"/>
      <c r="AH729" s="1152"/>
      <c r="AI729" s="1152"/>
      <c r="AJ729" s="1152"/>
      <c r="AK729" s="1152"/>
      <c r="AL729" s="1152"/>
      <c r="AM729" s="1152"/>
      <c r="AN729" s="1152"/>
      <c r="AO729" s="1152"/>
      <c r="AP729" s="1152"/>
      <c r="AQ729" s="1152"/>
      <c r="AR729" s="1152"/>
      <c r="AS729" s="1152"/>
      <c r="AT729" s="1152"/>
      <c r="AU729" s="1152"/>
      <c r="AV729" s="1152"/>
      <c r="AW729" s="1152"/>
      <c r="AX729" s="1152"/>
      <c r="AY729" s="1152"/>
      <c r="AZ729" s="1152"/>
      <c r="BA729" s="1152"/>
      <c r="BB729" s="1152"/>
      <c r="BC729" s="1152"/>
      <c r="BD729" s="1152"/>
    </row>
    <row r="730" spans="1:56" s="1" customFormat="1" ht="15" hidden="1" customHeight="1" outlineLevel="1" x14ac:dyDescent="0.3">
      <c r="A730" s="727"/>
      <c r="B730" s="1379"/>
      <c r="C730" s="1379"/>
      <c r="D730" s="1379"/>
      <c r="E730" s="1379"/>
      <c r="F730" s="1379"/>
      <c r="G730" s="1379"/>
      <c r="H730" s="1380"/>
      <c r="I730" s="463" t="s">
        <v>326</v>
      </c>
      <c r="J730" s="383">
        <f>IFERROR(K730/K716,0)</f>
        <v>0</v>
      </c>
      <c r="K730" s="447">
        <f>SUM(K717:K718,K720:K723,K726)</f>
        <v>0</v>
      </c>
      <c r="L730" s="434">
        <f>IFERROR(M730/M716,0)</f>
        <v>0</v>
      </c>
      <c r="M730" s="453">
        <f t="shared" ref="M730" si="3193">SUM(M717:M718,M720:M723,M726)</f>
        <v>0</v>
      </c>
      <c r="N730" s="383">
        <f t="shared" ref="N730" si="3194">IFERROR(O730/O716,0)</f>
        <v>0</v>
      </c>
      <c r="O730" s="447">
        <f t="shared" ref="O730" si="3195">SUM(O717:O718,O720:O723,O726)</f>
        <v>0</v>
      </c>
      <c r="P730" s="434">
        <f t="shared" ref="P730" si="3196">IFERROR(Q730/Q716,0)</f>
        <v>0</v>
      </c>
      <c r="Q730" s="453">
        <f t="shared" ref="Q730" si="3197">SUM(Q717:Q718,Q720:Q723,Q726)</f>
        <v>0</v>
      </c>
      <c r="R730" s="383">
        <f t="shared" ref="R730" si="3198">IFERROR(S730/S716,0)</f>
        <v>0</v>
      </c>
      <c r="S730" s="447">
        <f t="shared" ref="S730" si="3199">SUM(S717:S718,S720:S723,S726)</f>
        <v>0</v>
      </c>
      <c r="T730" s="434">
        <f t="shared" ref="T730" si="3200">IFERROR(U730/U716,0)</f>
        <v>0</v>
      </c>
      <c r="U730" s="453">
        <f t="shared" ref="U730" si="3201">SUM(U717:U718,U720:U723,U726)</f>
        <v>0</v>
      </c>
      <c r="V730" s="383">
        <f t="shared" ref="V730" si="3202">IFERROR(W730/W716,0)</f>
        <v>0</v>
      </c>
      <c r="W730" s="447">
        <f t="shared" ref="W730" si="3203">SUM(W717:W718,W720:W723,W726)</f>
        <v>0</v>
      </c>
      <c r="X730" s="434">
        <f t="shared" ref="X730" si="3204">IFERROR(Y730/Y716,0)</f>
        <v>0</v>
      </c>
      <c r="Y730" s="453">
        <f t="shared" ref="Y730" si="3205">SUM(Y717:Y718,Y720:Y723,Y726)</f>
        <v>0</v>
      </c>
      <c r="Z730" s="383">
        <f t="shared" ref="Z730" si="3206">IFERROR(AA730/AA716,0)</f>
        <v>0</v>
      </c>
      <c r="AA730" s="447">
        <f t="shared" ref="AA730" si="3207">SUM(AA717:AA718,AA720:AA723,AA726)</f>
        <v>0</v>
      </c>
      <c r="AB730" s="434">
        <f t="shared" ref="AB730" si="3208">IFERROR(AC730/AC716,0)</f>
        <v>0</v>
      </c>
      <c r="AC730" s="453">
        <f t="shared" ref="AC730" si="3209">SUM(AC717:AC718,AC720:AC723,AC726)</f>
        <v>0</v>
      </c>
      <c r="AD730" s="377">
        <f t="shared" si="3140"/>
        <v>0</v>
      </c>
      <c r="AE730" s="14"/>
      <c r="AF730" s="14"/>
      <c r="AG730" s="14"/>
      <c r="AH730" s="14"/>
      <c r="AI730" s="14"/>
      <c r="AJ730" s="14"/>
      <c r="AK730" s="14"/>
      <c r="AL730" s="14"/>
      <c r="AM730" s="14"/>
      <c r="AN730" s="14"/>
      <c r="AO730" s="14"/>
      <c r="AP730" s="14"/>
      <c r="AQ730" s="14"/>
      <c r="AR730" s="14"/>
      <c r="AS730" s="14"/>
      <c r="AT730" s="14"/>
      <c r="AU730" s="14"/>
      <c r="AV730" s="14"/>
      <c r="AW730" s="14"/>
      <c r="AX730" s="14"/>
      <c r="AY730" s="14"/>
      <c r="AZ730" s="14"/>
      <c r="BA730" s="14"/>
      <c r="BB730" s="14"/>
      <c r="BC730" s="14"/>
      <c r="BD730" s="14"/>
    </row>
    <row r="731" spans="1:56" hidden="1" outlineLevel="1" x14ac:dyDescent="0.3">
      <c r="A731" s="1182"/>
      <c r="B731" s="1379"/>
      <c r="C731" s="1379"/>
      <c r="D731" s="1379"/>
      <c r="E731" s="1379"/>
      <c r="F731" s="1379"/>
      <c r="G731" s="1379"/>
      <c r="H731" s="1380"/>
      <c r="I731" s="463" t="s">
        <v>327</v>
      </c>
      <c r="J731" s="384">
        <f>pCRInKind</f>
        <v>2.5</v>
      </c>
      <c r="K731" s="447"/>
      <c r="L731" s="435">
        <f>pCRInKind</f>
        <v>2.5</v>
      </c>
      <c r="M731" s="453"/>
      <c r="N731" s="384">
        <f>pCRInKind</f>
        <v>2.5</v>
      </c>
      <c r="O731" s="447"/>
      <c r="P731" s="435">
        <f>pCRInKind</f>
        <v>2.5</v>
      </c>
      <c r="Q731" s="453"/>
      <c r="R731" s="384">
        <f>pCRInKind</f>
        <v>2.5</v>
      </c>
      <c r="S731" s="447"/>
      <c r="T731" s="435">
        <f>pCRInKind</f>
        <v>2.5</v>
      </c>
      <c r="U731" s="453"/>
      <c r="V731" s="384">
        <f>pCRInKind</f>
        <v>2.5</v>
      </c>
      <c r="W731" s="447"/>
      <c r="X731" s="435">
        <f>pCRInKind</f>
        <v>2.5</v>
      </c>
      <c r="Y731" s="453"/>
      <c r="Z731" s="384">
        <f>pCRInKind</f>
        <v>2.5</v>
      </c>
      <c r="AA731" s="447"/>
      <c r="AB731" s="435">
        <f>pCRInKind</f>
        <v>2.5</v>
      </c>
      <c r="AC731" s="453"/>
      <c r="AD731" s="335"/>
      <c r="AE731" s="1152"/>
      <c r="AF731" s="1152"/>
      <c r="AG731" s="1152"/>
      <c r="AH731" s="1152"/>
      <c r="AI731" s="1152"/>
      <c r="AJ731" s="1152"/>
      <c r="AK731" s="1152"/>
      <c r="AL731" s="1152"/>
      <c r="AM731" s="1152"/>
      <c r="AN731" s="1152"/>
      <c r="AO731" s="1152"/>
      <c r="AP731" s="1152"/>
      <c r="AQ731" s="1152"/>
      <c r="AR731" s="1152"/>
      <c r="AS731" s="1152"/>
      <c r="AT731" s="1152"/>
      <c r="AU731" s="1152"/>
      <c r="AV731" s="1152"/>
      <c r="AW731" s="1152"/>
      <c r="AX731" s="1152"/>
      <c r="AY731" s="1152"/>
      <c r="AZ731" s="1152"/>
      <c r="BA731" s="1152"/>
      <c r="BB731" s="1152"/>
      <c r="BC731" s="1152"/>
      <c r="BD731" s="1152"/>
    </row>
    <row r="732" spans="1:56" ht="16.2" hidden="1" outlineLevel="1" thickBot="1" x14ac:dyDescent="0.35">
      <c r="A732" s="1182"/>
      <c r="B732" s="710"/>
      <c r="C732" s="347"/>
      <c r="D732" s="347"/>
      <c r="E732" s="347"/>
      <c r="F732" s="347"/>
      <c r="G732" s="347"/>
      <c r="H732" s="347"/>
      <c r="I732" s="436" t="s">
        <v>329</v>
      </c>
      <c r="J732" s="348"/>
      <c r="K732" s="349">
        <f>J731*K727</f>
        <v>0</v>
      </c>
      <c r="L732" s="348"/>
      <c r="M732" s="349">
        <f t="shared" ref="M732" si="3210">L731*M727</f>
        <v>0</v>
      </c>
      <c r="N732" s="348"/>
      <c r="O732" s="349">
        <f>N731*O727</f>
        <v>0</v>
      </c>
      <c r="P732" s="348"/>
      <c r="Q732" s="349">
        <f t="shared" ref="Q732" si="3211">P731*Q727</f>
        <v>0</v>
      </c>
      <c r="R732" s="348"/>
      <c r="S732" s="349">
        <f>R731*S727</f>
        <v>0</v>
      </c>
      <c r="T732" s="348"/>
      <c r="U732" s="349">
        <f t="shared" ref="U732" si="3212">T731*U727</f>
        <v>0</v>
      </c>
      <c r="V732" s="348"/>
      <c r="W732" s="349">
        <f>V731*W727</f>
        <v>0</v>
      </c>
      <c r="X732" s="348"/>
      <c r="Y732" s="349">
        <f t="shared" ref="Y732" si="3213">X731*Y727</f>
        <v>0</v>
      </c>
      <c r="Z732" s="348"/>
      <c r="AA732" s="349">
        <f>Z731*AA727</f>
        <v>0</v>
      </c>
      <c r="AB732" s="348"/>
      <c r="AC732" s="349">
        <f t="shared" ref="AC732" si="3214">AB731*AC727</f>
        <v>0</v>
      </c>
      <c r="AD732" s="335">
        <f t="shared" si="3140"/>
        <v>0</v>
      </c>
      <c r="AE732" s="1152"/>
      <c r="AF732" s="1152"/>
      <c r="AG732" s="1152"/>
      <c r="AH732" s="1152"/>
      <c r="AI732" s="1152"/>
      <c r="AJ732" s="1152"/>
      <c r="AK732" s="1152"/>
      <c r="AL732" s="1152"/>
      <c r="AM732" s="1152"/>
      <c r="AN732" s="1152"/>
      <c r="AO732" s="1152"/>
      <c r="AP732" s="1152"/>
      <c r="AQ732" s="1152"/>
      <c r="AR732" s="1152"/>
      <c r="AS732" s="1152"/>
      <c r="AT732" s="1152"/>
      <c r="AU732" s="1152"/>
      <c r="AV732" s="1152"/>
      <c r="AW732" s="1152"/>
      <c r="AX732" s="1152"/>
      <c r="AY732" s="1152"/>
      <c r="AZ732" s="1152"/>
      <c r="BA732" s="1152"/>
      <c r="BB732" s="1152"/>
      <c r="BC732" s="1152"/>
      <c r="BD732" s="1152"/>
    </row>
    <row r="733" spans="1:56" ht="15" hidden="1" outlineLevel="1" thickBot="1" x14ac:dyDescent="0.35">
      <c r="A733" s="1182"/>
      <c r="B733" s="1181"/>
      <c r="C733" s="1181"/>
      <c r="D733" s="1181"/>
      <c r="E733" s="1181"/>
      <c r="F733" s="1181"/>
      <c r="G733" s="1181"/>
      <c r="H733" s="1181"/>
      <c r="I733" s="350"/>
      <c r="J733" s="351"/>
      <c r="K733" s="351"/>
      <c r="L733" s="351"/>
      <c r="M733" s="352"/>
      <c r="N733" s="351"/>
      <c r="O733" s="352"/>
      <c r="P733" s="351"/>
      <c r="Q733" s="352"/>
      <c r="R733" s="351"/>
      <c r="S733" s="352"/>
      <c r="T733" s="351"/>
      <c r="U733" s="352"/>
      <c r="V733" s="351"/>
      <c r="W733" s="352"/>
      <c r="X733" s="351"/>
      <c r="Y733" s="352"/>
      <c r="Z733" s="351"/>
      <c r="AA733" s="352"/>
      <c r="AB733" s="351"/>
      <c r="AC733" s="352"/>
      <c r="AD733" s="353" t="str">
        <f>IF(tbBudgetCurrency="AUD - Australian Dollar","",IFERROR(K733+M733+O733+Q733+S733+U733+W733+Y733+AA733+AC733,0))</f>
        <v/>
      </c>
      <c r="AE733" s="1152"/>
      <c r="AF733" s="1152"/>
      <c r="AG733" s="1152"/>
      <c r="AH733" s="1152"/>
      <c r="AI733" s="1152"/>
      <c r="AJ733" s="1152"/>
      <c r="AK733" s="1152"/>
      <c r="AL733" s="1152"/>
      <c r="AM733" s="1152"/>
      <c r="AN733" s="1152"/>
      <c r="AO733" s="1152"/>
      <c r="AP733" s="1152"/>
      <c r="AQ733" s="1152"/>
      <c r="AR733" s="1152"/>
      <c r="AS733" s="1152"/>
      <c r="AT733" s="1152"/>
      <c r="AU733" s="1152"/>
      <c r="AV733" s="1152"/>
      <c r="AW733" s="1152"/>
      <c r="AX733" s="1152"/>
      <c r="AY733" s="1152"/>
      <c r="AZ733" s="1152"/>
      <c r="BA733" s="1152"/>
      <c r="BB733" s="1152"/>
      <c r="BC733" s="1152"/>
      <c r="BD733" s="1152"/>
    </row>
    <row r="734" spans="1:56" hidden="1" outlineLevel="1" x14ac:dyDescent="0.3">
      <c r="A734" s="1182"/>
      <c r="B734" s="460" t="str">
        <f>IF('PART B Staff Costs'!B71="","",'PART B Staff Costs'!B71)</f>
        <v/>
      </c>
      <c r="C734" s="460" t="str">
        <f>IF('PART B Staff Costs'!C71="","",'PART B Staff Costs'!C71)</f>
        <v xml:space="preserve"> </v>
      </c>
      <c r="D734" s="461" t="str">
        <f>IF('PART B Staff Costs'!D71="","",'PART B Staff Costs'!D71)</f>
        <v/>
      </c>
      <c r="E734" s="461" t="str">
        <f>IF('PART B Staff Costs'!E71="","",'PART B Staff Costs'!E71)</f>
        <v/>
      </c>
      <c r="F734" s="461" t="str">
        <f>IF('PART B Staff Costs'!F71="","",'PART B Staff Costs'!F71)</f>
        <v/>
      </c>
      <c r="G734" s="461" t="str">
        <f>IF('PART B Staff Costs'!G71="","",'PART B Staff Costs'!G71)</f>
        <v/>
      </c>
      <c r="H734" s="454" t="str">
        <f t="shared" ref="H734" si="3215">CONCATENATE(IF(D734=0,"",D734)," ",IF(E734=0,"",E734)," ",IF(F734=0,"",F734),,IF(OR(G734=0,G734=""),"",CONCATENATE(" (",G734,")")))</f>
        <v xml:space="preserve">  </v>
      </c>
      <c r="I734" s="454" t="s">
        <v>313</v>
      </c>
      <c r="J734" s="333">
        <f>_xlfn.IFNA('PART B Staff Costs'!H71*'PART B Staff Costs'!J$10,0)*new_xrate</f>
        <v>0</v>
      </c>
      <c r="K734" s="441"/>
      <c r="L734" s="334">
        <f>_xlfn.IFNA(IF(pStartYear+1&gt;pEndYear,0,VLOOKUP(CONCATENATE(
IF(OR($D734="Continuing",$D734="Fixed-Term"),"Fortnight",IF($D734="Casual","Casual",)),
$E734,
IF(OR($D734="Continuing",$D734="Fixed-Term"),
IF(LEFT($F734,6)="UOM 10","UOM 10",(LEFT($F734,LEN($F734)-1)&amp;MIN(RIGHT($F734,1)+COUNTIFS(J735:K735,"&gt;0")/2,VLOOKUP(LEFT($F734,LEN($F734)-2),tSalaryMax,2,FALSE)))),
IF($D734="Casual",
$F734,))
),tSalaryRate,5,FALSE)*VLOOKUP($G734,tSalaryRateMultiplier,2,FALSE)*'PART B Staff Costs'!L$10),0)*new_xrate</f>
        <v>0</v>
      </c>
      <c r="M734" s="449"/>
      <c r="N734" s="333">
        <f>_xlfn.IFNA(IF(pStartYear+2&gt;pEndYear,0,VLOOKUP(CONCATENATE(
IF(OR($D734="Continuing",$D734="Fixed-Term"),"Fortnight",IF($D734="Casual","Casual",)),
$E734,
IF(OR($D734="Continuing",$D734="Fixed-Term"),
IF(LEFT($F734,6)="UOM 10","UOM 10",(LEFT($F734,LEN($F734)-1)&amp;MIN(RIGHT($F734,1)+COUNTIFS($J735:M735,"&gt;0")/2,VLOOKUP(LEFT($F734,LEN($F734)-2),tSalaryMax,2,FALSE)))),
IF($D734="Casual",
$F734,))
),tSalaryRate,5,FALSE)*VLOOKUP($G734,tSalaryRateMultiplier,2,FALSE)*'PART B Staff Costs'!N$10),0)*new_xrate</f>
        <v>0</v>
      </c>
      <c r="O734" s="441"/>
      <c r="P734" s="334">
        <f>_xlfn.IFNA(IF(pStartYear+3&gt;pEndYear,0,VLOOKUP(CONCATENATE(
IF(OR($D734="Continuing",$D734="Fixed-Term"),"Fortnight",IF($D734="Casual","Casual",)),
$E734,
IF(OR($D734="Continuing",$D734="Fixed-Term"),
IF(LEFT($F734,6)="UOM 10","UOM 10",(LEFT($F734,LEN($F734)-1)&amp;MIN(RIGHT($F734,1)+COUNTIFS($J735:O735,"&gt;0")/2,VLOOKUP(LEFT($F734,LEN($F734)-2),tSalaryMax,2,FALSE)))),
IF($D734="Casual",
$F734,))
),tSalaryRate,5,FALSE)*VLOOKUP($G734,tSalaryRateMultiplier,2,FALSE)*'PART B Staff Costs'!P$10),0)*new_xrate</f>
        <v>0</v>
      </c>
      <c r="Q734" s="449"/>
      <c r="R734" s="333">
        <f>_xlfn.IFNA(IF(pStartYear+4&gt;pEndYear,0,VLOOKUP(CONCATENATE(
IF(OR($D734="Continuing",$D734="Fixed-Term"),"Fortnight",IF($D734="Casual","Casual",)),
$E734,
IF(OR($D734="Continuing",$D734="Fixed-Term"),
IF(LEFT($F734,6)="UOM 10","UOM 10",(LEFT($F734,LEN($F734)-1)&amp;MIN(RIGHT($F734,1)+COUNTIFS($J735:Q735,"&gt;0")/2,VLOOKUP(LEFT($F734,LEN($F734)-2),tSalaryMax,2,FALSE)))),
IF($D734="Casual",
$F734,))
),tSalaryRate,5,FALSE)*VLOOKUP($G734,tSalaryRateMultiplier,2,FALSE)*'PART B Staff Costs'!R$10),0)*new_xrate</f>
        <v>0</v>
      </c>
      <c r="S734" s="441"/>
      <c r="T734" s="334">
        <f>_xlfn.IFNA(IF(pStartYear+5&gt;pEndYear,0,VLOOKUP(CONCATENATE(
IF(OR($D734="Continuing",$D734="Fixed-Term"),"Fortnight",IF($D734="Casual","Casual",)),
$E734,
IF(OR($D734="Continuing",$D734="Fixed-Term"),
IF(LEFT($F734,6)="UOM 10","UOM 10",(LEFT($F734,LEN($F734)-1)&amp;MIN(RIGHT($F734,1)+COUNTIFS($J735:S735,"&gt;0")/2,VLOOKUP(LEFT($F734,LEN($F734)-2),tSalaryMax,2,FALSE)))),
IF($D734="Casual",
$F734,))
),tSalaryRate,5,FALSE)*VLOOKUP($G734,tSalaryRateMultiplier,2,FALSE)*'PART B Staff Costs'!T$10),0)*new_xrate</f>
        <v>0</v>
      </c>
      <c r="U734" s="449"/>
      <c r="V734" s="333">
        <f>_xlfn.IFNA(IF(pStartYear+6&gt;pEndYear,0,VLOOKUP(CONCATENATE(
IF(OR($D734="Continuing",$D734="Fixed-Term"),"Fortnight",IF($D734="Casual","Casual",)),
$E734,
IF(OR($D734="Continuing",$D734="Fixed-Term"),
IF(LEFT($F734,6)="UOM 10","UOM 10",(LEFT($F734,LEN($F734)-1)&amp;MIN(RIGHT($F734,1)+COUNTIFS($J735:U735,"&gt;0")/2,VLOOKUP(LEFT($F734,LEN($F734)-2),tSalaryMax,2,FALSE)))),
IF($D734="Casual",
$F734,))
),tSalaryRate,5,FALSE)*VLOOKUP($G734,tSalaryRateMultiplier,2,FALSE)*'PART B Staff Costs'!V$10),0)*new_xrate</f>
        <v>0</v>
      </c>
      <c r="W734" s="441"/>
      <c r="X734" s="334">
        <f>_xlfn.IFNA(IF(pStartYear+7&gt;pEndYear,0,VLOOKUP(CONCATENATE(
IF(OR($D734="Continuing",$D734="Fixed-Term"),"Fortnight",IF($D734="Casual","Casual",)),
$E734,
IF(OR($D734="Continuing",$D734="Fixed-Term"),
IF(LEFT($F734,6)="UOM 10","UOM 10",(LEFT($F734,LEN($F734)-1)&amp;MIN(RIGHT($F734,1)+COUNTIFS($J735:W735,"&gt;0")/2,VLOOKUP(LEFT($F734,LEN($F734)-2),tSalaryMax,2,FALSE)))),
IF($D734="Casual",
$F734,))
),tSalaryRate,5,FALSE)*VLOOKUP($G734,tSalaryRateMultiplier,2,FALSE)*'PART B Staff Costs'!X$10),0)*new_xrate</f>
        <v>0</v>
      </c>
      <c r="Y734" s="449"/>
      <c r="Z734" s="333">
        <f>_xlfn.IFNA(IF(pStartYear+8&gt;pEndYear,0,VLOOKUP(CONCATENATE(
IF(OR($D734="Continuing",$D734="Fixed-Term"),"Fortnight",IF($D734="Casual","Casual",)),
$E734,
IF(OR($D734="Continuing",$D734="Fixed-Term"),
IF(LEFT($F734,6)="UOM 10","UOM 10",(LEFT($F734,LEN($F734)-1)&amp;MIN(RIGHT($F734,1)+COUNTIFS($J735:Y735,"&gt;0")/2,VLOOKUP(LEFT($F734,LEN($F734)-2),tSalaryMax,2,FALSE)))),
IF($D734="Casual",
$F734,))
),tSalaryRate,5,FALSE)*VLOOKUP($G734,tSalaryRateMultiplier,2,FALSE)*'PART B Staff Costs'!Z$10),0)*new_xrate</f>
        <v>0</v>
      </c>
      <c r="AA734" s="441"/>
      <c r="AB734" s="334">
        <f>_xlfn.IFNA(IF(pStartYear+9&gt;pEndYear,0,VLOOKUP(CONCATENATE(
IF(OR($D734="Continuing",$D734="Fixed-Term"),"Fortnight",IF($D734="Casual","Casual",)),
$E734,
IF(OR($D734="Continuing",$D734="Fixed-Term"),
IF(LEFT($F734,6)="UOM 10","UOM 10",(LEFT($F734,LEN($F734)-1)&amp;MIN(RIGHT($F734,1)+COUNTIFS($J735:AA735,"&gt;0")/2,VLOOKUP(LEFT($F734,LEN($F734)-2),tSalaryMax,2,FALSE)))),
IF($D734="Casual",
$F734,))
),tSalaryRate,5,FALSE)*VLOOKUP($G734,tSalaryRateMultiplier,2,FALSE)*'PART B Staff Costs'!AB$10),0)*new_xrate</f>
        <v>0</v>
      </c>
      <c r="AC734" s="449"/>
      <c r="AD734" s="335"/>
      <c r="AE734" s="1152"/>
      <c r="AF734" s="1152"/>
      <c r="AG734" s="1152"/>
      <c r="AH734" s="1152"/>
      <c r="AI734" s="1152"/>
      <c r="AJ734" s="1152"/>
      <c r="AK734" s="1152"/>
      <c r="AL734" s="1152"/>
      <c r="AM734" s="1152"/>
      <c r="AN734" s="1152"/>
      <c r="AO734" s="1152"/>
      <c r="AP734" s="1152"/>
      <c r="AQ734" s="1152"/>
      <c r="AR734" s="1152"/>
      <c r="AS734" s="1152"/>
      <c r="AT734" s="1152"/>
      <c r="AU734" s="1152"/>
      <c r="AV734" s="1152"/>
      <c r="AW734" s="1152"/>
      <c r="AX734" s="1152"/>
      <c r="AY734" s="1152"/>
      <c r="AZ734" s="1152"/>
      <c r="BA734" s="1152"/>
      <c r="BB734" s="1152"/>
      <c r="BC734" s="1152"/>
      <c r="BD734" s="1152"/>
    </row>
    <row r="735" spans="1:56" hidden="1" outlineLevel="1" x14ac:dyDescent="0.3">
      <c r="A735" s="1182"/>
      <c r="B735" s="1377"/>
      <c r="C735" s="1377"/>
      <c r="D735" s="1377"/>
      <c r="E735" s="1377"/>
      <c r="F735" s="1377"/>
      <c r="G735" s="1377"/>
      <c r="H735" s="1378"/>
      <c r="I735" s="455" t="str">
        <f>IF('PART B Staff Costs'!G730&lt;&gt;"",CONCATENATE("Time/Requested salary"," (",'PART B Staff Costs'!G730,")"),"Time/Requested salary")</f>
        <v>Time/Requested salary</v>
      </c>
      <c r="J735" s="337">
        <f>_xlfn.IFNA('PART B Staff Costs'!I71,0)</f>
        <v>0</v>
      </c>
      <c r="K735" s="442">
        <f>IF('PART B Staff Costs'!$G$71="FTE",J735*J734*(First_year_fraction/12),J735*J734)</f>
        <v>0</v>
      </c>
      <c r="L735" s="338">
        <f>_xlfn.IFNA('PART B Staff Costs'!K71,0)</f>
        <v>0</v>
      </c>
      <c r="M735" s="450">
        <f>IF(pStartYear+1=pEndYear,IF('PART B Staff Costs'!$G$71="FTE",(L735*L734)*Last_Year_Fraction/12,L735*L734),L735*L734)</f>
        <v>0</v>
      </c>
      <c r="N735" s="337">
        <f>_xlfn.IFNA('PART B Staff Costs'!M71,0)</f>
        <v>0</v>
      </c>
      <c r="O735" s="442">
        <f>IF(pStartYear+2=pEndYear,IF('PART B Staff Costs'!$G$71="FTE",(N735*N734)*Last_Year_Fraction/12,N735*N734),N735*N734)</f>
        <v>0</v>
      </c>
      <c r="P735" s="338">
        <f>_xlfn.IFNA('PART B Staff Costs'!O71,0)</f>
        <v>0</v>
      </c>
      <c r="Q735" s="450">
        <f>IF(pStartYear+3=pEndYear,IF('PART B Staff Costs'!$G$71="FTE",(P735*P734)*Last_Year_Fraction/12,P735*P734),P735*P734)</f>
        <v>0</v>
      </c>
      <c r="R735" s="337">
        <f>_xlfn.IFNA('PART B Staff Costs'!Q71,0)</f>
        <v>0</v>
      </c>
      <c r="S735" s="442">
        <f>IF(pStartYear+4=pEndYear,IF('PART B Staff Costs'!$G$71="FTE",(R735*R734)*Last_Year_Fraction/12,R735*R734),R735*R734)</f>
        <v>0</v>
      </c>
      <c r="T735" s="338">
        <f>_xlfn.IFNA('PART B Staff Costs'!S71,0)</f>
        <v>0</v>
      </c>
      <c r="U735" s="450">
        <f>IF(pStartYear+5=pEndYear,IF('PART B Staff Costs'!$G$71="FTE",(T735*T734)*Last_Year_Fraction/12,T735*T734),T735*T734)</f>
        <v>0</v>
      </c>
      <c r="V735" s="337">
        <f>_xlfn.IFNA('PART B Staff Costs'!U71,0)</f>
        <v>0</v>
      </c>
      <c r="W735" s="442">
        <f>IF(pStartYear+6=pEndYear,IF('PART B Staff Costs'!$G$71="FTE",(V735*V734)*Last_Year_Fraction/12,V735*V734),V735*V734)</f>
        <v>0</v>
      </c>
      <c r="X735" s="338">
        <f>_xlfn.IFNA('PART B Staff Costs'!W71,0)</f>
        <v>0</v>
      </c>
      <c r="Y735" s="450">
        <f>IF(pStartYear+7=pEndYear,IF('PART B Staff Costs'!$G$71="FTE",(X735*X734)*Last_Year_Fraction/12,X735*X734),X735*X734)</f>
        <v>0</v>
      </c>
      <c r="Z735" s="337">
        <f>_xlfn.IFNA('PART B Staff Costs'!Y71,0)</f>
        <v>0</v>
      </c>
      <c r="AA735" s="442">
        <f>IF(pStartYear+8=pEndYear,IF('PART B Staff Costs'!$G$71="FTE",(Z735*Z734)*Last_Year_Fraction/12,Z735*Z734),Z735*Z734)</f>
        <v>0</v>
      </c>
      <c r="AB735" s="338">
        <f>_xlfn.IFNA('PART B Staff Costs'!AA71,0)</f>
        <v>0</v>
      </c>
      <c r="AC735" s="450">
        <f>IF(pStartYear+9=pEndYear,IF('PART B Staff Costs'!$G$71="FTE",(AB735*AB734)*Last_Year_Fraction/12,AB735*AB734),AB735*AB734)</f>
        <v>0</v>
      </c>
      <c r="AD735" s="335"/>
      <c r="AE735" s="1152"/>
      <c r="AF735" s="1152"/>
      <c r="AG735" s="1152"/>
      <c r="AH735" s="1152"/>
      <c r="AI735" s="1152"/>
      <c r="AJ735" s="1152"/>
      <c r="AK735" s="1152"/>
      <c r="AL735" s="1152"/>
      <c r="AM735" s="1152"/>
      <c r="AN735" s="1152"/>
      <c r="AO735" s="1152"/>
      <c r="AP735" s="1152"/>
      <c r="AQ735" s="1152"/>
      <c r="AR735" s="1152"/>
      <c r="AS735" s="1152"/>
      <c r="AT735" s="1152"/>
      <c r="AU735" s="1152"/>
      <c r="AV735" s="1152"/>
      <c r="AW735" s="1152"/>
      <c r="AX735" s="1152"/>
      <c r="AY735" s="1152"/>
      <c r="AZ735" s="1152"/>
      <c r="BA735" s="1152"/>
      <c r="BB735" s="1152"/>
      <c r="BC735" s="1152"/>
      <c r="BD735" s="1152"/>
    </row>
    <row r="736" spans="1:56" hidden="1" outlineLevel="1" x14ac:dyDescent="0.3">
      <c r="A736" s="1182"/>
      <c r="B736" s="1379"/>
      <c r="C736" s="1379"/>
      <c r="D736" s="1379"/>
      <c r="E736" s="1379"/>
      <c r="F736" s="1379"/>
      <c r="G736" s="1379"/>
      <c r="H736" s="1380"/>
      <c r="I736" s="455" t="str">
        <f>IF(tbBudgetCurrency="AUD - Australian Dollar",CONCATENATE("Leave Loading (max of AU$",vl_Max_Leave_Loading,")"),CONCATENATE("Leave Loading (max of ",ROUND(vl_Max_Leave_Loading*new_xrate,2)," ",LEFT(tbBudgetCurrency,3),")"))</f>
        <v>Leave Loading (max of AU$1611.3)</v>
      </c>
      <c r="J736" s="339">
        <f>_xlfn.IFNA(VLOOKUP($D734,tbLeaveLoading,2,FALSE),0)</f>
        <v>0</v>
      </c>
      <c r="K736" s="443">
        <f>IF(K735*J736&gt;vl_Max_Leave_Loading*new_xrate,vl_Max_Leave_Loading*new_xrate,K735*J736)</f>
        <v>0</v>
      </c>
      <c r="L736" s="340">
        <f>_xlfn.IFNA(VLOOKUP($D734,tbLeaveLoading,2,FALSE),0)</f>
        <v>0</v>
      </c>
      <c r="M736" s="451">
        <f>IF(M735*L736&gt;vl_Max_Leave_Loading*new_xrate,vl_Max_Leave_Loading*new_xrate,M735*L736)</f>
        <v>0</v>
      </c>
      <c r="N736" s="339">
        <f>_xlfn.IFNA(VLOOKUP($D734,tbLeaveLoading,2,FALSE),0)</f>
        <v>0</v>
      </c>
      <c r="O736" s="443">
        <f>IF(O735*N736&gt;vl_Max_Leave_Loading*new_xrate,vl_Max_Leave_Loading*new_xrate,O735*N736)</f>
        <v>0</v>
      </c>
      <c r="P736" s="340">
        <f>_xlfn.IFNA(VLOOKUP($D734,tbLeaveLoading,2,FALSE),0)</f>
        <v>0</v>
      </c>
      <c r="Q736" s="451">
        <f>IF(Q735*P736&gt;vl_Max_Leave_Loading*new_xrate,vl_Max_Leave_Loading*new_xrate,Q735*P736)</f>
        <v>0</v>
      </c>
      <c r="R736" s="339">
        <f>_xlfn.IFNA(VLOOKUP($D734,tbLeaveLoading,2,FALSE),0)</f>
        <v>0</v>
      </c>
      <c r="S736" s="443">
        <f>IF(S735*R736&gt;vl_Max_Leave_Loading*new_xrate,vl_Max_Leave_Loading*new_xrate,S735*R736)</f>
        <v>0</v>
      </c>
      <c r="T736" s="340">
        <f>_xlfn.IFNA(VLOOKUP($D734,tbLeaveLoading,2,FALSE),0)</f>
        <v>0</v>
      </c>
      <c r="U736" s="451">
        <f>IF(U735*T736&gt;vl_Max_Leave_Loading*new_xrate,vl_Max_Leave_Loading*new_xrate,U735*T736)</f>
        <v>0</v>
      </c>
      <c r="V736" s="339">
        <f>_xlfn.IFNA(VLOOKUP($D734,tbLeaveLoading,2,FALSE),0)</f>
        <v>0</v>
      </c>
      <c r="W736" s="443">
        <f>IF(W735*V736&gt;vl_Max_Leave_Loading*new_xrate,vl_Max_Leave_Loading*new_xrate,W735*V736)</f>
        <v>0</v>
      </c>
      <c r="X736" s="340">
        <f>_xlfn.IFNA(VLOOKUP($D734,tbLeaveLoading,2,FALSE),0)</f>
        <v>0</v>
      </c>
      <c r="Y736" s="451">
        <f>IF(Y735*X736&gt;vl_Max_Leave_Loading*new_xrate,vl_Max_Leave_Loading*new_xrate,Y735*X736)</f>
        <v>0</v>
      </c>
      <c r="Z736" s="339">
        <f>_xlfn.IFNA(VLOOKUP($D734,tbLeaveLoading,2,FALSE),0)</f>
        <v>0</v>
      </c>
      <c r="AA736" s="443">
        <f>IF(AA735*Z736&gt;vl_Max_Leave_Loading*new_xrate,vl_Max_Leave_Loading*new_xrate,AA735*Z736)</f>
        <v>0</v>
      </c>
      <c r="AB736" s="340">
        <f>_xlfn.IFNA(VLOOKUP($D734,tbLeaveLoading,2,FALSE),0)</f>
        <v>0</v>
      </c>
      <c r="AC736" s="451">
        <f>IF(AC735*AB736&gt;vl_Max_Leave_Loading*new_xrate,vl_Max_Leave_Loading*new_xrate,AC735*AB736)</f>
        <v>0</v>
      </c>
      <c r="AD736" s="335"/>
      <c r="AE736" s="1152"/>
      <c r="AF736" s="1152"/>
      <c r="AG736" s="1152"/>
      <c r="AH736" s="1152"/>
      <c r="AI736" s="1152"/>
      <c r="AJ736" s="1152"/>
      <c r="AK736" s="1152"/>
      <c r="AL736" s="1152"/>
      <c r="AM736" s="1152"/>
      <c r="AN736" s="1152"/>
      <c r="AO736" s="1152"/>
      <c r="AP736" s="1152"/>
      <c r="AQ736" s="1152"/>
      <c r="AR736" s="1152"/>
      <c r="AS736" s="1152"/>
      <c r="AT736" s="1152"/>
      <c r="AU736" s="1152"/>
      <c r="AV736" s="1152"/>
      <c r="AW736" s="1152"/>
      <c r="AX736" s="1152"/>
      <c r="AY736" s="1152"/>
      <c r="AZ736" s="1152"/>
      <c r="BA736" s="1152"/>
      <c r="BB736" s="1152"/>
      <c r="BC736" s="1152"/>
      <c r="BD736" s="1152"/>
    </row>
    <row r="737" spans="1:56" hidden="1" outlineLevel="1" x14ac:dyDescent="0.3">
      <c r="A737" s="1182"/>
      <c r="B737" s="1379"/>
      <c r="C737" s="1379"/>
      <c r="D737" s="1379"/>
      <c r="E737" s="1379"/>
      <c r="F737" s="1379"/>
      <c r="G737" s="1379"/>
      <c r="H737" s="1380"/>
      <c r="I737" s="455" t="s">
        <v>314</v>
      </c>
      <c r="J737" s="339">
        <f>_xlfn.IFNA(_xlfn.IFNA(VLOOKUP(CONCATENATE(pStartYear,$D734),tbSuperannuation,4,FALSE),VLOOKUP($D734,tbSuperannuation2026onwards,2,FALSE)),0)</f>
        <v>0</v>
      </c>
      <c r="K737" s="443">
        <f>K735*J737</f>
        <v>0</v>
      </c>
      <c r="L737" s="340">
        <f>_xlfn.IFNA(_xlfn.IFNA(VLOOKUP(CONCATENATE(pStartYear+1,$D734),tbSuperannuation,4,FALSE),VLOOKUP($D734,tbSuperannuation2026onwards,2,FALSE)),0)</f>
        <v>0</v>
      </c>
      <c r="M737" s="451">
        <f t="shared" ref="M737" si="3216">M735*L737</f>
        <v>0</v>
      </c>
      <c r="N737" s="339">
        <f>_xlfn.IFNA(_xlfn.IFNA(VLOOKUP(CONCATENATE(pStartYear+2,$D734),tbSuperannuation,4,FALSE),VLOOKUP($D734,tbSuperannuation2026onwards,2,FALSE)),0)</f>
        <v>0</v>
      </c>
      <c r="O737" s="443">
        <f>O735*N737</f>
        <v>0</v>
      </c>
      <c r="P737" s="340">
        <f>_xlfn.IFNA(_xlfn.IFNA(VLOOKUP(CONCATENATE(pStartYear+3,$D734),tbSuperannuation,4,FALSE),VLOOKUP($D734,tbSuperannuation2026onwards,2,FALSE)),0)</f>
        <v>0</v>
      </c>
      <c r="Q737" s="451">
        <f t="shared" ref="Q737" si="3217">Q735*P737</f>
        <v>0</v>
      </c>
      <c r="R737" s="339">
        <f>_xlfn.IFNA(_xlfn.IFNA(VLOOKUP(CONCATENATE(pStartYear+4,$D734),tbSuperannuation,4,FALSE),VLOOKUP($D734,tbSuperannuation2026onwards,2,FALSE)),0)</f>
        <v>0</v>
      </c>
      <c r="S737" s="443">
        <f>S735*R737</f>
        <v>0</v>
      </c>
      <c r="T737" s="340">
        <f>_xlfn.IFNA(_xlfn.IFNA(VLOOKUP(CONCATENATE(pStartYear+5,$D734),tbSuperannuation,4,FALSE),VLOOKUP($D734,tbSuperannuation2026onwards,2,FALSE)),0)</f>
        <v>0</v>
      </c>
      <c r="U737" s="451">
        <f t="shared" ref="U737" si="3218">U735*T737</f>
        <v>0</v>
      </c>
      <c r="V737" s="339">
        <f>_xlfn.IFNA(_xlfn.IFNA(VLOOKUP(CONCATENATE(pStartYear+6,$D734),tbSuperannuation,4,FALSE),VLOOKUP($D734,tbSuperannuation2026onwards,2,FALSE)),0)</f>
        <v>0</v>
      </c>
      <c r="W737" s="443">
        <f>W735*V737</f>
        <v>0</v>
      </c>
      <c r="X737" s="340">
        <f>_xlfn.IFNA(_xlfn.IFNA(VLOOKUP(CONCATENATE(pStartYear+7,$D734),tbSuperannuation,4,FALSE),VLOOKUP($D734,tbSuperannuation2026onwards,2,FALSE)),0)</f>
        <v>0</v>
      </c>
      <c r="Y737" s="451">
        <f t="shared" ref="Y737" si="3219">Y735*X737</f>
        <v>0</v>
      </c>
      <c r="Z737" s="339">
        <f>_xlfn.IFNA(_xlfn.IFNA(VLOOKUP(CONCATENATE(pStartYear+8,$D734),tbSuperannuation,4,FALSE),VLOOKUP($D734,tbSuperannuation2026onwards,2,FALSE)),0)</f>
        <v>0</v>
      </c>
      <c r="AA737" s="443">
        <f>AA735*Z737</f>
        <v>0</v>
      </c>
      <c r="AB737" s="340">
        <f>_xlfn.IFNA(_xlfn.IFNA(VLOOKUP(CONCATENATE(pStartYear+9,$D734),tbSuperannuation,4,FALSE),VLOOKUP($D734,tbSuperannuation2026onwards,2,FALSE)),0)</f>
        <v>0</v>
      </c>
      <c r="AC737" s="451">
        <f t="shared" ref="AC737" si="3220">AC735*AB737</f>
        <v>0</v>
      </c>
      <c r="AD737" s="335"/>
      <c r="AE737" s="1152"/>
      <c r="AF737" s="1152"/>
      <c r="AG737" s="1152"/>
      <c r="AH737" s="1152"/>
      <c r="AI737" s="1152"/>
      <c r="AJ737" s="1152"/>
      <c r="AK737" s="1152"/>
      <c r="AL737" s="1152"/>
      <c r="AM737" s="1152"/>
      <c r="AN737" s="1152"/>
      <c r="AO737" s="1152"/>
      <c r="AP737" s="1152"/>
      <c r="AQ737" s="1152"/>
      <c r="AR737" s="1152"/>
      <c r="AS737" s="1152"/>
      <c r="AT737" s="1152"/>
      <c r="AU737" s="1152"/>
      <c r="AV737" s="1152"/>
      <c r="AW737" s="1152"/>
      <c r="AX737" s="1152"/>
      <c r="AY737" s="1152"/>
      <c r="AZ737" s="1152"/>
      <c r="BA737" s="1152"/>
      <c r="BB737" s="1152"/>
      <c r="BC737" s="1152"/>
      <c r="BD737" s="1152"/>
    </row>
    <row r="738" spans="1:56" hidden="1" outlineLevel="1" x14ac:dyDescent="0.3">
      <c r="A738" s="1182"/>
      <c r="B738" s="1379"/>
      <c r="C738" s="1379"/>
      <c r="D738" s="1379"/>
      <c r="E738" s="1379"/>
      <c r="F738" s="1379"/>
      <c r="G738" s="1379"/>
      <c r="H738" s="1380"/>
      <c r="I738" s="341" t="s">
        <v>315</v>
      </c>
      <c r="J738" s="342"/>
      <c r="K738" s="444">
        <f>K736+K737+K735</f>
        <v>0</v>
      </c>
      <c r="L738" s="342"/>
      <c r="M738" s="444">
        <f t="shared" ref="M738" si="3221">M736+M737+M735</f>
        <v>0</v>
      </c>
      <c r="N738" s="342"/>
      <c r="O738" s="444">
        <f>O736+O737+O735</f>
        <v>0</v>
      </c>
      <c r="P738" s="342"/>
      <c r="Q738" s="444">
        <f t="shared" ref="Q738" si="3222">Q736+Q737+Q735</f>
        <v>0</v>
      </c>
      <c r="R738" s="342"/>
      <c r="S738" s="444">
        <f>S736+S737+S735</f>
        <v>0</v>
      </c>
      <c r="T738" s="342"/>
      <c r="U738" s="444">
        <f t="shared" ref="U738" si="3223">U736+U737+U735</f>
        <v>0</v>
      </c>
      <c r="V738" s="342"/>
      <c r="W738" s="444">
        <f>W736+W737+W735</f>
        <v>0</v>
      </c>
      <c r="X738" s="342"/>
      <c r="Y738" s="444">
        <f t="shared" ref="Y738" si="3224">Y736+Y737+Y735</f>
        <v>0</v>
      </c>
      <c r="Z738" s="342"/>
      <c r="AA738" s="444">
        <f>AA736+AA737+AA735</f>
        <v>0</v>
      </c>
      <c r="AB738" s="342"/>
      <c r="AC738" s="444">
        <f t="shared" ref="AC738" si="3225">AC736+AC737+AC735</f>
        <v>0</v>
      </c>
      <c r="AD738" s="335">
        <f t="shared" si="3140"/>
        <v>0</v>
      </c>
      <c r="AE738" s="1152"/>
      <c r="AF738" s="1152"/>
      <c r="AG738" s="1152"/>
      <c r="AH738" s="1152"/>
      <c r="AI738" s="1152"/>
      <c r="AJ738" s="1152"/>
      <c r="AK738" s="1152"/>
      <c r="AL738" s="1152"/>
      <c r="AM738" s="1152"/>
      <c r="AN738" s="1152"/>
      <c r="AO738" s="1152"/>
      <c r="AP738" s="1152"/>
      <c r="AQ738" s="1152"/>
      <c r="AR738" s="1152"/>
      <c r="AS738" s="1152"/>
      <c r="AT738" s="1152"/>
      <c r="AU738" s="1152"/>
      <c r="AV738" s="1152"/>
      <c r="AW738" s="1152"/>
      <c r="AX738" s="1152"/>
      <c r="AY738" s="1152"/>
      <c r="AZ738" s="1152"/>
      <c r="BA738" s="1152"/>
      <c r="BB738" s="1152"/>
      <c r="BC738" s="1152"/>
      <c r="BD738" s="1152"/>
    </row>
    <row r="739" spans="1:56" hidden="1" outlineLevel="1" x14ac:dyDescent="0.3">
      <c r="A739" s="1182"/>
      <c r="B739" s="1379"/>
      <c r="C739" s="1379"/>
      <c r="D739" s="1379"/>
      <c r="E739" s="1379"/>
      <c r="F739" s="1379"/>
      <c r="G739" s="1379"/>
      <c r="H739" s="1380"/>
      <c r="I739" s="455" t="s">
        <v>316</v>
      </c>
      <c r="J739" s="339">
        <f>_xlfn.IFNA(_xlfn.IFNA(VLOOKUP(pStartYear,tbPayrollTax,2,FALSE),vl_MaxPayrollTax),0)</f>
        <v>5.8500000000000003E-2</v>
      </c>
      <c r="K739" s="443">
        <f>J739*K738</f>
        <v>0</v>
      </c>
      <c r="L739" s="340">
        <f>_xlfn.IFNA(_xlfn.IFNA(VLOOKUP(pStartYear+1,tbPayrollTax,2,FALSE),vl_MaxPayrollTax),0)</f>
        <v>5.8500000000000003E-2</v>
      </c>
      <c r="M739" s="451">
        <f t="shared" ref="M739" si="3226">L739*M738</f>
        <v>0</v>
      </c>
      <c r="N739" s="339">
        <f>_xlfn.IFNA(_xlfn.IFNA(VLOOKUP(pStartYear+2,tbPayrollTax,2,FALSE),vl_MaxPayrollTax),0)</f>
        <v>5.8500000000000003E-2</v>
      </c>
      <c r="O739" s="443">
        <f>N739*O738</f>
        <v>0</v>
      </c>
      <c r="P739" s="340">
        <f>_xlfn.IFNA(_xlfn.IFNA(VLOOKUP(pStartYear+3,tbPayrollTax,2,FALSE),vl_MaxPayrollTax),0)</f>
        <v>5.8500000000000003E-2</v>
      </c>
      <c r="Q739" s="451">
        <f t="shared" ref="Q739" si="3227">P739*Q738</f>
        <v>0</v>
      </c>
      <c r="R739" s="339">
        <f>_xlfn.IFNA(_xlfn.IFNA(VLOOKUP(pStartYear+4,tbPayrollTax,2,FALSE),vl_MaxPayrollTax),0)</f>
        <v>5.8500000000000003E-2</v>
      </c>
      <c r="S739" s="443">
        <f>R739*S738</f>
        <v>0</v>
      </c>
      <c r="T739" s="340">
        <f>_xlfn.IFNA(_xlfn.IFNA(VLOOKUP(pStartYear+5,tbPayrollTax,2,FALSE),vl_MaxPayrollTax),0)</f>
        <v>5.8500000000000003E-2</v>
      </c>
      <c r="U739" s="451">
        <f t="shared" ref="U739" si="3228">T739*U738</f>
        <v>0</v>
      </c>
      <c r="V739" s="339">
        <f>_xlfn.IFNA(_xlfn.IFNA(VLOOKUP(pStartYear+6,tbPayrollTax,2,FALSE),vl_MaxPayrollTax),0)</f>
        <v>5.8500000000000003E-2</v>
      </c>
      <c r="W739" s="443">
        <f>V739*W738</f>
        <v>0</v>
      </c>
      <c r="X739" s="340">
        <f>_xlfn.IFNA(_xlfn.IFNA(VLOOKUP(pStartYear+7,tbPayrollTax,2,FALSE),vl_MaxPayrollTax),0)</f>
        <v>5.8500000000000003E-2</v>
      </c>
      <c r="Y739" s="451">
        <f t="shared" ref="Y739" si="3229">X739*Y738</f>
        <v>0</v>
      </c>
      <c r="Z739" s="339">
        <f>_xlfn.IFNA(_xlfn.IFNA(VLOOKUP(pStartYear+8,tbPayrollTax,2,FALSE),vl_MaxPayrollTax),0)</f>
        <v>5.8500000000000003E-2</v>
      </c>
      <c r="AA739" s="443">
        <f>Z739*AA738</f>
        <v>0</v>
      </c>
      <c r="AB739" s="340">
        <f>_xlfn.IFNA(_xlfn.IFNA(VLOOKUP(pStartYear+9,tbPayrollTax,2,FALSE),vl_MaxPayrollTax),0)</f>
        <v>5.8500000000000003E-2</v>
      </c>
      <c r="AC739" s="451">
        <f t="shared" ref="AC739" si="3230">AB739*AC738</f>
        <v>0</v>
      </c>
      <c r="AD739" s="335"/>
      <c r="AE739" s="1152"/>
      <c r="AF739" s="1152"/>
      <c r="AG739" s="1152"/>
      <c r="AH739" s="1152"/>
      <c r="AI739" s="1152"/>
      <c r="AJ739" s="1152"/>
      <c r="AK739" s="1152"/>
      <c r="AL739" s="1152"/>
      <c r="AM739" s="1152"/>
      <c r="AN739" s="1152"/>
      <c r="AO739" s="1152"/>
      <c r="AP739" s="1152"/>
      <c r="AQ739" s="1152"/>
      <c r="AR739" s="1152"/>
      <c r="AS739" s="1152"/>
      <c r="AT739" s="1152"/>
      <c r="AU739" s="1152"/>
      <c r="AV739" s="1152"/>
      <c r="AW739" s="1152"/>
      <c r="AX739" s="1152"/>
      <c r="AY739" s="1152"/>
      <c r="AZ739" s="1152"/>
      <c r="BA739" s="1152"/>
      <c r="BB739" s="1152"/>
      <c r="BC739" s="1152"/>
      <c r="BD739" s="1152"/>
    </row>
    <row r="740" spans="1:56" hidden="1" outlineLevel="1" x14ac:dyDescent="0.3">
      <c r="A740" s="1182"/>
      <c r="B740" s="1379"/>
      <c r="C740" s="1379"/>
      <c r="D740" s="1379"/>
      <c r="E740" s="1379"/>
      <c r="F740" s="1379"/>
      <c r="G740" s="1379"/>
      <c r="H740" s="1380"/>
      <c r="I740" s="455" t="s">
        <v>317</v>
      </c>
      <c r="J740" s="339">
        <f>_xlfn.IFNA(VLOOKUP($D734,tbWorkCover,2,FALSE),0)</f>
        <v>0</v>
      </c>
      <c r="K740" s="443">
        <f>J740*K738</f>
        <v>0</v>
      </c>
      <c r="L740" s="340">
        <f>_xlfn.IFNA(VLOOKUP($D734,tbWorkCover,2,FALSE),0)</f>
        <v>0</v>
      </c>
      <c r="M740" s="451">
        <f t="shared" ref="M740" si="3231">L740*M738</f>
        <v>0</v>
      </c>
      <c r="N740" s="339">
        <f>_xlfn.IFNA(VLOOKUP($D734,tbWorkCover,2,FALSE),0)</f>
        <v>0</v>
      </c>
      <c r="O740" s="443">
        <f>N740*O738</f>
        <v>0</v>
      </c>
      <c r="P740" s="340">
        <f>_xlfn.IFNA(VLOOKUP($D734,tbWorkCover,2,FALSE),0)</f>
        <v>0</v>
      </c>
      <c r="Q740" s="451">
        <f t="shared" ref="Q740" si="3232">P740*Q738</f>
        <v>0</v>
      </c>
      <c r="R740" s="339">
        <f>_xlfn.IFNA(VLOOKUP($D734,tbWorkCover,2,FALSE),0)</f>
        <v>0</v>
      </c>
      <c r="S740" s="443">
        <f>R740*S738</f>
        <v>0</v>
      </c>
      <c r="T740" s="340">
        <f>_xlfn.IFNA(VLOOKUP($D734,tbWorkCover,2,FALSE),0)</f>
        <v>0</v>
      </c>
      <c r="U740" s="451">
        <f t="shared" ref="U740" si="3233">T740*U738</f>
        <v>0</v>
      </c>
      <c r="V740" s="339">
        <f>_xlfn.IFNA(VLOOKUP($D734,tbWorkCover,2,FALSE),0)</f>
        <v>0</v>
      </c>
      <c r="W740" s="443">
        <f>V740*W738</f>
        <v>0</v>
      </c>
      <c r="X740" s="340">
        <f>_xlfn.IFNA(VLOOKUP($D734,tbWorkCover,2,FALSE),0)</f>
        <v>0</v>
      </c>
      <c r="Y740" s="451">
        <f t="shared" ref="Y740" si="3234">X740*Y738</f>
        <v>0</v>
      </c>
      <c r="Z740" s="339">
        <f>_xlfn.IFNA(VLOOKUP($D734,tbWorkCover,2,FALSE),0)</f>
        <v>0</v>
      </c>
      <c r="AA740" s="443">
        <f>Z740*AA738</f>
        <v>0</v>
      </c>
      <c r="AB740" s="340">
        <f>_xlfn.IFNA(VLOOKUP($D734,tbWorkCover,2,FALSE),0)</f>
        <v>0</v>
      </c>
      <c r="AC740" s="451">
        <f t="shared" ref="AC740" si="3235">AB740*AC738</f>
        <v>0</v>
      </c>
      <c r="AD740" s="335"/>
      <c r="AE740" s="1152"/>
      <c r="AF740" s="1152"/>
      <c r="AG740" s="1152"/>
      <c r="AH740" s="1152"/>
      <c r="AI740" s="1152"/>
      <c r="AJ740" s="1152"/>
      <c r="AK740" s="1152"/>
      <c r="AL740" s="1152"/>
      <c r="AM740" s="1152"/>
      <c r="AN740" s="1152"/>
      <c r="AO740" s="1152"/>
      <c r="AP740" s="1152"/>
      <c r="AQ740" s="1152"/>
      <c r="AR740" s="1152"/>
      <c r="AS740" s="1152"/>
      <c r="AT740" s="1152"/>
      <c r="AU740" s="1152"/>
      <c r="AV740" s="1152"/>
      <c r="AW740" s="1152"/>
      <c r="AX740" s="1152"/>
      <c r="AY740" s="1152"/>
      <c r="AZ740" s="1152"/>
      <c r="BA740" s="1152"/>
      <c r="BB740" s="1152"/>
      <c r="BC740" s="1152"/>
      <c r="BD740" s="1152"/>
    </row>
    <row r="741" spans="1:56" hidden="1" outlineLevel="1" x14ac:dyDescent="0.3">
      <c r="A741" s="1182"/>
      <c r="B741" s="1379"/>
      <c r="C741" s="1379"/>
      <c r="D741" s="1379"/>
      <c r="E741" s="1379"/>
      <c r="F741" s="1379"/>
      <c r="G741" s="1379"/>
      <c r="H741" s="1380"/>
      <c r="I741" s="455" t="s">
        <v>318</v>
      </c>
      <c r="J741" s="339">
        <f>_xlfn.IFNA(VLOOKUP($D734,tbLongServiceLeave,2,FALSE),0)</f>
        <v>0</v>
      </c>
      <c r="K741" s="443">
        <f>J741*K735</f>
        <v>0</v>
      </c>
      <c r="L741" s="340">
        <f>_xlfn.IFNA(VLOOKUP($D734,tbLongServiceLeave,2,FALSE),0)</f>
        <v>0</v>
      </c>
      <c r="M741" s="451">
        <f t="shared" ref="M741" si="3236">L741*M735</f>
        <v>0</v>
      </c>
      <c r="N741" s="339">
        <f>_xlfn.IFNA(VLOOKUP($D734,tbLongServiceLeave,2,FALSE),0)</f>
        <v>0</v>
      </c>
      <c r="O741" s="443">
        <f>N741*O735</f>
        <v>0</v>
      </c>
      <c r="P741" s="340">
        <f>_xlfn.IFNA(VLOOKUP($D734,tbLongServiceLeave,2,FALSE),0)</f>
        <v>0</v>
      </c>
      <c r="Q741" s="451">
        <f t="shared" ref="Q741" si="3237">P741*Q735</f>
        <v>0</v>
      </c>
      <c r="R741" s="339">
        <f>_xlfn.IFNA(VLOOKUP($D734,tbLongServiceLeave,2,FALSE),0)</f>
        <v>0</v>
      </c>
      <c r="S741" s="443">
        <f>R741*S735</f>
        <v>0</v>
      </c>
      <c r="T741" s="340">
        <f>_xlfn.IFNA(VLOOKUP($D734,tbLongServiceLeave,2,FALSE),0)</f>
        <v>0</v>
      </c>
      <c r="U741" s="451">
        <f t="shared" ref="U741" si="3238">T741*U735</f>
        <v>0</v>
      </c>
      <c r="V741" s="339">
        <f>_xlfn.IFNA(VLOOKUP($D734,tbLongServiceLeave,2,FALSE),0)</f>
        <v>0</v>
      </c>
      <c r="W741" s="443">
        <f>V741*W735</f>
        <v>0</v>
      </c>
      <c r="X741" s="340">
        <f>_xlfn.IFNA(VLOOKUP($D734,tbLongServiceLeave,2,FALSE),0)</f>
        <v>0</v>
      </c>
      <c r="Y741" s="451">
        <f t="shared" ref="Y741" si="3239">X741*Y735</f>
        <v>0</v>
      </c>
      <c r="Z741" s="339">
        <f>_xlfn.IFNA(VLOOKUP($D734,tbLongServiceLeave,2,FALSE),0)</f>
        <v>0</v>
      </c>
      <c r="AA741" s="443">
        <f>Z741*AA735</f>
        <v>0</v>
      </c>
      <c r="AB741" s="340">
        <f>_xlfn.IFNA(VLOOKUP($D734,tbLongServiceLeave,2,FALSE),0)</f>
        <v>0</v>
      </c>
      <c r="AC741" s="451">
        <f t="shared" ref="AC741" si="3240">AB741*AC735</f>
        <v>0</v>
      </c>
      <c r="AD741" s="335"/>
      <c r="AE741" s="1152"/>
      <c r="AF741" s="1152"/>
      <c r="AG741" s="1152"/>
      <c r="AH741" s="1152"/>
      <c r="AI741" s="1152"/>
      <c r="AJ741" s="1152"/>
      <c r="AK741" s="1152"/>
      <c r="AL741" s="1152"/>
      <c r="AM741" s="1152"/>
      <c r="AN741" s="1152"/>
      <c r="AO741" s="1152"/>
      <c r="AP741" s="1152"/>
      <c r="AQ741" s="1152"/>
      <c r="AR741" s="1152"/>
      <c r="AS741" s="1152"/>
      <c r="AT741" s="1152"/>
      <c r="AU741" s="1152"/>
      <c r="AV741" s="1152"/>
      <c r="AW741" s="1152"/>
      <c r="AX741" s="1152"/>
      <c r="AY741" s="1152"/>
      <c r="AZ741" s="1152"/>
      <c r="BA741" s="1152"/>
      <c r="BB741" s="1152"/>
      <c r="BC741" s="1152"/>
      <c r="BD741" s="1152"/>
    </row>
    <row r="742" spans="1:56" hidden="1" outlineLevel="1" x14ac:dyDescent="0.3">
      <c r="A742" s="1182"/>
      <c r="B742" s="1379"/>
      <c r="C742" s="1379"/>
      <c r="D742" s="1379"/>
      <c r="E742" s="1379"/>
      <c r="F742" s="1379"/>
      <c r="G742" s="1379"/>
      <c r="H742" s="1380"/>
      <c r="I742" s="455" t="s">
        <v>319</v>
      </c>
      <c r="J742" s="339">
        <f>_xlfn.IFNA(VLOOKUP($D734,tbParentalLeave,2,FALSE),0)</f>
        <v>0</v>
      </c>
      <c r="K742" s="443">
        <f>J742*K735</f>
        <v>0</v>
      </c>
      <c r="L742" s="340">
        <f>_xlfn.IFNA(VLOOKUP($D734,tbParentalLeave,2,FALSE),0)</f>
        <v>0</v>
      </c>
      <c r="M742" s="451">
        <f t="shared" ref="M742" si="3241">L742*M735</f>
        <v>0</v>
      </c>
      <c r="N742" s="339">
        <f>_xlfn.IFNA(VLOOKUP($D734,tbParentalLeave,2,FALSE),0)</f>
        <v>0</v>
      </c>
      <c r="O742" s="443">
        <f>N742*O735</f>
        <v>0</v>
      </c>
      <c r="P742" s="340">
        <f>_xlfn.IFNA(VLOOKUP($D734,tbParentalLeave,2,FALSE),0)</f>
        <v>0</v>
      </c>
      <c r="Q742" s="451">
        <f t="shared" ref="Q742" si="3242">P742*Q735</f>
        <v>0</v>
      </c>
      <c r="R742" s="339">
        <f>_xlfn.IFNA(VLOOKUP($D734,tbParentalLeave,2,FALSE),0)</f>
        <v>0</v>
      </c>
      <c r="S742" s="443">
        <f>R742*S735</f>
        <v>0</v>
      </c>
      <c r="T742" s="340">
        <f>_xlfn.IFNA(VLOOKUP($D734,tbParentalLeave,2,FALSE),0)</f>
        <v>0</v>
      </c>
      <c r="U742" s="451">
        <f t="shared" ref="U742" si="3243">T742*U735</f>
        <v>0</v>
      </c>
      <c r="V742" s="339">
        <f>_xlfn.IFNA(VLOOKUP($D734,tbParentalLeave,2,FALSE),0)</f>
        <v>0</v>
      </c>
      <c r="W742" s="443">
        <f>V742*W735</f>
        <v>0</v>
      </c>
      <c r="X742" s="340">
        <f>_xlfn.IFNA(VLOOKUP($D734,tbParentalLeave,2,FALSE),0)</f>
        <v>0</v>
      </c>
      <c r="Y742" s="451">
        <f t="shared" ref="Y742" si="3244">X742*Y735</f>
        <v>0</v>
      </c>
      <c r="Z742" s="339">
        <f>_xlfn.IFNA(VLOOKUP($D734,tbParentalLeave,2,FALSE),0)</f>
        <v>0</v>
      </c>
      <c r="AA742" s="443">
        <f>Z742*AA735</f>
        <v>0</v>
      </c>
      <c r="AB742" s="340">
        <f>_xlfn.IFNA(VLOOKUP($D734,tbParentalLeave,2,FALSE),0)</f>
        <v>0</v>
      </c>
      <c r="AC742" s="451">
        <f t="shared" ref="AC742" si="3245">AB742*AC735</f>
        <v>0</v>
      </c>
      <c r="AD742" s="335"/>
      <c r="AE742" s="1152"/>
      <c r="AF742" s="1152"/>
      <c r="AG742" s="1152"/>
      <c r="AH742" s="1152"/>
      <c r="AI742" s="1152"/>
      <c r="AJ742" s="1152"/>
      <c r="AK742" s="1152"/>
      <c r="AL742" s="1152"/>
      <c r="AM742" s="1152"/>
      <c r="AN742" s="1152"/>
      <c r="AO742" s="1152"/>
      <c r="AP742" s="1152"/>
      <c r="AQ742" s="1152"/>
      <c r="AR742" s="1152"/>
      <c r="AS742" s="1152"/>
      <c r="AT742" s="1152"/>
      <c r="AU742" s="1152"/>
      <c r="AV742" s="1152"/>
      <c r="AW742" s="1152"/>
      <c r="AX742" s="1152"/>
      <c r="AY742" s="1152"/>
      <c r="AZ742" s="1152"/>
      <c r="BA742" s="1152"/>
      <c r="BB742" s="1152"/>
      <c r="BC742" s="1152"/>
      <c r="BD742" s="1152"/>
    </row>
    <row r="743" spans="1:56" hidden="1" outlineLevel="1" x14ac:dyDescent="0.3">
      <c r="A743" s="1182"/>
      <c r="B743" s="1379"/>
      <c r="C743" s="1379"/>
      <c r="D743" s="1379"/>
      <c r="E743" s="1379"/>
      <c r="F743" s="1379"/>
      <c r="G743" s="1379"/>
      <c r="H743" s="1380"/>
      <c r="I743" s="437" t="s">
        <v>320</v>
      </c>
      <c r="J743" s="438">
        <f>vl_overridden_uom_oncosts_per</f>
        <v>0</v>
      </c>
      <c r="K743" s="445">
        <f>J743*K735</f>
        <v>0</v>
      </c>
      <c r="L743" s="438">
        <f>vl_overridden_uom_oncosts_per</f>
        <v>0</v>
      </c>
      <c r="M743" s="445">
        <f>L743*M735</f>
        <v>0</v>
      </c>
      <c r="N743" s="438">
        <f>vl_overridden_uom_oncosts_per</f>
        <v>0</v>
      </c>
      <c r="O743" s="445">
        <f t="shared" ref="O743" si="3246">N743*O735</f>
        <v>0</v>
      </c>
      <c r="P743" s="438">
        <f>vl_overridden_uom_oncosts_per</f>
        <v>0</v>
      </c>
      <c r="Q743" s="445">
        <f t="shared" ref="Q743" si="3247">P743*Q735</f>
        <v>0</v>
      </c>
      <c r="R743" s="438">
        <f>vl_overridden_uom_oncosts_per</f>
        <v>0</v>
      </c>
      <c r="S743" s="445">
        <f t="shared" ref="S743" si="3248">R743*S735</f>
        <v>0</v>
      </c>
      <c r="T743" s="438">
        <f>vl_overridden_uom_oncosts_per</f>
        <v>0</v>
      </c>
      <c r="U743" s="445">
        <f t="shared" ref="U743" si="3249">T743*U735</f>
        <v>0</v>
      </c>
      <c r="V743" s="438">
        <f>vl_overridden_uom_oncosts_per</f>
        <v>0</v>
      </c>
      <c r="W743" s="445">
        <f t="shared" ref="W743" si="3250">V743*W735</f>
        <v>0</v>
      </c>
      <c r="X743" s="438">
        <f>vl_overridden_uom_oncosts_per</f>
        <v>0</v>
      </c>
      <c r="Y743" s="445">
        <f t="shared" ref="Y743" si="3251">X743*Y735</f>
        <v>0</v>
      </c>
      <c r="Z743" s="438">
        <f>vl_overridden_uom_oncosts_per</f>
        <v>0</v>
      </c>
      <c r="AA743" s="445">
        <f t="shared" ref="AA743" si="3252">Z743*AA735</f>
        <v>0</v>
      </c>
      <c r="AB743" s="438">
        <f>vl_overridden_uom_oncosts_per</f>
        <v>0</v>
      </c>
      <c r="AC743" s="445">
        <f t="shared" ref="AC743" si="3253">AB743*AC735</f>
        <v>0</v>
      </c>
      <c r="AD743" s="335"/>
      <c r="AE743" s="1152"/>
      <c r="AF743" s="1152"/>
      <c r="AG743" s="1152"/>
      <c r="AH743" s="1152"/>
      <c r="AI743" s="1152"/>
      <c r="AJ743" s="1152"/>
      <c r="AK743" s="1152"/>
      <c r="AL743" s="1152"/>
      <c r="AM743" s="1152"/>
      <c r="AN743" s="1152"/>
      <c r="AO743" s="1152"/>
      <c r="AP743" s="1152"/>
      <c r="AQ743" s="1152"/>
      <c r="AR743" s="1152"/>
      <c r="AS743" s="1152"/>
      <c r="AT743" s="1152"/>
      <c r="AU743" s="1152"/>
      <c r="AV743" s="1152"/>
      <c r="AW743" s="1152"/>
      <c r="AX743" s="1152"/>
      <c r="AY743" s="1152"/>
      <c r="AZ743" s="1152"/>
      <c r="BA743" s="1152"/>
      <c r="BB743" s="1152"/>
      <c r="BC743" s="1152"/>
      <c r="BD743" s="1152"/>
    </row>
    <row r="744" spans="1:56" hidden="1" outlineLevel="1" x14ac:dyDescent="0.3">
      <c r="A744" s="1182"/>
      <c r="B744" s="1379"/>
      <c r="C744" s="1379"/>
      <c r="D744" s="1379"/>
      <c r="E744" s="1379"/>
      <c r="F744" s="1379"/>
      <c r="G744" s="1379"/>
      <c r="H744" s="1380"/>
      <c r="I744" s="341" t="s">
        <v>321</v>
      </c>
      <c r="J744" s="342"/>
      <c r="K744" s="444">
        <f>SUM(K738:K743)</f>
        <v>0</v>
      </c>
      <c r="L744" s="342"/>
      <c r="M744" s="444">
        <f t="shared" ref="M744" si="3254">SUM(M738:M743)</f>
        <v>0</v>
      </c>
      <c r="N744" s="342"/>
      <c r="O744" s="444">
        <f t="shared" ref="O744" si="3255">SUM(O738:O743)</f>
        <v>0</v>
      </c>
      <c r="P744" s="342"/>
      <c r="Q744" s="444">
        <f t="shared" ref="Q744" si="3256">SUM(Q738:Q743)</f>
        <v>0</v>
      </c>
      <c r="R744" s="342"/>
      <c r="S744" s="444">
        <f t="shared" ref="S744" si="3257">SUM(S738:S743)</f>
        <v>0</v>
      </c>
      <c r="T744" s="342"/>
      <c r="U744" s="444">
        <f t="shared" ref="U744" si="3258">SUM(U738:U743)</f>
        <v>0</v>
      </c>
      <c r="V744" s="342"/>
      <c r="W744" s="444">
        <f t="shared" ref="W744" si="3259">SUM(W738:W743)</f>
        <v>0</v>
      </c>
      <c r="X744" s="342"/>
      <c r="Y744" s="444">
        <f t="shared" ref="Y744" si="3260">SUM(Y738:Y743)</f>
        <v>0</v>
      </c>
      <c r="Z744" s="342"/>
      <c r="AA744" s="444">
        <f t="shared" ref="AA744" si="3261">SUM(AA738:AA743)</f>
        <v>0</v>
      </c>
      <c r="AB744" s="342"/>
      <c r="AC744" s="444">
        <f t="shared" ref="AC744" si="3262">SUM(AC738:AC743)</f>
        <v>0</v>
      </c>
      <c r="AD744" s="335">
        <f t="shared" si="3140"/>
        <v>0</v>
      </c>
      <c r="AE744" s="1152"/>
      <c r="AF744" s="1152"/>
      <c r="AG744" s="1152"/>
      <c r="AH744" s="1152"/>
      <c r="AI744" s="1152"/>
      <c r="AJ744" s="1152"/>
      <c r="AK744" s="1152"/>
      <c r="AL744" s="1152"/>
      <c r="AM744" s="1152"/>
      <c r="AN744" s="1152"/>
      <c r="AO744" s="1152"/>
      <c r="AP744" s="1152"/>
      <c r="AQ744" s="1152"/>
      <c r="AR744" s="1152"/>
      <c r="AS744" s="1152"/>
      <c r="AT744" s="1152"/>
      <c r="AU744" s="1152"/>
      <c r="AV744" s="1152"/>
      <c r="AW744" s="1152"/>
      <c r="AX744" s="1152"/>
      <c r="AY744" s="1152"/>
      <c r="AZ744" s="1152"/>
      <c r="BA744" s="1152"/>
      <c r="BB744" s="1152"/>
      <c r="BC744" s="1152"/>
      <c r="BD744" s="1152"/>
    </row>
    <row r="745" spans="1:56" hidden="1" outlineLevel="1" x14ac:dyDescent="0.3">
      <c r="A745" s="1182"/>
      <c r="B745" s="1379"/>
      <c r="C745" s="1379"/>
      <c r="D745" s="1379"/>
      <c r="E745" s="1379"/>
      <c r="F745" s="1379"/>
      <c r="G745" s="1379"/>
      <c r="H745" s="1380"/>
      <c r="I745" s="455" t="s">
        <v>322</v>
      </c>
      <c r="J745" s="339">
        <f>_xlfn.IFNA(VLOOKUP($D734,tbAnnualLeaveProvision,2,FALSE),0)</f>
        <v>0</v>
      </c>
      <c r="K745" s="443">
        <f>J745*K735</f>
        <v>0</v>
      </c>
      <c r="L745" s="340">
        <f>_xlfn.IFNA(VLOOKUP($D734,tbAnnualLeaveProvision,2,FALSE),0)</f>
        <v>0</v>
      </c>
      <c r="M745" s="451">
        <f t="shared" ref="M745" si="3263">L745*M735</f>
        <v>0</v>
      </c>
      <c r="N745" s="339">
        <f>_xlfn.IFNA(VLOOKUP($D734,tbAnnualLeaveProvision,2,FALSE),0)</f>
        <v>0</v>
      </c>
      <c r="O745" s="443">
        <f>N745*O735</f>
        <v>0</v>
      </c>
      <c r="P745" s="340">
        <f>_xlfn.IFNA(VLOOKUP($D734,tbAnnualLeaveProvision,2,FALSE),0)</f>
        <v>0</v>
      </c>
      <c r="Q745" s="451">
        <f t="shared" ref="Q745" si="3264">P745*Q735</f>
        <v>0</v>
      </c>
      <c r="R745" s="339">
        <f>_xlfn.IFNA(VLOOKUP($D734,tbAnnualLeaveProvision,2,FALSE),0)</f>
        <v>0</v>
      </c>
      <c r="S745" s="443">
        <f>R745*S735</f>
        <v>0</v>
      </c>
      <c r="T745" s="340">
        <f>_xlfn.IFNA(VLOOKUP($D734,tbAnnualLeaveProvision,2,FALSE),0)</f>
        <v>0</v>
      </c>
      <c r="U745" s="451">
        <f t="shared" ref="U745" si="3265">T745*U735</f>
        <v>0</v>
      </c>
      <c r="V745" s="339">
        <f>_xlfn.IFNA(VLOOKUP($D734,tbAnnualLeaveProvision,2,FALSE),0)</f>
        <v>0</v>
      </c>
      <c r="W745" s="443">
        <f>V745*W735</f>
        <v>0</v>
      </c>
      <c r="X745" s="340">
        <f>_xlfn.IFNA(VLOOKUP($D734,tbAnnualLeaveProvision,2,FALSE),0)</f>
        <v>0</v>
      </c>
      <c r="Y745" s="451">
        <f t="shared" ref="Y745" si="3266">X745*Y735</f>
        <v>0</v>
      </c>
      <c r="Z745" s="339">
        <f>_xlfn.IFNA(VLOOKUP($D734,tbAnnualLeaveProvision,2,FALSE),0)</f>
        <v>0</v>
      </c>
      <c r="AA745" s="443">
        <f>Z745*AA735</f>
        <v>0</v>
      </c>
      <c r="AB745" s="340">
        <f>_xlfn.IFNA(VLOOKUP($D734,tbAnnualLeaveProvision,2,FALSE),0)</f>
        <v>0</v>
      </c>
      <c r="AC745" s="451">
        <f t="shared" ref="AC745" si="3267">AB745*AC735</f>
        <v>0</v>
      </c>
      <c r="AD745" s="335"/>
      <c r="AE745" s="1152"/>
      <c r="AF745" s="1152"/>
      <c r="AG745" s="1152"/>
      <c r="AH745" s="1152"/>
      <c r="AI745" s="1152"/>
      <c r="AJ745" s="1152"/>
      <c r="AK745" s="1152"/>
      <c r="AL745" s="1152"/>
      <c r="AM745" s="1152"/>
      <c r="AN745" s="1152"/>
      <c r="AO745" s="1152"/>
      <c r="AP745" s="1152"/>
      <c r="AQ745" s="1152"/>
      <c r="AR745" s="1152"/>
      <c r="AS745" s="1152"/>
      <c r="AT745" s="1152"/>
      <c r="AU745" s="1152"/>
      <c r="AV745" s="1152"/>
      <c r="AW745" s="1152"/>
      <c r="AX745" s="1152"/>
      <c r="AY745" s="1152"/>
      <c r="AZ745" s="1152"/>
      <c r="BA745" s="1152"/>
      <c r="BB745" s="1152"/>
      <c r="BC745" s="1152"/>
      <c r="BD745" s="1152"/>
    </row>
    <row r="746" spans="1:56" hidden="1" outlineLevel="1" x14ac:dyDescent="0.3">
      <c r="A746" s="1182"/>
      <c r="B746" s="1379"/>
      <c r="C746" s="1379"/>
      <c r="D746" s="1379"/>
      <c r="E746" s="1379"/>
      <c r="F746" s="1379"/>
      <c r="G746" s="1379"/>
      <c r="H746" s="1380"/>
      <c r="I746" s="455" t="s">
        <v>330</v>
      </c>
      <c r="J746" s="339"/>
      <c r="K746" s="446">
        <f>K744+K745</f>
        <v>0</v>
      </c>
      <c r="L746" s="340"/>
      <c r="M746" s="452">
        <f t="shared" ref="M746" si="3268">M744+M745</f>
        <v>0</v>
      </c>
      <c r="N746" s="339"/>
      <c r="O746" s="446">
        <f>O744+O745</f>
        <v>0</v>
      </c>
      <c r="P746" s="340"/>
      <c r="Q746" s="452">
        <f t="shared" ref="Q746" si="3269">Q744+Q745</f>
        <v>0</v>
      </c>
      <c r="R746" s="339"/>
      <c r="S746" s="446">
        <f>S744+S745</f>
        <v>0</v>
      </c>
      <c r="T746" s="340"/>
      <c r="U746" s="452">
        <f t="shared" ref="U746" si="3270">U744+U745</f>
        <v>0</v>
      </c>
      <c r="V746" s="339"/>
      <c r="W746" s="446">
        <f>W744+W745</f>
        <v>0</v>
      </c>
      <c r="X746" s="340"/>
      <c r="Y746" s="452">
        <f t="shared" ref="Y746" si="3271">Y744+Y745</f>
        <v>0</v>
      </c>
      <c r="Z746" s="339"/>
      <c r="AA746" s="446">
        <f>AA744+AA745</f>
        <v>0</v>
      </c>
      <c r="AB746" s="340"/>
      <c r="AC746" s="452">
        <f t="shared" ref="AC746" si="3272">AC744+AC745</f>
        <v>0</v>
      </c>
      <c r="AD746" s="335"/>
      <c r="AE746" s="1152"/>
      <c r="AF746" s="1152"/>
      <c r="AG746" s="1152"/>
      <c r="AH746" s="1152"/>
      <c r="AI746" s="1152"/>
      <c r="AJ746" s="1152"/>
      <c r="AK746" s="1152"/>
      <c r="AL746" s="1152"/>
      <c r="AM746" s="1152"/>
      <c r="AN746" s="1152"/>
      <c r="AO746" s="1152"/>
      <c r="AP746" s="1152"/>
      <c r="AQ746" s="1152"/>
      <c r="AR746" s="1152"/>
      <c r="AS746" s="1152"/>
      <c r="AT746" s="1152"/>
      <c r="AU746" s="1152"/>
      <c r="AV746" s="1152"/>
      <c r="AW746" s="1152"/>
      <c r="AX746" s="1152"/>
      <c r="AY746" s="1152"/>
      <c r="AZ746" s="1152"/>
      <c r="BA746" s="1152"/>
      <c r="BB746" s="1152"/>
      <c r="BC746" s="1152"/>
      <c r="BD746" s="1152"/>
    </row>
    <row r="747" spans="1:56" hidden="1" outlineLevel="1" x14ac:dyDescent="0.3">
      <c r="A747" s="1182"/>
      <c r="B747" s="1379"/>
      <c r="C747" s="1379"/>
      <c r="D747" s="1379"/>
      <c r="E747" s="1379"/>
      <c r="F747" s="1379"/>
      <c r="G747" s="1379"/>
      <c r="H747" s="1380"/>
      <c r="I747" s="462" t="s">
        <v>324</v>
      </c>
      <c r="J747" s="344"/>
      <c r="K747" s="443">
        <f>-(K744/vl_working_days_per_year)*J747</f>
        <v>0</v>
      </c>
      <c r="L747" s="345"/>
      <c r="M747" s="451">
        <f>-(M744/vl_working_days_per_year)*L747</f>
        <v>0</v>
      </c>
      <c r="N747" s="344"/>
      <c r="O747" s="443">
        <f>-(O744/vl_working_days_per_year)*N747</f>
        <v>0</v>
      </c>
      <c r="P747" s="345"/>
      <c r="Q747" s="451">
        <f>-(Q744/vl_working_days_per_year)*P747</f>
        <v>0</v>
      </c>
      <c r="R747" s="344"/>
      <c r="S747" s="443">
        <f>-(S744/vl_working_days_per_year)*R747</f>
        <v>0</v>
      </c>
      <c r="T747" s="345"/>
      <c r="U747" s="451">
        <f>-(U744/vl_working_days_per_year)*T747</f>
        <v>0</v>
      </c>
      <c r="V747" s="344"/>
      <c r="W747" s="443">
        <f>-(W744/vl_working_days_per_year)*V747</f>
        <v>0</v>
      </c>
      <c r="X747" s="345"/>
      <c r="Y747" s="451">
        <f>-(Y744/vl_working_days_per_year)*X747</f>
        <v>0</v>
      </c>
      <c r="Z747" s="344"/>
      <c r="AA747" s="443">
        <f>-(AA744/vl_working_days_per_year)*Z747</f>
        <v>0</v>
      </c>
      <c r="AB747" s="345"/>
      <c r="AC747" s="451">
        <f>-(AC744/vl_working_days_per_year)*AB747</f>
        <v>0</v>
      </c>
      <c r="AD747" s="335">
        <f t="shared" si="3140"/>
        <v>0</v>
      </c>
      <c r="AE747" s="1152"/>
      <c r="AF747" s="1152"/>
      <c r="AG747" s="1152"/>
      <c r="AH747" s="1152"/>
      <c r="AI747" s="1152"/>
      <c r="AJ747" s="1152"/>
      <c r="AK747" s="1152"/>
      <c r="AL747" s="1152"/>
      <c r="AM747" s="1152"/>
      <c r="AN747" s="1152"/>
      <c r="AO747" s="1152"/>
      <c r="AP747" s="1152"/>
      <c r="AQ747" s="1152"/>
      <c r="AR747" s="1152"/>
      <c r="AS747" s="1152"/>
      <c r="AT747" s="1152"/>
      <c r="AU747" s="1152"/>
      <c r="AV747" s="1152"/>
      <c r="AW747" s="1152"/>
      <c r="AX747" s="1152"/>
      <c r="AY747" s="1152"/>
      <c r="AZ747" s="1152"/>
      <c r="BA747" s="1152"/>
      <c r="BB747" s="1152"/>
      <c r="BC747" s="1152"/>
      <c r="BD747" s="1152"/>
    </row>
    <row r="748" spans="1:56" hidden="1" outlineLevel="1" x14ac:dyDescent="0.3">
      <c r="A748" s="1182"/>
      <c r="B748" s="1379"/>
      <c r="C748" s="1379"/>
      <c r="D748" s="1379"/>
      <c r="E748" s="1379"/>
      <c r="F748" s="1379"/>
      <c r="G748" s="1379"/>
      <c r="H748" s="1380"/>
      <c r="I748" s="341" t="s">
        <v>325</v>
      </c>
      <c r="J748" s="346"/>
      <c r="K748" s="444">
        <f>K746+K747</f>
        <v>0</v>
      </c>
      <c r="L748" s="346"/>
      <c r="M748" s="444">
        <f t="shared" ref="M748" si="3273">M746+M747</f>
        <v>0</v>
      </c>
      <c r="N748" s="346"/>
      <c r="O748" s="444">
        <f>O746+O747</f>
        <v>0</v>
      </c>
      <c r="P748" s="346"/>
      <c r="Q748" s="444">
        <f t="shared" ref="Q748" si="3274">Q746+Q747</f>
        <v>0</v>
      </c>
      <c r="R748" s="346"/>
      <c r="S748" s="444">
        <f>S746+S747</f>
        <v>0</v>
      </c>
      <c r="T748" s="346"/>
      <c r="U748" s="444">
        <f t="shared" ref="U748" si="3275">U746+U747</f>
        <v>0</v>
      </c>
      <c r="V748" s="346"/>
      <c r="W748" s="444">
        <f>W746+W747</f>
        <v>0</v>
      </c>
      <c r="X748" s="346"/>
      <c r="Y748" s="444">
        <f t="shared" ref="Y748" si="3276">Y746+Y747</f>
        <v>0</v>
      </c>
      <c r="Z748" s="346"/>
      <c r="AA748" s="444">
        <f>AA746+AA747</f>
        <v>0</v>
      </c>
      <c r="AB748" s="346"/>
      <c r="AC748" s="444">
        <f t="shared" ref="AC748" si="3277">AC746+AC747</f>
        <v>0</v>
      </c>
      <c r="AD748" s="335">
        <f t="shared" si="3140"/>
        <v>0</v>
      </c>
      <c r="AE748" s="1152"/>
      <c r="AF748" s="1152"/>
      <c r="AG748" s="1152"/>
      <c r="AH748" s="1152"/>
      <c r="AI748" s="1152"/>
      <c r="AJ748" s="1152"/>
      <c r="AK748" s="1152"/>
      <c r="AL748" s="1152"/>
      <c r="AM748" s="1152"/>
      <c r="AN748" s="1152"/>
      <c r="AO748" s="1152"/>
      <c r="AP748" s="1152"/>
      <c r="AQ748" s="1152"/>
      <c r="AR748" s="1152"/>
      <c r="AS748" s="1152"/>
      <c r="AT748" s="1152"/>
      <c r="AU748" s="1152"/>
      <c r="AV748" s="1152"/>
      <c r="AW748" s="1152"/>
      <c r="AX748" s="1152"/>
      <c r="AY748" s="1152"/>
      <c r="AZ748" s="1152"/>
      <c r="BA748" s="1152"/>
      <c r="BB748" s="1152"/>
      <c r="BC748" s="1152"/>
      <c r="BD748" s="1152"/>
    </row>
    <row r="749" spans="1:56" s="1" customFormat="1" ht="15" hidden="1" customHeight="1" outlineLevel="1" x14ac:dyDescent="0.3">
      <c r="A749" s="727"/>
      <c r="B749" s="1379"/>
      <c r="C749" s="1379"/>
      <c r="D749" s="1379"/>
      <c r="E749" s="1379"/>
      <c r="F749" s="1379"/>
      <c r="G749" s="1379"/>
      <c r="H749" s="1380"/>
      <c r="I749" s="463" t="s">
        <v>326</v>
      </c>
      <c r="J749" s="383">
        <f>IFERROR(K749/K735,0)</f>
        <v>0</v>
      </c>
      <c r="K749" s="447">
        <f>SUM(K736:K737,K739:K742,K745)</f>
        <v>0</v>
      </c>
      <c r="L749" s="434">
        <f>IFERROR(M749/M735,0)</f>
        <v>0</v>
      </c>
      <c r="M749" s="453">
        <f t="shared" ref="M749" si="3278">SUM(M736:M737,M739:M742,M745)</f>
        <v>0</v>
      </c>
      <c r="N749" s="383">
        <f t="shared" ref="N749" si="3279">IFERROR(O749/O735,0)</f>
        <v>0</v>
      </c>
      <c r="O749" s="447">
        <f t="shared" ref="O749" si="3280">SUM(O736:O737,O739:O742,O745)</f>
        <v>0</v>
      </c>
      <c r="P749" s="434">
        <f t="shared" ref="P749" si="3281">IFERROR(Q749/Q735,0)</f>
        <v>0</v>
      </c>
      <c r="Q749" s="453">
        <f t="shared" ref="Q749" si="3282">SUM(Q736:Q737,Q739:Q742,Q745)</f>
        <v>0</v>
      </c>
      <c r="R749" s="383">
        <f t="shared" ref="R749" si="3283">IFERROR(S749/S735,0)</f>
        <v>0</v>
      </c>
      <c r="S749" s="447">
        <f t="shared" ref="S749" si="3284">SUM(S736:S737,S739:S742,S745)</f>
        <v>0</v>
      </c>
      <c r="T749" s="434">
        <f t="shared" ref="T749" si="3285">IFERROR(U749/U735,0)</f>
        <v>0</v>
      </c>
      <c r="U749" s="453">
        <f t="shared" ref="U749" si="3286">SUM(U736:U737,U739:U742,U745)</f>
        <v>0</v>
      </c>
      <c r="V749" s="383">
        <f t="shared" ref="V749" si="3287">IFERROR(W749/W735,0)</f>
        <v>0</v>
      </c>
      <c r="W749" s="447">
        <f t="shared" ref="W749" si="3288">SUM(W736:W737,W739:W742,W745)</f>
        <v>0</v>
      </c>
      <c r="X749" s="434">
        <f t="shared" ref="X749" si="3289">IFERROR(Y749/Y735,0)</f>
        <v>0</v>
      </c>
      <c r="Y749" s="453">
        <f t="shared" ref="Y749" si="3290">SUM(Y736:Y737,Y739:Y742,Y745)</f>
        <v>0</v>
      </c>
      <c r="Z749" s="383">
        <f t="shared" ref="Z749" si="3291">IFERROR(AA749/AA735,0)</f>
        <v>0</v>
      </c>
      <c r="AA749" s="447">
        <f t="shared" ref="AA749" si="3292">SUM(AA736:AA737,AA739:AA742,AA745)</f>
        <v>0</v>
      </c>
      <c r="AB749" s="434">
        <f t="shared" ref="AB749" si="3293">IFERROR(AC749/AC735,0)</f>
        <v>0</v>
      </c>
      <c r="AC749" s="453">
        <f t="shared" ref="AC749" si="3294">SUM(AC736:AC737,AC739:AC742,AC745)</f>
        <v>0</v>
      </c>
      <c r="AD749" s="377">
        <f t="shared" si="3140"/>
        <v>0</v>
      </c>
      <c r="AE749" s="14"/>
      <c r="AF749" s="14"/>
      <c r="AG749" s="14"/>
      <c r="AH749" s="14"/>
      <c r="AI749" s="14"/>
      <c r="AJ749" s="14"/>
      <c r="AK749" s="14"/>
      <c r="AL749" s="14"/>
      <c r="AM749" s="14"/>
      <c r="AN749" s="14"/>
      <c r="AO749" s="14"/>
      <c r="AP749" s="14"/>
      <c r="AQ749" s="14"/>
      <c r="AR749" s="14"/>
      <c r="AS749" s="14"/>
      <c r="AT749" s="14"/>
      <c r="AU749" s="14"/>
      <c r="AV749" s="14"/>
      <c r="AW749" s="14"/>
      <c r="AX749" s="14"/>
      <c r="AY749" s="14"/>
      <c r="AZ749" s="14"/>
      <c r="BA749" s="14"/>
      <c r="BB749" s="14"/>
      <c r="BC749" s="14"/>
      <c r="BD749" s="14"/>
    </row>
    <row r="750" spans="1:56" hidden="1" outlineLevel="1" x14ac:dyDescent="0.3">
      <c r="A750" s="1182"/>
      <c r="B750" s="1379"/>
      <c r="C750" s="1379"/>
      <c r="D750" s="1379"/>
      <c r="E750" s="1379"/>
      <c r="F750" s="1379"/>
      <c r="G750" s="1379"/>
      <c r="H750" s="1380"/>
      <c r="I750" s="463" t="s">
        <v>327</v>
      </c>
      <c r="J750" s="384">
        <f>pCRInKind</f>
        <v>2.5</v>
      </c>
      <c r="K750" s="447"/>
      <c r="L750" s="435">
        <f>pCRInKind</f>
        <v>2.5</v>
      </c>
      <c r="M750" s="453"/>
      <c r="N750" s="384">
        <f>pCRInKind</f>
        <v>2.5</v>
      </c>
      <c r="O750" s="447"/>
      <c r="P750" s="435">
        <f>pCRInKind</f>
        <v>2.5</v>
      </c>
      <c r="Q750" s="453"/>
      <c r="R750" s="384">
        <f>pCRInKind</f>
        <v>2.5</v>
      </c>
      <c r="S750" s="447"/>
      <c r="T750" s="435">
        <f>pCRInKind</f>
        <v>2.5</v>
      </c>
      <c r="U750" s="453"/>
      <c r="V750" s="384">
        <f>pCRInKind</f>
        <v>2.5</v>
      </c>
      <c r="W750" s="447"/>
      <c r="X750" s="435">
        <f>pCRInKind</f>
        <v>2.5</v>
      </c>
      <c r="Y750" s="453"/>
      <c r="Z750" s="384">
        <f>pCRInKind</f>
        <v>2.5</v>
      </c>
      <c r="AA750" s="447"/>
      <c r="AB750" s="435">
        <f>pCRInKind</f>
        <v>2.5</v>
      </c>
      <c r="AC750" s="453"/>
      <c r="AD750" s="335"/>
      <c r="AE750" s="1152"/>
      <c r="AF750" s="1152"/>
      <c r="AG750" s="1152"/>
      <c r="AH750" s="1152"/>
      <c r="AI750" s="1152"/>
      <c r="AJ750" s="1152"/>
      <c r="AK750" s="1152"/>
      <c r="AL750" s="1152"/>
      <c r="AM750" s="1152"/>
      <c r="AN750" s="1152"/>
      <c r="AO750" s="1152"/>
      <c r="AP750" s="1152"/>
      <c r="AQ750" s="1152"/>
      <c r="AR750" s="1152"/>
      <c r="AS750" s="1152"/>
      <c r="AT750" s="1152"/>
      <c r="AU750" s="1152"/>
      <c r="AV750" s="1152"/>
      <c r="AW750" s="1152"/>
      <c r="AX750" s="1152"/>
      <c r="AY750" s="1152"/>
      <c r="AZ750" s="1152"/>
      <c r="BA750" s="1152"/>
      <c r="BB750" s="1152"/>
      <c r="BC750" s="1152"/>
      <c r="BD750" s="1152"/>
    </row>
    <row r="751" spans="1:56" ht="16.2" hidden="1" outlineLevel="1" thickBot="1" x14ac:dyDescent="0.35">
      <c r="A751" s="1182"/>
      <c r="B751" s="710"/>
      <c r="C751" s="347"/>
      <c r="D751" s="347"/>
      <c r="E751" s="347"/>
      <c r="F751" s="347"/>
      <c r="G751" s="347"/>
      <c r="H751" s="347"/>
      <c r="I751" s="436" t="s">
        <v>329</v>
      </c>
      <c r="J751" s="348"/>
      <c r="K751" s="349">
        <f>J750*K746</f>
        <v>0</v>
      </c>
      <c r="L751" s="348"/>
      <c r="M751" s="349">
        <f t="shared" ref="M751" si="3295">L750*M746</f>
        <v>0</v>
      </c>
      <c r="N751" s="348"/>
      <c r="O751" s="349">
        <f>N750*O746</f>
        <v>0</v>
      </c>
      <c r="P751" s="348"/>
      <c r="Q751" s="349">
        <f t="shared" ref="Q751" si="3296">P750*Q746</f>
        <v>0</v>
      </c>
      <c r="R751" s="348"/>
      <c r="S751" s="349">
        <f>R750*S746</f>
        <v>0</v>
      </c>
      <c r="T751" s="348"/>
      <c r="U751" s="349">
        <f t="shared" ref="U751" si="3297">T750*U746</f>
        <v>0</v>
      </c>
      <c r="V751" s="348"/>
      <c r="W751" s="349">
        <f>V750*W746</f>
        <v>0</v>
      </c>
      <c r="X751" s="348"/>
      <c r="Y751" s="349">
        <f t="shared" ref="Y751" si="3298">X750*Y746</f>
        <v>0</v>
      </c>
      <c r="Z751" s="348"/>
      <c r="AA751" s="349">
        <f>Z750*AA746</f>
        <v>0</v>
      </c>
      <c r="AB751" s="348"/>
      <c r="AC751" s="349">
        <f t="shared" ref="AC751" si="3299">AB750*AC746</f>
        <v>0</v>
      </c>
      <c r="AD751" s="335">
        <f>IFERROR($K733+$M733+$O733+$Q733+$S733+$U733+$W733+$Y733+$AA733+$AC733,0)</f>
        <v>0</v>
      </c>
      <c r="AE751" s="1152"/>
      <c r="AF751" s="1152"/>
      <c r="AG751" s="1152"/>
      <c r="AH751" s="1152"/>
      <c r="AI751" s="1152"/>
      <c r="AJ751" s="1152"/>
      <c r="AK751" s="1152"/>
      <c r="AL751" s="1152"/>
      <c r="AM751" s="1152"/>
      <c r="AN751" s="1152"/>
      <c r="AO751" s="1152"/>
      <c r="AP751" s="1152"/>
      <c r="AQ751" s="1152"/>
      <c r="AR751" s="1152"/>
      <c r="AS751" s="1152"/>
      <c r="AT751" s="1152"/>
      <c r="AU751" s="1152"/>
      <c r="AV751" s="1152"/>
      <c r="AW751" s="1152"/>
      <c r="AX751" s="1152"/>
      <c r="AY751" s="1152"/>
      <c r="AZ751" s="1152"/>
      <c r="BA751" s="1152"/>
      <c r="BB751" s="1152"/>
      <c r="BC751" s="1152"/>
      <c r="BD751" s="1152"/>
    </row>
    <row r="752" spans="1:56" ht="15" hidden="1" outlineLevel="1" thickBot="1" x14ac:dyDescent="0.35">
      <c r="A752" s="1182"/>
      <c r="B752" s="1181"/>
      <c r="C752" s="1181"/>
      <c r="D752" s="1181"/>
      <c r="E752" s="1181"/>
      <c r="F752" s="1181"/>
      <c r="G752" s="1181"/>
      <c r="H752" s="1181"/>
      <c r="I752" s="350"/>
      <c r="J752" s="351"/>
      <c r="K752" s="351"/>
      <c r="L752" s="351"/>
      <c r="M752" s="352"/>
      <c r="N752" s="351"/>
      <c r="O752" s="352"/>
      <c r="P752" s="351"/>
      <c r="Q752" s="352"/>
      <c r="R752" s="351"/>
      <c r="S752" s="352"/>
      <c r="T752" s="351"/>
      <c r="U752" s="352"/>
      <c r="V752" s="351"/>
      <c r="W752" s="352"/>
      <c r="X752" s="351"/>
      <c r="Y752" s="352"/>
      <c r="Z752" s="351"/>
      <c r="AA752" s="352"/>
      <c r="AB752" s="351"/>
      <c r="AC752" s="352"/>
      <c r="AD752" s="353" t="str">
        <f>IF(tbBudgetCurrency="AUD - Australian Dollar","",IFERROR(K752+M752+O752+Q752+S752+U752+W752+Y752+AA752+AC752,0))</f>
        <v/>
      </c>
      <c r="AE752" s="1152"/>
      <c r="AF752" s="1152"/>
      <c r="AG752" s="1152"/>
      <c r="AH752" s="1152"/>
      <c r="AI752" s="1152"/>
      <c r="AJ752" s="1152"/>
      <c r="AK752" s="1152"/>
      <c r="AL752" s="1152"/>
      <c r="AM752" s="1152"/>
      <c r="AN752" s="1152"/>
      <c r="AO752" s="1152"/>
      <c r="AP752" s="1152"/>
      <c r="AQ752" s="1152"/>
      <c r="AR752" s="1152"/>
      <c r="AS752" s="1152"/>
      <c r="AT752" s="1152"/>
      <c r="AU752" s="1152"/>
      <c r="AV752" s="1152"/>
      <c r="AW752" s="1152"/>
      <c r="AX752" s="1152"/>
      <c r="AY752" s="1152"/>
      <c r="AZ752" s="1152"/>
      <c r="BA752" s="1152"/>
      <c r="BB752" s="1152"/>
      <c r="BC752" s="1152"/>
      <c r="BD752" s="1152"/>
    </row>
    <row r="753" spans="1:56" hidden="1" outlineLevel="1" x14ac:dyDescent="0.3">
      <c r="A753" s="1182"/>
      <c r="B753" s="460" t="str">
        <f>IF('PART B Staff Costs'!B72="","",'PART B Staff Costs'!B72)</f>
        <v/>
      </c>
      <c r="C753" s="460" t="str">
        <f>IF('PART B Staff Costs'!C72="","",'PART B Staff Costs'!C72)</f>
        <v xml:space="preserve"> </v>
      </c>
      <c r="D753" s="461" t="str">
        <f>IF('PART B Staff Costs'!D72="","",'PART B Staff Costs'!D72)</f>
        <v/>
      </c>
      <c r="E753" s="461" t="str">
        <f>IF('PART B Staff Costs'!E72="","",'PART B Staff Costs'!E72)</f>
        <v/>
      </c>
      <c r="F753" s="461" t="str">
        <f>IF('PART B Staff Costs'!F72="","",'PART B Staff Costs'!F72)</f>
        <v/>
      </c>
      <c r="G753" s="461" t="str">
        <f>IF('PART B Staff Costs'!G72="","",'PART B Staff Costs'!G72)</f>
        <v/>
      </c>
      <c r="H753" s="454" t="str">
        <f t="shared" ref="H753" si="3300">CONCATENATE(IF(D753=0,"",D753)," ",IF(E753=0,"",E753)," ",IF(F753=0,"",F753),,IF(OR(G753=0,G753=""),"",CONCATENATE(" (",G753,")")))</f>
        <v xml:space="preserve">  </v>
      </c>
      <c r="I753" s="454" t="s">
        <v>313</v>
      </c>
      <c r="J753" s="333">
        <f>_xlfn.IFNA('PART B Staff Costs'!H72*'PART B Staff Costs'!J$10,0)*new_xrate</f>
        <v>0</v>
      </c>
      <c r="K753" s="441"/>
      <c r="L753" s="334">
        <f>_xlfn.IFNA(IF(pStartYear+1&gt;pEndYear,0,VLOOKUP(CONCATENATE(
IF(OR($D753="Continuing",$D753="Fixed-Term"),"Fortnight",IF($D753="Casual","Casual",)),
$E753,
IF(OR($D753="Continuing",$D753="Fixed-Term"),
IF(LEFT($F753,6)="UOM 10","UOM 10",(LEFT($F753,LEN($F753)-1)&amp;MIN(RIGHT($F753,1)+COUNTIFS($J754:K754,"&gt;0")/2,VLOOKUP(LEFT($F753,LEN($F753)-2),tSalaryMax,2,FALSE)))),
IF($D753="Casual",
$F753,))
),tSalaryRate,5,FALSE)*VLOOKUP($G753,tSalaryRateMultiplier,2,FALSE)*'PART B Staff Costs'!L$10),0)*new_xrate</f>
        <v>0</v>
      </c>
      <c r="M753" s="449"/>
      <c r="N753" s="333">
        <f>_xlfn.IFNA(IF(pStartYear+2&gt;pEndYear,0,VLOOKUP(CONCATENATE(
IF(OR($D753="Continuing",$D753="Fixed-Term"),"Fortnight",IF($D753="Casual","Casual",)),
$E753,
IF(OR($D753="Continuing",$D753="Fixed-Term"),
IF(LEFT($F753,6)="UOM 10","UOM 10",(LEFT($F753,LEN($F753)-1)&amp;MIN(RIGHT($F753,1)+COUNTIFS($J754:M754,"&gt;0")/2,VLOOKUP(LEFT($F753,LEN($F753)-2),tSalaryMax,2,FALSE)))),
IF($D753="Casual",
$F753,))
),tSalaryRate,5,FALSE)*VLOOKUP($G753,tSalaryRateMultiplier,2,FALSE)*'PART B Staff Costs'!N$10),0)*new_xrate</f>
        <v>0</v>
      </c>
      <c r="O753" s="441"/>
      <c r="P753" s="334">
        <f>_xlfn.IFNA(IF(pStartYear+3&gt;pEndYear,0,VLOOKUP(CONCATENATE(
IF(OR($D753="Continuing",$D753="Fixed-Term"),"Fortnight",IF($D753="Casual","Casual",)),
$E753,
IF(OR($D753="Continuing",$D753="Fixed-Term"),
IF(LEFT($F753,6)="UOM 10","UOM 10",(LEFT($F753,LEN($F753)-1)&amp;MIN(RIGHT($F753,1)+COUNTIFS($J754:O754,"&gt;0")/2,VLOOKUP(LEFT($F753,LEN($F753)-2),tSalaryMax,2,FALSE)))),
IF($D753="Casual",
$F753,))
),tSalaryRate,5,FALSE)*VLOOKUP($G753,tSalaryRateMultiplier,2,FALSE)*'PART B Staff Costs'!P$10),0)*new_xrate</f>
        <v>0</v>
      </c>
      <c r="Q753" s="449"/>
      <c r="R753" s="333">
        <f>_xlfn.IFNA(IF(pStartYear+4&gt;pEndYear,0,VLOOKUP(CONCATENATE(
IF(OR($D753="Continuing",$D753="Fixed-Term"),"Fortnight",IF($D753="Casual","Casual",)),
$E753,
IF(OR($D753="Continuing",$D753="Fixed-Term"),
IF(LEFT($F753,6)="UOM 10","UOM 10",(LEFT($F753,LEN($F753)-1)&amp;MIN(RIGHT($F753,1)+COUNTIFS($J754:Q754,"&gt;0")/2,VLOOKUP(LEFT($F753,LEN($F753)-2),tSalaryMax,2,FALSE)))),
IF($D753="Casual",
$F753,))
),tSalaryRate,5,FALSE)*VLOOKUP($G753,tSalaryRateMultiplier,2,FALSE)*'PART B Staff Costs'!R$10),0)*new_xrate</f>
        <v>0</v>
      </c>
      <c r="S753" s="441"/>
      <c r="T753" s="334">
        <f>_xlfn.IFNA(IF(pStartYear+5&gt;pEndYear,0,VLOOKUP(CONCATENATE(
IF(OR($D753="Continuing",$D753="Fixed-Term"),"Fortnight",IF($D753="Casual","Casual",)),
$E753,
IF(OR($D753="Continuing",$D753="Fixed-Term"),
IF(LEFT($F753,6)="UOM 10","UOM 10",(LEFT($F753,LEN($F753)-1)&amp;MIN(RIGHT($F753,1)+COUNTIFS($J754:S754,"&gt;0")/2,VLOOKUP(LEFT($F753,LEN($F753)-2),tSalaryMax,2,FALSE)))),
IF($D753="Casual",
$F753,))
),tSalaryRate,5,FALSE)*VLOOKUP($G753,tSalaryRateMultiplier,2,FALSE)*'PART B Staff Costs'!T$10),0)*new_xrate</f>
        <v>0</v>
      </c>
      <c r="U753" s="449"/>
      <c r="V753" s="333">
        <f>_xlfn.IFNA(IF(pStartYear+6&gt;pEndYear,0,VLOOKUP(CONCATENATE(
IF(OR($D753="Continuing",$D753="Fixed-Term"),"Fortnight",IF($D753="Casual","Casual",)),
$E753,
IF(OR($D753="Continuing",$D753="Fixed-Term"),
IF(LEFT($F753,6)="UOM 10","UOM 10",(LEFT($F753,LEN($F753)-1)&amp;MIN(RIGHT($F753,1)+COUNTIFS($J754:U754,"&gt;0")/2,VLOOKUP(LEFT($F753,LEN($F753)-2),tSalaryMax,2,FALSE)))),
IF($D753="Casual",
$F753,))
),tSalaryRate,5,FALSE)*VLOOKUP($G753,tSalaryRateMultiplier,2,FALSE)*'PART B Staff Costs'!V$10),0)*new_xrate</f>
        <v>0</v>
      </c>
      <c r="W753" s="441"/>
      <c r="X753" s="334">
        <f>_xlfn.IFNA(IF(pStartYear+7&gt;pEndYear,0,VLOOKUP(CONCATENATE(
IF(OR($D753="Continuing",$D753="Fixed-Term"),"Fortnight",IF($D753="Casual","Casual",)),
$E753,
IF(OR($D753="Continuing",$D753="Fixed-Term"),
IF(LEFT($F753,6)="UOM 10","UOM 10",(LEFT($F753,LEN($F753)-1)&amp;MIN(RIGHT($F753,1)+COUNTIFS($J754:W754,"&gt;0")/2,VLOOKUP(LEFT($F753,LEN($F753)-2),tSalaryMax,2,FALSE)))),
IF($D753="Casual",
$F753,))
),tSalaryRate,5,FALSE)*VLOOKUP($G753,tSalaryRateMultiplier,2,FALSE)*'PART B Staff Costs'!X$10),0)*new_xrate</f>
        <v>0</v>
      </c>
      <c r="Y753" s="449"/>
      <c r="Z753" s="333">
        <f>_xlfn.IFNA(IF(pStartYear+8&gt;pEndYear,0,VLOOKUP(CONCATENATE(
IF(OR($D753="Continuing",$D753="Fixed-Term"),"Fortnight",IF($D753="Casual","Casual",)),
$E753,
IF(OR($D753="Continuing",$D753="Fixed-Term"),
IF(LEFT($F753,6)="UOM 10","UOM 10",(LEFT($F753,LEN($F753)-1)&amp;MIN(RIGHT($F753,1)+COUNTIFS($J754:Y754,"&gt;0")/2,VLOOKUP(LEFT($F753,LEN($F753)-2),tSalaryMax,2,FALSE)))),
IF($D753="Casual",
$F753,))
),tSalaryRate,5,FALSE)*VLOOKUP($G753,tSalaryRateMultiplier,2,FALSE)*'PART B Staff Costs'!Z$10),0)*new_xrate</f>
        <v>0</v>
      </c>
      <c r="AA753" s="441"/>
      <c r="AB753" s="334">
        <f>_xlfn.IFNA(IF(pStartYear+9&gt;pEndYear,0,VLOOKUP(CONCATENATE(
IF(OR($D753="Continuing",$D753="Fixed-Term"),"Fortnight",IF($D753="Casual","Casual",)),
$E753,
IF(OR($D753="Continuing",$D753="Fixed-Term"),
IF(LEFT($F753,6)="UOM 10","UOM 10",(LEFT($F753,LEN($F753)-1)&amp;MIN(RIGHT($F753,1)+COUNTIFS($J754:AA754,"&gt;0")/2,VLOOKUP(LEFT($F753,LEN($F753)-2),tSalaryMax,2,FALSE)))),
IF($D753="Casual",
$F753,))
),tSalaryRate,5,FALSE)*VLOOKUP($G753,tSalaryRateMultiplier,2,FALSE)*'PART B Staff Costs'!AB$10),0)*new_xrate</f>
        <v>0</v>
      </c>
      <c r="AC753" s="449"/>
      <c r="AD753" s="335"/>
      <c r="AE753" s="1152"/>
      <c r="AF753" s="1152"/>
      <c r="AG753" s="1152"/>
      <c r="AH753" s="1152"/>
      <c r="AI753" s="1152"/>
      <c r="AJ753" s="1152"/>
      <c r="AK753" s="1152"/>
      <c r="AL753" s="1152"/>
      <c r="AM753" s="1152"/>
      <c r="AN753" s="1152"/>
      <c r="AO753" s="1152"/>
      <c r="AP753" s="1152"/>
      <c r="AQ753" s="1152"/>
      <c r="AR753" s="1152"/>
      <c r="AS753" s="1152"/>
      <c r="AT753" s="1152"/>
      <c r="AU753" s="1152"/>
      <c r="AV753" s="1152"/>
      <c r="AW753" s="1152"/>
      <c r="AX753" s="1152"/>
      <c r="AY753" s="1152"/>
      <c r="AZ753" s="1152"/>
      <c r="BA753" s="1152"/>
      <c r="BB753" s="1152"/>
      <c r="BC753" s="1152"/>
      <c r="BD753" s="1152"/>
    </row>
    <row r="754" spans="1:56" hidden="1" outlineLevel="1" x14ac:dyDescent="0.3">
      <c r="A754" s="1182"/>
      <c r="B754" s="1377"/>
      <c r="C754" s="1377"/>
      <c r="D754" s="1377"/>
      <c r="E754" s="1377"/>
      <c r="F754" s="1377"/>
      <c r="G754" s="1377"/>
      <c r="H754" s="1378"/>
      <c r="I754" s="455" t="str">
        <f>IF('PART B Staff Costs'!G749&lt;&gt;"",CONCATENATE("Time/Requested salary"," (",'PART B Staff Costs'!G749,")"),"Time/Requested salary")</f>
        <v>Time/Requested salary</v>
      </c>
      <c r="J754" s="337">
        <f>_xlfn.IFNA('PART B Staff Costs'!I72,0)</f>
        <v>0</v>
      </c>
      <c r="K754" s="442">
        <f>IF('PART B Staff Costs'!$G$72="FTE",J754*J753*(First_year_fraction/12),J754*J753)</f>
        <v>0</v>
      </c>
      <c r="L754" s="338">
        <f>_xlfn.IFNA('PART B Staff Costs'!K72,0)</f>
        <v>0</v>
      </c>
      <c r="M754" s="450">
        <f>IF(pStartYear+1=pEndYear,IF('PART B Staff Costs'!$G$72="FTE",(L754*L753)*Last_Year_Fraction/12,L754*L753),L754*L753)</f>
        <v>0</v>
      </c>
      <c r="N754" s="337">
        <f>_xlfn.IFNA('PART B Staff Costs'!M72,0)</f>
        <v>0</v>
      </c>
      <c r="O754" s="442">
        <f>IF(pStartYear+2=pEndYear,IF('PART B Staff Costs'!$G$72="FTE",(N754*N753)*Last_Year_Fraction/12,N754*N753),N754*N753)</f>
        <v>0</v>
      </c>
      <c r="P754" s="338">
        <f>_xlfn.IFNA('PART B Staff Costs'!O72,0)</f>
        <v>0</v>
      </c>
      <c r="Q754" s="450">
        <f>IF(pStartYear+3=pEndYear,IF('PART B Staff Costs'!$G$72="FTE",(P754*P753)*Last_Year_Fraction/12,P754*P753),P754*P753)</f>
        <v>0</v>
      </c>
      <c r="R754" s="337">
        <f>_xlfn.IFNA('PART B Staff Costs'!Q72,0)</f>
        <v>0</v>
      </c>
      <c r="S754" s="442">
        <f>IF(pStartYear+4=pEndYear,IF('PART B Staff Costs'!$G$72="FTE",(R754*R753)*Last_Year_Fraction/12,R754*R753),R754*R753)</f>
        <v>0</v>
      </c>
      <c r="T754" s="338">
        <f>_xlfn.IFNA('PART B Staff Costs'!S72,0)</f>
        <v>0</v>
      </c>
      <c r="U754" s="450">
        <f>IF(pStartYear+5=pEndYear,IF('PART B Staff Costs'!$G$72="FTE",(T754*T753)*Last_Year_Fraction/12,T754*T753),T754*T753)</f>
        <v>0</v>
      </c>
      <c r="V754" s="337">
        <f>_xlfn.IFNA('PART B Staff Costs'!U72,0)</f>
        <v>0</v>
      </c>
      <c r="W754" s="442">
        <f>IF(pStartYear+6=pEndYear,IF('PART B Staff Costs'!$G$72="FTE",(V754*V753)*Last_Year_Fraction/12,V754*V753),V754*V753)</f>
        <v>0</v>
      </c>
      <c r="X754" s="338">
        <f>_xlfn.IFNA('PART B Staff Costs'!W72,0)</f>
        <v>0</v>
      </c>
      <c r="Y754" s="450">
        <f>IF(pStartYear+7=pEndYear,IF('PART B Staff Costs'!$G$72="FTE",(X754*X753)*Last_Year_Fraction/12,X754*X753),X754*X753)</f>
        <v>0</v>
      </c>
      <c r="Z754" s="337">
        <f>_xlfn.IFNA('PART B Staff Costs'!Y72,0)</f>
        <v>0</v>
      </c>
      <c r="AA754" s="442">
        <f>IF(pStartYear+8=pEndYear,IF('PART B Staff Costs'!$G$72="FTE",(Z754*Z753)*Last_Year_Fraction/12,Z754*Z753),Z754*Z753)</f>
        <v>0</v>
      </c>
      <c r="AB754" s="338">
        <f>_xlfn.IFNA('PART B Staff Costs'!AA72,0)</f>
        <v>0</v>
      </c>
      <c r="AC754" s="450">
        <f>IF(pStartYear+9=pEndYear,IF('PART B Staff Costs'!$G$72="FTE",(AB754*AB753)*Last_Year_Fraction/12,AB754*AB753),AB754*AB753)</f>
        <v>0</v>
      </c>
      <c r="AD754" s="335"/>
      <c r="AE754" s="1152"/>
      <c r="AF754" s="1152"/>
      <c r="AG754" s="1152"/>
      <c r="AH754" s="1152"/>
      <c r="AI754" s="1152"/>
      <c r="AJ754" s="1152"/>
      <c r="AK754" s="1152"/>
      <c r="AL754" s="1152"/>
      <c r="AM754" s="1152"/>
      <c r="AN754" s="1152"/>
      <c r="AO754" s="1152"/>
      <c r="AP754" s="1152"/>
      <c r="AQ754" s="1152"/>
      <c r="AR754" s="1152"/>
      <c r="AS754" s="1152"/>
      <c r="AT754" s="1152"/>
      <c r="AU754" s="1152"/>
      <c r="AV754" s="1152"/>
      <c r="AW754" s="1152"/>
      <c r="AX754" s="1152"/>
      <c r="AY754" s="1152"/>
      <c r="AZ754" s="1152"/>
      <c r="BA754" s="1152"/>
      <c r="BB754" s="1152"/>
      <c r="BC754" s="1152"/>
      <c r="BD754" s="1152"/>
    </row>
    <row r="755" spans="1:56" hidden="1" outlineLevel="1" x14ac:dyDescent="0.3">
      <c r="A755" s="1182"/>
      <c r="B755" s="1379"/>
      <c r="C755" s="1379"/>
      <c r="D755" s="1379"/>
      <c r="E755" s="1379"/>
      <c r="F755" s="1379"/>
      <c r="G755" s="1379"/>
      <c r="H755" s="1380"/>
      <c r="I755" s="455" t="str">
        <f>IF(tbBudgetCurrency="AUD - Australian Dollar",CONCATENATE("Leave Loading (max of AU$",vl_Max_Leave_Loading,")"),CONCATENATE("Leave Loading (max of ",ROUND(vl_Max_Leave_Loading*new_xrate,2)," ",LEFT(tbBudgetCurrency,3),")"))</f>
        <v>Leave Loading (max of AU$1611.3)</v>
      </c>
      <c r="J755" s="339">
        <f>_xlfn.IFNA(VLOOKUP($D753,tbLeaveLoading,2,FALSE),0)</f>
        <v>0</v>
      </c>
      <c r="K755" s="443">
        <f>IF(K754*J755&gt;vl_Max_Leave_Loading*new_xrate,vl_Max_Leave_Loading*new_xrate,K754*J755)</f>
        <v>0</v>
      </c>
      <c r="L755" s="340">
        <f>_xlfn.IFNA(VLOOKUP($D753,tbLeaveLoading,2,FALSE),0)</f>
        <v>0</v>
      </c>
      <c r="M755" s="451">
        <f>IF(M754*L755&gt;vl_Max_Leave_Loading*new_xrate,vl_Max_Leave_Loading*new_xrate,M754*L755)</f>
        <v>0</v>
      </c>
      <c r="N755" s="339">
        <f>_xlfn.IFNA(VLOOKUP($D753,tbLeaveLoading,2,FALSE),0)</f>
        <v>0</v>
      </c>
      <c r="O755" s="443">
        <f>IF(O754*N755&gt;vl_Max_Leave_Loading*new_xrate,vl_Max_Leave_Loading*new_xrate,O754*N755)</f>
        <v>0</v>
      </c>
      <c r="P755" s="340">
        <f>_xlfn.IFNA(VLOOKUP($D753,tbLeaveLoading,2,FALSE),0)</f>
        <v>0</v>
      </c>
      <c r="Q755" s="451">
        <f>IF(Q754*P755&gt;vl_Max_Leave_Loading*new_xrate,vl_Max_Leave_Loading*new_xrate,Q754*P755)</f>
        <v>0</v>
      </c>
      <c r="R755" s="339">
        <f>_xlfn.IFNA(VLOOKUP($D753,tbLeaveLoading,2,FALSE),0)</f>
        <v>0</v>
      </c>
      <c r="S755" s="443">
        <f>IF(S754*R755&gt;vl_Max_Leave_Loading*new_xrate,vl_Max_Leave_Loading*new_xrate,S754*R755)</f>
        <v>0</v>
      </c>
      <c r="T755" s="340">
        <f>_xlfn.IFNA(VLOOKUP($D753,tbLeaveLoading,2,FALSE),0)</f>
        <v>0</v>
      </c>
      <c r="U755" s="451">
        <f>IF(U754*T755&gt;vl_Max_Leave_Loading*new_xrate,vl_Max_Leave_Loading*new_xrate,U754*T755)</f>
        <v>0</v>
      </c>
      <c r="V755" s="339">
        <f>_xlfn.IFNA(VLOOKUP($D753,tbLeaveLoading,2,FALSE),0)</f>
        <v>0</v>
      </c>
      <c r="W755" s="443">
        <f>IF(W754*V755&gt;vl_Max_Leave_Loading*new_xrate,vl_Max_Leave_Loading*new_xrate,W754*V755)</f>
        <v>0</v>
      </c>
      <c r="X755" s="340">
        <f>_xlfn.IFNA(VLOOKUP($D753,tbLeaveLoading,2,FALSE),0)</f>
        <v>0</v>
      </c>
      <c r="Y755" s="451">
        <f>IF(Y754*X755&gt;vl_Max_Leave_Loading*new_xrate,vl_Max_Leave_Loading*new_xrate,Y754*X755)</f>
        <v>0</v>
      </c>
      <c r="Z755" s="339">
        <f>_xlfn.IFNA(VLOOKUP($D753,tbLeaveLoading,2,FALSE),0)</f>
        <v>0</v>
      </c>
      <c r="AA755" s="443">
        <f>IF(AA754*Z755&gt;vl_Max_Leave_Loading*new_xrate,vl_Max_Leave_Loading*new_xrate,AA754*Z755)</f>
        <v>0</v>
      </c>
      <c r="AB755" s="340">
        <f>_xlfn.IFNA(VLOOKUP($D753,tbLeaveLoading,2,FALSE),0)</f>
        <v>0</v>
      </c>
      <c r="AC755" s="451">
        <f>IF(AC754*AB755&gt;vl_Max_Leave_Loading*new_xrate,vl_Max_Leave_Loading*new_xrate,AC754*AB755)</f>
        <v>0</v>
      </c>
      <c r="AD755" s="335"/>
      <c r="AE755" s="1152"/>
      <c r="AF755" s="1152"/>
      <c r="AG755" s="1152"/>
      <c r="AH755" s="1152"/>
      <c r="AI755" s="1152"/>
      <c r="AJ755" s="1152"/>
      <c r="AK755" s="1152"/>
      <c r="AL755" s="1152"/>
      <c r="AM755" s="1152"/>
      <c r="AN755" s="1152"/>
      <c r="AO755" s="1152"/>
      <c r="AP755" s="1152"/>
      <c r="AQ755" s="1152"/>
      <c r="AR755" s="1152"/>
      <c r="AS755" s="1152"/>
      <c r="AT755" s="1152"/>
      <c r="AU755" s="1152"/>
      <c r="AV755" s="1152"/>
      <c r="AW755" s="1152"/>
      <c r="AX755" s="1152"/>
      <c r="AY755" s="1152"/>
      <c r="AZ755" s="1152"/>
      <c r="BA755" s="1152"/>
      <c r="BB755" s="1152"/>
      <c r="BC755" s="1152"/>
      <c r="BD755" s="1152"/>
    </row>
    <row r="756" spans="1:56" hidden="1" outlineLevel="1" x14ac:dyDescent="0.3">
      <c r="A756" s="1182"/>
      <c r="B756" s="1379"/>
      <c r="C756" s="1379"/>
      <c r="D756" s="1379"/>
      <c r="E756" s="1379"/>
      <c r="F756" s="1379"/>
      <c r="G756" s="1379"/>
      <c r="H756" s="1380"/>
      <c r="I756" s="455" t="s">
        <v>314</v>
      </c>
      <c r="J756" s="339">
        <f>_xlfn.IFNA(_xlfn.IFNA(VLOOKUP(CONCATENATE(pStartYear,$D753),tbSuperannuation,4,FALSE),VLOOKUP($D753,tbSuperannuation2026onwards,2,FALSE)),0)</f>
        <v>0</v>
      </c>
      <c r="K756" s="443">
        <f>K754*J756</f>
        <v>0</v>
      </c>
      <c r="L756" s="340">
        <f>_xlfn.IFNA(_xlfn.IFNA(VLOOKUP(CONCATENATE(pStartYear+1,$D753),tbSuperannuation,4,FALSE),VLOOKUP($D753,tbSuperannuation2026onwards,2,FALSE)),0)</f>
        <v>0</v>
      </c>
      <c r="M756" s="451">
        <f t="shared" ref="M756" si="3301">M754*L756</f>
        <v>0</v>
      </c>
      <c r="N756" s="339">
        <f>_xlfn.IFNA(_xlfn.IFNA(VLOOKUP(CONCATENATE(pStartYear+2,$D753),tbSuperannuation,4,FALSE),VLOOKUP($D753,tbSuperannuation2026onwards,2,FALSE)),0)</f>
        <v>0</v>
      </c>
      <c r="O756" s="443">
        <f>O754*N756</f>
        <v>0</v>
      </c>
      <c r="P756" s="340">
        <f>_xlfn.IFNA(_xlfn.IFNA(VLOOKUP(CONCATENATE(pStartYear+3,$D753),tbSuperannuation,4,FALSE),VLOOKUP($D753,tbSuperannuation2026onwards,2,FALSE)),0)</f>
        <v>0</v>
      </c>
      <c r="Q756" s="451">
        <f t="shared" ref="Q756" si="3302">Q754*P756</f>
        <v>0</v>
      </c>
      <c r="R756" s="339">
        <f>_xlfn.IFNA(_xlfn.IFNA(VLOOKUP(CONCATENATE(pStartYear+4,$D753),tbSuperannuation,4,FALSE),VLOOKUP($D753,tbSuperannuation2026onwards,2,FALSE)),0)</f>
        <v>0</v>
      </c>
      <c r="S756" s="443">
        <f>S754*R756</f>
        <v>0</v>
      </c>
      <c r="T756" s="340">
        <f>_xlfn.IFNA(_xlfn.IFNA(VLOOKUP(CONCATENATE(pStartYear+5,$D753),tbSuperannuation,4,FALSE),VLOOKUP($D753,tbSuperannuation2026onwards,2,FALSE)),0)</f>
        <v>0</v>
      </c>
      <c r="U756" s="451">
        <f t="shared" ref="U756" si="3303">U754*T756</f>
        <v>0</v>
      </c>
      <c r="V756" s="339">
        <f>_xlfn.IFNA(_xlfn.IFNA(VLOOKUP(CONCATENATE(pStartYear+6,$D753),tbSuperannuation,4,FALSE),VLOOKUP($D753,tbSuperannuation2026onwards,2,FALSE)),0)</f>
        <v>0</v>
      </c>
      <c r="W756" s="443">
        <f>W754*V756</f>
        <v>0</v>
      </c>
      <c r="X756" s="340">
        <f>_xlfn.IFNA(_xlfn.IFNA(VLOOKUP(CONCATENATE(pStartYear+7,$D753),tbSuperannuation,4,FALSE),VLOOKUP($D753,tbSuperannuation2026onwards,2,FALSE)),0)</f>
        <v>0</v>
      </c>
      <c r="Y756" s="451">
        <f t="shared" ref="Y756" si="3304">Y754*X756</f>
        <v>0</v>
      </c>
      <c r="Z756" s="339">
        <f>_xlfn.IFNA(_xlfn.IFNA(VLOOKUP(CONCATENATE(pStartYear+8,$D753),tbSuperannuation,4,FALSE),VLOOKUP($D753,tbSuperannuation2026onwards,2,FALSE)),0)</f>
        <v>0</v>
      </c>
      <c r="AA756" s="443">
        <f>AA754*Z756</f>
        <v>0</v>
      </c>
      <c r="AB756" s="340">
        <f>_xlfn.IFNA(_xlfn.IFNA(VLOOKUP(CONCATENATE(pStartYear+9,$D753),tbSuperannuation,4,FALSE),VLOOKUP($D753,tbSuperannuation2026onwards,2,FALSE)),0)</f>
        <v>0</v>
      </c>
      <c r="AC756" s="451">
        <f t="shared" ref="AC756" si="3305">AC754*AB756</f>
        <v>0</v>
      </c>
      <c r="AD756" s="335"/>
      <c r="AE756" s="1152"/>
      <c r="AF756" s="1152"/>
      <c r="AG756" s="1152"/>
      <c r="AH756" s="1152"/>
      <c r="AI756" s="1152"/>
      <c r="AJ756" s="1152"/>
      <c r="AK756" s="1152"/>
      <c r="AL756" s="1152"/>
      <c r="AM756" s="1152"/>
      <c r="AN756" s="1152"/>
      <c r="AO756" s="1152"/>
      <c r="AP756" s="1152"/>
      <c r="AQ756" s="1152"/>
      <c r="AR756" s="1152"/>
      <c r="AS756" s="1152"/>
      <c r="AT756" s="1152"/>
      <c r="AU756" s="1152"/>
      <c r="AV756" s="1152"/>
      <c r="AW756" s="1152"/>
      <c r="AX756" s="1152"/>
      <c r="AY756" s="1152"/>
      <c r="AZ756" s="1152"/>
      <c r="BA756" s="1152"/>
      <c r="BB756" s="1152"/>
      <c r="BC756" s="1152"/>
      <c r="BD756" s="1152"/>
    </row>
    <row r="757" spans="1:56" hidden="1" outlineLevel="1" x14ac:dyDescent="0.3">
      <c r="A757" s="1182"/>
      <c r="B757" s="1379"/>
      <c r="C757" s="1379"/>
      <c r="D757" s="1379"/>
      <c r="E757" s="1379"/>
      <c r="F757" s="1379"/>
      <c r="G757" s="1379"/>
      <c r="H757" s="1380"/>
      <c r="I757" s="341" t="s">
        <v>315</v>
      </c>
      <c r="J757" s="342"/>
      <c r="K757" s="444">
        <f>K755+K756+K754</f>
        <v>0</v>
      </c>
      <c r="L757" s="342"/>
      <c r="M757" s="444">
        <f t="shared" ref="M757" si="3306">M755+M756+M754</f>
        <v>0</v>
      </c>
      <c r="N757" s="342"/>
      <c r="O757" s="444">
        <f>O755+O756+O754</f>
        <v>0</v>
      </c>
      <c r="P757" s="342"/>
      <c r="Q757" s="444">
        <f t="shared" ref="Q757" si="3307">Q755+Q756+Q754</f>
        <v>0</v>
      </c>
      <c r="R757" s="342"/>
      <c r="S757" s="444">
        <f>S755+S756+S754</f>
        <v>0</v>
      </c>
      <c r="T757" s="342"/>
      <c r="U757" s="444">
        <f t="shared" ref="U757" si="3308">U755+U756+U754</f>
        <v>0</v>
      </c>
      <c r="V757" s="342"/>
      <c r="W757" s="444">
        <f>W755+W756+W754</f>
        <v>0</v>
      </c>
      <c r="X757" s="342"/>
      <c r="Y757" s="444">
        <f t="shared" ref="Y757" si="3309">Y755+Y756+Y754</f>
        <v>0</v>
      </c>
      <c r="Z757" s="342"/>
      <c r="AA757" s="444">
        <f>AA755+AA756+AA754</f>
        <v>0</v>
      </c>
      <c r="AB757" s="342"/>
      <c r="AC757" s="444">
        <f t="shared" ref="AC757" si="3310">AC755+AC756+AC754</f>
        <v>0</v>
      </c>
      <c r="AD757" s="335">
        <f t="shared" si="3140"/>
        <v>0</v>
      </c>
      <c r="AE757" s="1152"/>
      <c r="AF757" s="1152"/>
      <c r="AG757" s="1152"/>
      <c r="AH757" s="1152"/>
      <c r="AI757" s="1152"/>
      <c r="AJ757" s="1152"/>
      <c r="AK757" s="1152"/>
      <c r="AL757" s="1152"/>
      <c r="AM757" s="1152"/>
      <c r="AN757" s="1152"/>
      <c r="AO757" s="1152"/>
      <c r="AP757" s="1152"/>
      <c r="AQ757" s="1152"/>
      <c r="AR757" s="1152"/>
      <c r="AS757" s="1152"/>
      <c r="AT757" s="1152"/>
      <c r="AU757" s="1152"/>
      <c r="AV757" s="1152"/>
      <c r="AW757" s="1152"/>
      <c r="AX757" s="1152"/>
      <c r="AY757" s="1152"/>
      <c r="AZ757" s="1152"/>
      <c r="BA757" s="1152"/>
      <c r="BB757" s="1152"/>
      <c r="BC757" s="1152"/>
      <c r="BD757" s="1152"/>
    </row>
    <row r="758" spans="1:56" hidden="1" outlineLevel="1" x14ac:dyDescent="0.3">
      <c r="A758" s="1182"/>
      <c r="B758" s="1379"/>
      <c r="C758" s="1379"/>
      <c r="D758" s="1379"/>
      <c r="E758" s="1379"/>
      <c r="F758" s="1379"/>
      <c r="G758" s="1379"/>
      <c r="H758" s="1380"/>
      <c r="I758" s="455" t="s">
        <v>316</v>
      </c>
      <c r="J758" s="339">
        <f>_xlfn.IFNA(_xlfn.IFNA(VLOOKUP(pStartYear,tbPayrollTax,2,FALSE),vl_MaxPayrollTax),0)</f>
        <v>5.8500000000000003E-2</v>
      </c>
      <c r="K758" s="443">
        <f>J758*K757</f>
        <v>0</v>
      </c>
      <c r="L758" s="340">
        <f>_xlfn.IFNA(_xlfn.IFNA(VLOOKUP(pStartYear+1,tbPayrollTax,2,FALSE),vl_MaxPayrollTax),0)</f>
        <v>5.8500000000000003E-2</v>
      </c>
      <c r="M758" s="451">
        <f t="shared" ref="M758" si="3311">L758*M757</f>
        <v>0</v>
      </c>
      <c r="N758" s="339">
        <f>_xlfn.IFNA(_xlfn.IFNA(VLOOKUP(pStartYear+2,tbPayrollTax,2,FALSE),vl_MaxPayrollTax),0)</f>
        <v>5.8500000000000003E-2</v>
      </c>
      <c r="O758" s="443">
        <f>N758*O757</f>
        <v>0</v>
      </c>
      <c r="P758" s="340">
        <f>_xlfn.IFNA(_xlfn.IFNA(VLOOKUP(pStartYear+3,tbPayrollTax,2,FALSE),vl_MaxPayrollTax),0)</f>
        <v>5.8500000000000003E-2</v>
      </c>
      <c r="Q758" s="451">
        <f t="shared" ref="Q758" si="3312">P758*Q757</f>
        <v>0</v>
      </c>
      <c r="R758" s="339">
        <f>_xlfn.IFNA(_xlfn.IFNA(VLOOKUP(pStartYear+4,tbPayrollTax,2,FALSE),vl_MaxPayrollTax),0)</f>
        <v>5.8500000000000003E-2</v>
      </c>
      <c r="S758" s="443">
        <f>R758*S757</f>
        <v>0</v>
      </c>
      <c r="T758" s="340">
        <f>_xlfn.IFNA(_xlfn.IFNA(VLOOKUP(pStartYear+5,tbPayrollTax,2,FALSE),vl_MaxPayrollTax),0)</f>
        <v>5.8500000000000003E-2</v>
      </c>
      <c r="U758" s="451">
        <f t="shared" ref="U758" si="3313">T758*U757</f>
        <v>0</v>
      </c>
      <c r="V758" s="339">
        <f>_xlfn.IFNA(_xlfn.IFNA(VLOOKUP(pStartYear+6,tbPayrollTax,2,FALSE),vl_MaxPayrollTax),0)</f>
        <v>5.8500000000000003E-2</v>
      </c>
      <c r="W758" s="443">
        <f>V758*W757</f>
        <v>0</v>
      </c>
      <c r="X758" s="340">
        <f>_xlfn.IFNA(_xlfn.IFNA(VLOOKUP(pStartYear+7,tbPayrollTax,2,FALSE),vl_MaxPayrollTax),0)</f>
        <v>5.8500000000000003E-2</v>
      </c>
      <c r="Y758" s="451">
        <f t="shared" ref="Y758" si="3314">X758*Y757</f>
        <v>0</v>
      </c>
      <c r="Z758" s="339">
        <f>_xlfn.IFNA(_xlfn.IFNA(VLOOKUP(pStartYear+8,tbPayrollTax,2,FALSE),vl_MaxPayrollTax),0)</f>
        <v>5.8500000000000003E-2</v>
      </c>
      <c r="AA758" s="443">
        <f>Z758*AA757</f>
        <v>0</v>
      </c>
      <c r="AB758" s="340">
        <f>_xlfn.IFNA(_xlfn.IFNA(VLOOKUP(pStartYear+9,tbPayrollTax,2,FALSE),vl_MaxPayrollTax),0)</f>
        <v>5.8500000000000003E-2</v>
      </c>
      <c r="AC758" s="451">
        <f t="shared" ref="AC758" si="3315">AB758*AC757</f>
        <v>0</v>
      </c>
      <c r="AD758" s="335"/>
      <c r="AE758" s="1152"/>
      <c r="AF758" s="1152"/>
      <c r="AG758" s="1152"/>
      <c r="AH758" s="1152"/>
      <c r="AI758" s="1152"/>
      <c r="AJ758" s="1152"/>
      <c r="AK758" s="1152"/>
      <c r="AL758" s="1152"/>
      <c r="AM758" s="1152"/>
      <c r="AN758" s="1152"/>
      <c r="AO758" s="1152"/>
      <c r="AP758" s="1152"/>
      <c r="AQ758" s="1152"/>
      <c r="AR758" s="1152"/>
      <c r="AS758" s="1152"/>
      <c r="AT758" s="1152"/>
      <c r="AU758" s="1152"/>
      <c r="AV758" s="1152"/>
      <c r="AW758" s="1152"/>
      <c r="AX758" s="1152"/>
      <c r="AY758" s="1152"/>
      <c r="AZ758" s="1152"/>
      <c r="BA758" s="1152"/>
      <c r="BB758" s="1152"/>
      <c r="BC758" s="1152"/>
      <c r="BD758" s="1152"/>
    </row>
    <row r="759" spans="1:56" hidden="1" outlineLevel="1" x14ac:dyDescent="0.3">
      <c r="A759" s="1182"/>
      <c r="B759" s="1379"/>
      <c r="C759" s="1379"/>
      <c r="D759" s="1379"/>
      <c r="E759" s="1379"/>
      <c r="F759" s="1379"/>
      <c r="G759" s="1379"/>
      <c r="H759" s="1380"/>
      <c r="I759" s="455" t="s">
        <v>317</v>
      </c>
      <c r="J759" s="339">
        <f>_xlfn.IFNA(VLOOKUP($D753,tbWorkCover,2,FALSE),0)</f>
        <v>0</v>
      </c>
      <c r="K759" s="443">
        <f>J759*K757</f>
        <v>0</v>
      </c>
      <c r="L759" s="340">
        <f>_xlfn.IFNA(VLOOKUP($D753,tbWorkCover,2,FALSE),0)</f>
        <v>0</v>
      </c>
      <c r="M759" s="451">
        <f t="shared" ref="M759" si="3316">L759*M757</f>
        <v>0</v>
      </c>
      <c r="N759" s="339">
        <f>_xlfn.IFNA(VLOOKUP($D753,tbWorkCover,2,FALSE),0)</f>
        <v>0</v>
      </c>
      <c r="O759" s="443">
        <f>N759*O757</f>
        <v>0</v>
      </c>
      <c r="P759" s="340">
        <f>_xlfn.IFNA(VLOOKUP($D753,tbWorkCover,2,FALSE),0)</f>
        <v>0</v>
      </c>
      <c r="Q759" s="451">
        <f t="shared" ref="Q759" si="3317">P759*Q757</f>
        <v>0</v>
      </c>
      <c r="R759" s="339">
        <f>_xlfn.IFNA(VLOOKUP($D753,tbWorkCover,2,FALSE),0)</f>
        <v>0</v>
      </c>
      <c r="S759" s="443">
        <f>R759*S757</f>
        <v>0</v>
      </c>
      <c r="T759" s="340">
        <f>_xlfn.IFNA(VLOOKUP($D753,tbWorkCover,2,FALSE),0)</f>
        <v>0</v>
      </c>
      <c r="U759" s="451">
        <f t="shared" ref="U759" si="3318">T759*U757</f>
        <v>0</v>
      </c>
      <c r="V759" s="339">
        <f>_xlfn.IFNA(VLOOKUP($D753,tbWorkCover,2,FALSE),0)</f>
        <v>0</v>
      </c>
      <c r="W759" s="443">
        <f>V759*W757</f>
        <v>0</v>
      </c>
      <c r="X759" s="340">
        <f>_xlfn.IFNA(VLOOKUP($D753,tbWorkCover,2,FALSE),0)</f>
        <v>0</v>
      </c>
      <c r="Y759" s="451">
        <f t="shared" ref="Y759" si="3319">X759*Y757</f>
        <v>0</v>
      </c>
      <c r="Z759" s="339">
        <f>_xlfn.IFNA(VLOOKUP($D753,tbWorkCover,2,FALSE),0)</f>
        <v>0</v>
      </c>
      <c r="AA759" s="443">
        <f>Z759*AA757</f>
        <v>0</v>
      </c>
      <c r="AB759" s="340">
        <f>_xlfn.IFNA(VLOOKUP($D753,tbWorkCover,2,FALSE),0)</f>
        <v>0</v>
      </c>
      <c r="AC759" s="451">
        <f t="shared" ref="AC759" si="3320">AB759*AC757</f>
        <v>0</v>
      </c>
      <c r="AD759" s="335"/>
      <c r="AE759" s="1152"/>
      <c r="AF759" s="1152"/>
      <c r="AG759" s="1152"/>
      <c r="AH759" s="1152"/>
      <c r="AI759" s="1152"/>
      <c r="AJ759" s="1152"/>
      <c r="AK759" s="1152"/>
      <c r="AL759" s="1152"/>
      <c r="AM759" s="1152"/>
      <c r="AN759" s="1152"/>
      <c r="AO759" s="1152"/>
      <c r="AP759" s="1152"/>
      <c r="AQ759" s="1152"/>
      <c r="AR759" s="1152"/>
      <c r="AS759" s="1152"/>
      <c r="AT759" s="1152"/>
      <c r="AU759" s="1152"/>
      <c r="AV759" s="1152"/>
      <c r="AW759" s="1152"/>
      <c r="AX759" s="1152"/>
      <c r="AY759" s="1152"/>
      <c r="AZ759" s="1152"/>
      <c r="BA759" s="1152"/>
      <c r="BB759" s="1152"/>
      <c r="BC759" s="1152"/>
      <c r="BD759" s="1152"/>
    </row>
    <row r="760" spans="1:56" hidden="1" outlineLevel="1" x14ac:dyDescent="0.3">
      <c r="A760" s="1182"/>
      <c r="B760" s="1379"/>
      <c r="C760" s="1379"/>
      <c r="D760" s="1379"/>
      <c r="E760" s="1379"/>
      <c r="F760" s="1379"/>
      <c r="G760" s="1379"/>
      <c r="H760" s="1380"/>
      <c r="I760" s="455" t="s">
        <v>318</v>
      </c>
      <c r="J760" s="339">
        <f>_xlfn.IFNA(VLOOKUP($D753,tbLongServiceLeave,2,FALSE),0)</f>
        <v>0</v>
      </c>
      <c r="K760" s="443">
        <f>J760*K754</f>
        <v>0</v>
      </c>
      <c r="L760" s="340">
        <f>_xlfn.IFNA(VLOOKUP($D753,tbLongServiceLeave,2,FALSE),0)</f>
        <v>0</v>
      </c>
      <c r="M760" s="451">
        <f t="shared" ref="M760" si="3321">L760*M754</f>
        <v>0</v>
      </c>
      <c r="N760" s="339">
        <f>_xlfn.IFNA(VLOOKUP($D753,tbLongServiceLeave,2,FALSE),0)</f>
        <v>0</v>
      </c>
      <c r="O760" s="443">
        <f>N760*O754</f>
        <v>0</v>
      </c>
      <c r="P760" s="340">
        <f>_xlfn.IFNA(VLOOKUP($D753,tbLongServiceLeave,2,FALSE),0)</f>
        <v>0</v>
      </c>
      <c r="Q760" s="451">
        <f t="shared" ref="Q760" si="3322">P760*Q754</f>
        <v>0</v>
      </c>
      <c r="R760" s="339">
        <f>_xlfn.IFNA(VLOOKUP($D753,tbLongServiceLeave,2,FALSE),0)</f>
        <v>0</v>
      </c>
      <c r="S760" s="443">
        <f>R760*S754</f>
        <v>0</v>
      </c>
      <c r="T760" s="340">
        <f>_xlfn.IFNA(VLOOKUP($D753,tbLongServiceLeave,2,FALSE),0)</f>
        <v>0</v>
      </c>
      <c r="U760" s="451">
        <f t="shared" ref="U760" si="3323">T760*U754</f>
        <v>0</v>
      </c>
      <c r="V760" s="339">
        <f>_xlfn.IFNA(VLOOKUP($D753,tbLongServiceLeave,2,FALSE),0)</f>
        <v>0</v>
      </c>
      <c r="W760" s="443">
        <f>V760*W754</f>
        <v>0</v>
      </c>
      <c r="X760" s="340">
        <f>_xlfn.IFNA(VLOOKUP($D753,tbLongServiceLeave,2,FALSE),0)</f>
        <v>0</v>
      </c>
      <c r="Y760" s="451">
        <f t="shared" ref="Y760" si="3324">X760*Y754</f>
        <v>0</v>
      </c>
      <c r="Z760" s="339">
        <f>_xlfn.IFNA(VLOOKUP($D753,tbLongServiceLeave,2,FALSE),0)</f>
        <v>0</v>
      </c>
      <c r="AA760" s="443">
        <f>Z760*AA754</f>
        <v>0</v>
      </c>
      <c r="AB760" s="340">
        <f>_xlfn.IFNA(VLOOKUP($D753,tbLongServiceLeave,2,FALSE),0)</f>
        <v>0</v>
      </c>
      <c r="AC760" s="451">
        <f t="shared" ref="AC760" si="3325">AB760*AC754</f>
        <v>0</v>
      </c>
      <c r="AD760" s="335"/>
      <c r="AE760" s="1152"/>
      <c r="AF760" s="1152"/>
      <c r="AG760" s="1152"/>
      <c r="AH760" s="1152"/>
      <c r="AI760" s="1152"/>
      <c r="AJ760" s="1152"/>
      <c r="AK760" s="1152"/>
      <c r="AL760" s="1152"/>
      <c r="AM760" s="1152"/>
      <c r="AN760" s="1152"/>
      <c r="AO760" s="1152"/>
      <c r="AP760" s="1152"/>
      <c r="AQ760" s="1152"/>
      <c r="AR760" s="1152"/>
      <c r="AS760" s="1152"/>
      <c r="AT760" s="1152"/>
      <c r="AU760" s="1152"/>
      <c r="AV760" s="1152"/>
      <c r="AW760" s="1152"/>
      <c r="AX760" s="1152"/>
      <c r="AY760" s="1152"/>
      <c r="AZ760" s="1152"/>
      <c r="BA760" s="1152"/>
      <c r="BB760" s="1152"/>
      <c r="BC760" s="1152"/>
      <c r="BD760" s="1152"/>
    </row>
    <row r="761" spans="1:56" hidden="1" outlineLevel="1" x14ac:dyDescent="0.3">
      <c r="A761" s="1182"/>
      <c r="B761" s="1379"/>
      <c r="C761" s="1379"/>
      <c r="D761" s="1379"/>
      <c r="E761" s="1379"/>
      <c r="F761" s="1379"/>
      <c r="G761" s="1379"/>
      <c r="H761" s="1380"/>
      <c r="I761" s="455" t="s">
        <v>319</v>
      </c>
      <c r="J761" s="339">
        <f>_xlfn.IFNA(VLOOKUP($D753,tbParentalLeave,2,FALSE),0)</f>
        <v>0</v>
      </c>
      <c r="K761" s="443">
        <f>J761*K754</f>
        <v>0</v>
      </c>
      <c r="L761" s="340">
        <f>_xlfn.IFNA(VLOOKUP($D753,tbParentalLeave,2,FALSE),0)</f>
        <v>0</v>
      </c>
      <c r="M761" s="451">
        <f t="shared" ref="M761" si="3326">L761*M754</f>
        <v>0</v>
      </c>
      <c r="N761" s="339">
        <f>_xlfn.IFNA(VLOOKUP($D753,tbParentalLeave,2,FALSE),0)</f>
        <v>0</v>
      </c>
      <c r="O761" s="443">
        <f>N761*O754</f>
        <v>0</v>
      </c>
      <c r="P761" s="340">
        <f>_xlfn.IFNA(VLOOKUP($D753,tbParentalLeave,2,FALSE),0)</f>
        <v>0</v>
      </c>
      <c r="Q761" s="451">
        <f t="shared" ref="Q761" si="3327">P761*Q754</f>
        <v>0</v>
      </c>
      <c r="R761" s="339">
        <f>_xlfn.IFNA(VLOOKUP($D753,tbParentalLeave,2,FALSE),0)</f>
        <v>0</v>
      </c>
      <c r="S761" s="443">
        <f>R761*S754</f>
        <v>0</v>
      </c>
      <c r="T761" s="340">
        <f>_xlfn.IFNA(VLOOKUP($D753,tbParentalLeave,2,FALSE),0)</f>
        <v>0</v>
      </c>
      <c r="U761" s="451">
        <f t="shared" ref="U761" si="3328">T761*U754</f>
        <v>0</v>
      </c>
      <c r="V761" s="339">
        <f>_xlfn.IFNA(VLOOKUP($D753,tbParentalLeave,2,FALSE),0)</f>
        <v>0</v>
      </c>
      <c r="W761" s="443">
        <f>V761*W754</f>
        <v>0</v>
      </c>
      <c r="X761" s="340">
        <f>_xlfn.IFNA(VLOOKUP($D753,tbParentalLeave,2,FALSE),0)</f>
        <v>0</v>
      </c>
      <c r="Y761" s="451">
        <f t="shared" ref="Y761" si="3329">X761*Y754</f>
        <v>0</v>
      </c>
      <c r="Z761" s="339">
        <f>_xlfn.IFNA(VLOOKUP($D753,tbParentalLeave,2,FALSE),0)</f>
        <v>0</v>
      </c>
      <c r="AA761" s="443">
        <f>Z761*AA754</f>
        <v>0</v>
      </c>
      <c r="AB761" s="340">
        <f>_xlfn.IFNA(VLOOKUP($D753,tbParentalLeave,2,FALSE),0)</f>
        <v>0</v>
      </c>
      <c r="AC761" s="451">
        <f t="shared" ref="AC761" si="3330">AB761*AC754</f>
        <v>0</v>
      </c>
      <c r="AD761" s="335"/>
      <c r="AE761" s="1152"/>
      <c r="AF761" s="1152"/>
      <c r="AG761" s="1152"/>
      <c r="AH761" s="1152"/>
      <c r="AI761" s="1152"/>
      <c r="AJ761" s="1152"/>
      <c r="AK761" s="1152"/>
      <c r="AL761" s="1152"/>
      <c r="AM761" s="1152"/>
      <c r="AN761" s="1152"/>
      <c r="AO761" s="1152"/>
      <c r="AP761" s="1152"/>
      <c r="AQ761" s="1152"/>
      <c r="AR761" s="1152"/>
      <c r="AS761" s="1152"/>
      <c r="AT761" s="1152"/>
      <c r="AU761" s="1152"/>
      <c r="AV761" s="1152"/>
      <c r="AW761" s="1152"/>
      <c r="AX761" s="1152"/>
      <c r="AY761" s="1152"/>
      <c r="AZ761" s="1152"/>
      <c r="BA761" s="1152"/>
      <c r="BB761" s="1152"/>
      <c r="BC761" s="1152"/>
      <c r="BD761" s="1152"/>
    </row>
    <row r="762" spans="1:56" hidden="1" outlineLevel="1" x14ac:dyDescent="0.3">
      <c r="A762" s="1182"/>
      <c r="B762" s="1379"/>
      <c r="C762" s="1379"/>
      <c r="D762" s="1379"/>
      <c r="E762" s="1379"/>
      <c r="F762" s="1379"/>
      <c r="G762" s="1379"/>
      <c r="H762" s="1380"/>
      <c r="I762" s="437" t="s">
        <v>320</v>
      </c>
      <c r="J762" s="438">
        <f>vl_overridden_uom_oncosts_per</f>
        <v>0</v>
      </c>
      <c r="K762" s="445">
        <f>J762*K754</f>
        <v>0</v>
      </c>
      <c r="L762" s="438">
        <f>vl_overridden_uom_oncosts_per</f>
        <v>0</v>
      </c>
      <c r="M762" s="445">
        <f>L762*M754</f>
        <v>0</v>
      </c>
      <c r="N762" s="438">
        <f>vl_overridden_uom_oncosts_per</f>
        <v>0</v>
      </c>
      <c r="O762" s="445">
        <f t="shared" ref="O762" si="3331">N762*O754</f>
        <v>0</v>
      </c>
      <c r="P762" s="438">
        <f>vl_overridden_uom_oncosts_per</f>
        <v>0</v>
      </c>
      <c r="Q762" s="445">
        <f t="shared" ref="Q762" si="3332">P762*Q754</f>
        <v>0</v>
      </c>
      <c r="R762" s="438">
        <f>vl_overridden_uom_oncosts_per</f>
        <v>0</v>
      </c>
      <c r="S762" s="445">
        <f t="shared" ref="S762" si="3333">R762*S754</f>
        <v>0</v>
      </c>
      <c r="T762" s="438">
        <f>vl_overridden_uom_oncosts_per</f>
        <v>0</v>
      </c>
      <c r="U762" s="445">
        <f t="shared" ref="U762" si="3334">T762*U754</f>
        <v>0</v>
      </c>
      <c r="V762" s="438">
        <f>vl_overridden_uom_oncosts_per</f>
        <v>0</v>
      </c>
      <c r="W762" s="445">
        <f t="shared" ref="W762" si="3335">V762*W754</f>
        <v>0</v>
      </c>
      <c r="X762" s="438">
        <f>vl_overridden_uom_oncosts_per</f>
        <v>0</v>
      </c>
      <c r="Y762" s="445">
        <f t="shared" ref="Y762" si="3336">X762*Y754</f>
        <v>0</v>
      </c>
      <c r="Z762" s="438">
        <f>vl_overridden_uom_oncosts_per</f>
        <v>0</v>
      </c>
      <c r="AA762" s="445">
        <f t="shared" ref="AA762" si="3337">Z762*AA754</f>
        <v>0</v>
      </c>
      <c r="AB762" s="438">
        <f>vl_overridden_uom_oncosts_per</f>
        <v>0</v>
      </c>
      <c r="AC762" s="445">
        <f t="shared" ref="AC762" si="3338">AB762*AC754</f>
        <v>0</v>
      </c>
      <c r="AD762" s="335"/>
      <c r="AE762" s="1152"/>
      <c r="AF762" s="1152"/>
      <c r="AG762" s="1152"/>
      <c r="AH762" s="1152"/>
      <c r="AI762" s="1152"/>
      <c r="AJ762" s="1152"/>
      <c r="AK762" s="1152"/>
      <c r="AL762" s="1152"/>
      <c r="AM762" s="1152"/>
      <c r="AN762" s="1152"/>
      <c r="AO762" s="1152"/>
      <c r="AP762" s="1152"/>
      <c r="AQ762" s="1152"/>
      <c r="AR762" s="1152"/>
      <c r="AS762" s="1152"/>
      <c r="AT762" s="1152"/>
      <c r="AU762" s="1152"/>
      <c r="AV762" s="1152"/>
      <c r="AW762" s="1152"/>
      <c r="AX762" s="1152"/>
      <c r="AY762" s="1152"/>
      <c r="AZ762" s="1152"/>
      <c r="BA762" s="1152"/>
      <c r="BB762" s="1152"/>
      <c r="BC762" s="1152"/>
      <c r="BD762" s="1152"/>
    </row>
    <row r="763" spans="1:56" hidden="1" outlineLevel="1" x14ac:dyDescent="0.3">
      <c r="A763" s="1182"/>
      <c r="B763" s="1379"/>
      <c r="C763" s="1379"/>
      <c r="D763" s="1379"/>
      <c r="E763" s="1379"/>
      <c r="F763" s="1379"/>
      <c r="G763" s="1379"/>
      <c r="H763" s="1380"/>
      <c r="I763" s="341" t="s">
        <v>321</v>
      </c>
      <c r="J763" s="342"/>
      <c r="K763" s="444">
        <f>SUM(K757:K762)</f>
        <v>0</v>
      </c>
      <c r="L763" s="342"/>
      <c r="M763" s="444">
        <f t="shared" ref="M763" si="3339">SUM(M757:M762)</f>
        <v>0</v>
      </c>
      <c r="N763" s="342"/>
      <c r="O763" s="444">
        <f t="shared" ref="O763" si="3340">SUM(O757:O762)</f>
        <v>0</v>
      </c>
      <c r="P763" s="342"/>
      <c r="Q763" s="444">
        <f t="shared" ref="Q763" si="3341">SUM(Q757:Q762)</f>
        <v>0</v>
      </c>
      <c r="R763" s="342"/>
      <c r="S763" s="444">
        <f t="shared" ref="S763" si="3342">SUM(S757:S762)</f>
        <v>0</v>
      </c>
      <c r="T763" s="342"/>
      <c r="U763" s="444">
        <f t="shared" ref="U763" si="3343">SUM(U757:U762)</f>
        <v>0</v>
      </c>
      <c r="V763" s="342"/>
      <c r="W763" s="444">
        <f t="shared" ref="W763" si="3344">SUM(W757:W762)</f>
        <v>0</v>
      </c>
      <c r="X763" s="342"/>
      <c r="Y763" s="444">
        <f t="shared" ref="Y763" si="3345">SUM(Y757:Y762)</f>
        <v>0</v>
      </c>
      <c r="Z763" s="342"/>
      <c r="AA763" s="444">
        <f t="shared" ref="AA763" si="3346">SUM(AA757:AA762)</f>
        <v>0</v>
      </c>
      <c r="AB763" s="342"/>
      <c r="AC763" s="444">
        <f t="shared" ref="AC763" si="3347">SUM(AC757:AC762)</f>
        <v>0</v>
      </c>
      <c r="AD763" s="335">
        <f t="shared" si="3140"/>
        <v>0</v>
      </c>
      <c r="AE763" s="1152"/>
      <c r="AF763" s="1152"/>
      <c r="AG763" s="1152"/>
      <c r="AH763" s="1152"/>
      <c r="AI763" s="1152"/>
      <c r="AJ763" s="1152"/>
      <c r="AK763" s="1152"/>
      <c r="AL763" s="1152"/>
      <c r="AM763" s="1152"/>
      <c r="AN763" s="1152"/>
      <c r="AO763" s="1152"/>
      <c r="AP763" s="1152"/>
      <c r="AQ763" s="1152"/>
      <c r="AR763" s="1152"/>
      <c r="AS763" s="1152"/>
      <c r="AT763" s="1152"/>
      <c r="AU763" s="1152"/>
      <c r="AV763" s="1152"/>
      <c r="AW763" s="1152"/>
      <c r="AX763" s="1152"/>
      <c r="AY763" s="1152"/>
      <c r="AZ763" s="1152"/>
      <c r="BA763" s="1152"/>
      <c r="BB763" s="1152"/>
      <c r="BC763" s="1152"/>
      <c r="BD763" s="1152"/>
    </row>
    <row r="764" spans="1:56" hidden="1" outlineLevel="1" x14ac:dyDescent="0.3">
      <c r="A764" s="1182"/>
      <c r="B764" s="1379"/>
      <c r="C764" s="1379"/>
      <c r="D764" s="1379"/>
      <c r="E764" s="1379"/>
      <c r="F764" s="1379"/>
      <c r="G764" s="1379"/>
      <c r="H764" s="1380"/>
      <c r="I764" s="455" t="s">
        <v>322</v>
      </c>
      <c r="J764" s="339">
        <f>_xlfn.IFNA(VLOOKUP($D753,tbAnnualLeaveProvision,2,FALSE),0)</f>
        <v>0</v>
      </c>
      <c r="K764" s="443">
        <f>J764*K754</f>
        <v>0</v>
      </c>
      <c r="L764" s="340">
        <f>_xlfn.IFNA(VLOOKUP($D753,tbAnnualLeaveProvision,2,FALSE),0)</f>
        <v>0</v>
      </c>
      <c r="M764" s="451">
        <f t="shared" ref="M764" si="3348">L764*M754</f>
        <v>0</v>
      </c>
      <c r="N764" s="339">
        <f>_xlfn.IFNA(VLOOKUP($D753,tbAnnualLeaveProvision,2,FALSE),0)</f>
        <v>0</v>
      </c>
      <c r="O764" s="443">
        <f>N764*O754</f>
        <v>0</v>
      </c>
      <c r="P764" s="340">
        <f>_xlfn.IFNA(VLOOKUP($D753,tbAnnualLeaveProvision,2,FALSE),0)</f>
        <v>0</v>
      </c>
      <c r="Q764" s="451">
        <f t="shared" ref="Q764" si="3349">P764*Q754</f>
        <v>0</v>
      </c>
      <c r="R764" s="339">
        <f>_xlfn.IFNA(VLOOKUP($D753,tbAnnualLeaveProvision,2,FALSE),0)</f>
        <v>0</v>
      </c>
      <c r="S764" s="443">
        <f>R764*S754</f>
        <v>0</v>
      </c>
      <c r="T764" s="340">
        <f>_xlfn.IFNA(VLOOKUP($D753,tbAnnualLeaveProvision,2,FALSE),0)</f>
        <v>0</v>
      </c>
      <c r="U764" s="451">
        <f t="shared" ref="U764" si="3350">T764*U754</f>
        <v>0</v>
      </c>
      <c r="V764" s="339">
        <f>_xlfn.IFNA(VLOOKUP($D753,tbAnnualLeaveProvision,2,FALSE),0)</f>
        <v>0</v>
      </c>
      <c r="W764" s="443">
        <f>V764*W754</f>
        <v>0</v>
      </c>
      <c r="X764" s="340">
        <f>_xlfn.IFNA(VLOOKUP($D753,tbAnnualLeaveProvision,2,FALSE),0)</f>
        <v>0</v>
      </c>
      <c r="Y764" s="451">
        <f t="shared" ref="Y764" si="3351">X764*Y754</f>
        <v>0</v>
      </c>
      <c r="Z764" s="339">
        <f>_xlfn.IFNA(VLOOKUP($D753,tbAnnualLeaveProvision,2,FALSE),0)</f>
        <v>0</v>
      </c>
      <c r="AA764" s="443">
        <f>Z764*AA754</f>
        <v>0</v>
      </c>
      <c r="AB764" s="340">
        <f>_xlfn.IFNA(VLOOKUP($D753,tbAnnualLeaveProvision,2,FALSE),0)</f>
        <v>0</v>
      </c>
      <c r="AC764" s="451">
        <f t="shared" ref="AC764" si="3352">AB764*AC754</f>
        <v>0</v>
      </c>
      <c r="AD764" s="335"/>
      <c r="AE764" s="1152"/>
      <c r="AF764" s="1152"/>
      <c r="AG764" s="1152"/>
      <c r="AH764" s="1152"/>
      <c r="AI764" s="1152"/>
      <c r="AJ764" s="1152"/>
      <c r="AK764" s="1152"/>
      <c r="AL764" s="1152"/>
      <c r="AM764" s="1152"/>
      <c r="AN764" s="1152"/>
      <c r="AO764" s="1152"/>
      <c r="AP764" s="1152"/>
      <c r="AQ764" s="1152"/>
      <c r="AR764" s="1152"/>
      <c r="AS764" s="1152"/>
      <c r="AT764" s="1152"/>
      <c r="AU764" s="1152"/>
      <c r="AV764" s="1152"/>
      <c r="AW764" s="1152"/>
      <c r="AX764" s="1152"/>
      <c r="AY764" s="1152"/>
      <c r="AZ764" s="1152"/>
      <c r="BA764" s="1152"/>
      <c r="BB764" s="1152"/>
      <c r="BC764" s="1152"/>
      <c r="BD764" s="1152"/>
    </row>
    <row r="765" spans="1:56" hidden="1" outlineLevel="1" x14ac:dyDescent="0.3">
      <c r="A765" s="1182"/>
      <c r="B765" s="1379"/>
      <c r="C765" s="1379"/>
      <c r="D765" s="1379"/>
      <c r="E765" s="1379"/>
      <c r="F765" s="1379"/>
      <c r="G765" s="1379"/>
      <c r="H765" s="1380"/>
      <c r="I765" s="455" t="s">
        <v>330</v>
      </c>
      <c r="J765" s="339"/>
      <c r="K765" s="446">
        <f>K763+K764</f>
        <v>0</v>
      </c>
      <c r="L765" s="340"/>
      <c r="M765" s="452">
        <f t="shared" ref="M765" si="3353">M763+M764</f>
        <v>0</v>
      </c>
      <c r="N765" s="339"/>
      <c r="O765" s="446">
        <f>O763+O764</f>
        <v>0</v>
      </c>
      <c r="P765" s="340"/>
      <c r="Q765" s="452">
        <f t="shared" ref="Q765" si="3354">Q763+Q764</f>
        <v>0</v>
      </c>
      <c r="R765" s="339"/>
      <c r="S765" s="446">
        <f>S763+S764</f>
        <v>0</v>
      </c>
      <c r="T765" s="340"/>
      <c r="U765" s="452">
        <f t="shared" ref="U765" si="3355">U763+U764</f>
        <v>0</v>
      </c>
      <c r="V765" s="339"/>
      <c r="W765" s="446">
        <f>W763+W764</f>
        <v>0</v>
      </c>
      <c r="X765" s="340"/>
      <c r="Y765" s="452">
        <f t="shared" ref="Y765" si="3356">Y763+Y764</f>
        <v>0</v>
      </c>
      <c r="Z765" s="339"/>
      <c r="AA765" s="446">
        <f>AA763+AA764</f>
        <v>0</v>
      </c>
      <c r="AB765" s="340"/>
      <c r="AC765" s="452">
        <f t="shared" ref="AC765" si="3357">AC763+AC764</f>
        <v>0</v>
      </c>
      <c r="AD765" s="335"/>
      <c r="AE765" s="1152"/>
      <c r="AF765" s="1152"/>
      <c r="AG765" s="1152"/>
      <c r="AH765" s="1152"/>
      <c r="AI765" s="1152"/>
      <c r="AJ765" s="1152"/>
      <c r="AK765" s="1152"/>
      <c r="AL765" s="1152"/>
      <c r="AM765" s="1152"/>
      <c r="AN765" s="1152"/>
      <c r="AO765" s="1152"/>
      <c r="AP765" s="1152"/>
      <c r="AQ765" s="1152"/>
      <c r="AR765" s="1152"/>
      <c r="AS765" s="1152"/>
      <c r="AT765" s="1152"/>
      <c r="AU765" s="1152"/>
      <c r="AV765" s="1152"/>
      <c r="AW765" s="1152"/>
      <c r="AX765" s="1152"/>
      <c r="AY765" s="1152"/>
      <c r="AZ765" s="1152"/>
      <c r="BA765" s="1152"/>
      <c r="BB765" s="1152"/>
      <c r="BC765" s="1152"/>
      <c r="BD765" s="1152"/>
    </row>
    <row r="766" spans="1:56" hidden="1" outlineLevel="1" x14ac:dyDescent="0.3">
      <c r="A766" s="1182"/>
      <c r="B766" s="1379"/>
      <c r="C766" s="1379"/>
      <c r="D766" s="1379"/>
      <c r="E766" s="1379"/>
      <c r="F766" s="1379"/>
      <c r="G766" s="1379"/>
      <c r="H766" s="1380"/>
      <c r="I766" s="462" t="s">
        <v>324</v>
      </c>
      <c r="J766" s="344"/>
      <c r="K766" s="443">
        <f>-(K763/vl_working_days_per_year)*J766</f>
        <v>0</v>
      </c>
      <c r="L766" s="345"/>
      <c r="M766" s="451">
        <f>-(M763/vl_working_days_per_year)*L766</f>
        <v>0</v>
      </c>
      <c r="N766" s="344"/>
      <c r="O766" s="443">
        <f>-(O763/vl_working_days_per_year)*N766</f>
        <v>0</v>
      </c>
      <c r="P766" s="345"/>
      <c r="Q766" s="451">
        <f>-(Q763/vl_working_days_per_year)*P766</f>
        <v>0</v>
      </c>
      <c r="R766" s="344"/>
      <c r="S766" s="443">
        <f>-(S763/vl_working_days_per_year)*R766</f>
        <v>0</v>
      </c>
      <c r="T766" s="345"/>
      <c r="U766" s="451">
        <f>-(U763/vl_working_days_per_year)*T766</f>
        <v>0</v>
      </c>
      <c r="V766" s="344"/>
      <c r="W766" s="443">
        <f>-(W763/vl_working_days_per_year)*V766</f>
        <v>0</v>
      </c>
      <c r="X766" s="345"/>
      <c r="Y766" s="451">
        <f>-(Y763/vl_working_days_per_year)*X766</f>
        <v>0</v>
      </c>
      <c r="Z766" s="344"/>
      <c r="AA766" s="443">
        <f>-(AA763/vl_working_days_per_year)*Z766</f>
        <v>0</v>
      </c>
      <c r="AB766" s="345"/>
      <c r="AC766" s="451">
        <f>-(AC763/vl_working_days_per_year)*AB766</f>
        <v>0</v>
      </c>
      <c r="AD766" s="335">
        <f t="shared" si="3140"/>
        <v>0</v>
      </c>
      <c r="AE766" s="1152"/>
      <c r="AF766" s="1152"/>
      <c r="AG766" s="1152"/>
      <c r="AH766" s="1152"/>
      <c r="AI766" s="1152"/>
      <c r="AJ766" s="1152"/>
      <c r="AK766" s="1152"/>
      <c r="AL766" s="1152"/>
      <c r="AM766" s="1152"/>
      <c r="AN766" s="1152"/>
      <c r="AO766" s="1152"/>
      <c r="AP766" s="1152"/>
      <c r="AQ766" s="1152"/>
      <c r="AR766" s="1152"/>
      <c r="AS766" s="1152"/>
      <c r="AT766" s="1152"/>
      <c r="AU766" s="1152"/>
      <c r="AV766" s="1152"/>
      <c r="AW766" s="1152"/>
      <c r="AX766" s="1152"/>
      <c r="AY766" s="1152"/>
      <c r="AZ766" s="1152"/>
      <c r="BA766" s="1152"/>
      <c r="BB766" s="1152"/>
      <c r="BC766" s="1152"/>
      <c r="BD766" s="1152"/>
    </row>
    <row r="767" spans="1:56" hidden="1" outlineLevel="1" x14ac:dyDescent="0.3">
      <c r="A767" s="1182"/>
      <c r="B767" s="1379"/>
      <c r="C767" s="1379"/>
      <c r="D767" s="1379"/>
      <c r="E767" s="1379"/>
      <c r="F767" s="1379"/>
      <c r="G767" s="1379"/>
      <c r="H767" s="1380"/>
      <c r="I767" s="341" t="s">
        <v>325</v>
      </c>
      <c r="J767" s="346"/>
      <c r="K767" s="444">
        <f>K765+K766</f>
        <v>0</v>
      </c>
      <c r="L767" s="346"/>
      <c r="M767" s="444">
        <f t="shared" ref="M767" si="3358">M765+M766</f>
        <v>0</v>
      </c>
      <c r="N767" s="346"/>
      <c r="O767" s="444">
        <f>O765+O766</f>
        <v>0</v>
      </c>
      <c r="P767" s="346"/>
      <c r="Q767" s="444">
        <f t="shared" ref="Q767" si="3359">Q765+Q766</f>
        <v>0</v>
      </c>
      <c r="R767" s="346"/>
      <c r="S767" s="444">
        <f>S765+S766</f>
        <v>0</v>
      </c>
      <c r="T767" s="346"/>
      <c r="U767" s="444">
        <f t="shared" ref="U767" si="3360">U765+U766</f>
        <v>0</v>
      </c>
      <c r="V767" s="346"/>
      <c r="W767" s="444">
        <f>W765+W766</f>
        <v>0</v>
      </c>
      <c r="X767" s="346"/>
      <c r="Y767" s="444">
        <f t="shared" ref="Y767" si="3361">Y765+Y766</f>
        <v>0</v>
      </c>
      <c r="Z767" s="346"/>
      <c r="AA767" s="444">
        <f>AA765+AA766</f>
        <v>0</v>
      </c>
      <c r="AB767" s="346"/>
      <c r="AC767" s="444">
        <f t="shared" ref="AC767" si="3362">AC765+AC766</f>
        <v>0</v>
      </c>
      <c r="AD767" s="335">
        <f t="shared" si="3140"/>
        <v>0</v>
      </c>
      <c r="AE767" s="1152"/>
      <c r="AF767" s="1152"/>
      <c r="AG767" s="1152"/>
      <c r="AH767" s="1152"/>
      <c r="AI767" s="1152"/>
      <c r="AJ767" s="1152"/>
      <c r="AK767" s="1152"/>
      <c r="AL767" s="1152"/>
      <c r="AM767" s="1152"/>
      <c r="AN767" s="1152"/>
      <c r="AO767" s="1152"/>
      <c r="AP767" s="1152"/>
      <c r="AQ767" s="1152"/>
      <c r="AR767" s="1152"/>
      <c r="AS767" s="1152"/>
      <c r="AT767" s="1152"/>
      <c r="AU767" s="1152"/>
      <c r="AV767" s="1152"/>
      <c r="AW767" s="1152"/>
      <c r="AX767" s="1152"/>
      <c r="AY767" s="1152"/>
      <c r="AZ767" s="1152"/>
      <c r="BA767" s="1152"/>
      <c r="BB767" s="1152"/>
      <c r="BC767" s="1152"/>
      <c r="BD767" s="1152"/>
    </row>
    <row r="768" spans="1:56" s="1" customFormat="1" ht="15" hidden="1" customHeight="1" outlineLevel="1" x14ac:dyDescent="0.3">
      <c r="A768" s="727"/>
      <c r="B768" s="1379"/>
      <c r="C768" s="1379"/>
      <c r="D768" s="1379"/>
      <c r="E768" s="1379"/>
      <c r="F768" s="1379"/>
      <c r="G768" s="1379"/>
      <c r="H768" s="1380"/>
      <c r="I768" s="463" t="s">
        <v>326</v>
      </c>
      <c r="J768" s="383">
        <f>IFERROR(K768/K754,0)</f>
        <v>0</v>
      </c>
      <c r="K768" s="447">
        <f>SUM(K755:K756,K758:K761,K764)</f>
        <v>0</v>
      </c>
      <c r="L768" s="434">
        <f>IFERROR(M768/M754,0)</f>
        <v>0</v>
      </c>
      <c r="M768" s="453">
        <f t="shared" ref="M768" si="3363">SUM(M755:M756,M758:M761,M764)</f>
        <v>0</v>
      </c>
      <c r="N768" s="383">
        <f t="shared" ref="N768" si="3364">IFERROR(O768/O754,0)</f>
        <v>0</v>
      </c>
      <c r="O768" s="447">
        <f t="shared" ref="O768" si="3365">SUM(O755:O756,O758:O761,O764)</f>
        <v>0</v>
      </c>
      <c r="P768" s="434">
        <f t="shared" ref="P768" si="3366">IFERROR(Q768/Q754,0)</f>
        <v>0</v>
      </c>
      <c r="Q768" s="453">
        <f t="shared" ref="Q768" si="3367">SUM(Q755:Q756,Q758:Q761,Q764)</f>
        <v>0</v>
      </c>
      <c r="R768" s="383">
        <f t="shared" ref="R768" si="3368">IFERROR(S768/S754,0)</f>
        <v>0</v>
      </c>
      <c r="S768" s="447">
        <f t="shared" ref="S768" si="3369">SUM(S755:S756,S758:S761,S764)</f>
        <v>0</v>
      </c>
      <c r="T768" s="434">
        <f t="shared" ref="T768" si="3370">IFERROR(U768/U754,0)</f>
        <v>0</v>
      </c>
      <c r="U768" s="453">
        <f t="shared" ref="U768" si="3371">SUM(U755:U756,U758:U761,U764)</f>
        <v>0</v>
      </c>
      <c r="V768" s="383">
        <f t="shared" ref="V768" si="3372">IFERROR(W768/W754,0)</f>
        <v>0</v>
      </c>
      <c r="W768" s="447">
        <f t="shared" ref="W768" si="3373">SUM(W755:W756,W758:W761,W764)</f>
        <v>0</v>
      </c>
      <c r="X768" s="434">
        <f t="shared" ref="X768" si="3374">IFERROR(Y768/Y754,0)</f>
        <v>0</v>
      </c>
      <c r="Y768" s="453">
        <f t="shared" ref="Y768" si="3375">SUM(Y755:Y756,Y758:Y761,Y764)</f>
        <v>0</v>
      </c>
      <c r="Z768" s="383">
        <f t="shared" ref="Z768" si="3376">IFERROR(AA768/AA754,0)</f>
        <v>0</v>
      </c>
      <c r="AA768" s="447">
        <f t="shared" ref="AA768" si="3377">SUM(AA755:AA756,AA758:AA761,AA764)</f>
        <v>0</v>
      </c>
      <c r="AB768" s="434">
        <f t="shared" ref="AB768" si="3378">IFERROR(AC768/AC754,0)</f>
        <v>0</v>
      </c>
      <c r="AC768" s="453">
        <f t="shared" ref="AC768" si="3379">SUM(AC755:AC756,AC758:AC761,AC764)</f>
        <v>0</v>
      </c>
      <c r="AD768" s="377">
        <f t="shared" si="3140"/>
        <v>0</v>
      </c>
      <c r="AE768" s="14"/>
      <c r="AF768" s="14"/>
      <c r="AG768" s="14"/>
      <c r="AH768" s="14"/>
      <c r="AI768" s="14"/>
      <c r="AJ768" s="14"/>
      <c r="AK768" s="14"/>
      <c r="AL768" s="14"/>
      <c r="AM768" s="14"/>
      <c r="AN768" s="14"/>
      <c r="AO768" s="14"/>
      <c r="AP768" s="14"/>
      <c r="AQ768" s="14"/>
      <c r="AR768" s="14"/>
      <c r="AS768" s="14"/>
      <c r="AT768" s="14"/>
      <c r="AU768" s="14"/>
      <c r="AV768" s="14"/>
      <c r="AW768" s="14"/>
      <c r="AX768" s="14"/>
      <c r="AY768" s="14"/>
      <c r="AZ768" s="14"/>
      <c r="BA768" s="14"/>
      <c r="BB768" s="14"/>
      <c r="BC768" s="14"/>
      <c r="BD768" s="14"/>
    </row>
    <row r="769" spans="1:30" hidden="1" outlineLevel="1" x14ac:dyDescent="0.3">
      <c r="A769" s="1182"/>
      <c r="B769" s="1379"/>
      <c r="C769" s="1379"/>
      <c r="D769" s="1379"/>
      <c r="E769" s="1379"/>
      <c r="F769" s="1379"/>
      <c r="G769" s="1379"/>
      <c r="H769" s="1380"/>
      <c r="I769" s="463" t="s">
        <v>327</v>
      </c>
      <c r="J769" s="384">
        <f>pCRInKind</f>
        <v>2.5</v>
      </c>
      <c r="K769" s="447"/>
      <c r="L769" s="435">
        <f>pCRInKind</f>
        <v>2.5</v>
      </c>
      <c r="M769" s="453"/>
      <c r="N769" s="384">
        <f>pCRInKind</f>
        <v>2.5</v>
      </c>
      <c r="O769" s="447"/>
      <c r="P769" s="435">
        <f>pCRInKind</f>
        <v>2.5</v>
      </c>
      <c r="Q769" s="453"/>
      <c r="R769" s="384">
        <f>pCRInKind</f>
        <v>2.5</v>
      </c>
      <c r="S769" s="447"/>
      <c r="T769" s="435">
        <f>pCRInKind</f>
        <v>2.5</v>
      </c>
      <c r="U769" s="453"/>
      <c r="V769" s="384">
        <f>pCRInKind</f>
        <v>2.5</v>
      </c>
      <c r="W769" s="447"/>
      <c r="X769" s="435">
        <f>pCRInKind</f>
        <v>2.5</v>
      </c>
      <c r="Y769" s="453"/>
      <c r="Z769" s="384">
        <f>pCRInKind</f>
        <v>2.5</v>
      </c>
      <c r="AA769" s="447"/>
      <c r="AB769" s="435">
        <f>pCRInKind</f>
        <v>2.5</v>
      </c>
      <c r="AC769" s="453"/>
      <c r="AD769" s="335"/>
    </row>
    <row r="770" spans="1:30" ht="16.2" hidden="1" outlineLevel="1" thickBot="1" x14ac:dyDescent="0.35">
      <c r="A770" s="1182"/>
      <c r="B770" s="710"/>
      <c r="C770" s="347"/>
      <c r="D770" s="347"/>
      <c r="E770" s="347"/>
      <c r="F770" s="347"/>
      <c r="G770" s="347"/>
      <c r="H770" s="347"/>
      <c r="I770" s="436" t="s">
        <v>329</v>
      </c>
      <c r="J770" s="348"/>
      <c r="K770" s="349">
        <f>J769*K765</f>
        <v>0</v>
      </c>
      <c r="L770" s="348"/>
      <c r="M770" s="349">
        <f t="shared" ref="M770" si="3380">L769*M765</f>
        <v>0</v>
      </c>
      <c r="N770" s="348"/>
      <c r="O770" s="349">
        <f>N769*O765</f>
        <v>0</v>
      </c>
      <c r="P770" s="348"/>
      <c r="Q770" s="349">
        <f t="shared" ref="Q770" si="3381">P769*Q765</f>
        <v>0</v>
      </c>
      <c r="R770" s="348"/>
      <c r="S770" s="349">
        <f>R769*S765</f>
        <v>0</v>
      </c>
      <c r="T770" s="348"/>
      <c r="U770" s="349">
        <f t="shared" ref="U770" si="3382">T769*U765</f>
        <v>0</v>
      </c>
      <c r="V770" s="348"/>
      <c r="W770" s="349">
        <f>V769*W765</f>
        <v>0</v>
      </c>
      <c r="X770" s="348"/>
      <c r="Y770" s="349">
        <f t="shared" ref="Y770" si="3383">X769*Y765</f>
        <v>0</v>
      </c>
      <c r="Z770" s="348"/>
      <c r="AA770" s="349">
        <f>Z769*AA765</f>
        <v>0</v>
      </c>
      <c r="AB770" s="348"/>
      <c r="AC770" s="349">
        <f t="shared" ref="AC770" si="3384">AB769*AC765</f>
        <v>0</v>
      </c>
      <c r="AD770" s="335">
        <f t="shared" si="3140"/>
        <v>0</v>
      </c>
    </row>
    <row r="771" spans="1:30" ht="15" hidden="1" outlineLevel="1" thickBot="1" x14ac:dyDescent="0.35">
      <c r="A771" s="1182"/>
      <c r="B771" s="1181"/>
      <c r="C771" s="1181"/>
      <c r="D771" s="1181"/>
      <c r="E771" s="1181"/>
      <c r="F771" s="1181"/>
      <c r="G771" s="1181"/>
      <c r="H771" s="1181"/>
      <c r="I771" s="350"/>
      <c r="J771" s="351"/>
      <c r="K771" s="351"/>
      <c r="L771" s="351"/>
      <c r="M771" s="352"/>
      <c r="N771" s="351"/>
      <c r="O771" s="352"/>
      <c r="P771" s="351"/>
      <c r="Q771" s="352"/>
      <c r="R771" s="351"/>
      <c r="S771" s="352"/>
      <c r="T771" s="351"/>
      <c r="U771" s="352"/>
      <c r="V771" s="351"/>
      <c r="W771" s="352"/>
      <c r="X771" s="351"/>
      <c r="Y771" s="352"/>
      <c r="Z771" s="351"/>
      <c r="AA771" s="352"/>
      <c r="AB771" s="351"/>
      <c r="AC771" s="352"/>
      <c r="AD771" s="353" t="str">
        <f>IF(tbBudgetCurrency="AUD - Australian Dollar","",IFERROR(K771+M771+O771+Q771+S771+U771+W771+Y771+AA771+AC771,0))</f>
        <v/>
      </c>
    </row>
    <row r="772" spans="1:30" collapsed="1" x14ac:dyDescent="0.3">
      <c r="A772" s="1182"/>
      <c r="B772" s="1152"/>
      <c r="C772" s="1152"/>
      <c r="D772" s="1152"/>
      <c r="E772" s="1152"/>
      <c r="F772" s="1152"/>
      <c r="G772" s="1152"/>
      <c r="H772" s="1152"/>
      <c r="I772" s="1152"/>
      <c r="J772" s="1152"/>
      <c r="K772" s="1152"/>
      <c r="L772" s="1152"/>
      <c r="M772" s="1152"/>
      <c r="N772" s="1152"/>
      <c r="O772" s="1152"/>
      <c r="P772" s="1152"/>
      <c r="Q772" s="1152"/>
      <c r="R772" s="1152"/>
      <c r="S772" s="1152"/>
      <c r="T772" s="1152"/>
      <c r="U772" s="1152"/>
      <c r="V772" s="1152"/>
      <c r="W772" s="1152"/>
      <c r="X772" s="1152"/>
      <c r="Y772" s="1152"/>
      <c r="Z772" s="1152"/>
      <c r="AA772" s="1152"/>
      <c r="AB772" s="1152"/>
      <c r="AC772" s="1152"/>
      <c r="AD772" s="1152"/>
    </row>
    <row r="773" spans="1:30" x14ac:dyDescent="0.3">
      <c r="A773" s="1182"/>
      <c r="B773" s="1152"/>
      <c r="C773" s="1152"/>
      <c r="D773" s="1152"/>
      <c r="E773" s="1152"/>
      <c r="F773" s="1152"/>
      <c r="G773" s="1152"/>
      <c r="H773" s="1152"/>
      <c r="I773" s="1152"/>
      <c r="J773" s="1152"/>
      <c r="K773" s="1152"/>
      <c r="L773" s="1152"/>
      <c r="M773" s="1152"/>
      <c r="N773" s="1152"/>
      <c r="O773" s="1152"/>
      <c r="P773" s="1152"/>
      <c r="Q773" s="1152"/>
      <c r="R773" s="1152"/>
      <c r="S773" s="1152"/>
      <c r="T773" s="1152"/>
      <c r="U773" s="1152"/>
      <c r="V773" s="1152"/>
      <c r="W773" s="1152"/>
      <c r="X773" s="1152"/>
      <c r="Y773" s="1152"/>
      <c r="Z773" s="1152"/>
      <c r="AA773" s="1152"/>
      <c r="AB773" s="1152"/>
      <c r="AC773" s="1152"/>
      <c r="AD773" s="1152"/>
    </row>
    <row r="774" spans="1:30" x14ac:dyDescent="0.3">
      <c r="A774" s="1182"/>
      <c r="B774" s="1152"/>
      <c r="C774" s="1152"/>
      <c r="D774" s="1152"/>
      <c r="E774" s="1152"/>
      <c r="F774" s="1152"/>
      <c r="G774" s="1152"/>
      <c r="H774" s="1152"/>
      <c r="I774" s="1152"/>
      <c r="J774" s="1152"/>
      <c r="K774" s="1152"/>
      <c r="L774" s="1152"/>
      <c r="M774" s="1152"/>
      <c r="N774" s="1152"/>
      <c r="O774" s="1152"/>
      <c r="P774" s="1152"/>
      <c r="Q774" s="1152"/>
      <c r="R774" s="1152"/>
      <c r="S774" s="1152"/>
      <c r="T774" s="1152"/>
      <c r="U774" s="1152"/>
      <c r="V774" s="1152"/>
      <c r="W774" s="1152"/>
      <c r="X774" s="1152"/>
      <c r="Y774" s="1152"/>
      <c r="Z774" s="1152"/>
      <c r="AA774" s="1152"/>
      <c r="AB774" s="1152"/>
      <c r="AC774" s="1152"/>
      <c r="AD774" s="1152"/>
    </row>
    <row r="775" spans="1:30" x14ac:dyDescent="0.3">
      <c r="A775" s="1182"/>
      <c r="B775" s="1152"/>
      <c r="C775" s="1152"/>
      <c r="D775" s="1152"/>
      <c r="E775" s="1152"/>
      <c r="F775" s="1152"/>
      <c r="G775" s="1152"/>
      <c r="H775" s="1152"/>
      <c r="I775" s="1152"/>
      <c r="J775" s="1152"/>
      <c r="K775" s="1152"/>
      <c r="L775" s="1152"/>
      <c r="M775" s="1152"/>
      <c r="N775" s="1152"/>
      <c r="O775" s="1152"/>
      <c r="P775" s="1152"/>
      <c r="Q775" s="1152"/>
      <c r="R775" s="1152"/>
      <c r="S775" s="1152"/>
      <c r="T775" s="1152"/>
      <c r="U775" s="1152"/>
      <c r="V775" s="1152"/>
      <c r="W775" s="1152"/>
      <c r="X775" s="1152"/>
      <c r="Y775" s="1152"/>
      <c r="Z775" s="1152"/>
      <c r="AA775" s="1152"/>
      <c r="AB775" s="1152"/>
      <c r="AC775" s="1152"/>
      <c r="AD775" s="1152"/>
    </row>
    <row r="776" spans="1:30" x14ac:dyDescent="0.3">
      <c r="A776" s="1182"/>
      <c r="B776" s="1152"/>
      <c r="C776" s="1152"/>
      <c r="D776" s="1152"/>
      <c r="E776" s="1152"/>
      <c r="F776" s="1152"/>
      <c r="G776" s="1152"/>
      <c r="H776" s="1152"/>
      <c r="I776" s="1152"/>
      <c r="J776" s="1152"/>
      <c r="K776" s="1152"/>
      <c r="L776" s="1152"/>
      <c r="M776" s="1152"/>
      <c r="N776" s="1152"/>
      <c r="O776" s="1152"/>
      <c r="P776" s="1152"/>
      <c r="Q776" s="1152"/>
      <c r="R776" s="1152"/>
      <c r="S776" s="1152"/>
      <c r="T776" s="1152"/>
      <c r="U776" s="1152"/>
      <c r="V776" s="1152"/>
      <c r="W776" s="1152"/>
      <c r="X776" s="1152"/>
      <c r="Y776" s="1152"/>
      <c r="Z776" s="1152"/>
      <c r="AA776" s="1152"/>
      <c r="AB776" s="1152"/>
      <c r="AC776" s="1152"/>
      <c r="AD776" s="1152"/>
    </row>
    <row r="777" spans="1:30" x14ac:dyDescent="0.3">
      <c r="A777" s="1182"/>
      <c r="B777" s="1152"/>
      <c r="C777" s="1152"/>
      <c r="D777" s="1152"/>
      <c r="E777" s="1152"/>
      <c r="F777" s="1152"/>
      <c r="G777" s="1152"/>
      <c r="H777" s="1152"/>
      <c r="I777" s="1152"/>
      <c r="J777" s="1152"/>
      <c r="K777" s="1152"/>
      <c r="L777" s="1152"/>
      <c r="M777" s="1152"/>
      <c r="N777" s="1152"/>
      <c r="O777" s="1152"/>
      <c r="P777" s="1152"/>
      <c r="Q777" s="1152"/>
      <c r="R777" s="1152"/>
      <c r="S777" s="1152"/>
      <c r="T777" s="1152"/>
      <c r="U777" s="1152"/>
      <c r="V777" s="1152"/>
      <c r="W777" s="1152"/>
      <c r="X777" s="1152"/>
      <c r="Y777" s="1152"/>
      <c r="Z777" s="1152"/>
      <c r="AA777" s="1152"/>
      <c r="AB777" s="1152"/>
      <c r="AC777" s="1152"/>
      <c r="AD777" s="1152"/>
    </row>
    <row r="778" spans="1:30" x14ac:dyDescent="0.3">
      <c r="A778" s="1182"/>
      <c r="B778" s="1152"/>
      <c r="C778" s="1152"/>
      <c r="D778" s="1152"/>
      <c r="E778" s="1152"/>
      <c r="F778" s="1152"/>
      <c r="G778" s="1152"/>
      <c r="H778" s="1152"/>
      <c r="I778" s="1152"/>
      <c r="J778" s="1152"/>
      <c r="K778" s="1152"/>
      <c r="L778" s="1152"/>
      <c r="M778" s="1152"/>
      <c r="N778" s="1152"/>
      <c r="O778" s="1152"/>
      <c r="P778" s="1152"/>
      <c r="Q778" s="1152"/>
      <c r="R778" s="1152"/>
      <c r="S778" s="1152"/>
      <c r="T778" s="1152"/>
      <c r="U778" s="1152"/>
      <c r="V778" s="1152"/>
      <c r="W778" s="1152"/>
      <c r="X778" s="1152"/>
      <c r="Y778" s="1152"/>
      <c r="Z778" s="1152"/>
      <c r="AA778" s="1152"/>
      <c r="AB778" s="1152"/>
      <c r="AC778" s="1152"/>
      <c r="AD778" s="1152"/>
    </row>
    <row r="779" spans="1:30" x14ac:dyDescent="0.3">
      <c r="A779" s="1182"/>
      <c r="B779" s="1152"/>
      <c r="C779" s="1152"/>
      <c r="D779" s="1152"/>
      <c r="E779" s="1152"/>
      <c r="F779" s="1152"/>
      <c r="G779" s="1152"/>
      <c r="H779" s="1152"/>
      <c r="I779" s="1152"/>
      <c r="J779" s="1152"/>
      <c r="K779" s="1152"/>
      <c r="L779" s="1152"/>
      <c r="M779" s="1152"/>
      <c r="N779" s="1152"/>
      <c r="O779" s="1152"/>
      <c r="P779" s="1152"/>
      <c r="Q779" s="1152"/>
      <c r="R779" s="1152"/>
      <c r="S779" s="1152"/>
      <c r="T779" s="1152"/>
      <c r="U779" s="1152"/>
      <c r="V779" s="1152"/>
      <c r="W779" s="1152"/>
      <c r="X779" s="1152"/>
      <c r="Y779" s="1152"/>
      <c r="Z779" s="1152"/>
      <c r="AA779" s="1152"/>
      <c r="AB779" s="1152"/>
      <c r="AC779" s="1152"/>
      <c r="AD779" s="1152"/>
    </row>
    <row r="780" spans="1:30" x14ac:dyDescent="0.3">
      <c r="A780" s="1182"/>
      <c r="B780" s="1152"/>
      <c r="C780" s="1152"/>
      <c r="D780" s="1152"/>
      <c r="E780" s="1152"/>
      <c r="F780" s="1152"/>
      <c r="G780" s="1152"/>
      <c r="H780" s="1152"/>
      <c r="I780" s="1152"/>
      <c r="J780" s="1152"/>
      <c r="K780" s="1152"/>
      <c r="L780" s="1152"/>
      <c r="M780" s="1152"/>
      <c r="N780" s="1152"/>
      <c r="O780" s="1152"/>
      <c r="P780" s="1152"/>
      <c r="Q780" s="1152"/>
      <c r="R780" s="1152"/>
      <c r="S780" s="1152"/>
      <c r="T780" s="1152"/>
      <c r="U780" s="1152"/>
      <c r="V780" s="1152"/>
      <c r="W780" s="1152"/>
      <c r="X780" s="1152"/>
      <c r="Y780" s="1152"/>
      <c r="Z780" s="1152"/>
      <c r="AA780" s="1152"/>
      <c r="AB780" s="1152"/>
      <c r="AC780" s="1152"/>
      <c r="AD780" s="1152"/>
    </row>
    <row r="781" spans="1:30" x14ac:dyDescent="0.3">
      <c r="A781" s="1182"/>
      <c r="B781" s="1152"/>
      <c r="C781" s="1152"/>
      <c r="D781" s="1152"/>
      <c r="E781" s="1152"/>
      <c r="F781" s="1152"/>
      <c r="G781" s="1152"/>
      <c r="H781" s="1152"/>
      <c r="I781" s="1152"/>
      <c r="J781" s="1152"/>
      <c r="K781" s="1152"/>
      <c r="L781" s="1152"/>
      <c r="M781" s="1152"/>
      <c r="N781" s="1152"/>
      <c r="O781" s="1152"/>
      <c r="P781" s="1152"/>
      <c r="Q781" s="1152"/>
      <c r="R781" s="1152"/>
      <c r="S781" s="1152"/>
      <c r="T781" s="1152"/>
      <c r="U781" s="1152"/>
      <c r="V781" s="1152"/>
      <c r="W781" s="1152"/>
      <c r="X781" s="1152"/>
      <c r="Y781" s="1152"/>
      <c r="Z781" s="1152"/>
      <c r="AA781" s="1152"/>
      <c r="AB781" s="1152"/>
      <c r="AC781" s="1152"/>
      <c r="AD781" s="1152"/>
    </row>
    <row r="782" spans="1:30" x14ac:dyDescent="0.3">
      <c r="A782" s="1182"/>
      <c r="B782" s="1152"/>
      <c r="C782" s="1152"/>
      <c r="D782" s="1152"/>
      <c r="E782" s="1152"/>
      <c r="F782" s="1152"/>
      <c r="G782" s="1152"/>
      <c r="H782" s="1152"/>
      <c r="I782" s="1152"/>
      <c r="J782" s="1152"/>
      <c r="K782" s="1152"/>
      <c r="L782" s="1152"/>
      <c r="M782" s="1152"/>
      <c r="N782" s="1152"/>
      <c r="O782" s="1152"/>
      <c r="P782" s="1152"/>
      <c r="Q782" s="1152"/>
      <c r="R782" s="1152"/>
      <c r="S782" s="1152"/>
      <c r="T782" s="1152"/>
      <c r="U782" s="1152"/>
      <c r="V782" s="1152"/>
      <c r="W782" s="1152"/>
      <c r="X782" s="1152"/>
      <c r="Y782" s="1152"/>
      <c r="Z782" s="1152"/>
      <c r="AA782" s="1152"/>
      <c r="AB782" s="1152"/>
      <c r="AC782" s="1152"/>
      <c r="AD782" s="1152"/>
    </row>
    <row r="783" spans="1:30" x14ac:dyDescent="0.3">
      <c r="A783" s="1182"/>
      <c r="B783" s="1152"/>
      <c r="C783" s="1152"/>
      <c r="D783" s="1152"/>
      <c r="E783" s="1152"/>
      <c r="F783" s="1152"/>
      <c r="G783" s="1152"/>
      <c r="H783" s="1152"/>
      <c r="I783" s="1152"/>
      <c r="J783" s="1152"/>
      <c r="K783" s="1152"/>
      <c r="L783" s="1152"/>
      <c r="M783" s="1152"/>
      <c r="N783" s="1152"/>
      <c r="O783" s="1152"/>
      <c r="P783" s="1152"/>
      <c r="Q783" s="1152"/>
      <c r="R783" s="1152"/>
      <c r="S783" s="1152"/>
      <c r="T783" s="1152"/>
      <c r="U783" s="1152"/>
      <c r="V783" s="1152"/>
      <c r="W783" s="1152"/>
      <c r="X783" s="1152"/>
      <c r="Y783" s="1152"/>
      <c r="Z783" s="1152"/>
      <c r="AA783" s="1152"/>
      <c r="AB783" s="1152"/>
      <c r="AC783" s="1152"/>
      <c r="AD783" s="1152"/>
    </row>
    <row r="784" spans="1:30" x14ac:dyDescent="0.3">
      <c r="A784" s="1182"/>
      <c r="B784" s="1152"/>
      <c r="C784" s="1152"/>
      <c r="D784" s="1152"/>
      <c r="E784" s="1152"/>
      <c r="F784" s="1152"/>
      <c r="G784" s="1152"/>
      <c r="H784" s="1152"/>
      <c r="I784" s="1152"/>
      <c r="J784" s="1152"/>
      <c r="K784" s="1152"/>
      <c r="L784" s="1152"/>
      <c r="M784" s="1152"/>
      <c r="N784" s="1152"/>
      <c r="O784" s="1152"/>
      <c r="P784" s="1152"/>
      <c r="Q784" s="1152"/>
      <c r="R784" s="1152"/>
      <c r="S784" s="1152"/>
      <c r="T784" s="1152"/>
      <c r="U784" s="1152"/>
      <c r="V784" s="1152"/>
      <c r="W784" s="1152"/>
      <c r="X784" s="1152"/>
      <c r="Y784" s="1152"/>
      <c r="Z784" s="1152"/>
      <c r="AA784" s="1152"/>
      <c r="AB784" s="1152"/>
      <c r="AC784" s="1152"/>
      <c r="AD784" s="1152"/>
    </row>
    <row r="785" spans="1:1" x14ac:dyDescent="0.3">
      <c r="A785" s="1182"/>
    </row>
    <row r="786" spans="1:1" x14ac:dyDescent="0.3">
      <c r="A786" s="1182"/>
    </row>
    <row r="787" spans="1:1" x14ac:dyDescent="0.3">
      <c r="A787" s="1182"/>
    </row>
    <row r="788" spans="1:1" x14ac:dyDescent="0.3">
      <c r="A788" s="1182"/>
    </row>
    <row r="789" spans="1:1" x14ac:dyDescent="0.3">
      <c r="A789" s="1182"/>
    </row>
    <row r="790" spans="1:1" x14ac:dyDescent="0.3">
      <c r="A790" s="1182"/>
    </row>
    <row r="791" spans="1:1" x14ac:dyDescent="0.3">
      <c r="A791" s="1182"/>
    </row>
    <row r="792" spans="1:1" x14ac:dyDescent="0.3">
      <c r="A792" s="1182"/>
    </row>
    <row r="793" spans="1:1" x14ac:dyDescent="0.3">
      <c r="A793" s="1182"/>
    </row>
    <row r="794" spans="1:1" x14ac:dyDescent="0.3">
      <c r="A794" s="1182"/>
    </row>
    <row r="795" spans="1:1" x14ac:dyDescent="0.3">
      <c r="A795" s="1182"/>
    </row>
    <row r="796" spans="1:1" x14ac:dyDescent="0.3">
      <c r="A796" s="1182"/>
    </row>
    <row r="797" spans="1:1" x14ac:dyDescent="0.3">
      <c r="A797" s="1182"/>
    </row>
    <row r="798" spans="1:1" x14ac:dyDescent="0.3">
      <c r="A798" s="1182"/>
    </row>
    <row r="799" spans="1:1" x14ac:dyDescent="0.3">
      <c r="A799" s="1182"/>
    </row>
    <row r="800" spans="1:1" x14ac:dyDescent="0.3">
      <c r="A800" s="1182"/>
    </row>
    <row r="801" spans="1:1" x14ac:dyDescent="0.3">
      <c r="A801" s="1182"/>
    </row>
    <row r="802" spans="1:1" x14ac:dyDescent="0.3">
      <c r="A802" s="1182"/>
    </row>
    <row r="803" spans="1:1" x14ac:dyDescent="0.3">
      <c r="A803" s="1182"/>
    </row>
    <row r="804" spans="1:1" x14ac:dyDescent="0.3">
      <c r="A804" s="1182"/>
    </row>
    <row r="805" spans="1:1" x14ac:dyDescent="0.3">
      <c r="A805" s="1182"/>
    </row>
    <row r="806" spans="1:1" x14ac:dyDescent="0.3">
      <c r="A806" s="1182"/>
    </row>
    <row r="807" spans="1:1" x14ac:dyDescent="0.3">
      <c r="A807" s="1182"/>
    </row>
    <row r="808" spans="1:1" x14ac:dyDescent="0.3">
      <c r="A808" s="1182"/>
    </row>
    <row r="809" spans="1:1" x14ac:dyDescent="0.3">
      <c r="A809" s="1182"/>
    </row>
    <row r="810" spans="1:1" x14ac:dyDescent="0.3">
      <c r="A810" s="1182"/>
    </row>
    <row r="811" spans="1:1" x14ac:dyDescent="0.3">
      <c r="A811" s="1182"/>
    </row>
    <row r="812" spans="1:1" x14ac:dyDescent="0.3">
      <c r="A812" s="1182"/>
    </row>
    <row r="813" spans="1:1" x14ac:dyDescent="0.3">
      <c r="A813" s="1182"/>
    </row>
    <row r="814" spans="1:1" x14ac:dyDescent="0.3">
      <c r="A814" s="1182"/>
    </row>
    <row r="815" spans="1:1" x14ac:dyDescent="0.3">
      <c r="A815" s="1182"/>
    </row>
    <row r="816" spans="1:1" x14ac:dyDescent="0.3">
      <c r="A816" s="1182"/>
    </row>
    <row r="817" spans="1:1" x14ac:dyDescent="0.3">
      <c r="A817" s="1182"/>
    </row>
    <row r="818" spans="1:1" x14ac:dyDescent="0.3">
      <c r="A818" s="1182"/>
    </row>
    <row r="819" spans="1:1" x14ac:dyDescent="0.3">
      <c r="A819" s="1182"/>
    </row>
    <row r="820" spans="1:1" x14ac:dyDescent="0.3">
      <c r="A820" s="1182"/>
    </row>
    <row r="821" spans="1:1" x14ac:dyDescent="0.3">
      <c r="A821" s="1182"/>
    </row>
    <row r="822" spans="1:1" x14ac:dyDescent="0.3">
      <c r="A822" s="1182"/>
    </row>
    <row r="823" spans="1:1" x14ac:dyDescent="0.3">
      <c r="A823" s="1182"/>
    </row>
    <row r="824" spans="1:1" x14ac:dyDescent="0.3">
      <c r="A824" s="1182"/>
    </row>
    <row r="825" spans="1:1" x14ac:dyDescent="0.3">
      <c r="A825" s="1182"/>
    </row>
    <row r="826" spans="1:1" x14ac:dyDescent="0.3">
      <c r="A826" s="1182"/>
    </row>
    <row r="827" spans="1:1" x14ac:dyDescent="0.3">
      <c r="A827" s="1182"/>
    </row>
    <row r="828" spans="1:1" x14ac:dyDescent="0.3">
      <c r="A828" s="1182"/>
    </row>
    <row r="829" spans="1:1" x14ac:dyDescent="0.3">
      <c r="A829" s="1182"/>
    </row>
    <row r="830" spans="1:1" x14ac:dyDescent="0.3">
      <c r="A830" s="1182"/>
    </row>
    <row r="831" spans="1:1" x14ac:dyDescent="0.3">
      <c r="A831" s="1182"/>
    </row>
    <row r="832" spans="1:1" x14ac:dyDescent="0.3">
      <c r="A832" s="1182"/>
    </row>
    <row r="833" spans="1:1" x14ac:dyDescent="0.3">
      <c r="A833" s="1182"/>
    </row>
    <row r="834" spans="1:1" x14ac:dyDescent="0.3">
      <c r="A834" s="1182"/>
    </row>
    <row r="835" spans="1:1" x14ac:dyDescent="0.3">
      <c r="A835" s="1182"/>
    </row>
    <row r="836" spans="1:1" x14ac:dyDescent="0.3">
      <c r="A836" s="1182"/>
    </row>
    <row r="837" spans="1:1" x14ac:dyDescent="0.3">
      <c r="A837" s="1182"/>
    </row>
    <row r="838" spans="1:1" x14ac:dyDescent="0.3">
      <c r="A838" s="1182"/>
    </row>
    <row r="839" spans="1:1" x14ac:dyDescent="0.3">
      <c r="A839" s="1182"/>
    </row>
    <row r="840" spans="1:1" x14ac:dyDescent="0.3">
      <c r="A840" s="1182"/>
    </row>
    <row r="841" spans="1:1" x14ac:dyDescent="0.3">
      <c r="A841" s="1182"/>
    </row>
    <row r="842" spans="1:1" x14ac:dyDescent="0.3">
      <c r="A842" s="1182"/>
    </row>
    <row r="843" spans="1:1" x14ac:dyDescent="0.3">
      <c r="A843" s="1182"/>
    </row>
    <row r="844" spans="1:1" x14ac:dyDescent="0.3">
      <c r="A844" s="1182"/>
    </row>
    <row r="845" spans="1:1" x14ac:dyDescent="0.3">
      <c r="A845" s="1182"/>
    </row>
    <row r="846" spans="1:1" x14ac:dyDescent="0.3">
      <c r="A846" s="1182"/>
    </row>
    <row r="847" spans="1:1" x14ac:dyDescent="0.3">
      <c r="A847" s="1182"/>
    </row>
    <row r="848" spans="1:1" x14ac:dyDescent="0.3">
      <c r="A848" s="1182"/>
    </row>
    <row r="849" spans="1:1" x14ac:dyDescent="0.3">
      <c r="A849" s="1182"/>
    </row>
    <row r="850" spans="1:1" x14ac:dyDescent="0.3">
      <c r="A850" s="1182"/>
    </row>
    <row r="851" spans="1:1" x14ac:dyDescent="0.3">
      <c r="A851" s="1182"/>
    </row>
  </sheetData>
  <sheetProtection sheet="1" objects="1" scenarios="1" selectLockedCells="1"/>
  <dataConsolidate/>
  <mergeCells count="79">
    <mergeCell ref="B754:H769"/>
    <mergeCell ref="B659:H674"/>
    <mergeCell ref="B678:H693"/>
    <mergeCell ref="B697:H712"/>
    <mergeCell ref="B716:H731"/>
    <mergeCell ref="B735:H750"/>
    <mergeCell ref="B564:H579"/>
    <mergeCell ref="B583:H598"/>
    <mergeCell ref="B602:H617"/>
    <mergeCell ref="B621:H636"/>
    <mergeCell ref="B640:H655"/>
    <mergeCell ref="B469:H484"/>
    <mergeCell ref="B488:H503"/>
    <mergeCell ref="B507:H522"/>
    <mergeCell ref="B526:H541"/>
    <mergeCell ref="B545:H560"/>
    <mergeCell ref="J390:K390"/>
    <mergeCell ref="L390:M390"/>
    <mergeCell ref="N390:O390"/>
    <mergeCell ref="P390:Q390"/>
    <mergeCell ref="B390:B391"/>
    <mergeCell ref="R390:S390"/>
    <mergeCell ref="T390:U390"/>
    <mergeCell ref="V390:W390"/>
    <mergeCell ref="X390:Y390"/>
    <mergeCell ref="Z390:AA390"/>
    <mergeCell ref="Z5:AA5"/>
    <mergeCell ref="AB5:AC5"/>
    <mergeCell ref="V5:W5"/>
    <mergeCell ref="X5:Y5"/>
    <mergeCell ref="AB390:AC390"/>
    <mergeCell ref="B217:H232"/>
    <mergeCell ref="B236:H251"/>
    <mergeCell ref="N1:Q1"/>
    <mergeCell ref="B5:B6"/>
    <mergeCell ref="D5:D6"/>
    <mergeCell ref="E5:E6"/>
    <mergeCell ref="F5:F6"/>
    <mergeCell ref="G5:G6"/>
    <mergeCell ref="H5:H6"/>
    <mergeCell ref="J5:K5"/>
    <mergeCell ref="L5:M5"/>
    <mergeCell ref="N5:O5"/>
    <mergeCell ref="P5:Q5"/>
    <mergeCell ref="B65:H80"/>
    <mergeCell ref="B84:H99"/>
    <mergeCell ref="B160:H175"/>
    <mergeCell ref="B179:H194"/>
    <mergeCell ref="B198:H213"/>
    <mergeCell ref="B431:H446"/>
    <mergeCell ref="B450:H465"/>
    <mergeCell ref="D390:D391"/>
    <mergeCell ref="E390:E391"/>
    <mergeCell ref="F390:F391"/>
    <mergeCell ref="G390:G391"/>
    <mergeCell ref="H390:H391"/>
    <mergeCell ref="B393:H408"/>
    <mergeCell ref="B412:H427"/>
    <mergeCell ref="B274:H289"/>
    <mergeCell ref="B293:H308"/>
    <mergeCell ref="B312:H327"/>
    <mergeCell ref="B331:H346"/>
    <mergeCell ref="B350:H365"/>
    <mergeCell ref="I4:Q4"/>
    <mergeCell ref="R4:Z4"/>
    <mergeCell ref="B4:H4"/>
    <mergeCell ref="I5:I6"/>
    <mergeCell ref="I390:I391"/>
    <mergeCell ref="B369:H384"/>
    <mergeCell ref="C5:C6"/>
    <mergeCell ref="R5:S5"/>
    <mergeCell ref="T5:U5"/>
    <mergeCell ref="B255:H270"/>
    <mergeCell ref="B103:H118"/>
    <mergeCell ref="B122:H137"/>
    <mergeCell ref="B141:H156"/>
    <mergeCell ref="B8:H23"/>
    <mergeCell ref="B27:H42"/>
    <mergeCell ref="B46:H61"/>
  </mergeCells>
  <printOptions horizontalCentered="1"/>
  <pageMargins left="0.31496062992126" right="0.31496062992126" top="0.31496062992126" bottom="0.31496062992126" header="0.31496062992126" footer="0.31496062992126"/>
  <pageSetup paperSize="9" scale="42" fitToHeight="0" orientation="landscape" r:id="rId1"/>
  <headerFooter>
    <oddHeader>&amp;C&amp;"Calibri,Bold"&amp;16&amp;K094183Project Research Budget</oddHeader>
    <oddFooter>&amp;L&amp;F&amp;C&amp;P of &amp;N pages&amp;RThe University of Melbourne - Research Innovation and Commercialisation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Group Box 1">
              <controlPr defaultSize="0" autoFill="0" autoPict="0">
                <anchor moveWithCells="1">
                  <from>
                    <xdr:col>3</xdr:col>
                    <xdr:colOff>0</xdr:colOff>
                    <xdr:row>3</xdr:row>
                    <xdr:rowOff>0</xdr:rowOff>
                  </from>
                  <to>
                    <xdr:col>5</xdr:col>
                    <xdr:colOff>525780</xdr:colOff>
                    <xdr:row>4</xdr:row>
                    <xdr:rowOff>30480</xdr:rowOff>
                  </to>
                </anchor>
              </controlPr>
            </control>
          </mc:Choice>
        </mc:AlternateContent>
        <mc:AlternateContent xmlns:mc="http://schemas.openxmlformats.org/markup-compatibility/2006">
          <mc:Choice Requires="x14">
            <control shapeId="25603" r:id="rId5" name="Group Box 3">
              <controlPr defaultSize="0" autoFill="0" autoPict="0">
                <anchor moveWithCells="1">
                  <from>
                    <xdr:col>3</xdr:col>
                    <xdr:colOff>0</xdr:colOff>
                    <xdr:row>388</xdr:row>
                    <xdr:rowOff>0</xdr:rowOff>
                  </from>
                  <to>
                    <xdr:col>5</xdr:col>
                    <xdr:colOff>525780</xdr:colOff>
                    <xdr:row>389</xdr:row>
                    <xdr:rowOff>38100</xdr:rowOff>
                  </to>
                </anchor>
              </controlPr>
            </control>
          </mc:Choice>
        </mc:AlternateContent>
        <mc:AlternateContent xmlns:mc="http://schemas.openxmlformats.org/markup-compatibility/2006">
          <mc:Choice Requires="x14">
            <control shapeId="25604" r:id="rId6" name="Button 4">
              <controlPr defaultSize="0" print="0" autoFill="0" autoPict="0" macro="[0]!get_override_oncost_per">
                <anchor moveWithCells="1" sizeWithCells="1">
                  <from>
                    <xdr:col>9</xdr:col>
                    <xdr:colOff>678180</xdr:colOff>
                    <xdr:row>1</xdr:row>
                    <xdr:rowOff>60960</xdr:rowOff>
                  </from>
                  <to>
                    <xdr:col>12</xdr:col>
                    <xdr:colOff>327660</xdr:colOff>
                    <xdr:row>1</xdr:row>
                    <xdr:rowOff>289560</xdr:rowOff>
                  </to>
                </anchor>
              </controlPr>
            </control>
          </mc:Choice>
        </mc:AlternateContent>
        <mc:AlternateContent xmlns:mc="http://schemas.openxmlformats.org/markup-compatibility/2006">
          <mc:Choice Requires="x14">
            <control shapeId="25605" r:id="rId7" name="Button 5">
              <controlPr defaultSize="0" print="0" autoFill="0" autoPict="0" macro="[0]!reset_oncosts">
                <anchor moveWithCells="1" sizeWithCells="1">
                  <from>
                    <xdr:col>9</xdr:col>
                    <xdr:colOff>830580</xdr:colOff>
                    <xdr:row>1</xdr:row>
                    <xdr:rowOff>38100</xdr:rowOff>
                  </from>
                  <to>
                    <xdr:col>12</xdr:col>
                    <xdr:colOff>830580</xdr:colOff>
                    <xdr:row>1</xdr:row>
                    <xdr:rowOff>289560</xdr:rowOff>
                  </to>
                </anchor>
              </controlPr>
            </control>
          </mc:Choice>
        </mc:AlternateContent>
        <mc:AlternateContent xmlns:mc="http://schemas.openxmlformats.org/markup-compatibility/2006">
          <mc:Choice Requires="x14">
            <control shapeId="25607" r:id="rId8" name="Group Box 7">
              <controlPr defaultSize="0" autoFill="0" autoPict="0">
                <anchor moveWithCells="1">
                  <from>
                    <xdr:col>3</xdr:col>
                    <xdr:colOff>0</xdr:colOff>
                    <xdr:row>388</xdr:row>
                    <xdr:rowOff>0</xdr:rowOff>
                  </from>
                  <to>
                    <xdr:col>5</xdr:col>
                    <xdr:colOff>525780</xdr:colOff>
                    <xdr:row>389</xdr:row>
                    <xdr:rowOff>38100</xdr:rowOff>
                  </to>
                </anchor>
              </controlPr>
            </control>
          </mc:Choice>
        </mc:AlternateContent>
        <mc:AlternateContent xmlns:mc="http://schemas.openxmlformats.org/markup-compatibility/2006">
          <mc:Choice Requires="x14">
            <control shapeId="25608" r:id="rId9" name="Group Box 8">
              <controlPr defaultSize="0" autoFill="0" autoPict="0">
                <anchor moveWithCells="1">
                  <from>
                    <xdr:col>3</xdr:col>
                    <xdr:colOff>0</xdr:colOff>
                    <xdr:row>388</xdr:row>
                    <xdr:rowOff>0</xdr:rowOff>
                  </from>
                  <to>
                    <xdr:col>5</xdr:col>
                    <xdr:colOff>525780</xdr:colOff>
                    <xdr:row>389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4F3C7-D57F-4DFA-95EF-05B1CB6C8927}">
  <sheetPr codeName="Sheet9">
    <tabColor theme="1"/>
    <pageSetUpPr autoPageBreaks="0" fitToPage="1"/>
  </sheetPr>
  <dimension ref="A1:T170"/>
  <sheetViews>
    <sheetView showGridLines="0" zoomScaleNormal="100" workbookViewId="0">
      <pane ySplit="6" topLeftCell="A7" activePane="bottomLeft" state="frozen"/>
      <selection pane="bottomLeft" activeCell="H11" sqref="H11:N11"/>
    </sheetView>
  </sheetViews>
  <sheetFormatPr defaultColWidth="9.44140625" defaultRowHeight="14.4" outlineLevelCol="1" x14ac:dyDescent="0.3"/>
  <cols>
    <col min="1" max="1" width="19.6640625" customWidth="1"/>
    <col min="2" max="2" width="10.44140625" customWidth="1"/>
    <col min="3" max="4" width="13" customWidth="1"/>
    <col min="5" max="5" width="10.33203125" customWidth="1"/>
    <col min="6" max="6" width="8.44140625" customWidth="1"/>
    <col min="7" max="7" width="10.44140625" customWidth="1"/>
    <col min="8" max="9" width="8.5546875" customWidth="1"/>
    <col min="10" max="13" width="9" customWidth="1"/>
    <col min="14" max="14" width="10.77734375" customWidth="1"/>
    <col min="15" max="17" width="7.5546875" hidden="1" customWidth="1" outlineLevel="1"/>
    <col min="18" max="18" width="7.5546875" hidden="1" customWidth="1" outlineLevel="1" collapsed="1"/>
    <col min="19" max="19" width="7.5546875" hidden="1" customWidth="1" outlineLevel="1"/>
    <col min="20" max="20" width="10.44140625" customWidth="1" collapsed="1"/>
    <col min="21" max="21" width="5.5546875" customWidth="1"/>
  </cols>
  <sheetData>
    <row r="1" spans="1:20" ht="44.4" customHeight="1" x14ac:dyDescent="0.3">
      <c r="A1" s="299"/>
      <c r="B1" s="713" t="str">
        <f>tool_name_and_version</f>
        <v>Research Costing and Pricing tool v4.3.1</v>
      </c>
      <c r="C1" s="299"/>
      <c r="D1" s="299"/>
      <c r="E1" s="299"/>
      <c r="F1" s="299"/>
      <c r="G1" s="299"/>
      <c r="H1" s="299"/>
      <c r="I1" s="299"/>
      <c r="J1" s="299"/>
      <c r="K1" s="299"/>
      <c r="L1" s="299"/>
      <c r="M1" s="299"/>
      <c r="N1" s="299"/>
      <c r="O1" s="299"/>
      <c r="P1" s="299"/>
      <c r="Q1" s="299"/>
      <c r="R1" s="299"/>
      <c r="S1" s="299"/>
    </row>
    <row r="2" spans="1:20" ht="28.95" customHeight="1" x14ac:dyDescent="0.3">
      <c r="A2" s="734"/>
      <c r="B2" s="734"/>
      <c r="C2" s="734"/>
      <c r="D2" s="734"/>
      <c r="E2" s="734"/>
      <c r="F2" s="734"/>
      <c r="G2" s="734"/>
      <c r="H2" s="734"/>
      <c r="I2" s="734"/>
      <c r="J2" s="734"/>
      <c r="K2" s="734"/>
      <c r="L2" s="734"/>
      <c r="M2" s="734"/>
      <c r="N2" s="734"/>
      <c r="O2" s="734"/>
      <c r="P2" s="734"/>
      <c r="Q2" s="734"/>
      <c r="R2" s="734"/>
      <c r="S2" s="734"/>
    </row>
    <row r="3" spans="1:20" ht="12" customHeight="1" x14ac:dyDescent="0.3">
      <c r="A3" s="1080"/>
      <c r="B3" s="670"/>
      <c r="C3" s="670"/>
      <c r="D3" s="670"/>
      <c r="E3" s="670"/>
      <c r="F3" s="670"/>
      <c r="G3" s="670"/>
      <c r="H3" s="670"/>
      <c r="I3" s="670"/>
      <c r="J3" s="670"/>
      <c r="K3" s="670"/>
      <c r="L3" s="670"/>
      <c r="M3" s="670"/>
      <c r="N3" s="670"/>
      <c r="O3" s="670"/>
      <c r="P3" s="670"/>
      <c r="Q3" s="670"/>
      <c r="R3" s="670"/>
      <c r="S3" s="670"/>
    </row>
    <row r="4" spans="1:20" ht="45" customHeight="1" x14ac:dyDescent="0.3">
      <c r="A4" s="1080"/>
      <c r="B4" s="714"/>
      <c r="C4" s="714"/>
      <c r="D4" s="714"/>
      <c r="E4" s="714"/>
      <c r="F4" s="714"/>
      <c r="G4" s="714"/>
      <c r="H4" s="714"/>
      <c r="I4" s="714"/>
      <c r="J4" s="714"/>
      <c r="K4" s="714"/>
      <c r="L4" s="714"/>
      <c r="M4" s="714"/>
      <c r="N4" s="714"/>
      <c r="O4" s="714"/>
      <c r="P4" s="714"/>
      <c r="Q4" s="714"/>
      <c r="R4" s="714"/>
      <c r="S4" s="714"/>
    </row>
    <row r="5" spans="1:20" hidden="1" x14ac:dyDescent="0.3">
      <c r="A5" s="1080"/>
      <c r="B5" s="714"/>
      <c r="C5" s="714"/>
      <c r="D5" s="714"/>
      <c r="E5" s="714"/>
      <c r="F5" s="714"/>
      <c r="G5" s="714"/>
      <c r="H5" s="714"/>
      <c r="I5" s="714"/>
      <c r="J5" s="714"/>
      <c r="K5" s="714"/>
      <c r="L5" s="714"/>
      <c r="M5" s="714"/>
      <c r="N5" s="714"/>
      <c r="O5" s="714"/>
      <c r="P5" s="714"/>
      <c r="Q5" s="714"/>
      <c r="R5" s="714"/>
      <c r="S5" s="714"/>
    </row>
    <row r="6" spans="1:20" hidden="1" x14ac:dyDescent="0.3">
      <c r="A6" s="1080"/>
      <c r="B6" s="714"/>
      <c r="C6" s="714"/>
      <c r="D6" s="714"/>
      <c r="E6" s="714"/>
      <c r="F6" s="714"/>
      <c r="G6" s="714"/>
      <c r="H6" s="714"/>
      <c r="I6" s="714"/>
      <c r="J6" s="714"/>
      <c r="K6" s="714"/>
      <c r="L6" s="714"/>
      <c r="M6" s="714"/>
      <c r="N6" s="714"/>
      <c r="O6" s="714"/>
      <c r="P6" s="714"/>
      <c r="Q6" s="714"/>
      <c r="R6" s="714"/>
      <c r="S6" s="714"/>
    </row>
    <row r="7" spans="1:20" ht="10.5" customHeight="1" x14ac:dyDescent="0.3">
      <c r="A7" s="1080"/>
    </row>
    <row r="8" spans="1:20" ht="12.75" customHeight="1" x14ac:dyDescent="0.3">
      <c r="A8" s="1080"/>
      <c r="B8" s="160" t="s">
        <v>332</v>
      </c>
      <c r="C8" s="161"/>
      <c r="D8" s="161"/>
      <c r="E8" s="161"/>
      <c r="F8" s="161"/>
      <c r="G8" s="161"/>
      <c r="H8" s="161"/>
      <c r="I8" s="161"/>
      <c r="J8" s="161"/>
      <c r="K8" s="161"/>
      <c r="L8" s="161"/>
      <c r="M8" s="161"/>
      <c r="N8" s="161"/>
      <c r="O8" s="161"/>
      <c r="P8" s="161"/>
      <c r="Q8" s="161"/>
      <c r="R8" s="161"/>
      <c r="S8" s="161"/>
      <c r="T8" s="161"/>
    </row>
    <row r="9" spans="1:20" ht="12.6" customHeight="1" x14ac:dyDescent="0.3">
      <c r="A9" s="1080"/>
      <c r="B9" s="160" t="s">
        <v>333</v>
      </c>
      <c r="C9" s="161"/>
      <c r="D9" s="161"/>
      <c r="E9" s="161"/>
      <c r="F9" s="161"/>
      <c r="G9" s="161"/>
      <c r="H9" s="161"/>
      <c r="I9" s="161"/>
      <c r="J9" s="161"/>
      <c r="K9" s="161"/>
      <c r="L9" s="161"/>
      <c r="M9" s="161"/>
      <c r="N9" s="161"/>
      <c r="O9" s="161"/>
      <c r="P9" s="161"/>
      <c r="Q9" s="161"/>
      <c r="R9" s="161"/>
      <c r="S9" s="161"/>
      <c r="T9" s="161"/>
    </row>
    <row r="10" spans="1:20" ht="20.85" customHeight="1" x14ac:dyDescent="0.3">
      <c r="A10" s="1080"/>
      <c r="B10" s="162" t="s">
        <v>334</v>
      </c>
      <c r="C10" s="161"/>
      <c r="D10" s="161"/>
      <c r="E10" s="161"/>
      <c r="F10" s="161"/>
      <c r="G10" s="161"/>
      <c r="H10" s="161"/>
      <c r="I10" s="161"/>
      <c r="J10" s="161"/>
      <c r="K10" s="161"/>
      <c r="L10" s="161"/>
      <c r="M10" s="161"/>
      <c r="N10" s="161"/>
      <c r="O10" s="161"/>
      <c r="P10" s="161"/>
      <c r="Q10" s="161"/>
      <c r="R10" s="161"/>
      <c r="S10" s="161"/>
      <c r="T10" s="161"/>
    </row>
    <row r="11" spans="1:20" ht="21.6" customHeight="1" x14ac:dyDescent="0.3">
      <c r="A11" s="1080"/>
      <c r="B11" s="1394" t="s">
        <v>335</v>
      </c>
      <c r="C11" s="1394"/>
      <c r="D11" s="1394"/>
      <c r="E11" s="1394"/>
      <c r="F11" s="1394"/>
      <c r="G11" s="1395"/>
      <c r="H11" s="1396"/>
      <c r="I11" s="1397"/>
      <c r="J11" s="1397"/>
      <c r="K11" s="1397"/>
      <c r="L11" s="1397"/>
      <c r="M11" s="1397"/>
      <c r="N11" s="1398"/>
      <c r="O11" s="645"/>
      <c r="P11" s="645"/>
      <c r="Q11" s="645"/>
      <c r="R11" s="645"/>
      <c r="S11" s="645"/>
      <c r="T11" s="645"/>
    </row>
    <row r="12" spans="1:20" ht="19.2" customHeight="1" x14ac:dyDescent="0.3">
      <c r="A12" s="1080"/>
      <c r="B12" s="1399" t="s">
        <v>336</v>
      </c>
      <c r="C12" s="1400"/>
      <c r="D12" s="1401"/>
      <c r="E12" s="1401"/>
      <c r="F12" s="1401"/>
      <c r="G12" s="1401"/>
      <c r="H12" s="1402" t="s">
        <v>337</v>
      </c>
      <c r="I12" s="1402"/>
      <c r="J12" s="1403"/>
      <c r="K12" s="1404"/>
      <c r="L12" s="1401"/>
      <c r="M12" s="1401"/>
      <c r="N12" s="1401"/>
      <c r="O12" s="646"/>
      <c r="P12" s="646"/>
      <c r="Q12" s="646"/>
      <c r="R12" s="646"/>
      <c r="S12" s="646"/>
      <c r="T12" s="646"/>
    </row>
    <row r="13" spans="1:20" ht="30.6" customHeight="1" x14ac:dyDescent="0.3">
      <c r="A13" s="1080"/>
      <c r="B13" s="1399" t="s">
        <v>338</v>
      </c>
      <c r="C13" s="1400"/>
      <c r="D13" s="1405">
        <f>'PART A Project Details'!C19</f>
        <v>0</v>
      </c>
      <c r="E13" s="1405"/>
      <c r="F13" s="1405"/>
      <c r="G13" s="1405"/>
      <c r="H13" s="1402" t="s">
        <v>1163</v>
      </c>
      <c r="I13" s="1402"/>
      <c r="J13" s="1403"/>
      <c r="K13" s="1406">
        <f>'PART A Project Details'!C13</f>
        <v>0</v>
      </c>
      <c r="L13" s="1406"/>
      <c r="M13" s="1406"/>
      <c r="N13" s="1406"/>
      <c r="O13" s="646"/>
      <c r="P13" s="646"/>
      <c r="Q13" s="646"/>
      <c r="R13" s="646"/>
      <c r="S13" s="646"/>
      <c r="T13" s="646"/>
    </row>
    <row r="14" spans="1:20" ht="21.6" customHeight="1" x14ac:dyDescent="0.3">
      <c r="A14" s="1080"/>
      <c r="B14" s="1399" t="s">
        <v>339</v>
      </c>
      <c r="C14" s="1400"/>
      <c r="D14" s="1406">
        <f>'PART A Project Details'!C11</f>
        <v>0</v>
      </c>
      <c r="E14" s="1406"/>
      <c r="F14" s="1406"/>
      <c r="G14" s="1406"/>
      <c r="H14" s="1406"/>
      <c r="I14" s="1406"/>
      <c r="J14" s="1406"/>
      <c r="K14" s="1406"/>
      <c r="L14" s="1406"/>
      <c r="M14" s="1406"/>
      <c r="N14" s="1406"/>
      <c r="O14" s="646"/>
      <c r="P14" s="646"/>
      <c r="Q14" s="646"/>
      <c r="R14" s="646"/>
      <c r="S14" s="646"/>
      <c r="T14" s="646"/>
    </row>
    <row r="15" spans="1:20" ht="21" customHeight="1" x14ac:dyDescent="0.3">
      <c r="A15" s="1080"/>
      <c r="B15" s="647" t="s">
        <v>340</v>
      </c>
      <c r="C15" s="648"/>
      <c r="D15" s="648"/>
      <c r="E15" s="648"/>
      <c r="F15" s="648"/>
      <c r="G15" s="648"/>
      <c r="H15" s="648"/>
      <c r="I15" s="648"/>
      <c r="J15" s="648"/>
      <c r="K15" s="648"/>
      <c r="L15" s="648"/>
      <c r="M15" s="648"/>
      <c r="N15" s="648"/>
      <c r="O15" s="648"/>
      <c r="P15" s="648"/>
      <c r="Q15" s="648"/>
      <c r="R15" s="648"/>
      <c r="S15" s="648"/>
      <c r="T15" s="648"/>
    </row>
    <row r="16" spans="1:20" ht="12.75" customHeight="1" x14ac:dyDescent="0.3">
      <c r="A16" s="1080"/>
      <c r="B16" s="160" t="s">
        <v>341</v>
      </c>
      <c r="C16" s="161"/>
      <c r="D16" s="161"/>
      <c r="E16" s="161"/>
      <c r="F16" s="161"/>
      <c r="G16" s="161"/>
      <c r="H16" s="161"/>
      <c r="I16" s="161"/>
      <c r="J16" s="161"/>
      <c r="K16" s="161"/>
      <c r="L16" s="161"/>
      <c r="M16" s="161"/>
      <c r="N16" s="161"/>
      <c r="O16" s="161"/>
      <c r="P16" s="161"/>
      <c r="Q16" s="161"/>
      <c r="R16" s="161"/>
      <c r="S16" s="161"/>
      <c r="T16" s="161"/>
    </row>
    <row r="17" spans="1:20" ht="13.5" customHeight="1" x14ac:dyDescent="0.3">
      <c r="A17" s="1080"/>
      <c r="B17" s="160" t="s">
        <v>342</v>
      </c>
      <c r="C17" s="161"/>
      <c r="D17" s="161"/>
      <c r="E17" s="161"/>
      <c r="F17" s="161"/>
      <c r="G17" s="161"/>
      <c r="H17" s="161"/>
      <c r="I17" s="161"/>
      <c r="J17" s="161"/>
      <c r="K17" s="161"/>
      <c r="L17" s="161"/>
      <c r="M17" s="161"/>
      <c r="N17" s="161"/>
      <c r="O17" s="161"/>
      <c r="P17" s="161"/>
      <c r="Q17" s="161"/>
      <c r="R17" s="161"/>
      <c r="S17" s="161"/>
      <c r="T17" s="161"/>
    </row>
    <row r="18" spans="1:20" ht="12.75" hidden="1" customHeight="1" x14ac:dyDescent="0.3">
      <c r="A18" s="1080"/>
      <c r="B18" s="13" t="s">
        <v>343</v>
      </c>
      <c r="C18" s="161"/>
      <c r="D18" s="161"/>
      <c r="E18" s="161"/>
      <c r="F18" s="161"/>
      <c r="G18" s="161"/>
      <c r="H18" s="161"/>
      <c r="I18" s="161"/>
      <c r="J18" s="161"/>
      <c r="K18" s="161"/>
      <c r="L18" s="161"/>
      <c r="M18" s="161"/>
      <c r="N18" s="161"/>
      <c r="O18" s="161"/>
      <c r="P18" s="161"/>
      <c r="Q18" s="161"/>
      <c r="R18" s="161"/>
      <c r="S18" s="161"/>
      <c r="T18" s="161"/>
    </row>
    <row r="19" spans="1:20" ht="21.75" hidden="1" customHeight="1" x14ac:dyDescent="0.3">
      <c r="A19" s="1080"/>
      <c r="B19" s="163" t="s">
        <v>344</v>
      </c>
      <c r="C19" s="161"/>
      <c r="D19" s="161"/>
      <c r="E19" s="161"/>
      <c r="F19" s="161"/>
      <c r="G19" s="161"/>
      <c r="H19" s="161"/>
      <c r="I19" s="161"/>
      <c r="J19" s="161"/>
      <c r="K19" s="161"/>
      <c r="L19" s="161"/>
      <c r="M19" s="161"/>
      <c r="N19" s="161"/>
      <c r="O19" s="161"/>
      <c r="P19" s="161"/>
      <c r="Q19" s="161"/>
      <c r="R19" s="161"/>
      <c r="S19" s="161"/>
      <c r="T19" s="161"/>
    </row>
    <row r="20" spans="1:20" hidden="1" x14ac:dyDescent="0.3">
      <c r="A20" s="1080"/>
      <c r="B20" s="164" t="s">
        <v>345</v>
      </c>
      <c r="C20" s="161"/>
      <c r="D20" s="161"/>
      <c r="E20" s="161"/>
      <c r="F20" s="161"/>
      <c r="G20" s="161"/>
      <c r="H20" s="161"/>
      <c r="I20" s="161"/>
      <c r="J20" s="161"/>
      <c r="K20" s="161"/>
      <c r="L20" s="161"/>
      <c r="M20" s="161"/>
      <c r="N20" s="161"/>
      <c r="O20" s="161"/>
      <c r="P20" s="161"/>
      <c r="Q20" s="161"/>
      <c r="R20" s="161"/>
      <c r="S20" s="161"/>
      <c r="T20" s="161"/>
    </row>
    <row r="21" spans="1:20" ht="31.5" customHeight="1" x14ac:dyDescent="0.3">
      <c r="A21" s="1080"/>
      <c r="B21" s="1407" t="s">
        <v>346</v>
      </c>
      <c r="C21" s="1408"/>
      <c r="D21" s="1409" t="s">
        <v>347</v>
      </c>
      <c r="E21" s="1407"/>
      <c r="F21" s="1408"/>
      <c r="G21" s="1136" t="s">
        <v>348</v>
      </c>
      <c r="H21" s="1136" t="s">
        <v>349</v>
      </c>
      <c r="I21" s="1136" t="s">
        <v>350</v>
      </c>
      <c r="J21" s="178" t="str">
        <f>"Year 1" &amp; IF(pStartYear&lt;&gt;""," ("&amp;pStartYear&amp;") ","")</f>
        <v xml:space="preserve">Year 1 (2026) </v>
      </c>
      <c r="K21" s="178" t="str">
        <f>"Year 2" &amp; IF(pStartYear&lt;&gt;"",IF(pStartYear+1&gt;pEndYear,""," ("&amp;pStartYear+1&amp;") "),"")</f>
        <v xml:space="preserve">Year 2 (2027) </v>
      </c>
      <c r="L21" s="178" t="str">
        <f>"Year 3" &amp; IF(pStartYear&lt;&gt;"",IF(pStartYear+2&gt;pEndYear,""," ("&amp;pStartYear+2&amp;") "),"")</f>
        <v xml:space="preserve">Year 3 (2028) </v>
      </c>
      <c r="M21" s="178" t="str">
        <f>"Year 4" &amp; IF(pStartYear&lt;&gt;"",IF(pStartYear+3&gt;pEndYear,""," ("&amp;pStartYear+3&amp;") "),"")</f>
        <v xml:space="preserve">Year 4 (2029) </v>
      </c>
      <c r="N21" s="178" t="str">
        <f>"Year 5" &amp; IF(pStartYear&lt;&gt;"",IF(pStartYear+4&gt;pEndYear,""," ("&amp;pStartYear+4&amp;") "),"")</f>
        <v xml:space="preserve">Year 5 (2030) </v>
      </c>
      <c r="O21" s="178" t="str">
        <f>"Year 6" &amp; IF(pStartYear&lt;&gt;"",IF(pStartYear+5&gt;pEndYear,""," ("&amp;pStartYear+5&amp;") "),"")</f>
        <v>Year 6</v>
      </c>
      <c r="P21" s="178" t="str">
        <f>"Year 7" &amp; IF(pStartYear&lt;&gt;"",IF(pStartYear+6&gt;pEndYear,""," ("&amp;pStartYear+6&amp;") "),"")</f>
        <v>Year 7</v>
      </c>
      <c r="Q21" s="286" t="str">
        <f>"Year 8" &amp; IF(pStartYear&lt;&gt;"",IF(pStartYear+7&gt;pEndYear,""," ("&amp;pStartYear+7&amp;") "),"")</f>
        <v>Year 8</v>
      </c>
      <c r="R21" s="180" t="str">
        <f>"Year 9" &amp; IF(pStartYear&lt;&gt;"",IF(pStartYear+8&gt;pEndYear,""," ("&amp;pStartYear+8&amp;") "),"")</f>
        <v>Year 9</v>
      </c>
      <c r="S21" s="178" t="str">
        <f>"Year 10" &amp; IF(pStartYear&lt;&gt;"",IF(pStartYear+9&gt;pEndYear,""," ("&amp;pStartYear+9&amp;") "),"")</f>
        <v>Year 10</v>
      </c>
    </row>
    <row r="22" spans="1:20" ht="33" customHeight="1" x14ac:dyDescent="0.3">
      <c r="A22" s="1080"/>
      <c r="B22" s="1410">
        <f>'PART A Project Details'!C19</f>
        <v>0</v>
      </c>
      <c r="C22" s="1411"/>
      <c r="D22" s="1406">
        <f>'PART A Project Details'!C13</f>
        <v>0</v>
      </c>
      <c r="E22" s="1406"/>
      <c r="F22" s="1406"/>
      <c r="G22" s="1137"/>
      <c r="H22" s="1137"/>
      <c r="I22" s="1137"/>
      <c r="J22" s="1143"/>
      <c r="K22" s="1143"/>
      <c r="L22" s="1143"/>
      <c r="M22" s="1143"/>
      <c r="N22" s="1143"/>
      <c r="O22" s="1143"/>
      <c r="P22" s="1143"/>
      <c r="Q22" s="1143"/>
      <c r="R22" s="1143"/>
      <c r="S22" s="1143"/>
      <c r="T22" s="173"/>
    </row>
    <row r="23" spans="1:20" ht="33" customHeight="1" x14ac:dyDescent="0.3">
      <c r="A23" s="1080"/>
      <c r="B23" s="1413"/>
      <c r="C23" s="1414"/>
      <c r="D23" s="1401"/>
      <c r="E23" s="1401"/>
      <c r="F23" s="1401"/>
      <c r="G23" s="1135"/>
      <c r="H23" s="1135"/>
      <c r="I23" s="1135"/>
      <c r="J23" s="1143"/>
      <c r="K23" s="1143"/>
      <c r="L23" s="1143"/>
      <c r="M23" s="1143"/>
      <c r="N23" s="1143"/>
      <c r="O23" s="1143"/>
      <c r="P23" s="1143"/>
      <c r="Q23" s="1143"/>
      <c r="R23" s="1143"/>
      <c r="S23" s="1143"/>
      <c r="T23" s="173"/>
    </row>
    <row r="24" spans="1:20" ht="33" customHeight="1" x14ac:dyDescent="0.3">
      <c r="A24" s="1080"/>
      <c r="B24" s="1413"/>
      <c r="C24" s="1414"/>
      <c r="D24" s="228"/>
      <c r="E24" s="228"/>
      <c r="F24" s="228"/>
      <c r="G24" s="1135"/>
      <c r="H24" s="1135"/>
      <c r="I24" s="1135"/>
      <c r="J24" s="1143"/>
      <c r="K24" s="1143"/>
      <c r="L24" s="1143"/>
      <c r="M24" s="1143"/>
      <c r="N24" s="1143"/>
      <c r="O24" s="1143"/>
      <c r="P24" s="1143"/>
      <c r="Q24" s="1143"/>
      <c r="R24" s="1143"/>
      <c r="S24" s="1143"/>
      <c r="T24" s="173"/>
    </row>
    <row r="25" spans="1:20" ht="33" customHeight="1" x14ac:dyDescent="0.3">
      <c r="A25" s="1080"/>
      <c r="B25" s="1415"/>
      <c r="C25" s="1413"/>
      <c r="D25" s="1401"/>
      <c r="E25" s="1401"/>
      <c r="F25" s="1401"/>
      <c r="G25" s="1135"/>
      <c r="H25" s="1135"/>
      <c r="I25" s="1135"/>
      <c r="J25" s="1143"/>
      <c r="K25" s="1143"/>
      <c r="L25" s="1143"/>
      <c r="M25" s="1143"/>
      <c r="N25" s="1143"/>
      <c r="O25" s="1143"/>
      <c r="P25" s="1143"/>
      <c r="Q25" s="1143"/>
      <c r="R25" s="1143"/>
      <c r="S25" s="1143"/>
      <c r="T25" s="173"/>
    </row>
    <row r="26" spans="1:20" ht="32.1" customHeight="1" x14ac:dyDescent="0.3">
      <c r="A26" s="1080"/>
      <c r="B26" s="1418"/>
      <c r="C26" s="1419"/>
      <c r="D26" s="1419"/>
      <c r="E26" s="1419"/>
      <c r="F26" s="1419"/>
      <c r="G26" s="1419"/>
      <c r="H26" s="1419"/>
      <c r="I26" s="1420"/>
      <c r="J26" s="179"/>
      <c r="K26" s="179"/>
      <c r="L26" s="179"/>
      <c r="M26" s="179"/>
      <c r="N26" s="179"/>
      <c r="O26" s="179"/>
      <c r="P26" s="179"/>
      <c r="Q26" s="179"/>
      <c r="R26" s="179"/>
      <c r="S26" s="179"/>
      <c r="T26" s="174"/>
    </row>
    <row r="27" spans="1:20" ht="28.5" hidden="1" customHeight="1" x14ac:dyDescent="0.3">
      <c r="A27" s="1080"/>
      <c r="B27" s="1416" t="s">
        <v>351</v>
      </c>
      <c r="C27" s="1417"/>
      <c r="D27" s="1417"/>
      <c r="E27" s="1417"/>
      <c r="F27" s="1417"/>
      <c r="G27" s="1417"/>
      <c r="H27" s="1417"/>
      <c r="I27" s="1417"/>
      <c r="J27" s="1417"/>
      <c r="K27" s="1417"/>
      <c r="L27" s="1417"/>
      <c r="M27" s="1417"/>
      <c r="N27" s="1417"/>
      <c r="O27" s="175"/>
      <c r="P27" s="175"/>
      <c r="Q27" s="175"/>
      <c r="R27" s="175"/>
      <c r="S27" s="175"/>
      <c r="T27" s="175"/>
    </row>
    <row r="28" spans="1:20" ht="25.35" customHeight="1" x14ac:dyDescent="0.3">
      <c r="A28" s="1080"/>
      <c r="B28" s="165" t="s">
        <v>352</v>
      </c>
      <c r="C28" s="161"/>
      <c r="D28" s="161"/>
      <c r="E28" s="161"/>
      <c r="F28" s="161"/>
      <c r="G28" s="161"/>
      <c r="H28" s="161"/>
      <c r="I28" s="161"/>
      <c r="J28" s="161"/>
      <c r="K28" s="161"/>
      <c r="L28" s="161"/>
      <c r="M28" s="161"/>
      <c r="N28" s="161"/>
      <c r="O28" s="161"/>
      <c r="P28" s="161"/>
      <c r="Q28" s="161"/>
      <c r="R28" s="161"/>
      <c r="S28" s="161"/>
      <c r="T28" s="161"/>
    </row>
    <row r="29" spans="1:20" ht="48.75" customHeight="1" x14ac:dyDescent="0.3">
      <c r="A29" s="1080"/>
      <c r="B29" s="1412" t="s">
        <v>353</v>
      </c>
      <c r="C29" s="1412"/>
      <c r="D29" s="1412"/>
      <c r="E29" s="1412"/>
      <c r="F29" s="1412"/>
      <c r="G29" s="1412"/>
      <c r="H29" s="1412"/>
      <c r="I29" s="1412"/>
      <c r="J29" s="1412"/>
      <c r="K29" s="1412"/>
      <c r="L29" s="1412"/>
      <c r="M29" s="1412"/>
      <c r="N29" s="1412"/>
      <c r="O29" s="287"/>
      <c r="P29" s="287"/>
      <c r="Q29" s="287"/>
      <c r="R29" s="287"/>
      <c r="S29" s="287"/>
      <c r="T29" s="287"/>
    </row>
    <row r="30" spans="1:20" ht="22.5" customHeight="1" x14ac:dyDescent="0.3">
      <c r="A30" s="1080"/>
      <c r="B30" s="165" t="s">
        <v>354</v>
      </c>
      <c r="C30" s="166"/>
      <c r="D30" s="166"/>
      <c r="E30" s="166"/>
      <c r="F30" s="166"/>
      <c r="G30" s="166"/>
      <c r="H30" s="166"/>
      <c r="I30" s="166"/>
      <c r="J30" s="166"/>
      <c r="K30" s="166"/>
      <c r="L30" s="166"/>
      <c r="M30" s="166"/>
      <c r="N30" s="166"/>
      <c r="O30" s="166"/>
      <c r="P30" s="166"/>
      <c r="Q30" s="166"/>
      <c r="R30" s="166"/>
      <c r="S30" s="166"/>
      <c r="T30" s="166"/>
    </row>
    <row r="31" spans="1:20" ht="25.5" customHeight="1" x14ac:dyDescent="0.3">
      <c r="A31" s="1080"/>
      <c r="B31" s="1421" t="s">
        <v>355</v>
      </c>
      <c r="C31" s="1421"/>
      <c r="D31" s="1421"/>
      <c r="E31" s="1421"/>
      <c r="F31" s="1421"/>
      <c r="G31" s="1421"/>
      <c r="H31" s="1421"/>
      <c r="I31" s="1421"/>
      <c r="J31" s="1421"/>
      <c r="K31" s="1421"/>
      <c r="L31" s="1421"/>
      <c r="M31" s="1421"/>
      <c r="N31" s="1421"/>
      <c r="O31" s="288"/>
      <c r="P31" s="288"/>
      <c r="Q31" s="288"/>
      <c r="R31" s="288"/>
      <c r="S31" s="288"/>
      <c r="T31" s="288"/>
    </row>
    <row r="32" spans="1:20" ht="17.100000000000001" customHeight="1" x14ac:dyDescent="0.3">
      <c r="A32" s="1080"/>
      <c r="B32" s="167" t="s">
        <v>356</v>
      </c>
      <c r="C32" s="166"/>
      <c r="D32" s="166"/>
      <c r="E32" s="166"/>
      <c r="F32" s="166"/>
      <c r="G32" s="166"/>
      <c r="H32" s="166"/>
      <c r="I32" s="166"/>
      <c r="J32" s="166"/>
      <c r="K32" s="166"/>
      <c r="L32" s="166"/>
      <c r="M32" s="166"/>
      <c r="N32" s="166"/>
      <c r="O32" s="166"/>
      <c r="P32" s="166"/>
      <c r="Q32" s="166"/>
      <c r="R32" s="166"/>
      <c r="S32" s="166"/>
      <c r="T32" s="166"/>
    </row>
    <row r="33" spans="1:20" ht="19.350000000000001" customHeight="1" x14ac:dyDescent="0.3">
      <c r="A33" s="1080"/>
      <c r="B33" s="167" t="s">
        <v>357</v>
      </c>
      <c r="C33" s="166"/>
      <c r="D33" s="166"/>
      <c r="E33" s="166"/>
      <c r="F33" s="166"/>
      <c r="G33" s="166"/>
      <c r="H33" s="166"/>
      <c r="I33" s="166"/>
      <c r="J33" s="166"/>
      <c r="K33" s="166"/>
      <c r="L33" s="166"/>
      <c r="M33" s="166"/>
      <c r="N33" s="166"/>
      <c r="O33" s="166"/>
      <c r="P33" s="166"/>
      <c r="Q33" s="166"/>
      <c r="R33" s="166"/>
      <c r="S33" s="166"/>
      <c r="T33" s="166"/>
    </row>
    <row r="34" spans="1:20" ht="18" hidden="1" customHeight="1" x14ac:dyDescent="0.3">
      <c r="A34" s="1080"/>
      <c r="B34" s="167"/>
      <c r="C34" s="166"/>
      <c r="D34" s="166"/>
      <c r="E34" s="166"/>
      <c r="F34" s="166"/>
      <c r="G34" s="166"/>
      <c r="H34" s="166"/>
      <c r="I34" s="166"/>
      <c r="J34" s="166"/>
      <c r="K34" s="166"/>
      <c r="L34" s="166"/>
      <c r="M34" s="166"/>
      <c r="N34" s="166"/>
      <c r="O34" s="166"/>
      <c r="P34" s="166"/>
      <c r="Q34" s="166"/>
      <c r="R34" s="166"/>
      <c r="S34" s="166"/>
      <c r="T34" s="166"/>
    </row>
    <row r="35" spans="1:20" ht="40.5" hidden="1" customHeight="1" x14ac:dyDescent="0.3">
      <c r="A35" s="1080"/>
      <c r="B35" s="1422"/>
      <c r="C35" s="1422"/>
      <c r="D35" s="1422"/>
      <c r="E35" s="1422"/>
      <c r="F35" s="1422"/>
      <c r="G35" s="1422"/>
      <c r="H35" s="1422"/>
      <c r="I35" s="1422"/>
      <c r="J35" s="1422"/>
      <c r="K35" s="1422"/>
      <c r="L35" s="1422"/>
      <c r="M35" s="1422"/>
      <c r="N35" s="1422"/>
      <c r="O35" s="289"/>
      <c r="P35" s="289"/>
      <c r="Q35" s="289"/>
      <c r="R35" s="289"/>
      <c r="S35" s="289"/>
      <c r="T35" s="289"/>
    </row>
    <row r="36" spans="1:20" ht="21" customHeight="1" x14ac:dyDescent="0.3">
      <c r="A36" s="1080"/>
      <c r="B36" s="165" t="s">
        <v>358</v>
      </c>
      <c r="C36" s="161"/>
      <c r="D36" s="161"/>
      <c r="E36" s="161"/>
      <c r="F36" s="161"/>
      <c r="G36" s="161"/>
      <c r="H36" s="161"/>
      <c r="I36" s="161"/>
      <c r="J36" s="161"/>
      <c r="K36" s="161"/>
      <c r="L36" s="161"/>
      <c r="M36" s="161"/>
      <c r="N36" s="161"/>
      <c r="O36" s="161"/>
      <c r="P36" s="161"/>
      <c r="Q36" s="161"/>
      <c r="R36" s="161"/>
      <c r="S36" s="161"/>
      <c r="T36" s="161"/>
    </row>
    <row r="37" spans="1:20" ht="15" customHeight="1" x14ac:dyDescent="0.3">
      <c r="A37" s="1080"/>
      <c r="B37" s="168" t="s">
        <v>359</v>
      </c>
      <c r="C37" s="161"/>
      <c r="D37" s="161"/>
      <c r="E37" s="161"/>
      <c r="F37" s="161"/>
      <c r="G37" s="161"/>
      <c r="H37" s="161"/>
      <c r="I37" s="161"/>
      <c r="J37" s="161"/>
      <c r="K37" s="161"/>
      <c r="L37" s="161"/>
      <c r="M37" s="161"/>
      <c r="N37" s="161"/>
      <c r="O37" s="161"/>
      <c r="P37" s="161"/>
      <c r="Q37" s="161"/>
      <c r="R37" s="161"/>
      <c r="S37" s="161"/>
      <c r="T37" s="161"/>
    </row>
    <row r="38" spans="1:20" ht="26.25" customHeight="1" x14ac:dyDescent="0.3">
      <c r="A38" s="1080"/>
      <c r="B38" s="1423" t="s">
        <v>347</v>
      </c>
      <c r="C38" s="1423"/>
      <c r="D38" s="1424"/>
      <c r="E38" s="1425" t="s">
        <v>360</v>
      </c>
      <c r="F38" s="1426"/>
      <c r="G38" s="1426"/>
      <c r="H38" s="1425" t="s">
        <v>361</v>
      </c>
      <c r="I38" s="1425"/>
      <c r="J38" s="1426"/>
      <c r="K38" s="1426"/>
      <c r="L38" s="1425" t="s">
        <v>362</v>
      </c>
      <c r="M38" s="1426"/>
      <c r="N38" s="1426"/>
      <c r="O38" s="176"/>
      <c r="P38" s="176"/>
      <c r="Q38" s="176"/>
      <c r="R38" s="176"/>
      <c r="S38" s="176"/>
      <c r="T38" s="176"/>
    </row>
    <row r="39" spans="1:20" ht="33" customHeight="1" x14ac:dyDescent="0.3">
      <c r="A39" s="1080"/>
      <c r="B39" s="1431">
        <f>B22</f>
        <v>0</v>
      </c>
      <c r="C39" s="1431"/>
      <c r="D39" s="1432"/>
      <c r="E39" s="1429" t="s">
        <v>363</v>
      </c>
      <c r="F39" s="1429"/>
      <c r="G39" s="1429"/>
      <c r="H39" s="1430"/>
      <c r="I39" s="1430"/>
      <c r="J39" s="1430"/>
      <c r="K39" s="1430"/>
      <c r="L39" s="1429" t="s">
        <v>363</v>
      </c>
      <c r="M39" s="1429"/>
      <c r="N39" s="1429"/>
      <c r="O39" s="177"/>
      <c r="P39" s="177"/>
      <c r="Q39" s="177"/>
      <c r="R39" s="177"/>
      <c r="S39" s="177"/>
      <c r="T39" s="177"/>
    </row>
    <row r="40" spans="1:20" ht="33" customHeight="1" x14ac:dyDescent="0.3">
      <c r="A40" s="1080"/>
      <c r="B40" s="1431">
        <f>B23</f>
        <v>0</v>
      </c>
      <c r="C40" s="1431"/>
      <c r="D40" s="1432"/>
      <c r="E40" s="1429" t="s">
        <v>363</v>
      </c>
      <c r="F40" s="1429"/>
      <c r="G40" s="1429"/>
      <c r="H40" s="1430"/>
      <c r="I40" s="1430"/>
      <c r="J40" s="1430"/>
      <c r="K40" s="1430"/>
      <c r="L40" s="1429" t="s">
        <v>363</v>
      </c>
      <c r="M40" s="1429"/>
      <c r="N40" s="1429"/>
      <c r="O40" s="177"/>
      <c r="P40" s="177"/>
      <c r="Q40" s="177"/>
      <c r="R40" s="177"/>
      <c r="S40" s="177"/>
      <c r="T40" s="177"/>
    </row>
    <row r="41" spans="1:20" ht="33" customHeight="1" x14ac:dyDescent="0.3">
      <c r="A41" s="1080"/>
      <c r="B41" s="1427"/>
      <c r="C41" s="1427"/>
      <c r="D41" s="1428"/>
      <c r="E41" s="1429"/>
      <c r="F41" s="1429"/>
      <c r="G41" s="1429"/>
      <c r="H41" s="1430"/>
      <c r="I41" s="1430"/>
      <c r="J41" s="1430"/>
      <c r="K41" s="1430"/>
      <c r="L41" s="1429"/>
      <c r="M41" s="1429"/>
      <c r="N41" s="1429"/>
      <c r="O41" s="177"/>
      <c r="P41" s="177"/>
      <c r="Q41" s="177"/>
      <c r="R41" s="177"/>
      <c r="S41" s="177"/>
      <c r="T41" s="177"/>
    </row>
    <row r="42" spans="1:20" s="169" customFormat="1" ht="44.4" customHeight="1" x14ac:dyDescent="0.3">
      <c r="A42" s="1081"/>
      <c r="B42" s="1393" t="s">
        <v>364</v>
      </c>
      <c r="C42" s="1393"/>
      <c r="D42" s="1393"/>
      <c r="E42" s="1393"/>
      <c r="F42" s="1393"/>
      <c r="G42" s="1393"/>
      <c r="H42" s="1393"/>
      <c r="I42" s="1393"/>
      <c r="J42" s="1393"/>
      <c r="K42" s="1393"/>
      <c r="L42" s="1393"/>
      <c r="M42" s="1393"/>
      <c r="N42" s="1393"/>
      <c r="O42" s="161"/>
      <c r="P42" s="161"/>
      <c r="Q42" s="161"/>
      <c r="R42" s="161"/>
      <c r="S42" s="161"/>
      <c r="T42" s="161"/>
    </row>
    <row r="170" spans="3:3" x14ac:dyDescent="0.3">
      <c r="C170" t="s">
        <v>365</v>
      </c>
    </row>
  </sheetData>
  <sheetProtection sheet="1" objects="1" scenarios="1" selectLockedCells="1"/>
  <mergeCells count="43">
    <mergeCell ref="B41:D41"/>
    <mergeCell ref="E41:G41"/>
    <mergeCell ref="H41:K41"/>
    <mergeCell ref="L41:N41"/>
    <mergeCell ref="B39:D39"/>
    <mergeCell ref="E39:G39"/>
    <mergeCell ref="H39:K39"/>
    <mergeCell ref="L39:N39"/>
    <mergeCell ref="B40:D40"/>
    <mergeCell ref="E40:G40"/>
    <mergeCell ref="H40:K40"/>
    <mergeCell ref="L40:N40"/>
    <mergeCell ref="B31:N31"/>
    <mergeCell ref="B35:N35"/>
    <mergeCell ref="B38:D38"/>
    <mergeCell ref="E38:G38"/>
    <mergeCell ref="H38:K38"/>
    <mergeCell ref="L38:N38"/>
    <mergeCell ref="D22:F22"/>
    <mergeCell ref="B29:N29"/>
    <mergeCell ref="B23:C23"/>
    <mergeCell ref="B24:C24"/>
    <mergeCell ref="D23:F23"/>
    <mergeCell ref="B25:C25"/>
    <mergeCell ref="D25:F25"/>
    <mergeCell ref="B27:N27"/>
    <mergeCell ref="B26:I26"/>
    <mergeCell ref="B42:N42"/>
    <mergeCell ref="B11:G11"/>
    <mergeCell ref="H11:N11"/>
    <mergeCell ref="B12:C12"/>
    <mergeCell ref="D12:G12"/>
    <mergeCell ref="H12:J12"/>
    <mergeCell ref="K12:N12"/>
    <mergeCell ref="B13:C13"/>
    <mergeCell ref="D13:G13"/>
    <mergeCell ref="H13:J13"/>
    <mergeCell ref="K13:N13"/>
    <mergeCell ref="B14:C14"/>
    <mergeCell ref="D14:N14"/>
    <mergeCell ref="B21:C21"/>
    <mergeCell ref="D21:F21"/>
    <mergeCell ref="B22:C22"/>
  </mergeCells>
  <dataValidations count="1">
    <dataValidation type="list" allowBlank="1" showInputMessage="1" showErrorMessage="1" sqref="B23:C25" xr:uid="{D5F1F288-04CA-486A-A81D-C9E91E340A2F}">
      <formula1>list_departments</formula1>
    </dataValidation>
  </dataValidations>
  <printOptions horizontalCentered="1"/>
  <pageMargins left="0.25" right="0.25" top="0.54" bottom="0.4" header="0.3" footer="0.3"/>
  <pageSetup paperSize="9" scale="93" fitToHeight="0" orientation="portrait" horizontalDpi="1200" verticalDpi="1200" r:id="rId1"/>
  <headerFooter>
    <oddFooter>&amp;RRIC 25 Jul 2018</oddFooter>
  </headerFooter>
  <ignoredErrors>
    <ignoredError sqref="O2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79C6F-8A2A-4E6E-862F-F74CD2F3D7A4}">
  <sheetPr codeName="Sheet15">
    <tabColor rgb="FF0070C0"/>
    <pageSetUpPr autoPageBreaks="0" fitToPage="1"/>
  </sheetPr>
  <dimension ref="A1:Q45"/>
  <sheetViews>
    <sheetView showGridLines="0" workbookViewId="0">
      <selection activeCell="N1" sqref="N1"/>
    </sheetView>
  </sheetViews>
  <sheetFormatPr defaultColWidth="8.5546875" defaultRowHeight="14.4" outlineLevelRow="1" x14ac:dyDescent="0.3"/>
  <cols>
    <col min="1" max="1" width="19.6640625" customWidth="1"/>
    <col min="2" max="2" width="8.33203125" customWidth="1"/>
    <col min="3" max="3" width="49" customWidth="1"/>
    <col min="4" max="4" width="30.44140625" customWidth="1"/>
    <col min="5" max="5" width="17" customWidth="1"/>
  </cols>
  <sheetData>
    <row r="1" spans="1:17" ht="45" customHeight="1" x14ac:dyDescent="0.3">
      <c r="A1" s="299"/>
      <c r="B1" s="700" t="str">
        <f>tool_name_and_version</f>
        <v>Research Costing and Pricing tool v4.3.1</v>
      </c>
      <c r="C1" s="299"/>
      <c r="D1" s="299"/>
      <c r="E1" s="299"/>
      <c r="F1" s="299"/>
      <c r="G1" s="299"/>
      <c r="H1" s="299"/>
      <c r="I1" s="299"/>
      <c r="N1" s="229"/>
      <c r="Q1" s="1246"/>
    </row>
    <row r="2" spans="1:17" ht="27" customHeight="1" x14ac:dyDescent="0.3">
      <c r="A2" s="1086"/>
      <c r="B2" s="1086"/>
      <c r="C2" s="1087"/>
      <c r="D2" s="1087"/>
      <c r="E2" s="1087"/>
      <c r="F2" s="1087"/>
      <c r="G2" s="1087"/>
      <c r="H2" s="1087"/>
      <c r="I2" s="1087"/>
      <c r="O2" s="7"/>
      <c r="Q2" s="1246"/>
    </row>
    <row r="3" spans="1:17" x14ac:dyDescent="0.3">
      <c r="A3" s="1080"/>
      <c r="B3" s="229" t="s">
        <v>366</v>
      </c>
      <c r="E3" s="1246"/>
      <c r="O3" s="225"/>
      <c r="Q3" s="1246"/>
    </row>
    <row r="4" spans="1:17" x14ac:dyDescent="0.3">
      <c r="A4" s="1080"/>
      <c r="E4" s="1246"/>
      <c r="N4" s="226"/>
      <c r="O4" s="227"/>
      <c r="Q4" s="1246"/>
    </row>
    <row r="5" spans="1:17" ht="14.4" customHeight="1" x14ac:dyDescent="0.3">
      <c r="A5" s="1080"/>
      <c r="B5" t="s">
        <v>367</v>
      </c>
      <c r="C5" s="229" t="s">
        <v>368</v>
      </c>
      <c r="E5" s="1246"/>
      <c r="N5" s="1433"/>
      <c r="O5" s="1433"/>
      <c r="P5" s="1433"/>
    </row>
    <row r="6" spans="1:17" ht="20.85" customHeight="1" x14ac:dyDescent="0.3">
      <c r="A6" s="1080"/>
      <c r="B6" s="1074" t="s">
        <v>369</v>
      </c>
      <c r="C6" s="1075" t="str">
        <f>IF(tbProjectTitle="","Please enter the title in step 1. Project Details",tbProjectTitle)</f>
        <v>Please enter the title in step 1. Project Details</v>
      </c>
      <c r="E6" s="1246"/>
      <c r="N6" s="12"/>
    </row>
    <row r="7" spans="1:17" ht="32.1" customHeight="1" x14ac:dyDescent="0.3">
      <c r="A7" s="1080"/>
      <c r="B7" s="1435" t="s">
        <v>370</v>
      </c>
      <c r="C7" s="1435"/>
      <c r="D7" s="1435"/>
      <c r="N7" s="1433"/>
      <c r="O7" s="1433"/>
      <c r="P7" s="1433"/>
    </row>
    <row r="8" spans="1:17" ht="30.6" customHeight="1" x14ac:dyDescent="0.3">
      <c r="A8" s="1080"/>
      <c r="B8" s="1076" t="s">
        <v>371</v>
      </c>
      <c r="N8" s="1433"/>
      <c r="O8" s="1433"/>
      <c r="P8" s="1433"/>
    </row>
    <row r="9" spans="1:17" ht="20.85" customHeight="1" x14ac:dyDescent="0.3">
      <c r="A9" s="1080"/>
      <c r="B9" s="1440" t="s">
        <v>372</v>
      </c>
      <c r="C9" s="1441"/>
      <c r="D9" s="1077" t="s">
        <v>373</v>
      </c>
      <c r="N9" s="1433"/>
      <c r="O9" s="1433"/>
      <c r="P9" s="1433"/>
    </row>
    <row r="10" spans="1:17" ht="17.850000000000001" customHeight="1" x14ac:dyDescent="0.3">
      <c r="A10" s="1080"/>
      <c r="B10" s="1438"/>
      <c r="C10" s="1439"/>
      <c r="D10" s="1078"/>
      <c r="N10" s="1433"/>
      <c r="O10" s="1433"/>
      <c r="P10" s="1433"/>
    </row>
    <row r="11" spans="1:17" ht="17.850000000000001" customHeight="1" x14ac:dyDescent="0.3">
      <c r="A11" s="1080"/>
      <c r="B11" s="1438"/>
      <c r="C11" s="1439"/>
      <c r="D11" s="1078"/>
      <c r="N11" s="1433"/>
      <c r="O11" s="1433"/>
      <c r="P11" s="1433"/>
    </row>
    <row r="12" spans="1:17" ht="17.850000000000001" customHeight="1" x14ac:dyDescent="0.3">
      <c r="A12" s="1080"/>
      <c r="B12" s="1438"/>
      <c r="C12" s="1439"/>
      <c r="D12" s="1078"/>
    </row>
    <row r="13" spans="1:17" ht="17.850000000000001" customHeight="1" x14ac:dyDescent="0.3">
      <c r="A13" s="1080"/>
      <c r="B13" s="1438"/>
      <c r="C13" s="1439"/>
      <c r="D13" s="1078"/>
    </row>
    <row r="14" spans="1:17" outlineLevel="1" x14ac:dyDescent="0.3">
      <c r="A14" s="1080"/>
      <c r="B14" s="1438"/>
      <c r="C14" s="1439"/>
      <c r="D14" s="1078"/>
    </row>
    <row r="15" spans="1:17" outlineLevel="1" x14ac:dyDescent="0.3">
      <c r="A15" s="1080"/>
      <c r="B15" s="1438"/>
      <c r="C15" s="1439"/>
      <c r="D15" s="1078"/>
    </row>
    <row r="16" spans="1:17" outlineLevel="1" x14ac:dyDescent="0.3">
      <c r="A16" s="1080"/>
      <c r="B16" s="1438"/>
      <c r="C16" s="1439"/>
      <c r="D16" s="1078"/>
    </row>
    <row r="17" spans="1:5" outlineLevel="1" x14ac:dyDescent="0.3">
      <c r="A17" s="1080"/>
      <c r="B17" s="1438"/>
      <c r="C17" s="1439"/>
      <c r="D17" s="1078"/>
    </row>
    <row r="18" spans="1:5" outlineLevel="1" collapsed="1" x14ac:dyDescent="0.3">
      <c r="A18" s="1080"/>
      <c r="B18" s="1438"/>
      <c r="C18" s="1439"/>
      <c r="D18" s="1078"/>
    </row>
    <row r="19" spans="1:5" outlineLevel="1" x14ac:dyDescent="0.3">
      <c r="A19" s="1080"/>
      <c r="B19" s="1438"/>
      <c r="C19" s="1439"/>
      <c r="D19" s="1078"/>
    </row>
    <row r="20" spans="1:5" outlineLevel="1" x14ac:dyDescent="0.3">
      <c r="A20" s="1080"/>
      <c r="B20" s="1438"/>
      <c r="C20" s="1439"/>
      <c r="D20" s="1078"/>
    </row>
    <row r="21" spans="1:5" outlineLevel="1" x14ac:dyDescent="0.3">
      <c r="A21" s="1080"/>
      <c r="B21" s="1438"/>
      <c r="C21" s="1439"/>
      <c r="D21" s="1078"/>
    </row>
    <row r="22" spans="1:5" s="228" customFormat="1" ht="26.85" customHeight="1" x14ac:dyDescent="0.3">
      <c r="A22" s="1085"/>
      <c r="B22" s="1076" t="s">
        <v>374</v>
      </c>
      <c r="C22"/>
      <c r="D22"/>
      <c r="E22"/>
    </row>
    <row r="23" spans="1:5" s="228" customFormat="1" ht="19.350000000000001" customHeight="1" x14ac:dyDescent="0.3">
      <c r="A23" s="1085"/>
      <c r="B23" s="1436">
        <f>vl_contract_val_ex_gst</f>
        <v>0</v>
      </c>
      <c r="C23" s="1436"/>
      <c r="D23"/>
      <c r="E23"/>
    </row>
    <row r="24" spans="1:5" s="228" customFormat="1" ht="13.5" customHeight="1" x14ac:dyDescent="0.3">
      <c r="A24" s="1085"/>
      <c r="B24" s="1076" t="s">
        <v>375</v>
      </c>
      <c r="C24"/>
      <c r="D24"/>
      <c r="E24"/>
    </row>
    <row r="25" spans="1:5" s="228" customFormat="1" ht="19.350000000000001" customHeight="1" x14ac:dyDescent="0.3">
      <c r="A25" s="1085"/>
      <c r="B25" s="1436">
        <f>IF(vl_uni_position&gt;0,vl_uni_position,0-vl_uni_position)</f>
        <v>0</v>
      </c>
      <c r="C25" s="1436"/>
      <c r="D25"/>
      <c r="E25"/>
    </row>
    <row r="26" spans="1:5" ht="58.35" customHeight="1" x14ac:dyDescent="0.3">
      <c r="A26" s="1080"/>
      <c r="B26" s="1437" t="s">
        <v>376</v>
      </c>
      <c r="C26" s="1437"/>
      <c r="D26" s="1437"/>
    </row>
    <row r="27" spans="1:5" ht="65.099999999999994" customHeight="1" x14ac:dyDescent="0.3">
      <c r="A27" s="1080"/>
      <c r="B27" s="1437" t="s">
        <v>377</v>
      </c>
      <c r="C27" s="1437"/>
      <c r="D27" s="1437"/>
    </row>
    <row r="28" spans="1:5" ht="21" customHeight="1" x14ac:dyDescent="0.3">
      <c r="A28" s="1080"/>
      <c r="B28" s="1434" t="s">
        <v>378</v>
      </c>
      <c r="C28" s="1434"/>
    </row>
    <row r="29" spans="1:5" x14ac:dyDescent="0.3">
      <c r="A29" s="1080"/>
      <c r="B29" s="229" t="s">
        <v>379</v>
      </c>
    </row>
    <row r="30" spans="1:5" x14ac:dyDescent="0.3">
      <c r="A30" s="1080"/>
      <c r="B30" s="1434" t="str">
        <f>IF(tbChiefInvestigator1="","Please enter CI name in step 1. Project Details",tbChiefInvestigator1)</f>
        <v>Please enter CI name in step 1. Project Details</v>
      </c>
      <c r="C30" s="1434"/>
    </row>
    <row r="31" spans="1:5" x14ac:dyDescent="0.3">
      <c r="A31" s="1080"/>
      <c r="B31" s="1434" t="s">
        <v>380</v>
      </c>
      <c r="C31" s="1434"/>
    </row>
    <row r="32" spans="1:5" x14ac:dyDescent="0.3">
      <c r="A32" s="1080"/>
      <c r="B32" s="229" t="s">
        <v>381</v>
      </c>
    </row>
    <row r="33" spans="1:3" x14ac:dyDescent="0.3">
      <c r="A33" s="1080"/>
      <c r="B33" s="229" t="s">
        <v>382</v>
      </c>
    </row>
    <row r="34" spans="1:3" x14ac:dyDescent="0.3">
      <c r="A34" s="1080"/>
      <c r="C34" s="7"/>
    </row>
    <row r="35" spans="1:3" x14ac:dyDescent="0.3">
      <c r="A35" s="1080"/>
    </row>
    <row r="36" spans="1:3" x14ac:dyDescent="0.3">
      <c r="A36" s="1080"/>
    </row>
    <row r="37" spans="1:3" x14ac:dyDescent="0.3">
      <c r="A37" s="1080"/>
    </row>
    <row r="38" spans="1:3" x14ac:dyDescent="0.3">
      <c r="A38" s="1080"/>
    </row>
    <row r="39" spans="1:3" x14ac:dyDescent="0.3">
      <c r="A39" s="1080"/>
    </row>
    <row r="40" spans="1:3" x14ac:dyDescent="0.3">
      <c r="A40" s="1080"/>
    </row>
    <row r="41" spans="1:3" x14ac:dyDescent="0.3">
      <c r="A41" s="1080"/>
    </row>
    <row r="42" spans="1:3" x14ac:dyDescent="0.3">
      <c r="A42" s="1080"/>
    </row>
    <row r="43" spans="1:3" x14ac:dyDescent="0.3">
      <c r="A43" s="1080"/>
    </row>
    <row r="44" spans="1:3" x14ac:dyDescent="0.3">
      <c r="A44" s="1080"/>
    </row>
    <row r="45" spans="1:3" x14ac:dyDescent="0.3">
      <c r="A45" s="1080"/>
    </row>
  </sheetData>
  <sheetProtection sheet="1" selectLockedCells="1"/>
  <mergeCells count="29">
    <mergeCell ref="B17:C17"/>
    <mergeCell ref="B18:C18"/>
    <mergeCell ref="B19:C19"/>
    <mergeCell ref="B20:C20"/>
    <mergeCell ref="B21:C21"/>
    <mergeCell ref="B31:C31"/>
    <mergeCell ref="B30:C30"/>
    <mergeCell ref="B28:C28"/>
    <mergeCell ref="B7:D7"/>
    <mergeCell ref="B23:C23"/>
    <mergeCell ref="B25:C25"/>
    <mergeCell ref="B26:D26"/>
    <mergeCell ref="B27:D27"/>
    <mergeCell ref="B12:C12"/>
    <mergeCell ref="B13:C13"/>
    <mergeCell ref="B11:C11"/>
    <mergeCell ref="B10:C10"/>
    <mergeCell ref="B9:C9"/>
    <mergeCell ref="B14:C14"/>
    <mergeCell ref="B15:C15"/>
    <mergeCell ref="B16:C16"/>
    <mergeCell ref="N9:P9"/>
    <mergeCell ref="N10:P10"/>
    <mergeCell ref="N11:P11"/>
    <mergeCell ref="E3:E6"/>
    <mergeCell ref="Q1:Q4"/>
    <mergeCell ref="N5:P5"/>
    <mergeCell ref="N7:P7"/>
    <mergeCell ref="N8:P8"/>
  </mergeCells>
  <conditionalFormatting sqref="B29:C29">
    <cfRule type="expression" dxfId="10" priority="13">
      <formula>$B$29="[Insert Title]"</formula>
    </cfRule>
  </conditionalFormatting>
  <conditionalFormatting sqref="B32:C32">
    <cfRule type="expression" dxfId="9" priority="12">
      <formula>$B$32="[Insert phone number]"</formula>
    </cfRule>
  </conditionalFormatting>
  <conditionalFormatting sqref="B33:C33">
    <cfRule type="expression" dxfId="8" priority="11">
      <formula>$B$33="[Insert email]"</formula>
    </cfRule>
  </conditionalFormatting>
  <conditionalFormatting sqref="B3">
    <cfRule type="expression" dxfId="7" priority="10">
      <formula>$B$3="[Enter date]"</formula>
    </cfRule>
  </conditionalFormatting>
  <conditionalFormatting sqref="C5">
    <cfRule type="expression" dxfId="6" priority="9">
      <formula>$C$5="[Enter funder contact name]"</formula>
    </cfRule>
  </conditionalFormatting>
  <conditionalFormatting sqref="N1">
    <cfRule type="expression" dxfId="5" priority="2">
      <formula>$B$3="[Enter date]"</formula>
    </cfRule>
  </conditionalFormatting>
  <conditionalFormatting sqref="O3">
    <cfRule type="expression" dxfId="4" priority="1">
      <formula>$C$5="[Enter funder contact name]"</formula>
    </cfRule>
  </conditionalFormatting>
  <dataValidations xWindow="439" yWindow="563" count="3">
    <dataValidation allowBlank="1" showInputMessage="1" showErrorMessage="1" promptTitle="CI email address" prompt="Please enter the CI email address" sqref="D33" xr:uid="{714B0606-4367-4CEF-8E40-BBF991FA1F6F}"/>
    <dataValidation allowBlank="1" showErrorMessage="1" promptTitle="CI title" prompt="Please enter the CI title" sqref="B29 B32:B33" xr:uid="{A3E58AAA-2BC7-4A39-ACD6-7606116AE553}"/>
    <dataValidation allowBlank="1" showErrorMessage="1" promptTitle=" Funder contact name" prompt="Insert the funder contact name" sqref="C5 O3" xr:uid="{A65F2CA6-F370-4A32-8DEE-15B167794A2D}"/>
  </dataValidations>
  <pageMargins left="0.7" right="0.7" top="0.75" bottom="0.75" header="0.3" footer="0.3"/>
  <pageSetup paperSize="9" scale="99" fitToHeight="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5EB18-7298-4D4D-908B-A4846EC8FB48}">
  <sheetPr codeName="Sheet28">
    <pageSetUpPr autoPageBreaks="0"/>
  </sheetPr>
  <dimension ref="A1:O38"/>
  <sheetViews>
    <sheetView showGridLines="0" zoomScaleNormal="100" workbookViewId="0">
      <pane xSplit="1" topLeftCell="B1" activePane="topRight" state="frozen"/>
      <selection pane="topRight"/>
    </sheetView>
  </sheetViews>
  <sheetFormatPr defaultColWidth="8.88671875" defaultRowHeight="14.4" x14ac:dyDescent="0.3"/>
  <cols>
    <col min="1" max="1" width="19.88671875" style="204" customWidth="1"/>
    <col min="2" max="2" width="8.88671875" style="204"/>
    <col min="3" max="3" width="30.5546875" style="204" customWidth="1"/>
    <col min="4" max="4" width="60.6640625" style="204" customWidth="1"/>
    <col min="5" max="8" width="8.88671875" style="204"/>
    <col min="9" max="9" width="18.6640625" style="204" customWidth="1"/>
    <col min="10" max="16384" width="8.88671875" style="204"/>
  </cols>
  <sheetData>
    <row r="1" spans="1:15" ht="39.6" customHeight="1" x14ac:dyDescent="0.3">
      <c r="A1" s="668"/>
      <c r="B1" s="694" t="str">
        <f>tool_name_and_version</f>
        <v>Research Costing and Pricing tool v4.3.1</v>
      </c>
      <c r="C1" s="666"/>
      <c r="D1" s="666"/>
      <c r="E1" s="666"/>
      <c r="F1" s="666"/>
      <c r="G1" s="666"/>
      <c r="H1" s="666"/>
      <c r="I1" s="666"/>
      <c r="J1" s="666"/>
      <c r="K1" s="666"/>
      <c r="L1" s="666"/>
      <c r="M1" s="666"/>
      <c r="N1" s="666"/>
      <c r="O1" s="666"/>
    </row>
    <row r="2" spans="1:15" ht="23.4" customHeight="1" x14ac:dyDescent="0.3">
      <c r="A2" s="1091"/>
      <c r="B2" s="1086"/>
      <c r="C2" s="1090"/>
      <c r="D2" s="1090"/>
      <c r="E2" s="1090"/>
      <c r="F2" s="1090"/>
      <c r="G2" s="1090"/>
      <c r="H2" s="1090"/>
      <c r="I2" s="1090"/>
      <c r="J2" s="1090"/>
      <c r="K2" s="1090"/>
      <c r="L2" s="1090"/>
      <c r="M2" s="1090"/>
      <c r="N2" s="1090"/>
      <c r="O2" s="1090"/>
    </row>
    <row r="3" spans="1:15" customFormat="1" ht="7.2" customHeight="1" x14ac:dyDescent="0.3">
      <c r="A3" s="702"/>
      <c r="B3" s="703"/>
      <c r="C3" s="704"/>
      <c r="D3" s="704"/>
      <c r="E3" s="704"/>
      <c r="F3" s="704"/>
      <c r="G3" s="704"/>
      <c r="H3" s="704"/>
      <c r="I3" s="704"/>
    </row>
    <row r="4" spans="1:15" ht="28.2" customHeight="1" x14ac:dyDescent="0.3">
      <c r="A4" s="1442" t="s">
        <v>383</v>
      </c>
      <c r="B4" s="1442"/>
      <c r="C4" s="1442"/>
      <c r="D4" s="1442"/>
      <c r="E4" s="1442"/>
      <c r="F4" s="1442"/>
      <c r="G4" s="1442"/>
      <c r="H4" s="1442"/>
      <c r="I4" s="1442"/>
      <c r="J4" s="714"/>
      <c r="K4" s="714"/>
      <c r="L4" s="714"/>
      <c r="M4" s="714"/>
      <c r="N4" s="714"/>
      <c r="O4" s="714"/>
    </row>
    <row r="5" spans="1:15" x14ac:dyDescent="0.3">
      <c r="A5" s="705"/>
    </row>
    <row r="6" spans="1:15" ht="18" x14ac:dyDescent="0.35">
      <c r="A6" s="705"/>
      <c r="C6" s="1092" t="s">
        <v>384</v>
      </c>
      <c r="D6" s="956"/>
      <c r="F6" s="1131" t="s">
        <v>385</v>
      </c>
      <c r="G6" s="1132"/>
      <c r="H6" s="1132"/>
      <c r="I6" s="1132"/>
      <c r="J6" s="1132"/>
      <c r="K6" s="1132"/>
      <c r="L6" s="1132"/>
      <c r="M6" s="1132"/>
      <c r="N6" s="1132"/>
      <c r="O6" s="1133"/>
    </row>
    <row r="7" spans="1:15" x14ac:dyDescent="0.3">
      <c r="A7" s="705"/>
      <c r="F7" s="1057"/>
      <c r="G7" s="299"/>
      <c r="H7" s="299"/>
      <c r="I7" s="299"/>
      <c r="J7" s="299"/>
      <c r="K7" s="299"/>
      <c r="L7" s="299"/>
      <c r="M7" s="299"/>
      <c r="N7" s="299"/>
      <c r="O7" s="1058"/>
    </row>
    <row r="8" spans="1:15" ht="15" customHeight="1" x14ac:dyDescent="0.3">
      <c r="A8" s="705"/>
      <c r="C8" s="656" t="s">
        <v>386</v>
      </c>
      <c r="D8" s="10" t="str">
        <f>vl_project_attribute_string</f>
        <v/>
      </c>
      <c r="F8" s="1443" t="s">
        <v>387</v>
      </c>
      <c r="G8" s="1444"/>
      <c r="H8" s="1444"/>
      <c r="I8" s="1444"/>
      <c r="J8" s="1444"/>
      <c r="K8" s="1444"/>
      <c r="L8" s="1444"/>
      <c r="M8" s="1444"/>
      <c r="N8" s="1444"/>
      <c r="O8" s="1445"/>
    </row>
    <row r="9" spans="1:15" x14ac:dyDescent="0.3">
      <c r="A9" s="705"/>
      <c r="F9" s="1443"/>
      <c r="G9" s="1444"/>
      <c r="H9" s="1444"/>
      <c r="I9" s="1444"/>
      <c r="J9" s="1444"/>
      <c r="K9" s="1444"/>
      <c r="L9" s="1444"/>
      <c r="M9" s="1444"/>
      <c r="N9" s="1444"/>
      <c r="O9" s="1445"/>
    </row>
    <row r="10" spans="1:15" x14ac:dyDescent="0.3">
      <c r="A10" s="705"/>
      <c r="C10" s="656" t="s">
        <v>388</v>
      </c>
      <c r="D10" s="1185"/>
      <c r="F10" s="1443"/>
      <c r="G10" s="1444"/>
      <c r="H10" s="1444"/>
      <c r="I10" s="1444"/>
      <c r="J10" s="1444"/>
      <c r="K10" s="1444"/>
      <c r="L10" s="1444"/>
      <c r="M10" s="1444"/>
      <c r="N10" s="1444"/>
      <c r="O10" s="1445"/>
    </row>
    <row r="11" spans="1:15" x14ac:dyDescent="0.3">
      <c r="A11" s="705"/>
      <c r="C11" s="656"/>
      <c r="F11" s="1443"/>
      <c r="G11" s="1444"/>
      <c r="H11" s="1444"/>
      <c r="I11" s="1444"/>
      <c r="J11" s="1444"/>
      <c r="K11" s="1444"/>
      <c r="L11" s="1444"/>
      <c r="M11" s="1444"/>
      <c r="N11" s="1444"/>
      <c r="O11" s="1445"/>
    </row>
    <row r="12" spans="1:15" x14ac:dyDescent="0.3">
      <c r="A12" s="705"/>
      <c r="C12" s="656" t="s">
        <v>389</v>
      </c>
      <c r="D12" s="10" t="str">
        <f>tbExternalParty1</f>
        <v>Other</v>
      </c>
      <c r="F12" s="1443"/>
      <c r="G12" s="1444"/>
      <c r="H12" s="1444"/>
      <c r="I12" s="1444"/>
      <c r="J12" s="1444"/>
      <c r="K12" s="1444"/>
      <c r="L12" s="1444"/>
      <c r="M12" s="1444"/>
      <c r="N12" s="1444"/>
      <c r="O12" s="1445"/>
    </row>
    <row r="13" spans="1:15" x14ac:dyDescent="0.3">
      <c r="A13" s="705"/>
      <c r="C13" s="656"/>
      <c r="D13" s="657" t="str">
        <f>IF(tb_Other_Ext_party="","",tb_Other_Ext_party)</f>
        <v/>
      </c>
      <c r="F13" s="1443"/>
      <c r="G13" s="1444"/>
      <c r="H13" s="1444"/>
      <c r="I13" s="1444"/>
      <c r="J13" s="1444"/>
      <c r="K13" s="1444"/>
      <c r="L13" s="1444"/>
      <c r="M13" s="1444"/>
      <c r="N13" s="1444"/>
      <c r="O13" s="1445"/>
    </row>
    <row r="14" spans="1:15" ht="15" customHeight="1" x14ac:dyDescent="0.3">
      <c r="A14" s="705"/>
      <c r="C14" s="656" t="s">
        <v>390</v>
      </c>
      <c r="D14" s="1060"/>
      <c r="F14" s="1443"/>
      <c r="G14" s="1444"/>
      <c r="H14" s="1444"/>
      <c r="I14" s="1444"/>
      <c r="J14" s="1444"/>
      <c r="K14" s="1444"/>
      <c r="L14" s="1444"/>
      <c r="M14" s="1444"/>
      <c r="N14" s="1444"/>
      <c r="O14" s="1445"/>
    </row>
    <row r="15" spans="1:15" ht="14.4" customHeight="1" x14ac:dyDescent="0.3">
      <c r="A15" s="705"/>
      <c r="C15" s="656"/>
      <c r="F15" s="1443"/>
      <c r="G15" s="1444"/>
      <c r="H15" s="1444"/>
      <c r="I15" s="1444"/>
      <c r="J15" s="1444"/>
      <c r="K15" s="1444"/>
      <c r="L15" s="1444"/>
      <c r="M15" s="1444"/>
      <c r="N15" s="1444"/>
      <c r="O15" s="1445"/>
    </row>
    <row r="16" spans="1:15" x14ac:dyDescent="0.3">
      <c r="A16" s="705"/>
      <c r="C16" s="656" t="s">
        <v>392</v>
      </c>
      <c r="D16" s="655" t="str">
        <f>IFERROR(IF(OR(tbExternalParty1="ARC",tbExternalParty1="NHMRC"),VLOOKUP(tbExternalParty1,'Lookup Tables'!AO4:AP10,2,FALSE),VLOOKUP(eib_other_ext_party_category,'Lookup Tables'!AO4:AP10,2,FALSE)),"")</f>
        <v/>
      </c>
      <c r="F16" s="1443"/>
      <c r="G16" s="1444"/>
      <c r="H16" s="1444"/>
      <c r="I16" s="1444"/>
      <c r="J16" s="1444"/>
      <c r="K16" s="1444"/>
      <c r="L16" s="1444"/>
      <c r="M16" s="1444"/>
      <c r="N16" s="1444"/>
      <c r="O16" s="1445"/>
    </row>
    <row r="17" spans="1:15" x14ac:dyDescent="0.3">
      <c r="A17" s="705"/>
      <c r="F17" s="1443"/>
      <c r="G17" s="1444"/>
      <c r="H17" s="1444"/>
      <c r="I17" s="1444"/>
      <c r="J17" s="1444"/>
      <c r="K17" s="1444"/>
      <c r="L17" s="1444"/>
      <c r="M17" s="1444"/>
      <c r="N17" s="1444"/>
      <c r="O17" s="1445"/>
    </row>
    <row r="18" spans="1:15" x14ac:dyDescent="0.3">
      <c r="A18" s="705"/>
      <c r="F18" s="1443"/>
      <c r="G18" s="1444"/>
      <c r="H18" s="1444"/>
      <c r="I18" s="1444"/>
      <c r="J18" s="1444"/>
      <c r="K18" s="1444"/>
      <c r="L18" s="1444"/>
      <c r="M18" s="1444"/>
      <c r="N18" s="1444"/>
      <c r="O18" s="1445"/>
    </row>
    <row r="19" spans="1:15" x14ac:dyDescent="0.3">
      <c r="A19" s="705"/>
      <c r="F19" s="1057"/>
      <c r="G19" s="299"/>
      <c r="H19" s="299"/>
      <c r="I19" s="299"/>
      <c r="J19" s="299"/>
      <c r="K19" s="299"/>
      <c r="L19" s="299"/>
      <c r="M19" s="299"/>
      <c r="N19" s="299"/>
      <c r="O19" s="1058"/>
    </row>
    <row r="20" spans="1:15" x14ac:dyDescent="0.3">
      <c r="A20" s="705"/>
      <c r="F20" s="1057"/>
      <c r="G20" s="299"/>
      <c r="H20" s="299"/>
      <c r="I20" s="299"/>
      <c r="J20" s="299"/>
      <c r="K20" s="299"/>
      <c r="L20" s="299"/>
      <c r="M20" s="299"/>
      <c r="N20" s="299"/>
      <c r="O20" s="1058"/>
    </row>
    <row r="21" spans="1:15" x14ac:dyDescent="0.3">
      <c r="A21" s="705"/>
      <c r="F21" s="1057"/>
      <c r="G21" s="299"/>
      <c r="H21" s="299"/>
      <c r="I21" s="299"/>
      <c r="J21" s="299"/>
      <c r="K21" s="299"/>
      <c r="L21" s="299"/>
      <c r="M21" s="299"/>
      <c r="N21" s="299"/>
      <c r="O21" s="1058"/>
    </row>
    <row r="22" spans="1:15" x14ac:dyDescent="0.3">
      <c r="A22" s="705"/>
      <c r="F22" s="1061"/>
      <c r="G22" s="1062"/>
      <c r="H22" s="1062"/>
      <c r="I22" s="1062"/>
      <c r="J22" s="1062"/>
      <c r="K22" s="1062"/>
      <c r="L22" s="1062"/>
      <c r="M22" s="1062"/>
      <c r="N22" s="1062"/>
      <c r="O22" s="1063"/>
    </row>
    <row r="23" spans="1:15" x14ac:dyDescent="0.3">
      <c r="A23" s="705"/>
    </row>
    <row r="24" spans="1:15" x14ac:dyDescent="0.3">
      <c r="A24" s="705"/>
    </row>
    <row r="25" spans="1:15" x14ac:dyDescent="0.3">
      <c r="A25" s="705"/>
    </row>
    <row r="26" spans="1:15" x14ac:dyDescent="0.3">
      <c r="A26" s="705"/>
    </row>
    <row r="27" spans="1:15" x14ac:dyDescent="0.3">
      <c r="A27" s="705"/>
    </row>
    <row r="28" spans="1:15" x14ac:dyDescent="0.3">
      <c r="A28" s="705"/>
    </row>
    <row r="29" spans="1:15" x14ac:dyDescent="0.3">
      <c r="A29" s="705"/>
    </row>
    <row r="30" spans="1:15" x14ac:dyDescent="0.3">
      <c r="A30" s="705"/>
    </row>
    <row r="31" spans="1:15" x14ac:dyDescent="0.3">
      <c r="A31" s="705"/>
    </row>
    <row r="32" spans="1:15" x14ac:dyDescent="0.3">
      <c r="A32" s="705"/>
    </row>
    <row r="33" spans="1:1" x14ac:dyDescent="0.3">
      <c r="A33" s="705"/>
    </row>
    <row r="34" spans="1:1" x14ac:dyDescent="0.3">
      <c r="A34" s="705"/>
    </row>
    <row r="35" spans="1:1" x14ac:dyDescent="0.3">
      <c r="A35" s="705"/>
    </row>
    <row r="36" spans="1:1" x14ac:dyDescent="0.3">
      <c r="A36" s="705"/>
    </row>
    <row r="37" spans="1:1" x14ac:dyDescent="0.3">
      <c r="A37" s="705"/>
    </row>
    <row r="38" spans="1:1" x14ac:dyDescent="0.3">
      <c r="A38" s="705"/>
    </row>
  </sheetData>
  <sheetProtection sheet="1" objects="1" scenarios="1"/>
  <mergeCells count="2">
    <mergeCell ref="A4:I4"/>
    <mergeCell ref="F8:O18"/>
  </mergeCells>
  <conditionalFormatting sqref="D14">
    <cfRule type="expression" dxfId="3" priority="1">
      <formula>NOT(ISBLANK($D$14))</formula>
    </cfRule>
    <cfRule type="expression" dxfId="2" priority="2">
      <formula>ISBLANK($D$14)</formula>
    </cfRule>
  </conditionalFormatting>
  <dataValidations count="1">
    <dataValidation type="list" allowBlank="1" showInputMessage="1" showErrorMessage="1" sqref="D14" xr:uid="{B4F44A2F-47F0-4FE9-8239-077FB504691E}">
      <formula1>vl_other_ext_party_cats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Generate_EIB">
                <anchor moveWithCells="1" sizeWithCells="1">
                  <from>
                    <xdr:col>3</xdr:col>
                    <xdr:colOff>518160</xdr:colOff>
                    <xdr:row>17</xdr:row>
                    <xdr:rowOff>137160</xdr:rowOff>
                  </from>
                  <to>
                    <xdr:col>3</xdr:col>
                    <xdr:colOff>2286000</xdr:colOff>
                    <xdr:row>19</xdr:row>
                    <xdr:rowOff>83820</xdr:rowOff>
                  </to>
                </anchor>
              </controlPr>
            </control>
          </mc:Choice>
        </mc:AlternateContent>
        <mc:AlternateContent xmlns:mc="http://schemas.openxmlformats.org/markup-compatibility/2006">
          <mc:Choice Requires="x14">
            <control shapeId="160770" r:id="rId5" name="Button 2">
              <controlPr defaultSize="0" print="0" autoFill="0" autoPict="0" macro="[0]!Open_Budget_Click">
                <anchor moveWithCells="1" sizeWithCells="1">
                  <from>
                    <xdr:col>3</xdr:col>
                    <xdr:colOff>670560</xdr:colOff>
                    <xdr:row>17</xdr:row>
                    <xdr:rowOff>30480</xdr:rowOff>
                  </from>
                  <to>
                    <xdr:col>3</xdr:col>
                    <xdr:colOff>2468880</xdr:colOff>
                    <xdr:row>19</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F2EFD-A2EA-4E3D-BB0C-C3C6A97E736F}">
  <sheetPr codeName="Sheet25">
    <pageSetUpPr autoPageBreaks="0"/>
  </sheetPr>
  <dimension ref="A1:Y63"/>
  <sheetViews>
    <sheetView workbookViewId="0">
      <pane ySplit="4" topLeftCell="A5" activePane="bottomLeft" state="frozen"/>
      <selection pane="bottomLeft" activeCell="H1" sqref="H1"/>
    </sheetView>
  </sheetViews>
  <sheetFormatPr defaultRowHeight="14.4" x14ac:dyDescent="0.3"/>
  <cols>
    <col min="2" max="2" width="16.44140625" customWidth="1"/>
    <col min="3" max="3" width="43.5546875" customWidth="1"/>
    <col min="4" max="4" width="30.44140625" customWidth="1"/>
    <col min="8" max="8" width="11.5546875" customWidth="1"/>
    <col min="9" max="18" width="9" bestFit="1" customWidth="1"/>
  </cols>
  <sheetData>
    <row r="1" spans="1:25" ht="23.4" x14ac:dyDescent="0.45">
      <c r="A1" s="649" t="s">
        <v>393</v>
      </c>
      <c r="H1" s="113" t="s">
        <v>394</v>
      </c>
    </row>
    <row r="2" spans="1:25" x14ac:dyDescent="0.3">
      <c r="A2" t="s">
        <v>395</v>
      </c>
    </row>
    <row r="4" spans="1:25" ht="57.6" x14ac:dyDescent="0.3">
      <c r="A4" s="715" t="s">
        <v>396</v>
      </c>
      <c r="B4" s="715" t="s">
        <v>397</v>
      </c>
      <c r="C4" s="715" t="s">
        <v>398</v>
      </c>
      <c r="D4" s="715" t="s">
        <v>399</v>
      </c>
      <c r="E4" s="716" t="s">
        <v>400</v>
      </c>
      <c r="F4" s="716" t="s">
        <v>401</v>
      </c>
      <c r="G4" s="716" t="s">
        <v>402</v>
      </c>
      <c r="H4" s="716" t="s">
        <v>403</v>
      </c>
      <c r="I4" s="716">
        <f>IF(pStartYear="",0,pStartYear)</f>
        <v>2026</v>
      </c>
      <c r="J4" s="716">
        <f>IF(OR(pStartYear="",pStartYear+1&gt;pEndYear),0,pStartYear+1)</f>
        <v>2027</v>
      </c>
      <c r="K4" s="716">
        <f>IF(OR(pStartYear="",pStartYear+2&gt;pEndYear),0,pStartYear+2)</f>
        <v>2028</v>
      </c>
      <c r="L4" s="716">
        <f>IF(OR(pStartYear="",pStartYear+3&gt;pEndYear),0,pStartYear+3)</f>
        <v>2029</v>
      </c>
      <c r="M4" s="716">
        <f>IF(OR(pStartYear="",pStartYear+4&gt;pEndYear),0,pStartYear+4)</f>
        <v>2030</v>
      </c>
      <c r="N4" s="716">
        <f>IF(OR(pStartYear="",pStartYear+5&gt;pEndYear),0,pStartYear+5)</f>
        <v>0</v>
      </c>
      <c r="O4" s="716">
        <f>IF(OR(pStartYear="",pStartYear+6&gt;pEndYear),0,pStartYear+6)</f>
        <v>0</v>
      </c>
      <c r="P4" s="716">
        <f>IF(OR(pStartYear="",pStartYear+7&gt;pEndYear),0,pStartYear+7)</f>
        <v>0</v>
      </c>
      <c r="Q4" s="716">
        <f>IF(OR(pStartYear="",pStartYear+8&gt;pEndYear),0,pStartYear+8)</f>
        <v>0</v>
      </c>
      <c r="R4" s="716">
        <f>IF(OR(pStartYear="",pStartYear+9&gt;pEndYear),0,pStartYear+9)</f>
        <v>0</v>
      </c>
      <c r="S4" s="716" t="s">
        <v>404</v>
      </c>
      <c r="T4" s="716" t="s">
        <v>16</v>
      </c>
      <c r="U4" s="716" t="s">
        <v>405</v>
      </c>
      <c r="V4" s="716" t="s">
        <v>18</v>
      </c>
      <c r="W4" s="716" t="s">
        <v>406</v>
      </c>
      <c r="X4" s="716" t="s">
        <v>407</v>
      </c>
      <c r="Y4" s="717"/>
    </row>
    <row r="5" spans="1:25" x14ac:dyDescent="0.3">
      <c r="A5" s="515" t="s">
        <v>408</v>
      </c>
      <c r="B5" s="515" t="s">
        <v>178</v>
      </c>
      <c r="C5" s="513" t="s">
        <v>409</v>
      </c>
      <c r="D5" s="513" t="s">
        <v>230</v>
      </c>
      <c r="E5" s="514">
        <v>5000</v>
      </c>
      <c r="F5" s="513" t="str" cm="1">
        <f t="array" ref="F5">vl_external_income_ledger_id</f>
        <v/>
      </c>
      <c r="G5" s="514">
        <v>1</v>
      </c>
      <c r="H5" s="517">
        <f>vl_academic_cont_cost</f>
        <v>0</v>
      </c>
      <c r="I5" s="518">
        <f>IF(AND('Budget Form'!$F80&gt;0,pStartYear&lt;&gt;""),First_year_fraction,0)</f>
        <v>0</v>
      </c>
      <c r="J5" s="518">
        <f>IF(OR(pStartYear="",pStartYear+1&gt;pEndYear,'Budget Form'!$G80=0),0,IF(AND('Budget Form'!$G80&gt;0,pStartYear+1=pEndYear),Last_Year_Fraction,12))</f>
        <v>0</v>
      </c>
      <c r="K5" s="518">
        <f>IF(OR(pStartYear="",pStartYear+2&gt;pEndYear,'Budget Form'!$H80=0),0,IF(AND('Budget Form'!$H80&gt;0,pStartYear+2=pEndYear),Last_Year_Fraction,12))</f>
        <v>0</v>
      </c>
      <c r="L5" s="518">
        <f>IF(OR(pStartYear="",pStartYear+3&gt;pEndYear,'Budget Form'!$I80=0),0,IF(AND('Budget Form'!$I80&gt;0,pStartYear+3=pEndYear),Last_Year_Fraction,12))</f>
        <v>0</v>
      </c>
      <c r="M5" s="518">
        <f>IF(OR(pStartYear="",pStartYear+4&gt;pEndYear,'Budget Form'!$J80=0),0,IF(AND('Budget Form'!$J80&gt;0,pStartYear+4=pEndYear),Last_Year_Fraction,12))</f>
        <v>0</v>
      </c>
      <c r="N5" s="518">
        <f>IF(OR(pStartYear="",pStartYear+5&gt;pEndYear,'Budget Form'!$K80=0),0,IF(AND('Budget Form'!$K80&gt;0,pStartYear+5=pEndYear),Last_Year_Fraction,12))</f>
        <v>0</v>
      </c>
      <c r="O5" s="518">
        <f>IF(OR(pStartYear="",pStartYear+6&gt;pEndYear,'Budget Form'!$L80=0),0,IF(AND('Budget Form'!$L80&gt;0,pStartYear+6=pEndYear),Last_Year_Fraction,12))</f>
        <v>0</v>
      </c>
      <c r="P5" s="518">
        <f>IF(OR(pStartYear="",pStartYear+7&gt;pEndYear,'Budget Form'!$M80=0),0,IF(AND('Budget Form'!$M80&gt;0,pStartYear+7=pEndYear),Last_Year_Fraction,12))</f>
        <v>0</v>
      </c>
      <c r="Q5" s="518">
        <f>IF(OR(pStartYear="",pStartYear+8&gt;pEndYear,'Budget Form'!$N80=0),0,IF(AND('Budget Form'!$N80&gt;0,pStartYear+8=pEndYear),Last_Year_Fraction,12))</f>
        <v>0</v>
      </c>
      <c r="R5" s="518">
        <f>IF(OR(pStartYear="",pStartYear+9&gt;pEndYear,'Budget Form'!$O80=0),0,IF(AND('Budget Form'!$O80&gt;0,pStartYear+9=pEndYear),Last_Year_Fraction,12))</f>
        <v>0</v>
      </c>
      <c r="S5" s="513" cm="1">
        <f t="array" ref="S5">IF($H5=0,0,_xlfn.IFNA(INDEX($I$4:$R$4,MATCH(TRUE,INDEX($I5:$R5&lt;&gt;0,),0)),0))</f>
        <v>0</v>
      </c>
      <c r="T5" s="513">
        <f>IF($H5=0,0,IF($S5=Start_Year,VLOOKUP(Start_Month,lv_month,2,FALSE),1))</f>
        <v>0</v>
      </c>
      <c r="U5" s="513" cm="1">
        <f t="array" ref="U5">IF($H5=0,0,_xlfn.IFNA(INDEX($I$4:$R$4,_xlfn.XMATCH(TRUE,I5:R5&lt;&gt;0,0,-1)),0))</f>
        <v>0</v>
      </c>
      <c r="V5" s="513">
        <f t="shared" ref="V5:V63" si="0">IF($H5=0,0,IF($U5=pEndYear,VLOOKUP(End_Month,lv_month,2,FALSE),12))</f>
        <v>0</v>
      </c>
      <c r="W5" s="513">
        <f>IF(H5=0,0,6)</f>
        <v>0</v>
      </c>
      <c r="X5" s="513">
        <f>IF(W5=0,0,W5+(vl_total_project_months)*2-1)</f>
        <v>0</v>
      </c>
    </row>
    <row r="6" spans="1:25" x14ac:dyDescent="0.3">
      <c r="A6" s="515" t="s">
        <v>408</v>
      </c>
      <c r="B6" s="515" t="s">
        <v>178</v>
      </c>
      <c r="C6" s="513" t="s">
        <v>409</v>
      </c>
      <c r="D6" s="513" t="s">
        <v>231</v>
      </c>
      <c r="E6" s="514">
        <v>5000</v>
      </c>
      <c r="F6" s="513" t="str">
        <f t="shared" ref="F6:F35" si="1">vl_external_income_ledger_id</f>
        <v/>
      </c>
      <c r="G6" s="514">
        <v>1</v>
      </c>
      <c r="H6" s="517">
        <f>vl_academic_fixed_cost</f>
        <v>0</v>
      </c>
      <c r="I6" s="518">
        <f>IF(AND('Budget Form'!$F81&gt;0,pStartYear&lt;&gt;""),First_year_fraction,0)</f>
        <v>0</v>
      </c>
      <c r="J6" s="518">
        <f>IF(OR(pStartYear="",pStartYear+1&gt;pEndYear,'Budget Form'!$G81=0),0,IF(AND('Budget Form'!$G81&gt;0,pStartYear+1=pEndYear),Last_Year_Fraction,12))</f>
        <v>0</v>
      </c>
      <c r="K6" s="518">
        <f>IF(OR(pStartYear="",pStartYear+2&gt;pEndYear,'Budget Form'!$H81=0),0,IF(AND('Budget Form'!$H81&gt;0,pStartYear+2=pEndYear),Last_Year_Fraction,12))</f>
        <v>0</v>
      </c>
      <c r="L6" s="518">
        <f>IF(OR(pStartYear="",pStartYear+3&gt;pEndYear,'Budget Form'!$I81=0),0,IF(AND('Budget Form'!$I81&gt;0,pStartYear+3=pEndYear),Last_Year_Fraction,12))</f>
        <v>0</v>
      </c>
      <c r="M6" s="518">
        <f>IF(OR(pStartYear="",pStartYear+4&gt;pEndYear,'Budget Form'!$J81=0),0,IF(AND('Budget Form'!$J81&gt;0,pStartYear+4=pEndYear),Last_Year_Fraction,12))</f>
        <v>0</v>
      </c>
      <c r="N6" s="518">
        <f>IF(OR(pStartYear="",pStartYear+5&gt;pEndYear,'Budget Form'!$K81=0),0,IF(AND('Budget Form'!$K81&gt;0,pStartYear+5=pEndYear),Last_Year_Fraction,12))</f>
        <v>0</v>
      </c>
      <c r="O6" s="518">
        <f>IF(OR(pStartYear="",pStartYear+6&gt;pEndYear,'Budget Form'!$L81=0),0,IF(AND('Budget Form'!$L81&gt;0,pStartYear+6=pEndYear),Last_Year_Fraction,12))</f>
        <v>0</v>
      </c>
      <c r="P6" s="518">
        <f>IF(OR(pStartYear="",pStartYear+7&gt;pEndYear,'Budget Form'!$M81=0),0,IF(AND('Budget Form'!$M81&gt;0,pStartYear+7=pEndYear),Last_Year_Fraction,12))</f>
        <v>0</v>
      </c>
      <c r="Q6" s="518">
        <f>IF(OR(pStartYear="",pStartYear+8&gt;pEndYear,'Budget Form'!$N81=0),0,IF(AND('Budget Form'!$N81&gt;0,pStartYear+8=pEndYear),Last_Year_Fraction,12))</f>
        <v>0</v>
      </c>
      <c r="R6" s="518">
        <f>IF(OR(pStartYear="",pStartYear+9&gt;pEndYear,'Budget Form'!$O81=0),0,IF(AND('Budget Form'!$O81&gt;0,pStartYear+9=pEndYear),Last_Year_Fraction,12))</f>
        <v>0</v>
      </c>
      <c r="S6" s="513" cm="1">
        <f t="array" ref="S6">IF($H6=0,0,_xlfn.IFNA(INDEX($I$4:$R$4,MATCH(TRUE,INDEX($I6:$R6&lt;&gt;0,),0)),0))</f>
        <v>0</v>
      </c>
      <c r="T6" s="513">
        <f>IF($H6=0,0,IF($S6=Start_Year,VLOOKUP(Start_Month,lv_month,2,FALSE),1))</f>
        <v>0</v>
      </c>
      <c r="U6" s="513" cm="1">
        <f t="array" ref="U6">IF($H6=0,0,_xlfn.IFNA(INDEX($I$4:$R$4,_xlfn.XMATCH(TRUE,I6:R6&lt;&gt;0,0,-1)),0))</f>
        <v>0</v>
      </c>
      <c r="V6" s="513">
        <f t="shared" si="0"/>
        <v>0</v>
      </c>
      <c r="W6" s="513">
        <f>IF(H6=0,0,IF(MAX(X$4:X5)&lt;=6,6,MAX(X$4:X5)+1))</f>
        <v>0</v>
      </c>
      <c r="X6" s="513">
        <f>IF(H6=0,0,W6+SUM(I6:R6)*2-1)</f>
        <v>0</v>
      </c>
    </row>
    <row r="7" spans="1:25" x14ac:dyDescent="0.3">
      <c r="A7" s="515" t="s">
        <v>408</v>
      </c>
      <c r="B7" s="515" t="s">
        <v>178</v>
      </c>
      <c r="C7" s="513" t="s">
        <v>409</v>
      </c>
      <c r="D7" s="513" t="s">
        <v>232</v>
      </c>
      <c r="E7" s="514">
        <v>5000</v>
      </c>
      <c r="F7" s="513" t="str">
        <f t="shared" si="1"/>
        <v/>
      </c>
      <c r="G7" s="514">
        <v>1</v>
      </c>
      <c r="H7" s="517">
        <f>vl_prof_cont_cost</f>
        <v>0</v>
      </c>
      <c r="I7" s="518">
        <f>IF(AND('Budget Form'!$F82&gt;0,pStartYear&lt;&gt;""),First_year_fraction,0)</f>
        <v>0</v>
      </c>
      <c r="J7" s="518">
        <f>IF(OR(pStartYear="",pStartYear+1&gt;pEndYear,'Budget Form'!$G82=0),0,IF(AND('Budget Form'!$G82&gt;0,pStartYear+1=pEndYear),Last_Year_Fraction,12))</f>
        <v>0</v>
      </c>
      <c r="K7" s="518">
        <f>IF(OR(pStartYear="",pStartYear+2&gt;pEndYear,'Budget Form'!$H82=0),0,IF(AND('Budget Form'!$H82&gt;0,pStartYear+2=pEndYear),Last_Year_Fraction,12))</f>
        <v>0</v>
      </c>
      <c r="L7" s="518">
        <f>IF(OR(pStartYear="",pStartYear+3&gt;pEndYear,'Budget Form'!$I82=0),0,IF(AND('Budget Form'!$I82&gt;0,pStartYear+3=pEndYear),Last_Year_Fraction,12))</f>
        <v>0</v>
      </c>
      <c r="M7" s="518">
        <f>IF(OR(pStartYear="",pStartYear+4&gt;pEndYear,'Budget Form'!$J82=0),0,IF(AND('Budget Form'!$J82&gt;0,pStartYear+4=pEndYear),Last_Year_Fraction,12))</f>
        <v>0</v>
      </c>
      <c r="N7" s="518">
        <f>IF(OR(pStartYear="",pStartYear+5&gt;pEndYear,'Budget Form'!$K82=0),0,IF(AND('Budget Form'!$K82&gt;0,pStartYear+5=pEndYear),Last_Year_Fraction,12))</f>
        <v>0</v>
      </c>
      <c r="O7" s="518">
        <f>IF(OR(pStartYear="",pStartYear+6&gt;pEndYear,'Budget Form'!$L82=0),0,IF(AND('Budget Form'!$L82&gt;0,pStartYear+6=pEndYear),Last_Year_Fraction,12))</f>
        <v>0</v>
      </c>
      <c r="P7" s="518">
        <f>IF(OR(pStartYear="",pStartYear+7&gt;pEndYear,'Budget Form'!$M82=0),0,IF(AND('Budget Form'!$M82&gt;0,pStartYear+7=pEndYear),Last_Year_Fraction,12))</f>
        <v>0</v>
      </c>
      <c r="Q7" s="518">
        <f>IF(OR(pStartYear="",pStartYear+8&gt;pEndYear,'Budget Form'!$N82=0),0,IF(AND('Budget Form'!$N82&gt;0,pStartYear+8=pEndYear),Last_Year_Fraction,12))</f>
        <v>0</v>
      </c>
      <c r="R7" s="518">
        <f>IF(OR(pStartYear="",pStartYear+9&gt;pEndYear,'Budget Form'!$O82=0),0,IF(AND('Budget Form'!$O82&gt;0,pStartYear+9=pEndYear),Last_Year_Fraction,12))</f>
        <v>0</v>
      </c>
      <c r="S7" s="513" cm="1">
        <f t="array" ref="S7">IF($H7=0,0,_xlfn.IFNA(INDEX($I$4:$R$4,MATCH(TRUE,INDEX($I7:$R7&lt;&gt;0,),0)),0))</f>
        <v>0</v>
      </c>
      <c r="T7" s="513">
        <f>IF($H7=0,0,IF($S7=Start_Year,VLOOKUP(Start_Month,lv_month,2,FALSE),1))</f>
        <v>0</v>
      </c>
      <c r="U7" s="513" cm="1">
        <f t="array" ref="U7">IF($H7=0,0,_xlfn.IFNA(INDEX($I$4:$R$4,_xlfn.XMATCH(TRUE,I7:R7&lt;&gt;0,0,-1)),0))</f>
        <v>0</v>
      </c>
      <c r="V7" s="513">
        <f t="shared" si="0"/>
        <v>0</v>
      </c>
      <c r="W7" s="513">
        <f>IF(H7=0,0,IF(MAX(X$4:X6)&lt;=6,6,MAX(X$4:X6)+1))</f>
        <v>0</v>
      </c>
      <c r="X7" s="513">
        <f>IF(H7=0,0,W7+SUM(I7:R7)*2-1)</f>
        <v>0</v>
      </c>
    </row>
    <row r="8" spans="1:25" x14ac:dyDescent="0.3">
      <c r="A8" s="515" t="s">
        <v>408</v>
      </c>
      <c r="B8" s="515" t="s">
        <v>178</v>
      </c>
      <c r="C8" s="513" t="s">
        <v>409</v>
      </c>
      <c r="D8" s="513" t="s">
        <v>233</v>
      </c>
      <c r="E8" s="514">
        <v>5000</v>
      </c>
      <c r="F8" s="513" t="str">
        <f t="shared" si="1"/>
        <v/>
      </c>
      <c r="G8" s="514">
        <v>1</v>
      </c>
      <c r="H8" s="517">
        <f>vl_prof_fixed_cost</f>
        <v>0</v>
      </c>
      <c r="I8" s="518">
        <f>IF(AND('Budget Form'!$F83&gt;0,pStartYear&lt;&gt;""),First_year_fraction,0)</f>
        <v>0</v>
      </c>
      <c r="J8" s="518">
        <f>IF(OR(pStartYear="",pStartYear+1&gt;pEndYear,'Budget Form'!$G83=0),0,IF(AND('Budget Form'!$G83&gt;0,pStartYear+1=pEndYear),Last_Year_Fraction,12))</f>
        <v>0</v>
      </c>
      <c r="K8" s="518">
        <f>IF(OR(pStartYear="",pStartYear+2&gt;pEndYear,'Budget Form'!$H83=0),0,IF(AND('Budget Form'!$H83&gt;0,pStartYear+2=pEndYear),Last_Year_Fraction,12))</f>
        <v>0</v>
      </c>
      <c r="L8" s="518">
        <f>IF(OR(pStartYear="",pStartYear+3&gt;pEndYear,'Budget Form'!$I83=0),0,IF(AND('Budget Form'!$I83&gt;0,pStartYear+3=pEndYear),Last_Year_Fraction,12))</f>
        <v>0</v>
      </c>
      <c r="M8" s="518">
        <f>IF(OR(pStartYear="",pStartYear+4&gt;pEndYear,'Budget Form'!$J83=0),0,IF(AND('Budget Form'!$J83&gt;0,pStartYear+4=pEndYear),Last_Year_Fraction,12))</f>
        <v>0</v>
      </c>
      <c r="N8" s="518">
        <f>IF(OR(pStartYear="",pStartYear+5&gt;pEndYear,'Budget Form'!$K83=0),0,IF(AND('Budget Form'!$K83&gt;0,pStartYear+5=pEndYear),Last_Year_Fraction,12))</f>
        <v>0</v>
      </c>
      <c r="O8" s="518">
        <f>IF(OR(pStartYear="",pStartYear+6&gt;pEndYear,'Budget Form'!$L83=0),0,IF(AND('Budget Form'!$L83&gt;0,pStartYear+6=pEndYear),Last_Year_Fraction,12))</f>
        <v>0</v>
      </c>
      <c r="P8" s="518">
        <f>IF(OR(pStartYear="",pStartYear+7&gt;pEndYear,'Budget Form'!$M83=0),0,IF(AND('Budget Form'!$M83&gt;0,pStartYear+7=pEndYear),Last_Year_Fraction,12))</f>
        <v>0</v>
      </c>
      <c r="Q8" s="518">
        <f>IF(OR(pStartYear="",pStartYear+8&gt;pEndYear,'Budget Form'!$N83=0),0,IF(AND('Budget Form'!$N83&gt;0,pStartYear+8=pEndYear),Last_Year_Fraction,12))</f>
        <v>0</v>
      </c>
      <c r="R8" s="518">
        <f>IF(OR(pStartYear="",pStartYear+9&gt;pEndYear,'Budget Form'!$O83=0),0,IF(AND('Budget Form'!$O83&gt;0,pStartYear+9=pEndYear),Last_Year_Fraction,12))</f>
        <v>0</v>
      </c>
      <c r="S8" s="513" cm="1">
        <f t="array" ref="S8">IF($H8=0,0,_xlfn.IFNA(INDEX($I$4:$R$4,MATCH(TRUE,INDEX($I8:$R8&lt;&gt;0,),0)),0))</f>
        <v>0</v>
      </c>
      <c r="T8" s="513">
        <f>IF($H8=0,0,IF($S8=Start_Year,VLOOKUP(Start_Month,lv_month,2,FALSE),1))</f>
        <v>0</v>
      </c>
      <c r="U8" s="513" cm="1">
        <f t="array" ref="U8">IF($H8=0,0,_xlfn.IFNA(INDEX($I$4:$R$4,_xlfn.XMATCH(TRUE,I8:R8&lt;&gt;0,0,-1)),0))</f>
        <v>0</v>
      </c>
      <c r="V8" s="513">
        <f t="shared" si="0"/>
        <v>0</v>
      </c>
      <c r="W8" s="513">
        <f>IF(H8=0,0,IF(MAX(X$4:X7)&lt;=6,6,MAX(X$4:X7)+1))</f>
        <v>0</v>
      </c>
      <c r="X8" s="513">
        <f>IF(H8=0,0,W8+SUM(I8:R8)*2-1)</f>
        <v>0</v>
      </c>
    </row>
    <row r="9" spans="1:25" x14ac:dyDescent="0.3">
      <c r="A9" s="515" t="s">
        <v>408</v>
      </c>
      <c r="B9" s="515" t="s">
        <v>178</v>
      </c>
      <c r="C9" s="513" t="s">
        <v>409</v>
      </c>
      <c r="D9" s="513" t="s">
        <v>234</v>
      </c>
      <c r="E9" s="514">
        <v>5000</v>
      </c>
      <c r="F9" s="513" t="str">
        <f t="shared" si="1"/>
        <v/>
      </c>
      <c r="G9" s="514">
        <v>1</v>
      </c>
      <c r="H9" s="517">
        <f>vl_academic_casual_cost</f>
        <v>0</v>
      </c>
      <c r="I9" s="518">
        <f>IF(AND('Budget Form'!$F84&gt;0,pStartYear&lt;&gt;""),First_year_fraction,0)</f>
        <v>0</v>
      </c>
      <c r="J9" s="518">
        <f>IF(OR(pStartYear="",pStartYear+1&gt;pEndYear,'Budget Form'!$G84=0),0,IF(AND('Budget Form'!$G84&gt;0,pStartYear+1=pEndYear),Last_Year_Fraction,12))</f>
        <v>0</v>
      </c>
      <c r="K9" s="518">
        <f>IF(OR(pStartYear="",pStartYear+2&gt;pEndYear,'Budget Form'!$H84=0),0,IF(AND('Budget Form'!$H84&gt;0,pStartYear+2=pEndYear),Last_Year_Fraction,12))</f>
        <v>0</v>
      </c>
      <c r="L9" s="518">
        <f>IF(OR(pStartYear="",pStartYear+3&gt;pEndYear,'Budget Form'!$I84=0),0,IF(AND('Budget Form'!$I84&gt;0,pStartYear+3=pEndYear),Last_Year_Fraction,12))</f>
        <v>0</v>
      </c>
      <c r="M9" s="518">
        <f>IF(OR(pStartYear="",pStartYear+4&gt;pEndYear,'Budget Form'!$J84=0),0,IF(AND('Budget Form'!$J84&gt;0,pStartYear+4=pEndYear),Last_Year_Fraction,12))</f>
        <v>0</v>
      </c>
      <c r="N9" s="518">
        <f>IF(OR(pStartYear="",pStartYear+5&gt;pEndYear,'Budget Form'!$K84=0),0,IF(AND('Budget Form'!$K84&gt;0,pStartYear+5=pEndYear),Last_Year_Fraction,12))</f>
        <v>0</v>
      </c>
      <c r="O9" s="518">
        <f>IF(OR(pStartYear="",pStartYear+6&gt;pEndYear,'Budget Form'!$L84=0),0,IF(AND('Budget Form'!$L84&gt;0,pStartYear+6=pEndYear),Last_Year_Fraction,12))</f>
        <v>0</v>
      </c>
      <c r="P9" s="518">
        <f>IF(OR(pStartYear="",pStartYear+7&gt;pEndYear,'Budget Form'!$M84=0),0,IF(AND('Budget Form'!$M84&gt;0,pStartYear+7=pEndYear),Last_Year_Fraction,12))</f>
        <v>0</v>
      </c>
      <c r="Q9" s="518">
        <f>IF(OR(pStartYear="",pStartYear+8&gt;pEndYear,'Budget Form'!$N84=0),0,IF(AND('Budget Form'!$N84&gt;0,pStartYear+8=pEndYear),Last_Year_Fraction,12))</f>
        <v>0</v>
      </c>
      <c r="R9" s="518">
        <f>IF(OR(pStartYear="",pStartYear+9&gt;pEndYear,'Budget Form'!$O84=0),0,IF(AND('Budget Form'!$O84&gt;0,pStartYear+9=pEndYear),Last_Year_Fraction,12))</f>
        <v>0</v>
      </c>
      <c r="S9" s="513" cm="1">
        <f t="array" ref="S9">IF($H9=0,0,_xlfn.IFNA(INDEX($I$4:$R$4,MATCH(TRUE,INDEX($I9:$R9&lt;&gt;0,),0)),0))</f>
        <v>0</v>
      </c>
      <c r="T9" s="513">
        <f>IF($H9=0,0,IF($S9=Start_Year,VLOOKUP(Start_Month,lv_month,2,FALSE),1))</f>
        <v>0</v>
      </c>
      <c r="U9" s="513" cm="1">
        <f t="array" ref="U9">IF($H9=0,0,_xlfn.IFNA(INDEX($I$4:$R$4,_xlfn.XMATCH(TRUE,I9:R9&lt;&gt;0,0,-1)),0))</f>
        <v>0</v>
      </c>
      <c r="V9" s="513">
        <f t="shared" si="0"/>
        <v>0</v>
      </c>
      <c r="W9" s="513">
        <f>IF(H9=0,0,IF(MAX(X$4:X8)&lt;=6,6,MAX(X$4:X8)+1))</f>
        <v>0</v>
      </c>
      <c r="X9" s="513">
        <f>IF(H9=0,0,W9+SUM(I9:R9)*2-1)</f>
        <v>0</v>
      </c>
    </row>
    <row r="10" spans="1:25" x14ac:dyDescent="0.3">
      <c r="A10" s="515" t="s">
        <v>408</v>
      </c>
      <c r="B10" s="515" t="s">
        <v>178</v>
      </c>
      <c r="C10" s="513" t="s">
        <v>409</v>
      </c>
      <c r="D10" s="513" t="s">
        <v>235</v>
      </c>
      <c r="E10" s="514">
        <v>5000</v>
      </c>
      <c r="F10" s="513" t="str">
        <f t="shared" si="1"/>
        <v/>
      </c>
      <c r="G10" s="514">
        <v>1</v>
      </c>
      <c r="H10" s="517">
        <f>vl_prof_casual_cost</f>
        <v>0</v>
      </c>
      <c r="I10" s="518">
        <f>IF(AND('Budget Form'!$F85&gt;0,pStartYear&lt;&gt;""),First_year_fraction,0)</f>
        <v>0</v>
      </c>
      <c r="J10" s="518">
        <f>IF(OR(pStartYear="",pStartYear+1&gt;pEndYear,'Budget Form'!$G85=0),0,IF(AND('Budget Form'!$G85&gt;0,pStartYear+1=pEndYear),Last_Year_Fraction,12))</f>
        <v>0</v>
      </c>
      <c r="K10" s="518">
        <f>IF(OR(pStartYear="",pStartYear+2&gt;pEndYear,'Budget Form'!$H85=0),0,IF(AND('Budget Form'!$H85&gt;0,pStartYear+2=pEndYear),Last_Year_Fraction,12))</f>
        <v>0</v>
      </c>
      <c r="L10" s="518">
        <f>IF(OR(pStartYear="",pStartYear+3&gt;pEndYear,'Budget Form'!$I85=0),0,IF(AND('Budget Form'!$I85&gt;0,pStartYear+3=pEndYear),Last_Year_Fraction,12))</f>
        <v>0</v>
      </c>
      <c r="M10" s="518">
        <f>IF(OR(pStartYear="",pStartYear+4&gt;pEndYear,'Budget Form'!$J85=0),0,IF(AND('Budget Form'!$J85&gt;0,pStartYear+4=pEndYear),Last_Year_Fraction,12))</f>
        <v>0</v>
      </c>
      <c r="N10" s="518">
        <f>IF(OR(pStartYear="",pStartYear+5&gt;pEndYear,'Budget Form'!$K85=0),0,IF(AND('Budget Form'!$K85&gt;0,pStartYear+5=pEndYear),Last_Year_Fraction,12))</f>
        <v>0</v>
      </c>
      <c r="O10" s="518">
        <f>IF(OR(pStartYear="",pStartYear+6&gt;pEndYear,'Budget Form'!$L85=0),0,IF(AND('Budget Form'!$L85&gt;0,pStartYear+6=pEndYear),Last_Year_Fraction,12))</f>
        <v>0</v>
      </c>
      <c r="P10" s="518">
        <f>IF(OR(pStartYear="",pStartYear+7&gt;pEndYear,'Budget Form'!$M85=0),0,IF(AND('Budget Form'!$M85&gt;0,pStartYear+7=pEndYear),Last_Year_Fraction,12))</f>
        <v>0</v>
      </c>
      <c r="Q10" s="518">
        <f>IF(OR(pStartYear="",pStartYear+8&gt;pEndYear,'Budget Form'!$N85=0),0,IF(AND('Budget Form'!$N85&gt;0,pStartYear+8=pEndYear),Last_Year_Fraction,12))</f>
        <v>0</v>
      </c>
      <c r="R10" s="518">
        <f>IF(OR(pStartYear="",pStartYear+9&gt;pEndYear,'Budget Form'!$O85=0),0,IF(AND('Budget Form'!$O85&gt;0,pStartYear+9=pEndYear),Last_Year_Fraction,12))</f>
        <v>0</v>
      </c>
      <c r="S10" s="513" cm="1">
        <f t="array" ref="S10">IF($H10=0,0,_xlfn.IFNA(INDEX($I$4:$R$4,MATCH(TRUE,INDEX($I10:$R10&lt;&gt;0,),0)),0))</f>
        <v>0</v>
      </c>
      <c r="T10" s="513">
        <f>IF($H10=0,0,IF($S10=Start_Year,VLOOKUP(Start_Month,lv_month,2,FALSE),1))</f>
        <v>0</v>
      </c>
      <c r="U10" s="513" cm="1">
        <f t="array" ref="U10">IF($H10=0,0,_xlfn.IFNA(INDEX($I$4:$R$4,_xlfn.XMATCH(TRUE,I10:R10&lt;&gt;0,0,-1)),0))</f>
        <v>0</v>
      </c>
      <c r="V10" s="513">
        <f t="shared" si="0"/>
        <v>0</v>
      </c>
      <c r="W10" s="513">
        <f>IF(H10=0,0,IF(MAX(X$4:X9)&lt;=6,6,MAX(X$4:X9)+1))</f>
        <v>0</v>
      </c>
      <c r="X10" s="513">
        <f>IF(H10=0,0,W10+SUM(I10:R10)*2-1)</f>
        <v>0</v>
      </c>
    </row>
    <row r="11" spans="1:25" x14ac:dyDescent="0.3">
      <c r="A11" s="515" t="s">
        <v>408</v>
      </c>
      <c r="B11" s="515" t="s">
        <v>178</v>
      </c>
      <c r="C11" s="513" t="s">
        <v>410</v>
      </c>
      <c r="D11" s="513" t="s">
        <v>230</v>
      </c>
      <c r="E11" s="514">
        <v>6000</v>
      </c>
      <c r="F11" s="513" t="str">
        <f t="shared" si="1"/>
        <v/>
      </c>
      <c r="G11" s="514">
        <v>1</v>
      </c>
      <c r="H11" s="517">
        <f>(vl_academic_cont_cost*pCRSalaries)-vl_academic_cont_cost</f>
        <v>0</v>
      </c>
      <c r="I11" s="518">
        <f>IF(AND('Budget Form'!$F80&gt;0,pStartYear&lt;&gt;""),First_year_fraction,0)</f>
        <v>0</v>
      </c>
      <c r="J11" s="518">
        <f>IF(OR(pStartYear="",pStartYear+1&gt;pEndYear,'Budget Form'!$G80=0),0,IF(AND('Budget Form'!$G80&gt;0,pStartYear+1=pEndYear),Last_Year_Fraction,12))</f>
        <v>0</v>
      </c>
      <c r="K11" s="518">
        <f>IF(OR(pStartYear="",pStartYear+2&gt;pEndYear,'Budget Form'!$H80=0),0,IF(AND('Budget Form'!$H80&gt;0,pStartYear+2=pEndYear),Last_Year_Fraction,12))</f>
        <v>0</v>
      </c>
      <c r="L11" s="518">
        <f>IF(OR(pStartYear="",pStartYear+3&gt;pEndYear,'Budget Form'!$I80=0),0,IF(AND('Budget Form'!$I80&gt;0,pStartYear+3=pEndYear),Last_Year_Fraction,12))</f>
        <v>0</v>
      </c>
      <c r="M11" s="518">
        <f>IF(OR(pStartYear="",pStartYear+4&gt;pEndYear,'Budget Form'!$J80=0),0,IF(AND('Budget Form'!$J80&gt;0,pStartYear+4=pEndYear),Last_Year_Fraction,12))</f>
        <v>0</v>
      </c>
      <c r="N11" s="518">
        <f>IF(OR(pStartYear="",pStartYear+5&gt;pEndYear,'Budget Form'!$K80=0),0,IF(AND('Budget Form'!$K80&gt;0,pStartYear+5=pEndYear),Last_Year_Fraction,12))</f>
        <v>0</v>
      </c>
      <c r="O11" s="518">
        <f>IF(OR(pStartYear="",pStartYear+6&gt;pEndYear,'Budget Form'!$L80=0),0,IF(AND('Budget Form'!$L80&gt;0,pStartYear+6=pEndYear),Last_Year_Fraction,12))</f>
        <v>0</v>
      </c>
      <c r="P11" s="518">
        <f>IF(OR(pStartYear="",pStartYear+7&gt;pEndYear,'Budget Form'!$M80=0),0,IF(AND('Budget Form'!$M80&gt;0,pStartYear+7=pEndYear),Last_Year_Fraction,12))</f>
        <v>0</v>
      </c>
      <c r="Q11" s="518">
        <f>IF(OR(pStartYear="",pStartYear+8&gt;pEndYear,'Budget Form'!$N80=0),0,IF(AND('Budget Form'!$N80&gt;0,pStartYear+8=pEndYear),Last_Year_Fraction,12))</f>
        <v>0</v>
      </c>
      <c r="R11" s="518">
        <f>IF(OR(pStartYear="",pStartYear+9&gt;pEndYear,'Budget Form'!$O80=0),0,IF(AND('Budget Form'!$O80&gt;0,pStartYear+9=pEndYear),Last_Year_Fraction,12))</f>
        <v>0</v>
      </c>
      <c r="S11" s="513" cm="1">
        <f t="array" ref="S11">IF($H11=0,0,_xlfn.IFNA(INDEX($I$4:$R$4,MATCH(TRUE,INDEX($I11:$R11&lt;&gt;0,),0)),0))</f>
        <v>0</v>
      </c>
      <c r="T11" s="513">
        <f>IF($H11=0,0,IF($S11=Start_Year,VLOOKUP(Start_Month,lv_month,2,FALSE),1))</f>
        <v>0</v>
      </c>
      <c r="U11" s="513" cm="1">
        <f t="array" ref="U11">IF($H11=0,0,_xlfn.IFNA(INDEX($I$4:$R$4,_xlfn.XMATCH(TRUE,I11:R11&lt;&gt;0,0,-1)),0))</f>
        <v>0</v>
      </c>
      <c r="V11" s="513">
        <f t="shared" si="0"/>
        <v>0</v>
      </c>
      <c r="W11" s="513">
        <f>IF(H11=0,0,IF(MAX(X$4:X10)&lt;=6,6,MAX(X$4:X10)+1))</f>
        <v>0</v>
      </c>
      <c r="X11" s="513">
        <f t="shared" ref="X11:X16" si="2">IF(H11=0,0,W11+SUM(I11:R11)*2-1)</f>
        <v>0</v>
      </c>
    </row>
    <row r="12" spans="1:25" x14ac:dyDescent="0.3">
      <c r="A12" s="515" t="s">
        <v>408</v>
      </c>
      <c r="B12" s="515" t="s">
        <v>178</v>
      </c>
      <c r="C12" s="513" t="s">
        <v>410</v>
      </c>
      <c r="D12" s="513" t="s">
        <v>231</v>
      </c>
      <c r="E12" s="514">
        <v>6000</v>
      </c>
      <c r="F12" s="513" t="str">
        <f t="shared" si="1"/>
        <v/>
      </c>
      <c r="G12" s="514">
        <v>1</v>
      </c>
      <c r="H12" s="517">
        <f>(vl_academic_fixed_cost*pCRSalaries)-vl_academic_fixed_cost</f>
        <v>0</v>
      </c>
      <c r="I12" s="518">
        <f>IF(AND('Budget Form'!$F81&gt;0,pStartYear&lt;&gt;""),First_year_fraction,0)</f>
        <v>0</v>
      </c>
      <c r="J12" s="518">
        <f>IF(OR(pStartYear="",pStartYear+1&gt;pEndYear,'Budget Form'!$G81=0),0,IF(AND('Budget Form'!$G81&gt;0,pStartYear+1=pEndYear),Last_Year_Fraction,12))</f>
        <v>0</v>
      </c>
      <c r="K12" s="518">
        <f>IF(OR(pStartYear="",pStartYear+2&gt;pEndYear,'Budget Form'!$H81=0),0,IF(AND('Budget Form'!$H81&gt;0,pStartYear+2=pEndYear),Last_Year_Fraction,12))</f>
        <v>0</v>
      </c>
      <c r="L12" s="518">
        <f>IF(OR(pStartYear="",pStartYear+3&gt;pEndYear,'Budget Form'!$I81=0),0,IF(AND('Budget Form'!$I81&gt;0,pStartYear+3=pEndYear),Last_Year_Fraction,12))</f>
        <v>0</v>
      </c>
      <c r="M12" s="518">
        <f>IF(OR(pStartYear="",pStartYear+4&gt;pEndYear,'Budget Form'!$J81=0),0,IF(AND('Budget Form'!$J81&gt;0,pStartYear+4=pEndYear),Last_Year_Fraction,12))</f>
        <v>0</v>
      </c>
      <c r="N12" s="518">
        <f>IF(OR(pStartYear="",pStartYear+5&gt;pEndYear,'Budget Form'!$K81=0),0,IF(AND('Budget Form'!$K81&gt;0,pStartYear+5=pEndYear),Last_Year_Fraction,12))</f>
        <v>0</v>
      </c>
      <c r="O12" s="518">
        <f>IF(OR(pStartYear="",pStartYear+6&gt;pEndYear,'Budget Form'!$L81=0),0,IF(AND('Budget Form'!$L81&gt;0,pStartYear+6=pEndYear),Last_Year_Fraction,12))</f>
        <v>0</v>
      </c>
      <c r="P12" s="518">
        <f>IF(OR(pStartYear="",pStartYear+7&gt;pEndYear,'Budget Form'!$M81=0),0,IF(AND('Budget Form'!$M81&gt;0,pStartYear+7=pEndYear),Last_Year_Fraction,12))</f>
        <v>0</v>
      </c>
      <c r="Q12" s="518">
        <f>IF(OR(pStartYear="",pStartYear+8&gt;pEndYear,'Budget Form'!$N81=0),0,IF(AND('Budget Form'!$N81&gt;0,pStartYear+8=pEndYear),Last_Year_Fraction,12))</f>
        <v>0</v>
      </c>
      <c r="R12" s="518">
        <f>IF(OR(pStartYear="",pStartYear+9&gt;pEndYear,'Budget Form'!$O81=0),0,IF(AND('Budget Form'!$O81&gt;0,pStartYear+9=pEndYear),Last_Year_Fraction,12))</f>
        <v>0</v>
      </c>
      <c r="S12" s="513" cm="1">
        <f t="array" ref="S12">IF($H12=0,0,_xlfn.IFNA(INDEX($I$4:$R$4,MATCH(TRUE,INDEX($I12:$R12&lt;&gt;0,),0)),0))</f>
        <v>0</v>
      </c>
      <c r="T12" s="513">
        <f>IF($H12=0,0,IF($S12=Start_Year,VLOOKUP(Start_Month,lv_month,2,FALSE),1))</f>
        <v>0</v>
      </c>
      <c r="U12" s="513" cm="1">
        <f t="array" ref="U12">IF($H12=0,0,_xlfn.IFNA(INDEX($I$4:$R$4,_xlfn.XMATCH(TRUE,I12:R12&lt;&gt;0,0,-1)),0))</f>
        <v>0</v>
      </c>
      <c r="V12" s="513">
        <f t="shared" si="0"/>
        <v>0</v>
      </c>
      <c r="W12" s="513">
        <f>IF(H12=0,0,IF(MAX(X$4:X11)&lt;=6,6,MAX(X$4:X11)+1))</f>
        <v>0</v>
      </c>
      <c r="X12" s="513">
        <f t="shared" si="2"/>
        <v>0</v>
      </c>
    </row>
    <row r="13" spans="1:25" x14ac:dyDescent="0.3">
      <c r="A13" s="515" t="s">
        <v>408</v>
      </c>
      <c r="B13" s="515" t="s">
        <v>178</v>
      </c>
      <c r="C13" s="513" t="s">
        <v>410</v>
      </c>
      <c r="D13" s="513" t="s">
        <v>232</v>
      </c>
      <c r="E13" s="514">
        <v>6000</v>
      </c>
      <c r="F13" s="513" t="str">
        <f t="shared" si="1"/>
        <v/>
      </c>
      <c r="G13" s="514">
        <v>1</v>
      </c>
      <c r="H13" s="517">
        <f>(vl_prof_cont_cost*pCRSalaries)-vl_prof_cont_cost</f>
        <v>0</v>
      </c>
      <c r="I13" s="518">
        <f>IF(AND('Budget Form'!$F82&gt;0,pStartYear&lt;&gt;""),First_year_fraction,0)</f>
        <v>0</v>
      </c>
      <c r="J13" s="518">
        <f>IF(OR(pStartYear="",pStartYear+1&gt;pEndYear,'Budget Form'!$G82=0),0,IF(AND('Budget Form'!$G82&gt;0,pStartYear+1=pEndYear),Last_Year_Fraction,12))</f>
        <v>0</v>
      </c>
      <c r="K13" s="518">
        <f>IF(OR(pStartYear="",pStartYear+2&gt;pEndYear,'Budget Form'!$H82=0),0,IF(AND('Budget Form'!$H82&gt;0,pStartYear+2=pEndYear),Last_Year_Fraction,12))</f>
        <v>0</v>
      </c>
      <c r="L13" s="518">
        <f>IF(OR(pStartYear="",pStartYear+3&gt;pEndYear,'Budget Form'!$I82=0),0,IF(AND('Budget Form'!$I82&gt;0,pStartYear+3=pEndYear),Last_Year_Fraction,12))</f>
        <v>0</v>
      </c>
      <c r="M13" s="518">
        <f>IF(OR(pStartYear="",pStartYear+4&gt;pEndYear,'Budget Form'!$J82=0),0,IF(AND('Budget Form'!$J82&gt;0,pStartYear+4=pEndYear),Last_Year_Fraction,12))</f>
        <v>0</v>
      </c>
      <c r="N13" s="518">
        <f>IF(OR(pStartYear="",pStartYear+5&gt;pEndYear,'Budget Form'!$K82=0),0,IF(AND('Budget Form'!$K82&gt;0,pStartYear+5=pEndYear),Last_Year_Fraction,12))</f>
        <v>0</v>
      </c>
      <c r="O13" s="518">
        <f>IF(OR(pStartYear="",pStartYear+6&gt;pEndYear,'Budget Form'!$L82=0),0,IF(AND('Budget Form'!$L82&gt;0,pStartYear+6=pEndYear),Last_Year_Fraction,12))</f>
        <v>0</v>
      </c>
      <c r="P13" s="518">
        <f>IF(OR(pStartYear="",pStartYear+7&gt;pEndYear,'Budget Form'!$M82=0),0,IF(AND('Budget Form'!$M82&gt;0,pStartYear+7=pEndYear),Last_Year_Fraction,12))</f>
        <v>0</v>
      </c>
      <c r="Q13" s="518">
        <f>IF(OR(pStartYear="",pStartYear+8&gt;pEndYear,'Budget Form'!$N82=0),0,IF(AND('Budget Form'!$N82&gt;0,pStartYear+8=pEndYear),Last_Year_Fraction,12))</f>
        <v>0</v>
      </c>
      <c r="R13" s="518">
        <f>IF(OR(pStartYear="",pStartYear+9&gt;pEndYear,'Budget Form'!$O82=0),0,IF(AND('Budget Form'!$O82&gt;0,pStartYear+9=pEndYear),Last_Year_Fraction,12))</f>
        <v>0</v>
      </c>
      <c r="S13" s="513" cm="1">
        <f t="array" ref="S13">IF($H13=0,0,_xlfn.IFNA(INDEX($I$4:$R$4,MATCH(TRUE,INDEX($I13:$R13&lt;&gt;0,),0)),0))</f>
        <v>0</v>
      </c>
      <c r="T13" s="513">
        <f>IF($H13=0,0,IF($S13=Start_Year,VLOOKUP(Start_Month,lv_month,2,FALSE),1))</f>
        <v>0</v>
      </c>
      <c r="U13" s="513" cm="1">
        <f t="array" ref="U13">IF($H13=0,0,_xlfn.IFNA(INDEX($I$4:$R$4,_xlfn.XMATCH(TRUE,I13:R13&lt;&gt;0,0,-1)),0))</f>
        <v>0</v>
      </c>
      <c r="V13" s="513">
        <f t="shared" si="0"/>
        <v>0</v>
      </c>
      <c r="W13" s="513">
        <f>IF(H13=0,0,IF(MAX(X$4:X12)&lt;=6,6,MAX(X$4:X12)+1))</f>
        <v>0</v>
      </c>
      <c r="X13" s="513">
        <f t="shared" si="2"/>
        <v>0</v>
      </c>
    </row>
    <row r="14" spans="1:25" x14ac:dyDescent="0.3">
      <c r="A14" s="515" t="s">
        <v>408</v>
      </c>
      <c r="B14" s="515" t="s">
        <v>178</v>
      </c>
      <c r="C14" s="513" t="s">
        <v>410</v>
      </c>
      <c r="D14" s="513" t="s">
        <v>233</v>
      </c>
      <c r="E14" s="514">
        <v>6000</v>
      </c>
      <c r="F14" s="513" t="str">
        <f t="shared" si="1"/>
        <v/>
      </c>
      <c r="G14" s="514">
        <v>1</v>
      </c>
      <c r="H14" s="517">
        <f>(vl_prof_fixed_cost*pCRSalaries)-vl_prof_fixed_cost</f>
        <v>0</v>
      </c>
      <c r="I14" s="518">
        <f>IF(AND('Budget Form'!$F83&gt;0,pStartYear&lt;&gt;""),First_year_fraction,0)</f>
        <v>0</v>
      </c>
      <c r="J14" s="518">
        <f>IF(OR(pStartYear="",pStartYear+1&gt;pEndYear,'Budget Form'!$G83=0),0,IF(AND('Budget Form'!$G83&gt;0,pStartYear+1=pEndYear),Last_Year_Fraction,12))</f>
        <v>0</v>
      </c>
      <c r="K14" s="518">
        <f>IF(OR(pStartYear="",pStartYear+2&gt;pEndYear,'Budget Form'!$H83=0),0,IF(AND('Budget Form'!$H83&gt;0,pStartYear+2=pEndYear),Last_Year_Fraction,12))</f>
        <v>0</v>
      </c>
      <c r="L14" s="518">
        <f>IF(OR(pStartYear="",pStartYear+3&gt;pEndYear,'Budget Form'!$I83=0),0,IF(AND('Budget Form'!$I83&gt;0,pStartYear+3=pEndYear),Last_Year_Fraction,12))</f>
        <v>0</v>
      </c>
      <c r="M14" s="518">
        <f>IF(OR(pStartYear="",pStartYear+4&gt;pEndYear,'Budget Form'!$J83=0),0,IF(AND('Budget Form'!$J83&gt;0,pStartYear+4=pEndYear),Last_Year_Fraction,12))</f>
        <v>0</v>
      </c>
      <c r="N14" s="518">
        <f>IF(OR(pStartYear="",pStartYear+5&gt;pEndYear,'Budget Form'!$K83=0),0,IF(AND('Budget Form'!$K83&gt;0,pStartYear+5=pEndYear),Last_Year_Fraction,12))</f>
        <v>0</v>
      </c>
      <c r="O14" s="518">
        <f>IF(OR(pStartYear="",pStartYear+6&gt;pEndYear,'Budget Form'!$L83=0),0,IF(AND('Budget Form'!$L83&gt;0,pStartYear+6=pEndYear),Last_Year_Fraction,12))</f>
        <v>0</v>
      </c>
      <c r="P14" s="518">
        <f>IF(OR(pStartYear="",pStartYear+7&gt;pEndYear,'Budget Form'!$M83=0),0,IF(AND('Budget Form'!$M83&gt;0,pStartYear+7=pEndYear),Last_Year_Fraction,12))</f>
        <v>0</v>
      </c>
      <c r="Q14" s="518">
        <f>IF(OR(pStartYear="",pStartYear+8&gt;pEndYear,'Budget Form'!$N83=0),0,IF(AND('Budget Form'!$N83&gt;0,pStartYear+8=pEndYear),Last_Year_Fraction,12))</f>
        <v>0</v>
      </c>
      <c r="R14" s="518">
        <f>IF(OR(pStartYear="",pStartYear+9&gt;pEndYear,'Budget Form'!$O83=0),0,IF(AND('Budget Form'!$O83&gt;0,pStartYear+9=pEndYear),Last_Year_Fraction,12))</f>
        <v>0</v>
      </c>
      <c r="S14" s="513" cm="1">
        <f t="array" ref="S14">IF($H14=0,0,_xlfn.IFNA(INDEX($I$4:$R$4,MATCH(TRUE,INDEX($I14:$R14&lt;&gt;0,),0)),0))</f>
        <v>0</v>
      </c>
      <c r="T14" s="513">
        <f>IF($H14=0,0,IF($S14=Start_Year,VLOOKUP(Start_Month,lv_month,2,FALSE),1))</f>
        <v>0</v>
      </c>
      <c r="U14" s="513" cm="1">
        <f t="array" ref="U14">IF($H14=0,0,_xlfn.IFNA(INDEX($I$4:$R$4,_xlfn.XMATCH(TRUE,I14:R14&lt;&gt;0,0,-1)),0))</f>
        <v>0</v>
      </c>
      <c r="V14" s="513">
        <f t="shared" si="0"/>
        <v>0</v>
      </c>
      <c r="W14" s="513">
        <f>IF(H14=0,0,IF(MAX(X$4:X13)&lt;=6,6,MAX(X$4:X13)+1))</f>
        <v>0</v>
      </c>
      <c r="X14" s="513">
        <f t="shared" si="2"/>
        <v>0</v>
      </c>
    </row>
    <row r="15" spans="1:25" x14ac:dyDescent="0.3">
      <c r="A15" s="515" t="s">
        <v>408</v>
      </c>
      <c r="B15" s="515" t="s">
        <v>178</v>
      </c>
      <c r="C15" s="513" t="s">
        <v>410</v>
      </c>
      <c r="D15" s="513" t="s">
        <v>234</v>
      </c>
      <c r="E15" s="514">
        <v>6000</v>
      </c>
      <c r="F15" s="513" t="str">
        <f t="shared" si="1"/>
        <v/>
      </c>
      <c r="G15" s="514">
        <v>1</v>
      </c>
      <c r="H15" s="517">
        <f>(vl_academic_casual_cost*pCRSalaries)-vl_academic_casual_cost</f>
        <v>0</v>
      </c>
      <c r="I15" s="518">
        <f>IF(AND('Budget Form'!$F84&gt;0,pStartYear&lt;&gt;""),First_year_fraction,0)</f>
        <v>0</v>
      </c>
      <c r="J15" s="518">
        <f>IF(OR(pStartYear="",pStartYear+1&gt;pEndYear,'Budget Form'!$G84=0),0,IF(AND('Budget Form'!$G84&gt;0,pStartYear+1=pEndYear),Last_Year_Fraction,12))</f>
        <v>0</v>
      </c>
      <c r="K15" s="518">
        <f>IF(OR(pStartYear="",pStartYear+2&gt;pEndYear,'Budget Form'!$H84=0),0,IF(AND('Budget Form'!$H84&gt;0,pStartYear+2=pEndYear),Last_Year_Fraction,12))</f>
        <v>0</v>
      </c>
      <c r="L15" s="518">
        <f>IF(OR(pStartYear="",pStartYear+3&gt;pEndYear,'Budget Form'!$I84=0),0,IF(AND('Budget Form'!$I84&gt;0,pStartYear+3=pEndYear),Last_Year_Fraction,12))</f>
        <v>0</v>
      </c>
      <c r="M15" s="518">
        <f>IF(OR(pStartYear="",pStartYear+4&gt;pEndYear,'Budget Form'!$J84=0),0,IF(AND('Budget Form'!$J84&gt;0,pStartYear+4=pEndYear),Last_Year_Fraction,12))</f>
        <v>0</v>
      </c>
      <c r="N15" s="518">
        <f>IF(OR(pStartYear="",pStartYear+5&gt;pEndYear,'Budget Form'!$K84=0),0,IF(AND('Budget Form'!$K84&gt;0,pStartYear+5=pEndYear),Last_Year_Fraction,12))</f>
        <v>0</v>
      </c>
      <c r="O15" s="518">
        <f>IF(OR(pStartYear="",pStartYear+6&gt;pEndYear,'Budget Form'!$L84=0),0,IF(AND('Budget Form'!$L84&gt;0,pStartYear+6=pEndYear),Last_Year_Fraction,12))</f>
        <v>0</v>
      </c>
      <c r="P15" s="518">
        <f>IF(OR(pStartYear="",pStartYear+7&gt;pEndYear,'Budget Form'!$M84=0),0,IF(AND('Budget Form'!$M84&gt;0,pStartYear+7=pEndYear),Last_Year_Fraction,12))</f>
        <v>0</v>
      </c>
      <c r="Q15" s="518">
        <f>IF(OR(pStartYear="",pStartYear+8&gt;pEndYear,'Budget Form'!$N84=0),0,IF(AND('Budget Form'!$N84&gt;0,pStartYear+8=pEndYear),Last_Year_Fraction,12))</f>
        <v>0</v>
      </c>
      <c r="R15" s="518">
        <f>IF(OR(pStartYear="",pStartYear+9&gt;pEndYear,'Budget Form'!$O84=0),0,IF(AND('Budget Form'!$O84&gt;0,pStartYear+9=pEndYear),Last_Year_Fraction,12))</f>
        <v>0</v>
      </c>
      <c r="S15" s="513" cm="1">
        <f t="array" ref="S15">IF($H15=0,0,_xlfn.IFNA(INDEX($I$4:$R$4,MATCH(TRUE,INDEX($I15:$R15&lt;&gt;0,),0)),0))</f>
        <v>0</v>
      </c>
      <c r="T15" s="513">
        <f>IF($H15=0,0,IF($S15=Start_Year,VLOOKUP(Start_Month,lv_month,2,FALSE),1))</f>
        <v>0</v>
      </c>
      <c r="U15" s="513" cm="1">
        <f t="array" ref="U15">IF($H15=0,0,_xlfn.IFNA(INDEX($I$4:$R$4,_xlfn.XMATCH(TRUE,I15:R15&lt;&gt;0,0,-1)),0))</f>
        <v>0</v>
      </c>
      <c r="V15" s="513">
        <f t="shared" si="0"/>
        <v>0</v>
      </c>
      <c r="W15" s="513">
        <f>IF(H15=0,0,IF(MAX(X$4:X14)&lt;=6,6,MAX(X$4:X14)+1))</f>
        <v>0</v>
      </c>
      <c r="X15" s="513">
        <f t="shared" si="2"/>
        <v>0</v>
      </c>
    </row>
    <row r="16" spans="1:25" x14ac:dyDescent="0.3">
      <c r="A16" s="515" t="s">
        <v>408</v>
      </c>
      <c r="B16" s="515" t="s">
        <v>178</v>
      </c>
      <c r="C16" s="513" t="s">
        <v>410</v>
      </c>
      <c r="D16" s="513" t="s">
        <v>235</v>
      </c>
      <c r="E16" s="514">
        <v>6000</v>
      </c>
      <c r="F16" s="513" t="str">
        <f t="shared" si="1"/>
        <v/>
      </c>
      <c r="G16" s="514">
        <v>1</v>
      </c>
      <c r="H16" s="517">
        <f>(vl_prof_casual_cost*pCRSalaries)-vl_prof_casual_cost</f>
        <v>0</v>
      </c>
      <c r="I16" s="518">
        <f>IF(AND('Budget Form'!$F85&gt;0,pStartYear&lt;&gt;""),First_year_fraction,0)</f>
        <v>0</v>
      </c>
      <c r="J16" s="518">
        <f>IF(OR(pStartYear="",pStartYear+1&gt;pEndYear,'Budget Form'!$G85=0),0,IF(AND('Budget Form'!$G85&gt;0,pStartYear+1=pEndYear),Last_Year_Fraction,12))</f>
        <v>0</v>
      </c>
      <c r="K16" s="518">
        <f>IF(OR(pStartYear="",pStartYear+2&gt;pEndYear,'Budget Form'!$H85=0),0,IF(AND('Budget Form'!$H85&gt;0,pStartYear+2=pEndYear),Last_Year_Fraction,12))</f>
        <v>0</v>
      </c>
      <c r="L16" s="518">
        <f>IF(OR(pStartYear="",pStartYear+3&gt;pEndYear,'Budget Form'!$I85=0),0,IF(AND('Budget Form'!$I85&gt;0,pStartYear+3=pEndYear),Last_Year_Fraction,12))</f>
        <v>0</v>
      </c>
      <c r="M16" s="518">
        <f>IF(OR(pStartYear="",pStartYear+4&gt;pEndYear,'Budget Form'!$J85=0),0,IF(AND('Budget Form'!$J85&gt;0,pStartYear+4=pEndYear),Last_Year_Fraction,12))</f>
        <v>0</v>
      </c>
      <c r="N16" s="518">
        <f>IF(OR(pStartYear="",pStartYear+5&gt;pEndYear,'Budget Form'!$K85=0),0,IF(AND('Budget Form'!$K85&gt;0,pStartYear+5=pEndYear),Last_Year_Fraction,12))</f>
        <v>0</v>
      </c>
      <c r="O16" s="518">
        <f>IF(OR(pStartYear="",pStartYear+6&gt;pEndYear,'Budget Form'!$L85=0),0,IF(AND('Budget Form'!$L85&gt;0,pStartYear+6=pEndYear),Last_Year_Fraction,12))</f>
        <v>0</v>
      </c>
      <c r="P16" s="518">
        <f>IF(OR(pStartYear="",pStartYear+7&gt;pEndYear,'Budget Form'!$M85=0),0,IF(AND('Budget Form'!$M85&gt;0,pStartYear+7=pEndYear),Last_Year_Fraction,12))</f>
        <v>0</v>
      </c>
      <c r="Q16" s="518">
        <f>IF(OR(pStartYear="",pStartYear+8&gt;pEndYear,'Budget Form'!$N85=0),0,IF(AND('Budget Form'!$N85&gt;0,pStartYear+8=pEndYear),Last_Year_Fraction,12))</f>
        <v>0</v>
      </c>
      <c r="R16" s="518">
        <f>IF(OR(pStartYear="",pStartYear+9&gt;pEndYear,'Budget Form'!$O85=0),0,IF(AND('Budget Form'!$O85&gt;0,pStartYear+9=pEndYear),Last_Year_Fraction,12))</f>
        <v>0</v>
      </c>
      <c r="S16" s="513" cm="1">
        <f t="array" ref="S16">IF($H16=0,0,_xlfn.IFNA(INDEX($I$4:$R$4,MATCH(TRUE,INDEX($I16:$R16&lt;&gt;0,),0)),0))</f>
        <v>0</v>
      </c>
      <c r="T16" s="513">
        <f>IF($H16=0,0,IF($S16=Start_Year,VLOOKUP(Start_Month,lv_month,2,FALSE),1))</f>
        <v>0</v>
      </c>
      <c r="U16" s="513" cm="1">
        <f t="array" ref="U16">IF($H16=0,0,_xlfn.IFNA(INDEX($I$4:$R$4,_xlfn.XMATCH(TRUE,I16:R16&lt;&gt;0,0,-1)),0))</f>
        <v>0</v>
      </c>
      <c r="V16" s="513">
        <f t="shared" si="0"/>
        <v>0</v>
      </c>
      <c r="W16" s="513">
        <f>IF(H16=0,0,IF(MAX(X$4:X15)&lt;=6,6,MAX(X$4:X15)+1))</f>
        <v>0</v>
      </c>
      <c r="X16" s="513">
        <f t="shared" si="2"/>
        <v>0</v>
      </c>
    </row>
    <row r="17" spans="1:24" x14ac:dyDescent="0.3">
      <c r="A17" s="515" t="s">
        <v>408</v>
      </c>
      <c r="B17" s="515" t="s">
        <v>411</v>
      </c>
      <c r="C17" s="513" t="s">
        <v>83</v>
      </c>
      <c r="D17" s="513" t="s">
        <v>85</v>
      </c>
      <c r="E17" s="514">
        <v>5060</v>
      </c>
      <c r="F17" s="513" t="str">
        <f t="shared" si="1"/>
        <v/>
      </c>
      <c r="G17" s="514">
        <v>1</v>
      </c>
      <c r="H17" s="513">
        <f>'PART C Non-Staff Costs'!P63</f>
        <v>0</v>
      </c>
      <c r="I17" s="518">
        <f>IF(AND('PART C Non-Staff Costs'!F63,pStartYear&lt;&gt;""),First_year_fraction,0)</f>
        <v>0</v>
      </c>
      <c r="J17" s="518">
        <f>IF(OR(pStartYear="",pStartYear+1&gt;pEndYear,'PART C Non-Staff Costs'!G63=0),0,IF(AND('PART C Non-Staff Costs'!G63&gt;0,pStartYear+1=pEndYear),Last_Year_Fraction,12))</f>
        <v>0</v>
      </c>
      <c r="K17" s="518">
        <f>IF(OR(pStartYear="",pStartYear+2&gt;pEndYear,'PART C Non-Staff Costs'!H63=0),0,IF(AND('PART C Non-Staff Costs'!H63&gt;0,pStartYear+2=pEndYear),Last_Year_Fraction,12))</f>
        <v>0</v>
      </c>
      <c r="L17" s="518">
        <f>IF(OR(pStartYear="",pStartYear+3&gt;pEndYear,'PART C Non-Staff Costs'!I63=0),0,IF(AND('PART C Non-Staff Costs'!I63&gt;0,pStartYear+3=pEndYear),Last_Year_Fraction,12))</f>
        <v>0</v>
      </c>
      <c r="M17" s="518">
        <f>IF(OR(pStartYear="",pStartYear+4&gt;pEndYear,'PART C Non-Staff Costs'!J63=0),0,IF(AND('PART C Non-Staff Costs'!J63&gt;0,pStartYear+4=pEndYear),Last_Year_Fraction,12))</f>
        <v>0</v>
      </c>
      <c r="N17" s="518">
        <f>IF(OR(pStartYear="",pStartYear+5&gt;pEndYear,'PART C Non-Staff Costs'!K63=0),0,IF(AND('PART C Non-Staff Costs'!K63&gt;0,pStartYear+5=pEndYear),Last_Year_Fraction,12))</f>
        <v>0</v>
      </c>
      <c r="O17" s="518">
        <f>IF(OR(pStartYear="",pStartYear+6&gt;pEndYear,'PART C Non-Staff Costs'!L63=0),0,IF(AND('PART C Non-Staff Costs'!L63&gt;0,pStartYear+6=pEndYear),Last_Year_Fraction,12))</f>
        <v>0</v>
      </c>
      <c r="P17" s="518">
        <f>IF(OR(pStartYear="",pStartYear+7&gt;pEndYear,'PART C Non-Staff Costs'!M63=0),0,IF(AND('PART C Non-Staff Costs'!M63&gt;0,pStartYear+7=pEndYear),Last_Year_Fraction,12))</f>
        <v>0</v>
      </c>
      <c r="Q17" s="518">
        <f>IF(OR(pStartYear="",pStartYear+8&gt;pEndYear,'PART C Non-Staff Costs'!N63=0),0,IF(AND('PART C Non-Staff Costs'!N63&gt;0,pStartYear+8=pEndYear),Last_Year_Fraction,12))</f>
        <v>0</v>
      </c>
      <c r="R17" s="518">
        <f>IF(OR(pStartYear="",pStartYear+9&gt;pEndYear,'PART C Non-Staff Costs'!O63=0),0,IF(AND('PART C Non-Staff Costs'!O63&gt;0,pStartYear+9=pEndYear),Last_Year_Fraction,12))</f>
        <v>0</v>
      </c>
      <c r="S17" s="513" cm="1">
        <f t="array" ref="S17">IF($H17=0,0,_xlfn.IFNA(INDEX($I$4:$R$4,MATCH(TRUE,INDEX($I17:$R17&lt;&gt;0,),0)),0))</f>
        <v>0</v>
      </c>
      <c r="T17" s="513">
        <f>IF($H17=0,0,IF($S17=Start_Year,VLOOKUP(Start_Month,lv_month,2,FALSE),1))</f>
        <v>0</v>
      </c>
      <c r="U17" s="513" cm="1">
        <f t="array" ref="U17">IF($H17=0,0,_xlfn.IFNA(INDEX($I$4:$R$4,_xlfn.XMATCH(TRUE,I17:R17&lt;&gt;0,0,-1)),0))</f>
        <v>0</v>
      </c>
      <c r="V17" s="513">
        <f t="shared" si="0"/>
        <v>0</v>
      </c>
      <c r="W17" s="513">
        <f>IF(H17=0,0,IF(MAX(X$4:X16)&lt;=6,6,MAX(X$4:X16)+1))</f>
        <v>0</v>
      </c>
      <c r="X17" s="513">
        <f t="shared" ref="X17" si="3">IF(H17=0,0,W17+SUM(I17:R17)*2-1)</f>
        <v>0</v>
      </c>
    </row>
    <row r="18" spans="1:24" x14ac:dyDescent="0.3">
      <c r="A18" s="515" t="s">
        <v>408</v>
      </c>
      <c r="B18" s="515" t="s">
        <v>411</v>
      </c>
      <c r="C18" s="513" t="s">
        <v>90</v>
      </c>
      <c r="D18" s="513" t="s">
        <v>92</v>
      </c>
      <c r="E18" s="514">
        <v>5063</v>
      </c>
      <c r="F18" s="513" t="str">
        <f t="shared" si="1"/>
        <v/>
      </c>
      <c r="G18" s="514">
        <v>1</v>
      </c>
      <c r="H18" s="513">
        <f>'PART C Non-Staff Costs'!P76</f>
        <v>0</v>
      </c>
      <c r="I18" s="518">
        <f>IF(AND('PART C Non-Staff Costs'!F76,pStartYear&lt;&gt;""),First_year_fraction,0)</f>
        <v>0</v>
      </c>
      <c r="J18" s="518">
        <f>IF(OR(pStartYear="",pStartYear+1&gt;pEndYear,'PART C Non-Staff Costs'!G76=0),0,IF(AND('PART C Non-Staff Costs'!G76&gt;0,pStartYear+1=pEndYear),Last_Year_Fraction,12))</f>
        <v>0</v>
      </c>
      <c r="K18" s="518">
        <f>IF(OR(pStartYear="",pStartYear+2&gt;pEndYear,'PART C Non-Staff Costs'!H76=0),0,IF(AND('PART C Non-Staff Costs'!H76&gt;0,pStartYear+2=pEndYear),Last_Year_Fraction,12))</f>
        <v>0</v>
      </c>
      <c r="L18" s="518">
        <f>IF(OR(pStartYear="",pStartYear+3&gt;pEndYear,'PART C Non-Staff Costs'!I76=0),0,IF(AND('PART C Non-Staff Costs'!I76&gt;0,pStartYear+3=pEndYear),Last_Year_Fraction,12))</f>
        <v>0</v>
      </c>
      <c r="M18" s="518">
        <f>IF(OR(pStartYear="",pStartYear+4&gt;pEndYear,'PART C Non-Staff Costs'!J76=0),0,IF(AND('PART C Non-Staff Costs'!J76&gt;0,pStartYear+4=pEndYear),Last_Year_Fraction,12))</f>
        <v>0</v>
      </c>
      <c r="N18" s="518">
        <f>IF(OR(pStartYear="",pStartYear+5&gt;pEndYear,'PART C Non-Staff Costs'!K76=0),0,IF(AND('PART C Non-Staff Costs'!K76&gt;0,pStartYear+5=pEndYear),Last_Year_Fraction,12))</f>
        <v>0</v>
      </c>
      <c r="O18" s="518">
        <f>IF(OR(pStartYear="",pStartYear+6&gt;pEndYear,'PART C Non-Staff Costs'!L76=0),0,IF(AND('PART C Non-Staff Costs'!L76&gt;0,pStartYear+6=pEndYear),Last_Year_Fraction,12))</f>
        <v>0</v>
      </c>
      <c r="P18" s="518">
        <f>IF(OR(pStartYear="",pStartYear+7&gt;pEndYear,'PART C Non-Staff Costs'!M76=0),0,IF(AND('PART C Non-Staff Costs'!M76&gt;0,pStartYear+7=pEndYear),Last_Year_Fraction,12))</f>
        <v>0</v>
      </c>
      <c r="Q18" s="518">
        <f>IF(OR(pStartYear="",pStartYear+8&gt;pEndYear,'PART C Non-Staff Costs'!N76=0),0,IF(AND('PART C Non-Staff Costs'!N76&gt;0,pStartYear+8=pEndYear),Last_Year_Fraction,12))</f>
        <v>0</v>
      </c>
      <c r="R18" s="518">
        <f>IF(OR(pStartYear="",pStartYear+9&gt;pEndYear,'PART C Non-Staff Costs'!O76=0),0,IF(AND('PART C Non-Staff Costs'!O76&gt;0,pStartYear+9=pEndYear),Last_Year_Fraction,12))</f>
        <v>0</v>
      </c>
      <c r="S18" s="513" cm="1">
        <f t="array" ref="S18">IF($H18=0,0,_xlfn.IFNA(INDEX($I$4:$R$4,MATCH(TRUE,INDEX($I18:$R18&lt;&gt;0,),0)),0))</f>
        <v>0</v>
      </c>
      <c r="T18" s="513">
        <f>IF($H18=0,0,IF($S18=Start_Year,VLOOKUP(Start_Month,lv_month,2,FALSE),1))</f>
        <v>0</v>
      </c>
      <c r="U18" s="513" cm="1">
        <f t="array" ref="U18">IF($H18=0,0,_xlfn.IFNA(INDEX($I$4:$R$4,_xlfn.XMATCH(TRUE,I18:R18&lt;&gt;0,0,-1)),0))</f>
        <v>0</v>
      </c>
      <c r="V18" s="513">
        <f t="shared" si="0"/>
        <v>0</v>
      </c>
      <c r="W18" s="513">
        <f>IF(H18=0,0,IF(MAX(X$4:X17)&lt;=6,6,MAX(X$4:X17)+1))</f>
        <v>0</v>
      </c>
      <c r="X18" s="513">
        <f t="shared" ref="X18:X35" si="4">IF(H18=0,0,W18+SUM(I18:R18)*2-1)</f>
        <v>0</v>
      </c>
    </row>
    <row r="19" spans="1:24" x14ac:dyDescent="0.3">
      <c r="A19" s="515" t="s">
        <v>408</v>
      </c>
      <c r="B19" s="515" t="s">
        <v>411</v>
      </c>
      <c r="C19" s="513" t="s">
        <v>90</v>
      </c>
      <c r="D19" s="513" t="s">
        <v>94</v>
      </c>
      <c r="E19" s="514">
        <v>5061</v>
      </c>
      <c r="F19" s="513" t="str">
        <f t="shared" si="1"/>
        <v/>
      </c>
      <c r="G19" s="514">
        <v>1</v>
      </c>
      <c r="H19" s="513">
        <f>'PART C Non-Staff Costs'!P84</f>
        <v>0</v>
      </c>
      <c r="I19" s="518">
        <f>IF(AND('PART C Non-Staff Costs'!F84,pStartYear&lt;&gt;""),First_year_fraction,0)</f>
        <v>0</v>
      </c>
      <c r="J19" s="518">
        <f>IF(OR(pStartYear="",pStartYear+1&gt;pEndYear,'PART C Non-Staff Costs'!G84=0),0,IF(AND('PART C Non-Staff Costs'!G84&gt;0,pStartYear+1=pEndYear),Last_Year_Fraction,12))</f>
        <v>0</v>
      </c>
      <c r="K19" s="518">
        <f>IF(OR(pStartYear="",pStartYear+2&gt;pEndYear,'PART C Non-Staff Costs'!H84=0),0,IF(AND('PART C Non-Staff Costs'!H84&gt;0,pStartYear+2=pEndYear),Last_Year_Fraction,12))</f>
        <v>0</v>
      </c>
      <c r="L19" s="518">
        <f>IF(OR(pStartYear="",pStartYear+3&gt;pEndYear,'PART C Non-Staff Costs'!I84=0),0,IF(AND('PART C Non-Staff Costs'!I84&gt;0,pStartYear+3=pEndYear),Last_Year_Fraction,12))</f>
        <v>0</v>
      </c>
      <c r="M19" s="518">
        <f>IF(OR(pStartYear="",pStartYear+4&gt;pEndYear,'PART C Non-Staff Costs'!J84=0),0,IF(AND('PART C Non-Staff Costs'!J84&gt;0,pStartYear+4=pEndYear),Last_Year_Fraction,12))</f>
        <v>0</v>
      </c>
      <c r="N19" s="518">
        <f>IF(OR(pStartYear="",pStartYear+5&gt;pEndYear,'PART C Non-Staff Costs'!K84=0),0,IF(AND('PART C Non-Staff Costs'!K84&gt;0,pStartYear+5=pEndYear),Last_Year_Fraction,12))</f>
        <v>0</v>
      </c>
      <c r="O19" s="518">
        <f>IF(OR(pStartYear="",pStartYear+6&gt;pEndYear,'PART C Non-Staff Costs'!L84=0),0,IF(AND('PART C Non-Staff Costs'!L84&gt;0,pStartYear+6=pEndYear),Last_Year_Fraction,12))</f>
        <v>0</v>
      </c>
      <c r="P19" s="518">
        <f>IF(OR(pStartYear="",pStartYear+7&gt;pEndYear,'PART C Non-Staff Costs'!M84=0),0,IF(AND('PART C Non-Staff Costs'!M84&gt;0,pStartYear+7=pEndYear),Last_Year_Fraction,12))</f>
        <v>0</v>
      </c>
      <c r="Q19" s="518">
        <f>IF(OR(pStartYear="",pStartYear+8&gt;pEndYear,'PART C Non-Staff Costs'!N84=0),0,IF(AND('PART C Non-Staff Costs'!N84&gt;0,pStartYear+8=pEndYear),Last_Year_Fraction,12))</f>
        <v>0</v>
      </c>
      <c r="R19" s="518">
        <f>IF(OR(pStartYear="",pStartYear+9&gt;pEndYear,'PART C Non-Staff Costs'!O84=0),0,IF(AND('PART C Non-Staff Costs'!O84&gt;0,pStartYear+9=pEndYear),Last_Year_Fraction,12))</f>
        <v>0</v>
      </c>
      <c r="S19" s="513" cm="1">
        <f t="array" ref="S19">IF($H19=0,0,_xlfn.IFNA(INDEX($I$4:$R$4,MATCH(TRUE,INDEX($I19:$R19&lt;&gt;0,),0)),0))</f>
        <v>0</v>
      </c>
      <c r="T19" s="513">
        <f>IF($H19=0,0,IF($S19=Start_Year,VLOOKUP(Start_Month,lv_month,2,FALSE),1))</f>
        <v>0</v>
      </c>
      <c r="U19" s="513" cm="1">
        <f t="array" ref="U19">IF($H19=0,0,_xlfn.IFNA(INDEX($I$4:$R$4,_xlfn.XMATCH(TRUE,I19:R19&lt;&gt;0,0,-1)),0))</f>
        <v>0</v>
      </c>
      <c r="V19" s="513">
        <f t="shared" si="0"/>
        <v>0</v>
      </c>
      <c r="W19" s="513">
        <f>IF(H19=0,0,IF(MAX(X$4:X18)&lt;=6,6,MAX(X$4:X18)+1))</f>
        <v>0</v>
      </c>
      <c r="X19" s="513">
        <f t="shared" si="4"/>
        <v>0</v>
      </c>
    </row>
    <row r="20" spans="1:24" x14ac:dyDescent="0.3">
      <c r="A20" s="515" t="s">
        <v>408</v>
      </c>
      <c r="B20" s="515" t="s">
        <v>411</v>
      </c>
      <c r="C20" s="513" t="s">
        <v>96</v>
      </c>
      <c r="D20" s="513" t="s">
        <v>98</v>
      </c>
      <c r="E20" s="514">
        <v>5101</v>
      </c>
      <c r="F20" s="513" t="str">
        <f t="shared" si="1"/>
        <v/>
      </c>
      <c r="G20" s="514">
        <v>1</v>
      </c>
      <c r="H20" s="513">
        <f>'PART C Non-Staff Costs'!P98</f>
        <v>0</v>
      </c>
      <c r="I20" s="518">
        <f>IF(AND('PART C Non-Staff Costs'!F98,pStartYear&lt;&gt;""),First_year_fraction,0)</f>
        <v>0</v>
      </c>
      <c r="J20" s="518">
        <f>IF(OR(pStartYear="",pStartYear+1&gt;pEndYear,'PART C Non-Staff Costs'!G98=0),0,IF(AND('PART C Non-Staff Costs'!G98&gt;0,pStartYear+1=pEndYear),Last_Year_Fraction,12))</f>
        <v>0</v>
      </c>
      <c r="K20" s="518">
        <f>IF(OR(pStartYear="",pStartYear+2&gt;pEndYear,'PART C Non-Staff Costs'!H98=0),0,IF(AND('PART C Non-Staff Costs'!H98&gt;0,pStartYear+2=pEndYear),Last_Year_Fraction,12))</f>
        <v>0</v>
      </c>
      <c r="L20" s="518">
        <f>IF(OR(pStartYear="",pStartYear+3&gt;pEndYear,'PART C Non-Staff Costs'!I98=0),0,IF(AND('PART C Non-Staff Costs'!I98&gt;0,pStartYear+3=pEndYear),Last_Year_Fraction,12))</f>
        <v>0</v>
      </c>
      <c r="M20" s="518">
        <f>IF(OR(pStartYear="",pStartYear+4&gt;pEndYear,'PART C Non-Staff Costs'!J98=0),0,IF(AND('PART C Non-Staff Costs'!J98&gt;0,pStartYear+4=pEndYear),Last_Year_Fraction,12))</f>
        <v>0</v>
      </c>
      <c r="N20" s="518">
        <f>IF(OR(pStartYear="",pStartYear+5&gt;pEndYear,'PART C Non-Staff Costs'!K98=0),0,IF(AND('PART C Non-Staff Costs'!K98&gt;0,pStartYear+5=pEndYear),Last_Year_Fraction,12))</f>
        <v>0</v>
      </c>
      <c r="O20" s="518">
        <f>IF(OR(pStartYear="",pStartYear+6&gt;pEndYear,'PART C Non-Staff Costs'!L98=0),0,IF(AND('PART C Non-Staff Costs'!L98&gt;0,pStartYear+6=pEndYear),Last_Year_Fraction,12))</f>
        <v>0</v>
      </c>
      <c r="P20" s="518">
        <f>IF(OR(pStartYear="",pStartYear+7&gt;pEndYear,'PART C Non-Staff Costs'!M98=0),0,IF(AND('PART C Non-Staff Costs'!M98&gt;0,pStartYear+7=pEndYear),Last_Year_Fraction,12))</f>
        <v>0</v>
      </c>
      <c r="Q20" s="518">
        <f>IF(OR(pStartYear="",pStartYear+8&gt;pEndYear,'PART C Non-Staff Costs'!N98=0),0,IF(AND('PART C Non-Staff Costs'!N98&gt;0,pStartYear+8=pEndYear),Last_Year_Fraction,12))</f>
        <v>0</v>
      </c>
      <c r="R20" s="518">
        <f>IF(OR(pStartYear="",pStartYear+9&gt;pEndYear,'PART C Non-Staff Costs'!O98=0),0,IF(AND('PART C Non-Staff Costs'!O98&gt;0,pStartYear+9=pEndYear),Last_Year_Fraction,12))</f>
        <v>0</v>
      </c>
      <c r="S20" s="513" cm="1">
        <f t="array" ref="S20">IF($H20=0,0,_xlfn.IFNA(INDEX($I$4:$R$4,MATCH(TRUE,INDEX($I20:$R20&lt;&gt;0,),0)),0))</f>
        <v>0</v>
      </c>
      <c r="T20" s="513">
        <f>IF($H20=0,0,IF($S20=Start_Year,VLOOKUP(Start_Month,lv_month,2,FALSE),1))</f>
        <v>0</v>
      </c>
      <c r="U20" s="513" cm="1">
        <f t="array" ref="U20">IF($H20=0,0,_xlfn.IFNA(INDEX($I$4:$R$4,_xlfn.XMATCH(TRUE,I20:R20&lt;&gt;0,0,-1)),0))</f>
        <v>0</v>
      </c>
      <c r="V20" s="513">
        <f t="shared" si="0"/>
        <v>0</v>
      </c>
      <c r="W20" s="513">
        <f>IF(H20=0,0,IF(MAX(X$4:X19)&lt;=6,6,MAX(X$4:X19)+1))</f>
        <v>0</v>
      </c>
      <c r="X20" s="513">
        <f t="shared" si="4"/>
        <v>0</v>
      </c>
    </row>
    <row r="21" spans="1:24" x14ac:dyDescent="0.3">
      <c r="A21" s="515" t="s">
        <v>408</v>
      </c>
      <c r="B21" s="515" t="s">
        <v>411</v>
      </c>
      <c r="C21" s="513" t="s">
        <v>100</v>
      </c>
      <c r="D21" s="513" t="s">
        <v>102</v>
      </c>
      <c r="E21" s="514">
        <v>1640</v>
      </c>
      <c r="F21" s="513" t="str">
        <f t="shared" si="1"/>
        <v/>
      </c>
      <c r="G21" s="514">
        <v>1</v>
      </c>
      <c r="H21" s="513">
        <f>'PART C Non-Staff Costs'!P111</f>
        <v>0</v>
      </c>
      <c r="I21" s="518">
        <f>IF(AND('PART C Non-Staff Costs'!F111,pStartYear&lt;&gt;""),First_year_fraction,0)</f>
        <v>0</v>
      </c>
      <c r="J21" s="518">
        <f>IF(OR(pStartYear="",pStartYear+1&gt;pEndYear,'PART C Non-Staff Costs'!G111=0),0,IF(AND('PART C Non-Staff Costs'!G111&gt;0,pStartYear+1=pEndYear),Last_Year_Fraction,12))</f>
        <v>0</v>
      </c>
      <c r="K21" s="518">
        <f>IF(OR(pStartYear="",pStartYear+2&gt;pEndYear,'PART C Non-Staff Costs'!H111=0),0,IF(AND('PART C Non-Staff Costs'!H111&gt;0,pStartYear+2=pEndYear),Last_Year_Fraction,12))</f>
        <v>0</v>
      </c>
      <c r="L21" s="518">
        <f>IF(OR(pStartYear="",pStartYear+3&gt;pEndYear,'PART C Non-Staff Costs'!I111=0),0,IF(AND('PART C Non-Staff Costs'!I111&gt;0,pStartYear+3=pEndYear),Last_Year_Fraction,12))</f>
        <v>0</v>
      </c>
      <c r="M21" s="518">
        <f>IF(OR(pStartYear="",pStartYear+4&gt;pEndYear,'PART C Non-Staff Costs'!J111=0),0,IF(AND('PART C Non-Staff Costs'!J111&gt;0,pStartYear+4=pEndYear),Last_Year_Fraction,12))</f>
        <v>0</v>
      </c>
      <c r="N21" s="518">
        <f>IF(OR(pStartYear="",pStartYear+5&gt;pEndYear,'PART C Non-Staff Costs'!K111=0),0,IF(AND('PART C Non-Staff Costs'!K111&gt;0,pStartYear+5=pEndYear),Last_Year_Fraction,12))</f>
        <v>0</v>
      </c>
      <c r="O21" s="518">
        <f>IF(OR(pStartYear="",pStartYear+6&gt;pEndYear,'PART C Non-Staff Costs'!L111=0),0,IF(AND('PART C Non-Staff Costs'!L111&gt;0,pStartYear+6=pEndYear),Last_Year_Fraction,12))</f>
        <v>0</v>
      </c>
      <c r="P21" s="518">
        <f>IF(OR(pStartYear="",pStartYear+7&gt;pEndYear,'PART C Non-Staff Costs'!M111=0),0,IF(AND('PART C Non-Staff Costs'!M111&gt;0,pStartYear+7=pEndYear),Last_Year_Fraction,12))</f>
        <v>0</v>
      </c>
      <c r="Q21" s="518">
        <f>IF(OR(pStartYear="",pStartYear+8&gt;pEndYear,'PART C Non-Staff Costs'!N111=0),0,IF(AND('PART C Non-Staff Costs'!N111&gt;0,pStartYear+8=pEndYear),Last_Year_Fraction,12))</f>
        <v>0</v>
      </c>
      <c r="R21" s="518">
        <f>IF(OR(pStartYear="",pStartYear+9&gt;pEndYear,'PART C Non-Staff Costs'!O111=0),0,IF(AND('PART C Non-Staff Costs'!O111&gt;0,pStartYear+9=pEndYear),Last_Year_Fraction,12))</f>
        <v>0</v>
      </c>
      <c r="S21" s="513" cm="1">
        <f t="array" ref="S21">IF($H21=0,0,_xlfn.IFNA(INDEX($I$4:$R$4,MATCH(TRUE,INDEX($I21:$R21&lt;&gt;0,),0)),0))</f>
        <v>0</v>
      </c>
      <c r="T21" s="513">
        <f>IF($H21=0,0,IF($S21=Start_Year,VLOOKUP(Start_Month,lv_month,2,FALSE),1))</f>
        <v>0</v>
      </c>
      <c r="U21" s="513" cm="1">
        <f t="array" ref="U21">IF($H21=0,0,_xlfn.IFNA(INDEX($I$4:$R$4,_xlfn.XMATCH(TRUE,I21:R21&lt;&gt;0,0,-1)),0))</f>
        <v>0</v>
      </c>
      <c r="V21" s="513">
        <f t="shared" si="0"/>
        <v>0</v>
      </c>
      <c r="W21" s="513">
        <f>IF(H21=0,0,IF(MAX(X$4:X20)&lt;=6,6,MAX(X$4:X20)+1))</f>
        <v>0</v>
      </c>
      <c r="X21" s="513">
        <f t="shared" si="4"/>
        <v>0</v>
      </c>
    </row>
    <row r="22" spans="1:24" x14ac:dyDescent="0.3">
      <c r="A22" s="515" t="s">
        <v>408</v>
      </c>
      <c r="B22" s="515" t="s">
        <v>411</v>
      </c>
      <c r="C22" s="513" t="s">
        <v>100</v>
      </c>
      <c r="D22" s="513" t="s">
        <v>103</v>
      </c>
      <c r="E22" s="514">
        <v>5100</v>
      </c>
      <c r="F22" s="513" t="str">
        <f t="shared" si="1"/>
        <v/>
      </c>
      <c r="G22" s="514">
        <v>1</v>
      </c>
      <c r="H22" s="513">
        <f>'PART C Non-Staff Costs'!P119</f>
        <v>0</v>
      </c>
      <c r="I22" s="518">
        <f>IF(AND('PART C Non-Staff Costs'!F119,pStartYear&lt;&gt;""),First_year_fraction,0)</f>
        <v>0</v>
      </c>
      <c r="J22" s="518">
        <f>IF(OR(pStartYear="",pStartYear+1&gt;pEndYear,'PART C Non-Staff Costs'!G119=0),0,IF(AND('PART C Non-Staff Costs'!G119&gt;0,pStartYear+1=pEndYear),Last_Year_Fraction,12))</f>
        <v>0</v>
      </c>
      <c r="K22" s="518">
        <f>IF(OR(pStartYear="",pStartYear+2&gt;pEndYear,'PART C Non-Staff Costs'!H119=0),0,IF(AND('PART C Non-Staff Costs'!H119&gt;0,pStartYear+2=pEndYear),Last_Year_Fraction,12))</f>
        <v>0</v>
      </c>
      <c r="L22" s="518">
        <f>IF(OR(pStartYear="",pStartYear+3&gt;pEndYear,'PART C Non-Staff Costs'!I119=0),0,IF(AND('PART C Non-Staff Costs'!I119&gt;0,pStartYear+3=pEndYear),Last_Year_Fraction,12))</f>
        <v>0</v>
      </c>
      <c r="M22" s="518">
        <f>IF(OR(pStartYear="",pStartYear+4&gt;pEndYear,'PART C Non-Staff Costs'!J119=0),0,IF(AND('PART C Non-Staff Costs'!J119&gt;0,pStartYear+4=pEndYear),Last_Year_Fraction,12))</f>
        <v>0</v>
      </c>
      <c r="N22" s="518">
        <f>IF(OR(pStartYear="",pStartYear+5&gt;pEndYear,'PART C Non-Staff Costs'!K119=0),0,IF(AND('PART C Non-Staff Costs'!K119&gt;0,pStartYear+5=pEndYear),Last_Year_Fraction,12))</f>
        <v>0</v>
      </c>
      <c r="O22" s="518">
        <f>IF(OR(pStartYear="",pStartYear+6&gt;pEndYear,'PART C Non-Staff Costs'!L119=0),0,IF(AND('PART C Non-Staff Costs'!L119&gt;0,pStartYear+6=pEndYear),Last_Year_Fraction,12))</f>
        <v>0</v>
      </c>
      <c r="P22" s="518">
        <f>IF(OR(pStartYear="",pStartYear+7&gt;pEndYear,'PART C Non-Staff Costs'!M119=0),0,IF(AND('PART C Non-Staff Costs'!M119&gt;0,pStartYear+7=pEndYear),Last_Year_Fraction,12))</f>
        <v>0</v>
      </c>
      <c r="Q22" s="518">
        <f>IF(OR(pStartYear="",pStartYear+8&gt;pEndYear,'PART C Non-Staff Costs'!N119=0),0,IF(AND('PART C Non-Staff Costs'!N119&gt;0,pStartYear+8=pEndYear),Last_Year_Fraction,12))</f>
        <v>0</v>
      </c>
      <c r="R22" s="518">
        <f>IF(OR(pStartYear="",pStartYear+9&gt;pEndYear,'PART C Non-Staff Costs'!O119=0),0,IF(AND('PART C Non-Staff Costs'!O119&gt;0,pStartYear+9=pEndYear),Last_Year_Fraction,12))</f>
        <v>0</v>
      </c>
      <c r="S22" s="513" cm="1">
        <f t="array" ref="S22">IF($H22=0,0,_xlfn.IFNA(INDEX($I$4:$R$4,MATCH(TRUE,INDEX($I22:$R22&lt;&gt;0,),0)),0))</f>
        <v>0</v>
      </c>
      <c r="T22" s="513">
        <f>IF($H22=0,0,IF($S22=Start_Year,VLOOKUP(Start_Month,lv_month,2,FALSE),1))</f>
        <v>0</v>
      </c>
      <c r="U22" s="513" cm="1">
        <f t="array" ref="U22">IF($H22=0,0,_xlfn.IFNA(INDEX($I$4:$R$4,_xlfn.XMATCH(TRUE,I22:R22&lt;&gt;0,0,-1)),0))</f>
        <v>0</v>
      </c>
      <c r="V22" s="513">
        <f t="shared" si="0"/>
        <v>0</v>
      </c>
      <c r="W22" s="513">
        <f>IF(H22=0,0,IF(MAX(X$4:X21)&lt;=6,6,MAX(X$4:X21)+1))</f>
        <v>0</v>
      </c>
      <c r="X22" s="513">
        <f t="shared" si="4"/>
        <v>0</v>
      </c>
    </row>
    <row r="23" spans="1:24" x14ac:dyDescent="0.3">
      <c r="A23" s="515" t="s">
        <v>408</v>
      </c>
      <c r="B23" s="515" t="s">
        <v>411</v>
      </c>
      <c r="C23" s="513" t="s">
        <v>100</v>
      </c>
      <c r="D23" s="513" t="s">
        <v>104</v>
      </c>
      <c r="E23" s="514">
        <v>5201</v>
      </c>
      <c r="F23" s="513" t="str">
        <f t="shared" si="1"/>
        <v/>
      </c>
      <c r="G23" s="514">
        <v>1</v>
      </c>
      <c r="H23" s="513">
        <f>'PART C Non-Staff Costs'!P127</f>
        <v>0</v>
      </c>
      <c r="I23" s="518">
        <f>IF(AND('PART C Non-Staff Costs'!F127,pStartYear&lt;&gt;""),First_year_fraction,0)</f>
        <v>0</v>
      </c>
      <c r="J23" s="518">
        <f>IF(OR(pStartYear="",pStartYear+1&gt;pEndYear,'PART C Non-Staff Costs'!G127=0),0,IF(AND('PART C Non-Staff Costs'!G127&gt;0,pStartYear+1=pEndYear),Last_Year_Fraction,12))</f>
        <v>0</v>
      </c>
      <c r="K23" s="518">
        <f>IF(OR(pStartYear="",pStartYear+2&gt;pEndYear,'PART C Non-Staff Costs'!H127=0),0,IF(AND('PART C Non-Staff Costs'!H127&gt;0,pStartYear+2=pEndYear),Last_Year_Fraction,12))</f>
        <v>0</v>
      </c>
      <c r="L23" s="518">
        <f>IF(OR(pStartYear="",pStartYear+3&gt;pEndYear,'PART C Non-Staff Costs'!I127=0),0,IF(AND('PART C Non-Staff Costs'!I127&gt;0,pStartYear+3=pEndYear),Last_Year_Fraction,12))</f>
        <v>0</v>
      </c>
      <c r="M23" s="518">
        <f>IF(OR(pStartYear="",pStartYear+4&gt;pEndYear,'PART C Non-Staff Costs'!J127=0),0,IF(AND('PART C Non-Staff Costs'!J127&gt;0,pStartYear+4=pEndYear),Last_Year_Fraction,12))</f>
        <v>0</v>
      </c>
      <c r="N23" s="518">
        <f>IF(OR(pStartYear="",pStartYear+5&gt;pEndYear,'PART C Non-Staff Costs'!K127=0),0,IF(AND('PART C Non-Staff Costs'!K127&gt;0,pStartYear+5=pEndYear),Last_Year_Fraction,12))</f>
        <v>0</v>
      </c>
      <c r="O23" s="518">
        <f>IF(OR(pStartYear="",pStartYear+6&gt;pEndYear,'PART C Non-Staff Costs'!L127=0),0,IF(AND('PART C Non-Staff Costs'!L127&gt;0,pStartYear+6=pEndYear),Last_Year_Fraction,12))</f>
        <v>0</v>
      </c>
      <c r="P23" s="518">
        <f>IF(OR(pStartYear="",pStartYear+7&gt;pEndYear,'PART C Non-Staff Costs'!M127=0),0,IF(AND('PART C Non-Staff Costs'!M127&gt;0,pStartYear+7=pEndYear),Last_Year_Fraction,12))</f>
        <v>0</v>
      </c>
      <c r="Q23" s="518">
        <f>IF(OR(pStartYear="",pStartYear+8&gt;pEndYear,'PART C Non-Staff Costs'!N127=0),0,IF(AND('PART C Non-Staff Costs'!N127&gt;0,pStartYear+8=pEndYear),Last_Year_Fraction,12))</f>
        <v>0</v>
      </c>
      <c r="R23" s="518">
        <f>IF(OR(pStartYear="",pStartYear+9&gt;pEndYear,'PART C Non-Staff Costs'!O127=0),0,IF(AND('PART C Non-Staff Costs'!O127&gt;0,pStartYear+9=pEndYear),Last_Year_Fraction,12))</f>
        <v>0</v>
      </c>
      <c r="S23" s="513" cm="1">
        <f t="array" ref="S23">IF($H23=0,0,_xlfn.IFNA(INDEX($I$4:$R$4,MATCH(TRUE,INDEX($I23:$R23&lt;&gt;0,),0)),0))</f>
        <v>0</v>
      </c>
      <c r="T23" s="513">
        <f>IF($H23=0,0,IF($S23=Start_Year,VLOOKUP(Start_Month,lv_month,2,FALSE),1))</f>
        <v>0</v>
      </c>
      <c r="U23" s="513" cm="1">
        <f t="array" ref="U23">IF($H23=0,0,_xlfn.IFNA(INDEX($I$4:$R$4,_xlfn.XMATCH(TRUE,I23:R23&lt;&gt;0,0,-1)),0))</f>
        <v>0</v>
      </c>
      <c r="V23" s="513">
        <f t="shared" si="0"/>
        <v>0</v>
      </c>
      <c r="W23" s="513">
        <f>IF(H23=0,0,IF(MAX(X$4:X22)&lt;=6,6,MAX(X$4:X22)+1))</f>
        <v>0</v>
      </c>
      <c r="X23" s="513">
        <f t="shared" si="4"/>
        <v>0</v>
      </c>
    </row>
    <row r="24" spans="1:24" x14ac:dyDescent="0.3">
      <c r="A24" s="515" t="s">
        <v>408</v>
      </c>
      <c r="B24" s="515" t="s">
        <v>411</v>
      </c>
      <c r="C24" s="513" t="s">
        <v>100</v>
      </c>
      <c r="D24" s="513" t="s">
        <v>105</v>
      </c>
      <c r="E24" s="514">
        <v>5220</v>
      </c>
      <c r="F24" s="513" t="str">
        <f t="shared" si="1"/>
        <v/>
      </c>
      <c r="G24" s="514">
        <v>1</v>
      </c>
      <c r="H24" s="513">
        <f>'PART C Non-Staff Costs'!P135</f>
        <v>0</v>
      </c>
      <c r="I24" s="518">
        <f>IF(AND('PART C Non-Staff Costs'!F135,pStartYear&lt;&gt;""),First_year_fraction,0)</f>
        <v>0</v>
      </c>
      <c r="J24" s="518">
        <f>IF(OR(pStartYear="",pStartYear+1&gt;pEndYear,'PART C Non-Staff Costs'!G135=0),0,IF(AND('PART C Non-Staff Costs'!G135&gt;0,pStartYear+1=pEndYear),Last_Year_Fraction,12))</f>
        <v>0</v>
      </c>
      <c r="K24" s="518">
        <f>IF(OR(pStartYear="",pStartYear+2&gt;pEndYear,'PART C Non-Staff Costs'!H135=0),0,IF(AND('PART C Non-Staff Costs'!H135&gt;0,pStartYear+2=pEndYear),Last_Year_Fraction,12))</f>
        <v>0</v>
      </c>
      <c r="L24" s="518">
        <f>IF(OR(pStartYear="",pStartYear+3&gt;pEndYear,'PART C Non-Staff Costs'!I135=0),0,IF(AND('PART C Non-Staff Costs'!I135&gt;0,pStartYear+3=pEndYear),Last_Year_Fraction,12))</f>
        <v>0</v>
      </c>
      <c r="M24" s="518">
        <f>IF(OR(pStartYear="",pStartYear+4&gt;pEndYear,'PART C Non-Staff Costs'!J135=0),0,IF(AND('PART C Non-Staff Costs'!J135&gt;0,pStartYear+4=pEndYear),Last_Year_Fraction,12))</f>
        <v>0</v>
      </c>
      <c r="N24" s="518">
        <f>IF(OR(pStartYear="",pStartYear+5&gt;pEndYear,'PART C Non-Staff Costs'!K135=0),0,IF(AND('PART C Non-Staff Costs'!K135&gt;0,pStartYear+5=pEndYear),Last_Year_Fraction,12))</f>
        <v>0</v>
      </c>
      <c r="O24" s="518">
        <f>IF(OR(pStartYear="",pStartYear+6&gt;pEndYear,'PART C Non-Staff Costs'!L135=0),0,IF(AND('PART C Non-Staff Costs'!L135&gt;0,pStartYear+6=pEndYear),Last_Year_Fraction,12))</f>
        <v>0</v>
      </c>
      <c r="P24" s="518">
        <f>IF(OR(pStartYear="",pStartYear+7&gt;pEndYear,'PART C Non-Staff Costs'!M135=0),0,IF(AND('PART C Non-Staff Costs'!M135&gt;0,pStartYear+7=pEndYear),Last_Year_Fraction,12))</f>
        <v>0</v>
      </c>
      <c r="Q24" s="518">
        <f>IF(OR(pStartYear="",pStartYear+8&gt;pEndYear,'PART C Non-Staff Costs'!N135=0),0,IF(AND('PART C Non-Staff Costs'!N135&gt;0,pStartYear+8=pEndYear),Last_Year_Fraction,12))</f>
        <v>0</v>
      </c>
      <c r="R24" s="518">
        <f>IF(OR(pStartYear="",pStartYear+9&gt;pEndYear,'PART C Non-Staff Costs'!O135=0),0,IF(AND('PART C Non-Staff Costs'!O135&gt;0,pStartYear+9=pEndYear),Last_Year_Fraction,12))</f>
        <v>0</v>
      </c>
      <c r="S24" s="513" cm="1">
        <f t="array" ref="S24">IF($H24=0,0,_xlfn.IFNA(INDEX($I$4:$R$4,MATCH(TRUE,INDEX($I24:$R24&lt;&gt;0,),0)),0))</f>
        <v>0</v>
      </c>
      <c r="T24" s="513">
        <f>IF($H24=0,0,IF($S24=Start_Year,VLOOKUP(Start_Month,lv_month,2,FALSE),1))</f>
        <v>0</v>
      </c>
      <c r="U24" s="513" cm="1">
        <f t="array" ref="U24">IF($H24=0,0,_xlfn.IFNA(INDEX($I$4:$R$4,_xlfn.XMATCH(TRUE,I24:R24&lt;&gt;0,0,-1)),0))</f>
        <v>0</v>
      </c>
      <c r="V24" s="513">
        <f t="shared" si="0"/>
        <v>0</v>
      </c>
      <c r="W24" s="513">
        <f>IF(H24=0,0,IF(MAX(X$4:X23)&lt;=6,6,MAX(X$4:X23)+1))</f>
        <v>0</v>
      </c>
      <c r="X24" s="513">
        <f t="shared" si="4"/>
        <v>0</v>
      </c>
    </row>
    <row r="25" spans="1:24" x14ac:dyDescent="0.3">
      <c r="A25" s="515" t="s">
        <v>408</v>
      </c>
      <c r="B25" s="515" t="s">
        <v>411</v>
      </c>
      <c r="C25" s="513" t="s">
        <v>100</v>
      </c>
      <c r="D25" s="513" t="s">
        <v>106</v>
      </c>
      <c r="E25" s="514">
        <v>5200</v>
      </c>
      <c r="F25" s="513" t="str">
        <f t="shared" si="1"/>
        <v/>
      </c>
      <c r="G25" s="514">
        <v>1</v>
      </c>
      <c r="H25" s="513">
        <f>'PART C Non-Staff Costs'!P143</f>
        <v>0</v>
      </c>
      <c r="I25" s="518">
        <f>IF(AND('PART C Non-Staff Costs'!F143,pStartYear&lt;&gt;""),First_year_fraction,0)</f>
        <v>0</v>
      </c>
      <c r="J25" s="518">
        <f>IF(OR(pStartYear="",pStartYear+1&gt;pEndYear,'PART C Non-Staff Costs'!G143=0),0,IF(AND('PART C Non-Staff Costs'!G143&gt;0,pStartYear+1=pEndYear),Last_Year_Fraction,12))</f>
        <v>0</v>
      </c>
      <c r="K25" s="518">
        <f>IF(OR(pStartYear="",pStartYear+2&gt;pEndYear,'PART C Non-Staff Costs'!H143=0),0,IF(AND('PART C Non-Staff Costs'!H143&gt;0,pStartYear+2=pEndYear),Last_Year_Fraction,12))</f>
        <v>0</v>
      </c>
      <c r="L25" s="518">
        <f>IF(OR(pStartYear="",pStartYear+3&gt;pEndYear,'PART C Non-Staff Costs'!I143=0),0,IF(AND('PART C Non-Staff Costs'!I143&gt;0,pStartYear+3=pEndYear),Last_Year_Fraction,12))</f>
        <v>0</v>
      </c>
      <c r="M25" s="518">
        <f>IF(OR(pStartYear="",pStartYear+4&gt;pEndYear,'PART C Non-Staff Costs'!J143=0),0,IF(AND('PART C Non-Staff Costs'!J143&gt;0,pStartYear+4=pEndYear),Last_Year_Fraction,12))</f>
        <v>0</v>
      </c>
      <c r="N25" s="518">
        <f>IF(OR(pStartYear="",pStartYear+5&gt;pEndYear,'PART C Non-Staff Costs'!K143=0),0,IF(AND('PART C Non-Staff Costs'!K143&gt;0,pStartYear+5=pEndYear),Last_Year_Fraction,12))</f>
        <v>0</v>
      </c>
      <c r="O25" s="518">
        <f>IF(OR(pStartYear="",pStartYear+6&gt;pEndYear,'PART C Non-Staff Costs'!L143=0),0,IF(AND('PART C Non-Staff Costs'!L143&gt;0,pStartYear+6=pEndYear),Last_Year_Fraction,12))</f>
        <v>0</v>
      </c>
      <c r="P25" s="518">
        <f>IF(OR(pStartYear="",pStartYear+7&gt;pEndYear,'PART C Non-Staff Costs'!M143=0),0,IF(AND('PART C Non-Staff Costs'!M143&gt;0,pStartYear+7=pEndYear),Last_Year_Fraction,12))</f>
        <v>0</v>
      </c>
      <c r="Q25" s="518">
        <f>IF(OR(pStartYear="",pStartYear+8&gt;pEndYear,'PART C Non-Staff Costs'!N143=0),0,IF(AND('PART C Non-Staff Costs'!N143&gt;0,pStartYear+8=pEndYear),Last_Year_Fraction,12))</f>
        <v>0</v>
      </c>
      <c r="R25" s="518">
        <f>IF(OR(pStartYear="",pStartYear+9&gt;pEndYear,'PART C Non-Staff Costs'!O143=0),0,IF(AND('PART C Non-Staff Costs'!O143&gt;0,pStartYear+9=pEndYear),Last_Year_Fraction,12))</f>
        <v>0</v>
      </c>
      <c r="S25" s="513" cm="1">
        <f t="array" ref="S25">IF($H25=0,0,_xlfn.IFNA(INDEX($I$4:$R$4,MATCH(TRUE,INDEX($I25:$R25&lt;&gt;0,),0)),0))</f>
        <v>0</v>
      </c>
      <c r="T25" s="513">
        <f>IF($H25=0,0,IF($S25=Start_Year,VLOOKUP(Start_Month,lv_month,2,FALSE),1))</f>
        <v>0</v>
      </c>
      <c r="U25" s="513" cm="1">
        <f t="array" ref="U25">IF($H25=0,0,_xlfn.IFNA(INDEX($I$4:$R$4,_xlfn.XMATCH(TRUE,I25:R25&lt;&gt;0,0,-1)),0))</f>
        <v>0</v>
      </c>
      <c r="V25" s="513">
        <f t="shared" si="0"/>
        <v>0</v>
      </c>
      <c r="W25" s="513">
        <f>IF(H25=0,0,IF(MAX(X$4:X24)&lt;=6,6,MAX(X$4:X24)+1))</f>
        <v>0</v>
      </c>
      <c r="X25" s="513">
        <f t="shared" si="4"/>
        <v>0</v>
      </c>
    </row>
    <row r="26" spans="1:24" x14ac:dyDescent="0.3">
      <c r="A26" s="515" t="s">
        <v>408</v>
      </c>
      <c r="B26" s="515" t="s">
        <v>411</v>
      </c>
      <c r="C26" s="513" t="s">
        <v>107</v>
      </c>
      <c r="D26" s="513" t="s">
        <v>109</v>
      </c>
      <c r="E26" s="514">
        <v>5040</v>
      </c>
      <c r="F26" s="513" t="str">
        <f t="shared" si="1"/>
        <v/>
      </c>
      <c r="G26" s="514">
        <v>1</v>
      </c>
      <c r="H26" s="513">
        <f>'PART C Non-Staff Costs'!P156</f>
        <v>0</v>
      </c>
      <c r="I26" s="518">
        <f>IF(AND('PART C Non-Staff Costs'!F156,pStartYear&lt;&gt;""),First_year_fraction,0)</f>
        <v>0</v>
      </c>
      <c r="J26" s="518">
        <f>IF(OR(pStartYear="",pStartYear+1&gt;pEndYear,'PART C Non-Staff Costs'!G156=0),0,IF(AND('PART C Non-Staff Costs'!G156&gt;0,pStartYear+1=pEndYear),Last_Year_Fraction,12))</f>
        <v>0</v>
      </c>
      <c r="K26" s="518">
        <f>IF(OR(pStartYear="",pStartYear+2&gt;pEndYear,'PART C Non-Staff Costs'!H156=0),0,IF(AND('PART C Non-Staff Costs'!H156&gt;0,pStartYear+2=pEndYear),Last_Year_Fraction,12))</f>
        <v>0</v>
      </c>
      <c r="L26" s="518">
        <f>IF(OR(pStartYear="",pStartYear+3&gt;pEndYear,'PART C Non-Staff Costs'!I156=0),0,IF(AND('PART C Non-Staff Costs'!I156&gt;0,pStartYear+3=pEndYear),Last_Year_Fraction,12))</f>
        <v>0</v>
      </c>
      <c r="M26" s="518">
        <f>IF(OR(pStartYear="",pStartYear+4&gt;pEndYear,'PART C Non-Staff Costs'!J156=0),0,IF(AND('PART C Non-Staff Costs'!J156&gt;0,pStartYear+4=pEndYear),Last_Year_Fraction,12))</f>
        <v>0</v>
      </c>
      <c r="N26" s="518">
        <f>IF(OR(pStartYear="",pStartYear+5&gt;pEndYear,'PART C Non-Staff Costs'!K156=0),0,IF(AND('PART C Non-Staff Costs'!K156&gt;0,pStartYear+5=pEndYear),Last_Year_Fraction,12))</f>
        <v>0</v>
      </c>
      <c r="O26" s="518">
        <f>IF(OR(pStartYear="",pStartYear+6&gt;pEndYear,'PART C Non-Staff Costs'!L156=0),0,IF(AND('PART C Non-Staff Costs'!L156&gt;0,pStartYear+6=pEndYear),Last_Year_Fraction,12))</f>
        <v>0</v>
      </c>
      <c r="P26" s="518">
        <f>IF(OR(pStartYear="",pStartYear+7&gt;pEndYear,'PART C Non-Staff Costs'!M156=0),0,IF(AND('PART C Non-Staff Costs'!M156&gt;0,pStartYear+7=pEndYear),Last_Year_Fraction,12))</f>
        <v>0</v>
      </c>
      <c r="Q26" s="518">
        <f>IF(OR(pStartYear="",pStartYear+8&gt;pEndYear,'PART C Non-Staff Costs'!N156=0),0,IF(AND('PART C Non-Staff Costs'!N156&gt;0,pStartYear+8=pEndYear),Last_Year_Fraction,12))</f>
        <v>0</v>
      </c>
      <c r="R26" s="518">
        <f>IF(OR(pStartYear="",pStartYear+9&gt;pEndYear,'PART C Non-Staff Costs'!O156=0),0,IF(AND('PART C Non-Staff Costs'!O156&gt;0,pStartYear+9=pEndYear),Last_Year_Fraction,12))</f>
        <v>0</v>
      </c>
      <c r="S26" s="513" cm="1">
        <f t="array" ref="S26">IF($H26=0,0,_xlfn.IFNA(INDEX($I$4:$R$4,MATCH(TRUE,INDEX($I26:$R26&lt;&gt;0,),0)),0))</f>
        <v>0</v>
      </c>
      <c r="T26" s="513">
        <f>IF($H26=0,0,IF($S26=Start_Year,VLOOKUP(Start_Month,lv_month,2,FALSE),1))</f>
        <v>0</v>
      </c>
      <c r="U26" s="513" cm="1">
        <f t="array" ref="U26">IF($H26=0,0,_xlfn.IFNA(INDEX($I$4:$R$4,_xlfn.XMATCH(TRUE,I26:R26&lt;&gt;0,0,-1)),0))</f>
        <v>0</v>
      </c>
      <c r="V26" s="513">
        <f t="shared" si="0"/>
        <v>0</v>
      </c>
      <c r="W26" s="513">
        <f>IF(H26=0,0,IF(MAX(X$4:X25)&lt;=6,6,MAX(X$4:X25)+1))</f>
        <v>0</v>
      </c>
      <c r="X26" s="513">
        <f t="shared" si="4"/>
        <v>0</v>
      </c>
    </row>
    <row r="27" spans="1:24" x14ac:dyDescent="0.3">
      <c r="A27" s="515" t="s">
        <v>408</v>
      </c>
      <c r="B27" s="515" t="s">
        <v>411</v>
      </c>
      <c r="C27" s="513" t="s">
        <v>107</v>
      </c>
      <c r="D27" s="513" t="s">
        <v>111</v>
      </c>
      <c r="E27" s="514">
        <v>5020</v>
      </c>
      <c r="F27" s="513" t="str">
        <f t="shared" si="1"/>
        <v/>
      </c>
      <c r="G27" s="514">
        <v>1</v>
      </c>
      <c r="H27" s="513">
        <f>'PART C Non-Staff Costs'!P164</f>
        <v>0</v>
      </c>
      <c r="I27" s="518">
        <f>IF(AND('PART C Non-Staff Costs'!F164,pStartYear&lt;&gt;""),First_year_fraction,0)</f>
        <v>0</v>
      </c>
      <c r="J27" s="518">
        <f>IF(OR(pStartYear="",pStartYear+1&gt;pEndYear,'PART C Non-Staff Costs'!G164=0),0,IF(AND('PART C Non-Staff Costs'!G164&gt;0,pStartYear+1=pEndYear),Last_Year_Fraction,12))</f>
        <v>0</v>
      </c>
      <c r="K27" s="518">
        <f>IF(OR(pStartYear="",pStartYear+2&gt;pEndYear,'PART C Non-Staff Costs'!H164=0),0,IF(AND('PART C Non-Staff Costs'!H164&gt;0,pStartYear+2=pEndYear),Last_Year_Fraction,12))</f>
        <v>0</v>
      </c>
      <c r="L27" s="518">
        <f>IF(OR(pStartYear="",pStartYear+3&gt;pEndYear,'PART C Non-Staff Costs'!I164=0),0,IF(AND('PART C Non-Staff Costs'!I164&gt;0,pStartYear+3=pEndYear),Last_Year_Fraction,12))</f>
        <v>0</v>
      </c>
      <c r="M27" s="518">
        <f>IF(OR(pStartYear="",pStartYear+4&gt;pEndYear,'PART C Non-Staff Costs'!J164=0),0,IF(AND('PART C Non-Staff Costs'!J164&gt;0,pStartYear+4=pEndYear),Last_Year_Fraction,12))</f>
        <v>0</v>
      </c>
      <c r="N27" s="518">
        <f>IF(OR(pStartYear="",pStartYear+5&gt;pEndYear,'PART C Non-Staff Costs'!K164=0),0,IF(AND('PART C Non-Staff Costs'!K164&gt;0,pStartYear+5=pEndYear),Last_Year_Fraction,12))</f>
        <v>0</v>
      </c>
      <c r="O27" s="518">
        <f>IF(OR(pStartYear="",pStartYear+6&gt;pEndYear,'PART C Non-Staff Costs'!L164=0),0,IF(AND('PART C Non-Staff Costs'!L164&gt;0,pStartYear+6=pEndYear),Last_Year_Fraction,12))</f>
        <v>0</v>
      </c>
      <c r="P27" s="518">
        <f>IF(OR(pStartYear="",pStartYear+7&gt;pEndYear,'PART C Non-Staff Costs'!M164=0),0,IF(AND('PART C Non-Staff Costs'!M164&gt;0,pStartYear+7=pEndYear),Last_Year_Fraction,12))</f>
        <v>0</v>
      </c>
      <c r="Q27" s="518">
        <f>IF(OR(pStartYear="",pStartYear+8&gt;pEndYear,'PART C Non-Staff Costs'!N164=0),0,IF(AND('PART C Non-Staff Costs'!N164&gt;0,pStartYear+8=pEndYear),Last_Year_Fraction,12))</f>
        <v>0</v>
      </c>
      <c r="R27" s="518">
        <f>IF(OR(pStartYear="",pStartYear+9&gt;pEndYear,'PART C Non-Staff Costs'!O164=0),0,IF(AND('PART C Non-Staff Costs'!O164&gt;0,pStartYear+9=pEndYear),Last_Year_Fraction,12))</f>
        <v>0</v>
      </c>
      <c r="S27" s="513" cm="1">
        <f t="array" ref="S27">IF($H27=0,0,_xlfn.IFNA(INDEX($I$4:$R$4,MATCH(TRUE,INDEX($I27:$R27&lt;&gt;0,),0)),0))</f>
        <v>0</v>
      </c>
      <c r="T27" s="513">
        <f>IF($H27=0,0,IF($S27=Start_Year,VLOOKUP(Start_Month,lv_month,2,FALSE),1))</f>
        <v>0</v>
      </c>
      <c r="U27" s="513" cm="1">
        <f t="array" ref="U27">IF($H27=0,0,_xlfn.IFNA(INDEX($I$4:$R$4,_xlfn.XMATCH(TRUE,I27:R27&lt;&gt;0,0,-1)),0))</f>
        <v>0</v>
      </c>
      <c r="V27" s="513">
        <f t="shared" si="0"/>
        <v>0</v>
      </c>
      <c r="W27" s="513">
        <f>IF(H27=0,0,IF(MAX(X$4:X26)&lt;=6,6,MAX(X$4:X26)+1))</f>
        <v>0</v>
      </c>
      <c r="X27" s="513">
        <f t="shared" si="4"/>
        <v>0</v>
      </c>
    </row>
    <row r="28" spans="1:24" x14ac:dyDescent="0.3">
      <c r="A28" s="515" t="s">
        <v>408</v>
      </c>
      <c r="B28" s="515" t="s">
        <v>411</v>
      </c>
      <c r="C28" s="513" t="s">
        <v>107</v>
      </c>
      <c r="D28" s="513" t="s">
        <v>113</v>
      </c>
      <c r="E28" s="514">
        <v>5041</v>
      </c>
      <c r="F28" s="513" t="str">
        <f t="shared" si="1"/>
        <v/>
      </c>
      <c r="G28" s="514">
        <v>1</v>
      </c>
      <c r="H28" s="513">
        <f>'PART C Non-Staff Costs'!P172</f>
        <v>0</v>
      </c>
      <c r="I28" s="518">
        <f>IF(AND('PART C Non-Staff Costs'!F172,pStartYear&lt;&gt;""),First_year_fraction,0)</f>
        <v>0</v>
      </c>
      <c r="J28" s="518">
        <f>IF(OR(pStartYear="",pStartYear+1&gt;pEndYear,'PART C Non-Staff Costs'!G172=0),0,IF(AND('PART C Non-Staff Costs'!G172&gt;0,pStartYear+1=pEndYear),Last_Year_Fraction,12))</f>
        <v>0</v>
      </c>
      <c r="K28" s="518">
        <f>IF(OR(pStartYear="",pStartYear+2&gt;pEndYear,'PART C Non-Staff Costs'!H172=0),0,IF(AND('PART C Non-Staff Costs'!H172&gt;0,pStartYear+2=pEndYear),Last_Year_Fraction,12))</f>
        <v>0</v>
      </c>
      <c r="L28" s="518">
        <f>IF(OR(pStartYear="",pStartYear+3&gt;pEndYear,'PART C Non-Staff Costs'!I172=0),0,IF(AND('PART C Non-Staff Costs'!I172&gt;0,pStartYear+3=pEndYear),Last_Year_Fraction,12))</f>
        <v>0</v>
      </c>
      <c r="M28" s="518">
        <f>IF(OR(pStartYear="",pStartYear+4&gt;pEndYear,'PART C Non-Staff Costs'!J172=0),0,IF(AND('PART C Non-Staff Costs'!J172&gt;0,pStartYear+4=pEndYear),Last_Year_Fraction,12))</f>
        <v>0</v>
      </c>
      <c r="N28" s="518">
        <f>IF(OR(pStartYear="",pStartYear+5&gt;pEndYear,'PART C Non-Staff Costs'!K172=0),0,IF(AND('PART C Non-Staff Costs'!K172&gt;0,pStartYear+5=pEndYear),Last_Year_Fraction,12))</f>
        <v>0</v>
      </c>
      <c r="O28" s="518">
        <f>IF(OR(pStartYear="",pStartYear+6&gt;pEndYear,'PART C Non-Staff Costs'!L172=0),0,IF(AND('PART C Non-Staff Costs'!L172&gt;0,pStartYear+6=pEndYear),Last_Year_Fraction,12))</f>
        <v>0</v>
      </c>
      <c r="P28" s="518">
        <f>IF(OR(pStartYear="",pStartYear+7&gt;pEndYear,'PART C Non-Staff Costs'!M172=0),0,IF(AND('PART C Non-Staff Costs'!M172&gt;0,pStartYear+7=pEndYear),Last_Year_Fraction,12))</f>
        <v>0</v>
      </c>
      <c r="Q28" s="518">
        <f>IF(OR(pStartYear="",pStartYear+8&gt;pEndYear,'PART C Non-Staff Costs'!N172=0),0,IF(AND('PART C Non-Staff Costs'!N172&gt;0,pStartYear+8=pEndYear),Last_Year_Fraction,12))</f>
        <v>0</v>
      </c>
      <c r="R28" s="518">
        <f>IF(OR(pStartYear="",pStartYear+9&gt;pEndYear,'PART C Non-Staff Costs'!O172=0),0,IF(AND('PART C Non-Staff Costs'!O172&gt;0,pStartYear+9=pEndYear),Last_Year_Fraction,12))</f>
        <v>0</v>
      </c>
      <c r="S28" s="513" cm="1">
        <f t="array" ref="S28">IF($H28=0,0,_xlfn.IFNA(INDEX($I$4:$R$4,MATCH(TRUE,INDEX($I28:$R28&lt;&gt;0,),0)),0))</f>
        <v>0</v>
      </c>
      <c r="T28" s="513">
        <f>IF($H28=0,0,IF($S28=Start_Year,VLOOKUP(Start_Month,lv_month,2,FALSE),1))</f>
        <v>0</v>
      </c>
      <c r="U28" s="513" cm="1">
        <f t="array" ref="U28">IF($H28=0,0,_xlfn.IFNA(INDEX($I$4:$R$4,_xlfn.XMATCH(TRUE,I28:R28&lt;&gt;0,0,-1)),0))</f>
        <v>0</v>
      </c>
      <c r="V28" s="513">
        <f t="shared" si="0"/>
        <v>0</v>
      </c>
      <c r="W28" s="513">
        <f>IF(H28=0,0,IF(MAX(X$4:X27)&lt;=6,6,MAX(X$4:X27)+1))</f>
        <v>0</v>
      </c>
      <c r="X28" s="513">
        <f t="shared" si="4"/>
        <v>0</v>
      </c>
    </row>
    <row r="29" spans="1:24" x14ac:dyDescent="0.3">
      <c r="A29" s="515" t="s">
        <v>408</v>
      </c>
      <c r="B29" s="515" t="s">
        <v>411</v>
      </c>
      <c r="C29" s="513" t="s">
        <v>107</v>
      </c>
      <c r="D29" s="513" t="s">
        <v>115</v>
      </c>
      <c r="E29" s="514">
        <v>5042</v>
      </c>
      <c r="F29" s="513" t="str">
        <f t="shared" si="1"/>
        <v/>
      </c>
      <c r="G29" s="514">
        <v>1</v>
      </c>
      <c r="H29" s="513">
        <f>'PART C Non-Staff Costs'!P180</f>
        <v>0</v>
      </c>
      <c r="I29" s="518">
        <f>IF(AND('PART C Non-Staff Costs'!F180,pStartYear&lt;&gt;""),First_year_fraction,0)</f>
        <v>0</v>
      </c>
      <c r="J29" s="518">
        <f>IF(OR(pStartYear="",pStartYear+1&gt;pEndYear,'PART C Non-Staff Costs'!G180=0),0,IF(AND('PART C Non-Staff Costs'!G180&gt;0,pStartYear+1=pEndYear),Last_Year_Fraction,12))</f>
        <v>0</v>
      </c>
      <c r="K29" s="518">
        <f>IF(OR(pStartYear="",pStartYear+2&gt;pEndYear,'PART C Non-Staff Costs'!H180=0),0,IF(AND('PART C Non-Staff Costs'!H180&gt;0,pStartYear+2=pEndYear),Last_Year_Fraction,12))</f>
        <v>0</v>
      </c>
      <c r="L29" s="518">
        <f>IF(OR(pStartYear="",pStartYear+3&gt;pEndYear,'PART C Non-Staff Costs'!I180=0),0,IF(AND('PART C Non-Staff Costs'!I180&gt;0,pStartYear+3=pEndYear),Last_Year_Fraction,12))</f>
        <v>0</v>
      </c>
      <c r="M29" s="518">
        <f>IF(OR(pStartYear="",pStartYear+4&gt;pEndYear,'PART C Non-Staff Costs'!J180=0),0,IF(AND('PART C Non-Staff Costs'!J180&gt;0,pStartYear+4=pEndYear),Last_Year_Fraction,12))</f>
        <v>0</v>
      </c>
      <c r="N29" s="518">
        <f>IF(OR(pStartYear="",pStartYear+5&gt;pEndYear,'PART C Non-Staff Costs'!K180=0),0,IF(AND('PART C Non-Staff Costs'!K180&gt;0,pStartYear+5=pEndYear),Last_Year_Fraction,12))</f>
        <v>0</v>
      </c>
      <c r="O29" s="518">
        <f>IF(OR(pStartYear="",pStartYear+6&gt;pEndYear,'PART C Non-Staff Costs'!L180=0),0,IF(AND('PART C Non-Staff Costs'!L180&gt;0,pStartYear+6=pEndYear),Last_Year_Fraction,12))</f>
        <v>0</v>
      </c>
      <c r="P29" s="518">
        <f>IF(OR(pStartYear="",pStartYear+7&gt;pEndYear,'PART C Non-Staff Costs'!M180=0),0,IF(AND('PART C Non-Staff Costs'!M180&gt;0,pStartYear+7=pEndYear),Last_Year_Fraction,12))</f>
        <v>0</v>
      </c>
      <c r="Q29" s="518">
        <f>IF(OR(pStartYear="",pStartYear+8&gt;pEndYear,'PART C Non-Staff Costs'!N180=0),0,IF(AND('PART C Non-Staff Costs'!N180&gt;0,pStartYear+8=pEndYear),Last_Year_Fraction,12))</f>
        <v>0</v>
      </c>
      <c r="R29" s="518">
        <f>IF(OR(pStartYear="",pStartYear+9&gt;pEndYear,'PART C Non-Staff Costs'!O180=0),0,IF(AND('PART C Non-Staff Costs'!O180&gt;0,pStartYear+9=pEndYear),Last_Year_Fraction,12))</f>
        <v>0</v>
      </c>
      <c r="S29" s="513" cm="1">
        <f t="array" ref="S29">IF($H29=0,0,_xlfn.IFNA(INDEX($I$4:$R$4,MATCH(TRUE,INDEX($I29:$R29&lt;&gt;0,),0)),0))</f>
        <v>0</v>
      </c>
      <c r="T29" s="513">
        <f>IF($H29=0,0,IF($S29=Start_Year,VLOOKUP(Start_Month,lv_month,2,FALSE),1))</f>
        <v>0</v>
      </c>
      <c r="U29" s="513" cm="1">
        <f t="array" ref="U29">IF($H29=0,0,_xlfn.IFNA(INDEX($I$4:$R$4,_xlfn.XMATCH(TRUE,I29:R29&lt;&gt;0,0,-1)),0))</f>
        <v>0</v>
      </c>
      <c r="V29" s="513">
        <f t="shared" si="0"/>
        <v>0</v>
      </c>
      <c r="W29" s="513">
        <f>IF(H29=0,0,IF(MAX(X$4:X28)&lt;=6,6,MAX(X$4:X28)+1))</f>
        <v>0</v>
      </c>
      <c r="X29" s="513">
        <f t="shared" si="4"/>
        <v>0</v>
      </c>
    </row>
    <row r="30" spans="1:24" x14ac:dyDescent="0.3">
      <c r="A30" s="515" t="s">
        <v>408</v>
      </c>
      <c r="B30" s="515" t="s">
        <v>411</v>
      </c>
      <c r="C30" s="513" t="s">
        <v>117</v>
      </c>
      <c r="D30" s="513" t="s">
        <v>119</v>
      </c>
      <c r="E30" s="514">
        <v>5062</v>
      </c>
      <c r="F30" s="513" t="str">
        <f t="shared" si="1"/>
        <v/>
      </c>
      <c r="G30" s="514">
        <v>1</v>
      </c>
      <c r="H30" s="513">
        <f>'PART C Non-Staff Costs'!P193</f>
        <v>0</v>
      </c>
      <c r="I30" s="518">
        <f>IF(AND('PART C Non-Staff Costs'!F193,pStartYear&lt;&gt;""),First_year_fraction,0)</f>
        <v>0</v>
      </c>
      <c r="J30" s="518">
        <f>IF(OR(pStartYear="",pStartYear+1&gt;pEndYear,'PART C Non-Staff Costs'!G193=0),0,IF(AND('PART C Non-Staff Costs'!G193&gt;0,pStartYear+1=pEndYear),Last_Year_Fraction,12))</f>
        <v>0</v>
      </c>
      <c r="K30" s="518">
        <f>IF(OR(pStartYear="",pStartYear+2&gt;pEndYear,'PART C Non-Staff Costs'!H193=0),0,IF(AND('PART C Non-Staff Costs'!H193&gt;0,pStartYear+2=pEndYear),Last_Year_Fraction,12))</f>
        <v>0</v>
      </c>
      <c r="L30" s="518">
        <f>IF(OR(pStartYear="",pStartYear+3&gt;pEndYear,'PART C Non-Staff Costs'!I193=0),0,IF(AND('PART C Non-Staff Costs'!I193&gt;0,pStartYear+3=pEndYear),Last_Year_Fraction,12))</f>
        <v>0</v>
      </c>
      <c r="M30" s="518">
        <f>IF(OR(pStartYear="",pStartYear+4&gt;pEndYear,'PART C Non-Staff Costs'!J193=0),0,IF(AND('PART C Non-Staff Costs'!J193&gt;0,pStartYear+4=pEndYear),Last_Year_Fraction,12))</f>
        <v>0</v>
      </c>
      <c r="N30" s="518">
        <f>IF(OR(pStartYear="",pStartYear+5&gt;pEndYear,'PART C Non-Staff Costs'!K193=0),0,IF(AND('PART C Non-Staff Costs'!K193&gt;0,pStartYear+5=pEndYear),Last_Year_Fraction,12))</f>
        <v>0</v>
      </c>
      <c r="O30" s="518">
        <f>IF(OR(pStartYear="",pStartYear+6&gt;pEndYear,'PART C Non-Staff Costs'!L193=0),0,IF(AND('PART C Non-Staff Costs'!L193&gt;0,pStartYear+6=pEndYear),Last_Year_Fraction,12))</f>
        <v>0</v>
      </c>
      <c r="P30" s="518">
        <f>IF(OR(pStartYear="",pStartYear+7&gt;pEndYear,'PART C Non-Staff Costs'!M193=0),0,IF(AND('PART C Non-Staff Costs'!M193&gt;0,pStartYear+7=pEndYear),Last_Year_Fraction,12))</f>
        <v>0</v>
      </c>
      <c r="Q30" s="518">
        <f>IF(OR(pStartYear="",pStartYear+8&gt;pEndYear,'PART C Non-Staff Costs'!N193=0),0,IF(AND('PART C Non-Staff Costs'!N193&gt;0,pStartYear+8=pEndYear),Last_Year_Fraction,12))</f>
        <v>0</v>
      </c>
      <c r="R30" s="518">
        <f>IF(OR(pStartYear="",pStartYear+9&gt;pEndYear,'PART C Non-Staff Costs'!O193=0),0,IF(AND('PART C Non-Staff Costs'!O193&gt;0,pStartYear+9=pEndYear),Last_Year_Fraction,12))</f>
        <v>0</v>
      </c>
      <c r="S30" s="513" cm="1">
        <f t="array" ref="S30">IF($H30=0,0,_xlfn.IFNA(INDEX($I$4:$R$4,MATCH(TRUE,INDEX($I30:$R30&lt;&gt;0,),0)),0))</f>
        <v>0</v>
      </c>
      <c r="T30" s="513">
        <f>IF($H30=0,0,IF($S30=Start_Year,VLOOKUP(Start_Month,lv_month,2,FALSE),1))</f>
        <v>0</v>
      </c>
      <c r="U30" s="513" cm="1">
        <f t="array" ref="U30">IF($H30=0,0,_xlfn.IFNA(INDEX($I$4:$R$4,_xlfn.XMATCH(TRUE,I30:R30&lt;&gt;0,0,-1)),0))</f>
        <v>0</v>
      </c>
      <c r="V30" s="513">
        <f t="shared" si="0"/>
        <v>0</v>
      </c>
      <c r="W30" s="513">
        <f>IF(H30=0,0,IF(MAX(X$4:X29)&lt;=6,6,MAX(X$4:X29)+1))</f>
        <v>0</v>
      </c>
      <c r="X30" s="513">
        <f t="shared" si="4"/>
        <v>0</v>
      </c>
    </row>
    <row r="31" spans="1:24" x14ac:dyDescent="0.3">
      <c r="A31" s="515" t="s">
        <v>408</v>
      </c>
      <c r="B31" s="515" t="s">
        <v>411</v>
      </c>
      <c r="C31" s="513" t="s">
        <v>117</v>
      </c>
      <c r="D31" s="513" t="s">
        <v>121</v>
      </c>
      <c r="E31" s="514">
        <v>5062</v>
      </c>
      <c r="F31" s="513" t="str">
        <f t="shared" si="1"/>
        <v/>
      </c>
      <c r="G31" s="514">
        <v>1</v>
      </c>
      <c r="H31" s="513">
        <f>'PART C Non-Staff Costs'!P201</f>
        <v>0</v>
      </c>
      <c r="I31" s="518">
        <f>IF(AND('PART C Non-Staff Costs'!F201,pStartYear&lt;&gt;""),First_year_fraction,0)</f>
        <v>0</v>
      </c>
      <c r="J31" s="518">
        <f>IF(OR(pStartYear="",pStartYear+1&gt;pEndYear,'PART C Non-Staff Costs'!G201=0),0,IF(AND('PART C Non-Staff Costs'!G201&gt;0,pStartYear+1=pEndYear),Last_Year_Fraction,12))</f>
        <v>0</v>
      </c>
      <c r="K31" s="518">
        <f>IF(OR(pStartYear="",pStartYear+2&gt;pEndYear,'PART C Non-Staff Costs'!H201=0),0,IF(AND('PART C Non-Staff Costs'!H201&gt;0,pStartYear+2=pEndYear),Last_Year_Fraction,12))</f>
        <v>0</v>
      </c>
      <c r="L31" s="518">
        <f>IF(OR(pStartYear="",pStartYear+3&gt;pEndYear,'PART C Non-Staff Costs'!I201=0),0,IF(AND('PART C Non-Staff Costs'!I201&gt;0,pStartYear+3=pEndYear),Last_Year_Fraction,12))</f>
        <v>0</v>
      </c>
      <c r="M31" s="518">
        <f>IF(OR(pStartYear="",pStartYear+4&gt;pEndYear,'PART C Non-Staff Costs'!J201=0),0,IF(AND('PART C Non-Staff Costs'!J201&gt;0,pStartYear+4=pEndYear),Last_Year_Fraction,12))</f>
        <v>0</v>
      </c>
      <c r="N31" s="518">
        <f>IF(OR(pStartYear="",pStartYear+5&gt;pEndYear,'PART C Non-Staff Costs'!K201=0),0,IF(AND('PART C Non-Staff Costs'!K201&gt;0,pStartYear+5=pEndYear),Last_Year_Fraction,12))</f>
        <v>0</v>
      </c>
      <c r="O31" s="518">
        <f>IF(OR(pStartYear="",pStartYear+6&gt;pEndYear,'PART C Non-Staff Costs'!L201=0),0,IF(AND('PART C Non-Staff Costs'!L201&gt;0,pStartYear+6=pEndYear),Last_Year_Fraction,12))</f>
        <v>0</v>
      </c>
      <c r="P31" s="518">
        <f>IF(OR(pStartYear="",pStartYear+7&gt;pEndYear,'PART C Non-Staff Costs'!M201=0),0,IF(AND('PART C Non-Staff Costs'!M201&gt;0,pStartYear+7=pEndYear),Last_Year_Fraction,12))</f>
        <v>0</v>
      </c>
      <c r="Q31" s="518">
        <f>IF(OR(pStartYear="",pStartYear+8&gt;pEndYear,'PART C Non-Staff Costs'!N201=0),0,IF(AND('PART C Non-Staff Costs'!N201&gt;0,pStartYear+8=pEndYear),Last_Year_Fraction,12))</f>
        <v>0</v>
      </c>
      <c r="R31" s="518">
        <f>IF(OR(pStartYear="",pStartYear+9&gt;pEndYear,'PART C Non-Staff Costs'!O201=0),0,IF(AND('PART C Non-Staff Costs'!O201&gt;0,pStartYear+9=pEndYear),Last_Year_Fraction,12))</f>
        <v>0</v>
      </c>
      <c r="S31" s="513" cm="1">
        <f t="array" ref="S31">IF($H31=0,0,_xlfn.IFNA(INDEX($I$4:$R$4,MATCH(TRUE,INDEX($I31:$R31&lt;&gt;0,),0)),0))</f>
        <v>0</v>
      </c>
      <c r="T31" s="513">
        <f>IF($H31=0,0,IF($S31=Start_Year,VLOOKUP(Start_Month,lv_month,2,FALSE),1))</f>
        <v>0</v>
      </c>
      <c r="U31" s="513" cm="1">
        <f t="array" ref="U31">IF($H31=0,0,_xlfn.IFNA(INDEX($I$4:$R$4,_xlfn.XMATCH(TRUE,I31:R31&lt;&gt;0,0,-1)),0))</f>
        <v>0</v>
      </c>
      <c r="V31" s="513">
        <f t="shared" si="0"/>
        <v>0</v>
      </c>
      <c r="W31" s="513">
        <f>IF(H31=0,0,IF(MAX(X$4:X30)&lt;=6,6,MAX(X$4:X30)+1))</f>
        <v>0</v>
      </c>
      <c r="X31" s="513">
        <f t="shared" si="4"/>
        <v>0</v>
      </c>
    </row>
    <row r="32" spans="1:24" x14ac:dyDescent="0.3">
      <c r="A32" s="515" t="s">
        <v>408</v>
      </c>
      <c r="B32" s="515" t="s">
        <v>411</v>
      </c>
      <c r="C32" s="513" t="s">
        <v>123</v>
      </c>
      <c r="D32" s="513" t="s">
        <v>412</v>
      </c>
      <c r="E32" s="514">
        <v>5241</v>
      </c>
      <c r="F32" s="513" t="str">
        <f t="shared" si="1"/>
        <v/>
      </c>
      <c r="G32" s="514">
        <v>1</v>
      </c>
      <c r="H32" s="513">
        <f>'PART C Non-Staff Costs'!P214</f>
        <v>0</v>
      </c>
      <c r="I32" s="518">
        <f>IF(AND('PART C Non-Staff Costs'!F214,pStartYear&lt;&gt;""),First_year_fraction,0)</f>
        <v>0</v>
      </c>
      <c r="J32" s="518">
        <f>IF(OR(pStartYear="",pStartYear+1&gt;pEndYear,'PART C Non-Staff Costs'!G214=0),0,IF(AND('PART C Non-Staff Costs'!G214&gt;0,pStartYear+1=pEndYear),Last_Year_Fraction,12))</f>
        <v>0</v>
      </c>
      <c r="K32" s="518">
        <f>IF(OR(pStartYear="",pStartYear+2&gt;pEndYear,'PART C Non-Staff Costs'!H214=0),0,IF(AND('PART C Non-Staff Costs'!H214&gt;0,pStartYear+2=pEndYear),Last_Year_Fraction,12))</f>
        <v>0</v>
      </c>
      <c r="L32" s="518">
        <f>IF(OR(pStartYear="",pStartYear+3&gt;pEndYear,'PART C Non-Staff Costs'!I214=0),0,IF(AND('PART C Non-Staff Costs'!I214&gt;0,pStartYear+3=pEndYear),Last_Year_Fraction,12))</f>
        <v>0</v>
      </c>
      <c r="M32" s="518">
        <f>IF(OR(pStartYear="",pStartYear+4&gt;pEndYear,'PART C Non-Staff Costs'!J214=0),0,IF(AND('PART C Non-Staff Costs'!J214&gt;0,pStartYear+4=pEndYear),Last_Year_Fraction,12))</f>
        <v>0</v>
      </c>
      <c r="N32" s="518">
        <f>IF(OR(pStartYear="",pStartYear+5&gt;pEndYear,'PART C Non-Staff Costs'!K214=0),0,IF(AND('PART C Non-Staff Costs'!K214&gt;0,pStartYear+5=pEndYear),Last_Year_Fraction,12))</f>
        <v>0</v>
      </c>
      <c r="O32" s="518">
        <f>IF(OR(pStartYear="",pStartYear+6&gt;pEndYear,'PART C Non-Staff Costs'!L214=0),0,IF(AND('PART C Non-Staff Costs'!L214&gt;0,pStartYear+6=pEndYear),Last_Year_Fraction,12))</f>
        <v>0</v>
      </c>
      <c r="P32" s="518">
        <f>IF(OR(pStartYear="",pStartYear+7&gt;pEndYear,'PART C Non-Staff Costs'!M214=0),0,IF(AND('PART C Non-Staff Costs'!M214&gt;0,pStartYear+7=pEndYear),Last_Year_Fraction,12))</f>
        <v>0</v>
      </c>
      <c r="Q32" s="518">
        <f>IF(OR(pStartYear="",pStartYear+8&gt;pEndYear,'PART C Non-Staff Costs'!N214=0),0,IF(AND('PART C Non-Staff Costs'!N214&gt;0,pStartYear+8=pEndYear),Last_Year_Fraction,12))</f>
        <v>0</v>
      </c>
      <c r="R32" s="518">
        <f>IF(OR(pStartYear="",pStartYear+9&gt;pEndYear,'PART C Non-Staff Costs'!O214=0),0,IF(AND('PART C Non-Staff Costs'!O214&gt;0,pStartYear+9=pEndYear),Last_Year_Fraction,12))</f>
        <v>0</v>
      </c>
      <c r="S32" s="513" cm="1">
        <f t="array" ref="S32">IF($H32=0,0,_xlfn.IFNA(INDEX($I$4:$R$4,MATCH(TRUE,INDEX($I32:$R32&lt;&gt;0,),0)),0))</f>
        <v>0</v>
      </c>
      <c r="T32" s="513">
        <f>IF($H32=0,0,IF($S32=Start_Year,VLOOKUP(Start_Month,lv_month,2,FALSE),1))</f>
        <v>0</v>
      </c>
      <c r="U32" s="513" cm="1">
        <f t="array" ref="U32">IF($H32=0,0,_xlfn.IFNA(INDEX($I$4:$R$4,_xlfn.XMATCH(TRUE,I32:R32&lt;&gt;0,0,-1)),0))</f>
        <v>0</v>
      </c>
      <c r="V32" s="513">
        <f t="shared" si="0"/>
        <v>0</v>
      </c>
      <c r="W32" s="513">
        <f>IF(H32=0,0,IF(MAX(X$4:X31)&lt;=6,6,MAX(X$4:X31)+1))</f>
        <v>0</v>
      </c>
      <c r="X32" s="513">
        <f t="shared" si="4"/>
        <v>0</v>
      </c>
    </row>
    <row r="33" spans="1:24" x14ac:dyDescent="0.3">
      <c r="A33" s="515" t="s">
        <v>408</v>
      </c>
      <c r="B33" s="515" t="s">
        <v>411</v>
      </c>
      <c r="C33" s="513" t="s">
        <v>128</v>
      </c>
      <c r="D33" s="513" t="s">
        <v>130</v>
      </c>
      <c r="E33" s="514">
        <v>5181</v>
      </c>
      <c r="F33" s="513" t="str">
        <f t="shared" si="1"/>
        <v/>
      </c>
      <c r="G33" s="514">
        <v>1</v>
      </c>
      <c r="H33" s="513">
        <f>'PART C Non-Staff Costs'!P227</f>
        <v>0</v>
      </c>
      <c r="I33" s="518">
        <f>IF(AND('PART C Non-Staff Costs'!F227,pStartYear&lt;&gt;""),First_year_fraction,0)</f>
        <v>0</v>
      </c>
      <c r="J33" s="518">
        <f>IF(OR(pStartYear="",pStartYear+1&gt;pEndYear,'PART C Non-Staff Costs'!G227=0),0,IF(AND('PART C Non-Staff Costs'!G227&gt;0,pStartYear+1=pEndYear),Last_Year_Fraction,12))</f>
        <v>0</v>
      </c>
      <c r="K33" s="518">
        <f>IF(OR(pStartYear="",pStartYear+2&gt;pEndYear,'PART C Non-Staff Costs'!H227=0),0,IF(AND('PART C Non-Staff Costs'!H227&gt;0,pStartYear+2=pEndYear),Last_Year_Fraction,12))</f>
        <v>0</v>
      </c>
      <c r="L33" s="518">
        <f>IF(OR(pStartYear="",pStartYear+3&gt;pEndYear,'PART C Non-Staff Costs'!I227=0),0,IF(AND('PART C Non-Staff Costs'!I227&gt;0,pStartYear+3=pEndYear),Last_Year_Fraction,12))</f>
        <v>0</v>
      </c>
      <c r="M33" s="518">
        <f>IF(OR(pStartYear="",pStartYear+4&gt;pEndYear,'PART C Non-Staff Costs'!J227=0),0,IF(AND('PART C Non-Staff Costs'!J227&gt;0,pStartYear+4=pEndYear),Last_Year_Fraction,12))</f>
        <v>0</v>
      </c>
      <c r="N33" s="518">
        <f>IF(OR(pStartYear="",pStartYear+5&gt;pEndYear,'PART C Non-Staff Costs'!K227=0),0,IF(AND('PART C Non-Staff Costs'!K227&gt;0,pStartYear+5=pEndYear),Last_Year_Fraction,12))</f>
        <v>0</v>
      </c>
      <c r="O33" s="518">
        <f>IF(OR(pStartYear="",pStartYear+6&gt;pEndYear,'PART C Non-Staff Costs'!L227=0),0,IF(AND('PART C Non-Staff Costs'!L227&gt;0,pStartYear+6=pEndYear),Last_Year_Fraction,12))</f>
        <v>0</v>
      </c>
      <c r="P33" s="518">
        <f>IF(OR(pStartYear="",pStartYear+7&gt;pEndYear,'PART C Non-Staff Costs'!M227=0),0,IF(AND('PART C Non-Staff Costs'!M227&gt;0,pStartYear+7=pEndYear),Last_Year_Fraction,12))</f>
        <v>0</v>
      </c>
      <c r="Q33" s="518">
        <f>IF(OR(pStartYear="",pStartYear+8&gt;pEndYear,'PART C Non-Staff Costs'!N227=0),0,IF(AND('PART C Non-Staff Costs'!N227&gt;0,pStartYear+8=pEndYear),Last_Year_Fraction,12))</f>
        <v>0</v>
      </c>
      <c r="R33" s="518">
        <f>IF(OR(pStartYear="",pStartYear+9&gt;pEndYear,'PART C Non-Staff Costs'!O227=0),0,IF(AND('PART C Non-Staff Costs'!O227&gt;0,pStartYear+9=pEndYear),Last_Year_Fraction,12))</f>
        <v>0</v>
      </c>
      <c r="S33" s="513" cm="1">
        <f t="array" ref="S33">IF($H33=0,0,_xlfn.IFNA(INDEX($I$4:$R$4,MATCH(TRUE,INDEX($I33:$R33&lt;&gt;0,),0)),0))</f>
        <v>0</v>
      </c>
      <c r="T33" s="513">
        <f>IF($H33=0,0,IF($S33=Start_Year,VLOOKUP(Start_Month,lv_month,2,FALSE),1))</f>
        <v>0</v>
      </c>
      <c r="U33" s="513" cm="1">
        <f t="array" ref="U33">IF($H33=0,0,_xlfn.IFNA(INDEX($I$4:$R$4,_xlfn.XMATCH(TRUE,I33:R33&lt;&gt;0,0,-1)),0))</f>
        <v>0</v>
      </c>
      <c r="V33" s="513">
        <f t="shared" si="0"/>
        <v>0</v>
      </c>
      <c r="W33" s="513">
        <f>IF(H33=0,0,IF(MAX(X$4:X32)&lt;=6,6,MAX(X$4:X32)+1))</f>
        <v>0</v>
      </c>
      <c r="X33" s="513">
        <f t="shared" si="4"/>
        <v>0</v>
      </c>
    </row>
    <row r="34" spans="1:24" x14ac:dyDescent="0.3">
      <c r="A34" s="515" t="s">
        <v>408</v>
      </c>
      <c r="B34" s="515" t="s">
        <v>411</v>
      </c>
      <c r="C34" s="513" t="s">
        <v>132</v>
      </c>
      <c r="D34" s="513" t="s">
        <v>134</v>
      </c>
      <c r="E34" s="514">
        <v>5261</v>
      </c>
      <c r="F34" s="513" t="str">
        <f t="shared" si="1"/>
        <v/>
      </c>
      <c r="G34" s="514">
        <v>1</v>
      </c>
      <c r="H34" s="513">
        <f>'PART C Non-Staff Costs'!P240</f>
        <v>0</v>
      </c>
      <c r="I34" s="518">
        <f>IF(AND('PART C Non-Staff Costs'!F240,pStartYear&lt;&gt;""),First_year_fraction,0)</f>
        <v>0</v>
      </c>
      <c r="J34" s="518">
        <f>IF(OR(pStartYear="",pStartYear+1&gt;pEndYear,'PART C Non-Staff Costs'!G240=0),0,IF(AND('PART C Non-Staff Costs'!G240&gt;0,pStartYear+1=pEndYear),Last_Year_Fraction,12))</f>
        <v>0</v>
      </c>
      <c r="K34" s="518">
        <f>IF(OR(pStartYear="",pStartYear+2&gt;pEndYear,'PART C Non-Staff Costs'!H240=0),0,IF(AND('PART C Non-Staff Costs'!H240&gt;0,pStartYear+2=pEndYear),Last_Year_Fraction,12))</f>
        <v>0</v>
      </c>
      <c r="L34" s="518">
        <f>IF(OR(pStartYear="",pStartYear+3&gt;pEndYear,'PART C Non-Staff Costs'!I240=0),0,IF(AND('PART C Non-Staff Costs'!I240&gt;0,pStartYear+3=pEndYear),Last_Year_Fraction,12))</f>
        <v>0</v>
      </c>
      <c r="M34" s="518">
        <f>IF(OR(pStartYear="",pStartYear+4&gt;pEndYear,'PART C Non-Staff Costs'!J240=0),0,IF(AND('PART C Non-Staff Costs'!J240&gt;0,pStartYear+4=pEndYear),Last_Year_Fraction,12))</f>
        <v>0</v>
      </c>
      <c r="N34" s="518">
        <f>IF(OR(pStartYear="",pStartYear+5&gt;pEndYear,'PART C Non-Staff Costs'!K240=0),0,IF(AND('PART C Non-Staff Costs'!K240&gt;0,pStartYear+5=pEndYear),Last_Year_Fraction,12))</f>
        <v>0</v>
      </c>
      <c r="O34" s="518">
        <f>IF(OR(pStartYear="",pStartYear+6&gt;pEndYear,'PART C Non-Staff Costs'!L240=0),0,IF(AND('PART C Non-Staff Costs'!L240&gt;0,pStartYear+6=pEndYear),Last_Year_Fraction,12))</f>
        <v>0</v>
      </c>
      <c r="P34" s="518">
        <f>IF(OR(pStartYear="",pStartYear+7&gt;pEndYear,'PART C Non-Staff Costs'!M240=0),0,IF(AND('PART C Non-Staff Costs'!M240&gt;0,pStartYear+7=pEndYear),Last_Year_Fraction,12))</f>
        <v>0</v>
      </c>
      <c r="Q34" s="518">
        <f>IF(OR(pStartYear="",pStartYear+8&gt;pEndYear,'PART C Non-Staff Costs'!N240=0),0,IF(AND('PART C Non-Staff Costs'!N240&gt;0,pStartYear+8=pEndYear),Last_Year_Fraction,12))</f>
        <v>0</v>
      </c>
      <c r="R34" s="518">
        <f>IF(OR(pStartYear="",pStartYear+9&gt;pEndYear,'PART C Non-Staff Costs'!O240=0),0,IF(AND('PART C Non-Staff Costs'!O240&gt;0,pStartYear+9=pEndYear),Last_Year_Fraction,12))</f>
        <v>0</v>
      </c>
      <c r="S34" s="513" cm="1">
        <f t="array" ref="S34">IF($H34=0,0,_xlfn.IFNA(INDEX($I$4:$R$4,MATCH(TRUE,INDEX($I34:$R34&lt;&gt;0,),0)),0))</f>
        <v>0</v>
      </c>
      <c r="T34" s="513">
        <f>IF($H34=0,0,IF($S34=Start_Year,VLOOKUP(Start_Month,lv_month,2,FALSE),1))</f>
        <v>0</v>
      </c>
      <c r="U34" s="513" cm="1">
        <f t="array" ref="U34">IF($H34=0,0,_xlfn.IFNA(INDEX($I$4:$R$4,_xlfn.XMATCH(TRUE,I34:R34&lt;&gt;0,0,-1)),0))</f>
        <v>0</v>
      </c>
      <c r="V34" s="513">
        <f t="shared" si="0"/>
        <v>0</v>
      </c>
      <c r="W34" s="513">
        <f>IF(H34=0,0,IF(MAX(X$4:X33)&lt;=6,6,MAX(X$4:X33)+1))</f>
        <v>0</v>
      </c>
      <c r="X34" s="513">
        <f t="shared" si="4"/>
        <v>0</v>
      </c>
    </row>
    <row r="35" spans="1:24" x14ac:dyDescent="0.3">
      <c r="A35" s="515" t="s">
        <v>408</v>
      </c>
      <c r="B35" s="515" t="s">
        <v>411</v>
      </c>
      <c r="C35" s="513" t="s">
        <v>132</v>
      </c>
      <c r="D35" s="513" t="s">
        <v>136</v>
      </c>
      <c r="E35" s="514">
        <v>5260</v>
      </c>
      <c r="F35" s="513" t="str">
        <f t="shared" si="1"/>
        <v/>
      </c>
      <c r="G35" s="514">
        <v>1</v>
      </c>
      <c r="H35" s="513">
        <f>'PART C Non-Staff Costs'!P248</f>
        <v>0</v>
      </c>
      <c r="I35" s="518">
        <f>IF(AND('PART C Non-Staff Costs'!F248,pStartYear&lt;&gt;""),First_year_fraction,0)</f>
        <v>0</v>
      </c>
      <c r="J35" s="518">
        <f>IF(OR(pStartYear="",pStartYear+1&gt;pEndYear,'PART C Non-Staff Costs'!G248=0),0,IF(AND('PART C Non-Staff Costs'!G248&gt;0,pStartYear+1=pEndYear),Last_Year_Fraction,12))</f>
        <v>0</v>
      </c>
      <c r="K35" s="518">
        <f>IF(OR(pStartYear="",pStartYear+2&gt;pEndYear,'PART C Non-Staff Costs'!H248=0),0,IF(AND('PART C Non-Staff Costs'!H248&gt;0,pStartYear+2=pEndYear),Last_Year_Fraction,12))</f>
        <v>0</v>
      </c>
      <c r="L35" s="518">
        <f>IF(OR(pStartYear="",pStartYear+3&gt;pEndYear,'PART C Non-Staff Costs'!I248=0),0,IF(AND('PART C Non-Staff Costs'!I248&gt;0,pStartYear+3=pEndYear),Last_Year_Fraction,12))</f>
        <v>0</v>
      </c>
      <c r="M35" s="518">
        <f>IF(OR(pStartYear="",pStartYear+4&gt;pEndYear,'PART C Non-Staff Costs'!J248=0),0,IF(AND('PART C Non-Staff Costs'!J248&gt;0,pStartYear+4=pEndYear),Last_Year_Fraction,12))</f>
        <v>0</v>
      </c>
      <c r="N35" s="518">
        <f>IF(OR(pStartYear="",pStartYear+5&gt;pEndYear,'PART C Non-Staff Costs'!K248=0),0,IF(AND('PART C Non-Staff Costs'!K248&gt;0,pStartYear+5=pEndYear),Last_Year_Fraction,12))</f>
        <v>0</v>
      </c>
      <c r="O35" s="518">
        <f>IF(OR(pStartYear="",pStartYear+6&gt;pEndYear,'PART C Non-Staff Costs'!L248=0),0,IF(AND('PART C Non-Staff Costs'!L248&gt;0,pStartYear+6=pEndYear),Last_Year_Fraction,12))</f>
        <v>0</v>
      </c>
      <c r="P35" s="518">
        <f>IF(OR(pStartYear="",pStartYear+7&gt;pEndYear,'PART C Non-Staff Costs'!M248=0),0,IF(AND('PART C Non-Staff Costs'!M248&gt;0,pStartYear+7=pEndYear),Last_Year_Fraction,12))</f>
        <v>0</v>
      </c>
      <c r="Q35" s="518">
        <f>IF(OR(pStartYear="",pStartYear+8&gt;pEndYear,'PART C Non-Staff Costs'!N248=0),0,IF(AND('PART C Non-Staff Costs'!N248&gt;0,pStartYear+8=pEndYear),Last_Year_Fraction,12))</f>
        <v>0</v>
      </c>
      <c r="R35" s="518">
        <f>IF(OR(pStartYear="",pStartYear+9&gt;pEndYear,'PART C Non-Staff Costs'!O248=0),0,IF(AND('PART C Non-Staff Costs'!O248&gt;0,pStartYear+9=pEndYear),Last_Year_Fraction,12))</f>
        <v>0</v>
      </c>
      <c r="S35" s="513" cm="1">
        <f t="array" ref="S35">IF($H35=0,0,_xlfn.IFNA(INDEX($I$4:$R$4,MATCH(TRUE,INDEX($I35:$R35&lt;&gt;0,),0)),0))</f>
        <v>0</v>
      </c>
      <c r="T35" s="513">
        <f>IF($H35=0,0,IF($S35=Start_Year,VLOOKUP(Start_Month,lv_month,2,FALSE),1))</f>
        <v>0</v>
      </c>
      <c r="U35" s="513" cm="1">
        <f t="array" ref="U35">IF($H35=0,0,_xlfn.IFNA(INDEX($I$4:$R$4,_xlfn.XMATCH(TRUE,I35:R35&lt;&gt;0,0,-1)),0))</f>
        <v>0</v>
      </c>
      <c r="V35" s="513">
        <f t="shared" si="0"/>
        <v>0</v>
      </c>
      <c r="W35" s="513">
        <f>IF(H35=0,0,IF(MAX(X$4:X34)&lt;=6,6,MAX(X$4:X34)+1))</f>
        <v>0</v>
      </c>
      <c r="X35" s="513">
        <f t="shared" si="4"/>
        <v>0</v>
      </c>
    </row>
    <row r="36" spans="1:24" x14ac:dyDescent="0.3">
      <c r="A36" s="515" t="s">
        <v>413</v>
      </c>
      <c r="B36" s="515" t="s">
        <v>413</v>
      </c>
      <c r="C36" s="513" t="s">
        <v>414</v>
      </c>
      <c r="D36" s="513" t="s">
        <v>270</v>
      </c>
      <c r="E36" s="514">
        <v>6000</v>
      </c>
      <c r="F36" s="513">
        <f t="shared" ref="F36" si="5">E36</f>
        <v>6000</v>
      </c>
      <c r="G36" s="514">
        <v>2</v>
      </c>
      <c r="H36" s="513">
        <f>'Summary of Price'!F37</f>
        <v>0</v>
      </c>
      <c r="I36" s="518">
        <f>IF(AND(H36&gt;0,pStartYear&lt;&gt;""),First_year_fraction,0)</f>
        <v>0</v>
      </c>
      <c r="J36" s="518">
        <f>IF(OR(pStartYear="",pStartYear+1&gt;pEndYear,$H36=0),0,IF(AND($H36&gt;0,pStartYear+1=pEndYear),Last_Year_Fraction,12))</f>
        <v>0</v>
      </c>
      <c r="K36" s="518">
        <f>IF(OR(pStartYear="",pStartYear+2&gt;pEndYear,$H36=0),0,IF(AND($H36&gt;0,pStartYear+2=pEndYear),Last_Year_Fraction,12))</f>
        <v>0</v>
      </c>
      <c r="L36" s="518">
        <f>IF(OR(pStartYear="",pStartYear+3&gt;pEndYear,$H36=0),0,IF(AND($H36&gt;0,pStartYear+3=pEndYear),Last_Year_Fraction,12))</f>
        <v>0</v>
      </c>
      <c r="M36" s="518">
        <f>IF(OR(pStartYear="",pStartYear+4&gt;pEndYear,$H36=0),0,IF(AND($H36&gt;0,pStartYear+4=pEndYear),Last_Year_Fraction,12))</f>
        <v>0</v>
      </c>
      <c r="N36" s="518">
        <f>IF(OR(pStartYear="",pStartYear+5&gt;pEndYear,$H36=0),0,IF(AND($H36&gt;0,pStartYear+5=pEndYear),Last_Year_Fraction,12))</f>
        <v>0</v>
      </c>
      <c r="O36" s="518">
        <f>IF(OR(pStartYear="",pStartYear+6&gt;pEndYear,$H36=0),0,IF(AND($H36&gt;0,pStartYear+6=pEndYear),Last_Year_Fraction,12))</f>
        <v>0</v>
      </c>
      <c r="P36" s="518">
        <f>IF(OR(pStartYear="",pStartYear+7&gt;pEndYear,$H36=0),0,IF(AND($H36&gt;0,pStartYear+7=pEndYear),Last_Year_Fraction,12))</f>
        <v>0</v>
      </c>
      <c r="Q36" s="518">
        <f>IF(OR(pStartYear="",pStartYear+8&gt;pEndYear,$H36=0),0,IF(AND($H36&gt;0,pStartYear+8=pEndYear),Last_Year_Fraction,12))</f>
        <v>0</v>
      </c>
      <c r="R36" s="518">
        <f>IF(OR(pStartYear="",pStartYear+9&gt;pEndYear,$H36=0),0,IF(AND($H36&gt;0,pStartYear+9=pEndYear),Last_Year_Fraction,12))</f>
        <v>0</v>
      </c>
      <c r="S36" s="513" cm="1">
        <f t="array" ref="S36">IF($H36=0,0,_xlfn.IFNA(INDEX($I$4:$R$4,MATCH(TRUE,INDEX($I36:$R36&lt;&gt;0,),0)),0))</f>
        <v>0</v>
      </c>
      <c r="T36" s="513">
        <f>IF($H36=0,0,IF($S36=Start_Year,VLOOKUP(Start_Month,lv_month,2,FALSE),1))</f>
        <v>0</v>
      </c>
      <c r="U36" s="513" cm="1">
        <f t="array" ref="U36">IF($H36=0,0,_xlfn.IFNA(INDEX($I$4:$R$4,_xlfn.XMATCH(TRUE,I36:R36&lt;&gt;0,0,-1)),0))</f>
        <v>0</v>
      </c>
      <c r="V36" s="513">
        <f t="shared" si="0"/>
        <v>0</v>
      </c>
      <c r="W36" s="513">
        <f>IF(H36=0,0,IF(MAX(X$4:X35)&lt;=6,6,MAX(X$4:X35)+1))</f>
        <v>0</v>
      </c>
      <c r="X36" s="513">
        <f>IF(H36=0,0,W36+SUM(I36:R36)-1)</f>
        <v>0</v>
      </c>
    </row>
    <row r="37" spans="1:24" x14ac:dyDescent="0.3">
      <c r="A37" s="515" t="s">
        <v>413</v>
      </c>
      <c r="B37" s="515" t="s">
        <v>413</v>
      </c>
      <c r="C37" s="513" t="s">
        <v>414</v>
      </c>
      <c r="D37" s="513" t="s">
        <v>12</v>
      </c>
      <c r="E37" s="514">
        <v>6000</v>
      </c>
      <c r="F37" s="513">
        <f t="shared" ref="F37:F44" si="6">E37</f>
        <v>6000</v>
      </c>
      <c r="G37" s="514">
        <v>2</v>
      </c>
      <c r="H37" s="513">
        <f>'Summary of Price'!F38</f>
        <v>0</v>
      </c>
      <c r="I37" s="518">
        <f>IF(AND(H37&gt;0,pStartYear&lt;&gt;""),First_year_fraction,0)</f>
        <v>0</v>
      </c>
      <c r="J37" s="518">
        <f>IF(OR(pStartYear="",pStartYear+1&gt;pEndYear,$H37=0),0,IF(AND($H37&gt;0,pStartYear+1=pEndYear),Last_Year_Fraction,12))</f>
        <v>0</v>
      </c>
      <c r="K37" s="518">
        <f>IF(OR(pStartYear="",pStartYear+2&gt;pEndYear,$H37=0),0,IF(AND($H37&gt;0,pStartYear+2=pEndYear),Last_Year_Fraction,12))</f>
        <v>0</v>
      </c>
      <c r="L37" s="518">
        <f>IF(OR(pStartYear="",pStartYear+3&gt;pEndYear,$H37=0),0,IF(AND($H37&gt;0,pStartYear+3=pEndYear),Last_Year_Fraction,12))</f>
        <v>0</v>
      </c>
      <c r="M37" s="518">
        <f>IF(OR(pStartYear="",pStartYear+4&gt;pEndYear,$H37=0),0,IF(AND($H37&gt;0,pStartYear+4=pEndYear),Last_Year_Fraction,12))</f>
        <v>0</v>
      </c>
      <c r="N37" s="518">
        <f>IF(OR(pStartYear="",pStartYear+5&gt;pEndYear,$H37=0),0,IF(AND($H37&gt;0,pStartYear+5=pEndYear),Last_Year_Fraction,12))</f>
        <v>0</v>
      </c>
      <c r="O37" s="518">
        <f>IF(OR(pStartYear="",pStartYear+6&gt;pEndYear,$H37=0),0,IF(AND($H37&gt;0,pStartYear+6=pEndYear),Last_Year_Fraction,12))</f>
        <v>0</v>
      </c>
      <c r="P37" s="518">
        <f>IF(OR(pStartYear="",pStartYear+7&gt;pEndYear,$H37=0),0,IF(AND($H37&gt;0,pStartYear+7=pEndYear),Last_Year_Fraction,12))</f>
        <v>0</v>
      </c>
      <c r="Q37" s="518">
        <f>IF(OR(pStartYear="",pStartYear+8&gt;pEndYear,$H37=0),0,IF(AND($H37&gt;0,pStartYear+8=pEndYear),Last_Year_Fraction,12))</f>
        <v>0</v>
      </c>
      <c r="R37" s="518">
        <f>IF(OR(pStartYear="",pStartYear+9&gt;pEndYear,$H37=0),0,IF(AND($H37&gt;0,pStartYear+9=pEndYear),Last_Year_Fraction,12))</f>
        <v>0</v>
      </c>
      <c r="S37" s="513" cm="1">
        <f t="array" ref="S37">IF($H37=0,0,_xlfn.IFNA(INDEX($I$4:$R$4,MATCH(TRUE,INDEX($I37:$R37&lt;&gt;0,),0)),0))</f>
        <v>0</v>
      </c>
      <c r="T37" s="513">
        <f>IF($H37=0,0,IF($S37=Start_Year,VLOOKUP(Start_Month,lv_month,2,FALSE),1))</f>
        <v>0</v>
      </c>
      <c r="U37" s="513" cm="1">
        <f t="array" ref="U37">IF($H37=0,0,_xlfn.IFNA(INDEX($I$4:$R$4,_xlfn.XMATCH(TRUE,I37:R37&lt;&gt;0,0,-1)),0))</f>
        <v>0</v>
      </c>
      <c r="V37" s="513">
        <f t="shared" si="0"/>
        <v>0</v>
      </c>
      <c r="W37" s="513">
        <f>IF(H37=0,0,IF(MAX(X$4:X36)&lt;=6,6,MAX(X$4:X36)+1))</f>
        <v>0</v>
      </c>
      <c r="X37" s="513">
        <f>IF(H37=0,0,W37+SUM(I37:R37)-1)</f>
        <v>0</v>
      </c>
    </row>
    <row r="38" spans="1:24" x14ac:dyDescent="0.3">
      <c r="A38" s="515" t="s">
        <v>413</v>
      </c>
      <c r="B38" s="515" t="s">
        <v>413</v>
      </c>
      <c r="C38" s="513" t="s">
        <v>414</v>
      </c>
      <c r="D38" s="513" t="s">
        <v>415</v>
      </c>
      <c r="E38" s="514">
        <v>6000</v>
      </c>
      <c r="F38" s="513">
        <f t="shared" si="6"/>
        <v>6000</v>
      </c>
      <c r="G38" s="514">
        <v>2</v>
      </c>
      <c r="H38" s="513">
        <f>'Summary of Price'!F39</f>
        <v>0</v>
      </c>
      <c r="I38" s="518">
        <f>IF(AND(H38&gt;0,pStartYear&lt;&gt;""),First_year_fraction,0)</f>
        <v>0</v>
      </c>
      <c r="J38" s="518">
        <f>IF(OR(pStartYear="",pStartYear+1&gt;pEndYear,$H38=0),0,IF(AND($H38&gt;0,pStartYear+1=pEndYear),Last_Year_Fraction,12))</f>
        <v>0</v>
      </c>
      <c r="K38" s="518">
        <f>IF(OR(pStartYear="",pStartYear+2&gt;pEndYear,$H38=0),0,IF(AND($H38&gt;0,pStartYear+2=pEndYear),Last_Year_Fraction,12))</f>
        <v>0</v>
      </c>
      <c r="L38" s="518">
        <f>IF(OR(pStartYear="",pStartYear+3&gt;pEndYear,$H38=0),0,IF(AND($H38&gt;0,pStartYear+3=pEndYear),Last_Year_Fraction,12))</f>
        <v>0</v>
      </c>
      <c r="M38" s="518">
        <f>IF(OR(pStartYear="",pStartYear+4&gt;pEndYear,$H38=0),0,IF(AND($H38&gt;0,pStartYear+4=pEndYear),Last_Year_Fraction,12))</f>
        <v>0</v>
      </c>
      <c r="N38" s="518">
        <f>IF(OR(pStartYear="",pStartYear+5&gt;pEndYear,$H38=0),0,IF(AND($H38&gt;0,pStartYear+5=pEndYear),Last_Year_Fraction,12))</f>
        <v>0</v>
      </c>
      <c r="O38" s="518">
        <f>IF(OR(pStartYear="",pStartYear+6&gt;pEndYear,$H38=0),0,IF(AND($H38&gt;0,pStartYear+6=pEndYear),Last_Year_Fraction,12))</f>
        <v>0</v>
      </c>
      <c r="P38" s="518">
        <f>IF(OR(pStartYear="",pStartYear+7&gt;pEndYear,$H38=0),0,IF(AND($H38&gt;0,pStartYear+7=pEndYear),Last_Year_Fraction,12))</f>
        <v>0</v>
      </c>
      <c r="Q38" s="518">
        <f>IF(OR(pStartYear="",pStartYear+8&gt;pEndYear,$H38=0),0,IF(AND($H38&gt;0,pStartYear+8=pEndYear),Last_Year_Fraction,12))</f>
        <v>0</v>
      </c>
      <c r="R38" s="518">
        <f>IF(OR(pStartYear="",pStartYear+9&gt;pEndYear,$H38=0),0,IF(AND($H38&gt;0,pStartYear+9=pEndYear),Last_Year_Fraction,12))</f>
        <v>0</v>
      </c>
      <c r="S38" s="513" cm="1">
        <f t="array" ref="S38">IF($H38=0,0,_xlfn.IFNA(INDEX($I$4:$R$4,MATCH(TRUE,INDEX($I38:$R38&lt;&gt;0,),0)),0))</f>
        <v>0</v>
      </c>
      <c r="T38" s="513">
        <f>IF($H38=0,0,IF($S38=Start_Year,VLOOKUP(Start_Month,lv_month,2,FALSE),1))</f>
        <v>0</v>
      </c>
      <c r="U38" s="513" cm="1">
        <f t="array" ref="U38">IF($H38=0,0,_xlfn.IFNA(INDEX($I$4:$R$4,_xlfn.XMATCH(TRUE,I38:R38&lt;&gt;0,0,-1)),0))</f>
        <v>0</v>
      </c>
      <c r="V38" s="513">
        <f t="shared" si="0"/>
        <v>0</v>
      </c>
      <c r="W38" s="513">
        <f>IF(H38=0,0,IF(MAX(X$4:X37)&lt;=6,6,MAX(X$4:X37)+1))</f>
        <v>0</v>
      </c>
      <c r="X38" s="513">
        <f>IF(H38=0,0,W38+SUM(I38:R38)-1)</f>
        <v>0</v>
      </c>
    </row>
    <row r="39" spans="1:24" x14ac:dyDescent="0.3">
      <c r="A39" s="515" t="s">
        <v>408</v>
      </c>
      <c r="B39" s="515" t="s">
        <v>416</v>
      </c>
      <c r="C39" s="513" t="s">
        <v>409</v>
      </c>
      <c r="D39" s="513" t="s">
        <v>230</v>
      </c>
      <c r="E39" s="514">
        <v>5000</v>
      </c>
      <c r="F39" s="513">
        <f t="shared" si="6"/>
        <v>5000</v>
      </c>
      <c r="G39" s="514">
        <v>3</v>
      </c>
      <c r="H39" s="513">
        <f>'Budget Form'!P151</f>
        <v>0</v>
      </c>
      <c r="I39" s="518">
        <f>IF(AND('Budget Form'!$F151&gt;0,pStartYear&lt;&gt;""),First_year_fraction,0)</f>
        <v>0</v>
      </c>
      <c r="J39" s="518">
        <f>IF(OR(pStartYear="",pStartYear+1&gt;pEndYear,'Budget Form'!$G151=0),0,IF(AND('Budget Form'!$G151&gt;0,pStartYear+1=pEndYear),Last_Year_Fraction,12))</f>
        <v>0</v>
      </c>
      <c r="K39" s="518">
        <f>IF(OR(pStartYear="",pStartYear+2&gt;pEndYear,'Budget Form'!$H151=0),0,IF(AND('Budget Form'!$H151&gt;0,pStartYear+2=pEndYear),Last_Year_Fraction,12))</f>
        <v>0</v>
      </c>
      <c r="L39" s="518">
        <f>IF(OR(pStartYear="",pStartYear+3&gt;pEndYear,'Budget Form'!$I151=0),0,IF(AND('Budget Form'!$I151&gt;0,pStartYear+3=pEndYear),Last_Year_Fraction,12))</f>
        <v>0</v>
      </c>
      <c r="M39" s="518">
        <f>IF(OR(pStartYear="",pStartYear+4&gt;pEndYear,'Budget Form'!$J151=0),0,IF(AND('Budget Form'!$J151&gt;0,pStartYear+4=pEndYear),Last_Year_Fraction,12))</f>
        <v>0</v>
      </c>
      <c r="N39" s="518">
        <f>IF(OR(pStartYear="",pStartYear+5&gt;pEndYear,'Budget Form'!$K151=0),0,IF(AND('Budget Form'!$K151&gt;0,pStartYear+5=pEndYear),Last_Year_Fraction,12))</f>
        <v>0</v>
      </c>
      <c r="O39" s="518">
        <f>IF(OR(pStartYear="",pStartYear+6&gt;pEndYear,'Budget Form'!$L151=0),0,IF(AND('Budget Form'!$L151&gt;0,pStartYear+6=pEndYear),Last_Year_Fraction,12))</f>
        <v>0</v>
      </c>
      <c r="P39" s="518">
        <f>IF(OR(pStartYear="",pStartYear+7&gt;pEndYear,'Budget Form'!$M151=0),0,IF(AND('Budget Form'!$M151&gt;0,pStartYear+7=pEndYear),Last_Year_Fraction,12))</f>
        <v>0</v>
      </c>
      <c r="Q39" s="518">
        <f>IF(OR(pStartYear="",pStartYear+8&gt;pEndYear,'Budget Form'!$N151=0),0,IF(AND('Budget Form'!$N151&gt;0,pStartYear+8=pEndYear),Last_Year_Fraction,12))</f>
        <v>0</v>
      </c>
      <c r="R39" s="518">
        <f>IF(OR(pStartYear="",pStartYear+9&gt;pEndYear,'Budget Form'!$O151=0),0,IF(AND('Budget Form'!$O151&gt;0,pStartYear+9=pEndYear),Last_Year_Fraction,12))</f>
        <v>0</v>
      </c>
      <c r="S39" s="513" cm="1">
        <f t="array" ref="S39">IF($H39=0,0,_xlfn.IFNA(INDEX($I$4:$R$4,MATCH(TRUE,INDEX($I39:$R39&lt;&gt;0,),0)),0))</f>
        <v>0</v>
      </c>
      <c r="T39" s="513">
        <f>IF($H39=0,0,IF($S39=Start_Year,VLOOKUP(Start_Month,lv_month,2,FALSE),1))</f>
        <v>0</v>
      </c>
      <c r="U39" s="513" cm="1">
        <f t="array" ref="U39">IF($H39=0,0,_xlfn.IFNA(INDEX($I$4:$R$4,_xlfn.XMATCH(TRUE,I39:R39&lt;&gt;0,0,-1)),0))</f>
        <v>0</v>
      </c>
      <c r="V39" s="513">
        <f t="shared" si="0"/>
        <v>0</v>
      </c>
      <c r="W39" s="513">
        <f>IF(H39=0,0,IF(MAX(X$4:X38)&lt;=6,6,MAX(X$4:X38)+1))</f>
        <v>0</v>
      </c>
      <c r="X39" s="513">
        <f>IF(H39=0,0,W39+SUM(I39:R39)-1)</f>
        <v>0</v>
      </c>
    </row>
    <row r="40" spans="1:24" x14ac:dyDescent="0.3">
      <c r="A40" s="515" t="s">
        <v>408</v>
      </c>
      <c r="B40" s="515" t="s">
        <v>416</v>
      </c>
      <c r="C40" s="513" t="s">
        <v>409</v>
      </c>
      <c r="D40" s="513" t="s">
        <v>231</v>
      </c>
      <c r="E40" s="514">
        <v>5000</v>
      </c>
      <c r="F40" s="513">
        <f t="shared" si="6"/>
        <v>5000</v>
      </c>
      <c r="G40" s="514">
        <v>3</v>
      </c>
      <c r="H40" s="513">
        <f>'Budget Form'!P152</f>
        <v>0</v>
      </c>
      <c r="I40" s="518">
        <f>IF(AND('Budget Form'!$F152&gt;0,pStartYear&lt;&gt;""),First_year_fraction,0)</f>
        <v>0</v>
      </c>
      <c r="J40" s="518">
        <f>IF(OR(pStartYear="",pStartYear+1&gt;pEndYear,'Budget Form'!$G152=0),0,IF(AND('Budget Form'!$G152&gt;0,pStartYear+1=pEndYear),Last_Year_Fraction,12))</f>
        <v>0</v>
      </c>
      <c r="K40" s="518">
        <f>IF(OR(pStartYear="",pStartYear+2&gt;pEndYear,'Budget Form'!$H152=0),0,IF(AND('Budget Form'!$H152&gt;0,pStartYear+2=pEndYear),Last_Year_Fraction,12))</f>
        <v>0</v>
      </c>
      <c r="L40" s="518">
        <f>IF(OR(pStartYear="",pStartYear+3&gt;pEndYear,'Budget Form'!$I152=0),0,IF(AND('Budget Form'!$I152&gt;0,pStartYear+3=pEndYear),Last_Year_Fraction,12))</f>
        <v>0</v>
      </c>
      <c r="M40" s="518">
        <f>IF(OR(pStartYear="",pStartYear+4&gt;pEndYear,'Budget Form'!$J152=0),0,IF(AND('Budget Form'!$J152&gt;0,pStartYear+4=pEndYear),Last_Year_Fraction,12))</f>
        <v>0</v>
      </c>
      <c r="N40" s="518">
        <f>IF(OR(pStartYear="",pStartYear+5&gt;pEndYear,'Budget Form'!$K152=0),0,IF(AND('Budget Form'!$K152&gt;0,pStartYear+5=pEndYear),Last_Year_Fraction,12))</f>
        <v>0</v>
      </c>
      <c r="O40" s="518">
        <f>IF(OR(pStartYear="",pStartYear+6&gt;pEndYear,'Budget Form'!$L152=0),0,IF(AND('Budget Form'!$L152&gt;0,pStartYear+6=pEndYear),Last_Year_Fraction,12))</f>
        <v>0</v>
      </c>
      <c r="P40" s="518">
        <f>IF(OR(pStartYear="",pStartYear+7&gt;pEndYear,'Budget Form'!$M152=0),0,IF(AND('Budget Form'!$M152&gt;0,pStartYear+7=pEndYear),Last_Year_Fraction,12))</f>
        <v>0</v>
      </c>
      <c r="Q40" s="518">
        <f>IF(OR(pStartYear="",pStartYear+8&gt;pEndYear,'Budget Form'!$N152=0),0,IF(AND('Budget Form'!$N152&gt;0,pStartYear+8=pEndYear),Last_Year_Fraction,12))</f>
        <v>0</v>
      </c>
      <c r="R40" s="518">
        <f>IF(OR(pStartYear="",pStartYear+9&gt;pEndYear,'Budget Form'!$O152=0),0,IF(AND('Budget Form'!$O152&gt;0,pStartYear+9=pEndYear),Last_Year_Fraction,12))</f>
        <v>0</v>
      </c>
      <c r="S40" s="513" cm="1">
        <f t="array" ref="S40">IF($H40=0,0,_xlfn.IFNA(INDEX($I$4:$R$4,MATCH(TRUE,INDEX($I40:$R40&lt;&gt;0,),0)),0))</f>
        <v>0</v>
      </c>
      <c r="T40" s="513">
        <f>IF($H40=0,0,IF($S40=Start_Year,VLOOKUP(Start_Month,lv_month,2,FALSE),1))</f>
        <v>0</v>
      </c>
      <c r="U40" s="513" cm="1">
        <f t="array" ref="U40">IF($H40=0,0,_xlfn.IFNA(INDEX($I$4:$R$4,_xlfn.XMATCH(TRUE,I40:R40&lt;&gt;0,0,-1)),0))</f>
        <v>0</v>
      </c>
      <c r="V40" s="513">
        <f t="shared" si="0"/>
        <v>0</v>
      </c>
      <c r="W40" s="513">
        <f>IF(H40=0,0,IF(MAX(X$4:X39)&lt;=6,6,MAX(X$4:X39)+1))</f>
        <v>0</v>
      </c>
      <c r="X40" s="513">
        <f t="shared" ref="X40:X63" si="7">IF(H40=0,0,W40+SUM(I40:R40)-1)</f>
        <v>0</v>
      </c>
    </row>
    <row r="41" spans="1:24" x14ac:dyDescent="0.3">
      <c r="A41" s="515" t="s">
        <v>408</v>
      </c>
      <c r="B41" s="515" t="s">
        <v>416</v>
      </c>
      <c r="C41" s="513" t="s">
        <v>409</v>
      </c>
      <c r="D41" s="513" t="s">
        <v>232</v>
      </c>
      <c r="E41" s="514">
        <v>5000</v>
      </c>
      <c r="F41" s="513">
        <f t="shared" si="6"/>
        <v>5000</v>
      </c>
      <c r="G41" s="514">
        <v>3</v>
      </c>
      <c r="H41" s="513">
        <f>'Budget Form'!P153</f>
        <v>0</v>
      </c>
      <c r="I41" s="518">
        <f>IF(AND('Budget Form'!$F153&gt;0,pStartYear&lt;&gt;""),First_year_fraction,0)</f>
        <v>0</v>
      </c>
      <c r="J41" s="518">
        <f>IF(OR(pStartYear="",pStartYear+1&gt;pEndYear,'Budget Form'!$G153=0),0,IF(AND('Budget Form'!$G153&gt;0,pStartYear+1=pEndYear),Last_Year_Fraction,12))</f>
        <v>0</v>
      </c>
      <c r="K41" s="518">
        <f>IF(OR(pStartYear="",pStartYear+2&gt;pEndYear,'Budget Form'!$H153=0),0,IF(AND('Budget Form'!$H153&gt;0,pStartYear+2=pEndYear),Last_Year_Fraction,12))</f>
        <v>0</v>
      </c>
      <c r="L41" s="518">
        <f>IF(OR(pStartYear="",pStartYear+3&gt;pEndYear,'Budget Form'!$I153=0),0,IF(AND('Budget Form'!$I153&gt;0,pStartYear+3=pEndYear),Last_Year_Fraction,12))</f>
        <v>0</v>
      </c>
      <c r="M41" s="518">
        <f>IF(OR(pStartYear="",pStartYear+4&gt;pEndYear,'Budget Form'!$J153=0),0,IF(AND('Budget Form'!$J153&gt;0,pStartYear+4=pEndYear),Last_Year_Fraction,12))</f>
        <v>0</v>
      </c>
      <c r="N41" s="518">
        <f>IF(OR(pStartYear="",pStartYear+5&gt;pEndYear,'Budget Form'!$K153=0),0,IF(AND('Budget Form'!$K153&gt;0,pStartYear+5=pEndYear),Last_Year_Fraction,12))</f>
        <v>0</v>
      </c>
      <c r="O41" s="518">
        <f>IF(OR(pStartYear="",pStartYear+6&gt;pEndYear,'Budget Form'!$L153=0),0,IF(AND('Budget Form'!$L153&gt;0,pStartYear+6=pEndYear),Last_Year_Fraction,12))</f>
        <v>0</v>
      </c>
      <c r="P41" s="518">
        <f>IF(OR(pStartYear="",pStartYear+7&gt;pEndYear,'Budget Form'!$M153=0),0,IF(AND('Budget Form'!$M153&gt;0,pStartYear+7=pEndYear),Last_Year_Fraction,12))</f>
        <v>0</v>
      </c>
      <c r="Q41" s="518">
        <f>IF(OR(pStartYear="",pStartYear+8&gt;pEndYear,'Budget Form'!$N153=0),0,IF(AND('Budget Form'!$N153&gt;0,pStartYear+8=pEndYear),Last_Year_Fraction,12))</f>
        <v>0</v>
      </c>
      <c r="R41" s="518">
        <f>IF(OR(pStartYear="",pStartYear+9&gt;pEndYear,'Budget Form'!$O153=0),0,IF(AND('Budget Form'!$O153&gt;0,pStartYear+9=pEndYear),Last_Year_Fraction,12))</f>
        <v>0</v>
      </c>
      <c r="S41" s="513" cm="1">
        <f t="array" ref="S41">IF($H41=0,0,_xlfn.IFNA(INDEX($I$4:$R$4,MATCH(TRUE,INDEX($I41:$R41&lt;&gt;0,),0)),0))</f>
        <v>0</v>
      </c>
      <c r="T41" s="513">
        <f>IF($H41=0,0,IF($S41=Start_Year,VLOOKUP(Start_Month,lv_month,2,FALSE),1))</f>
        <v>0</v>
      </c>
      <c r="U41" s="513" cm="1">
        <f t="array" ref="U41">IF($H41=0,0,_xlfn.IFNA(INDEX($I$4:$R$4,_xlfn.XMATCH(TRUE,I41:R41&lt;&gt;0,0,-1)),0))</f>
        <v>0</v>
      </c>
      <c r="V41" s="513">
        <f t="shared" si="0"/>
        <v>0</v>
      </c>
      <c r="W41" s="513">
        <f>IF(H41=0,0,IF(MAX(X$4:X40)&lt;=6,6,MAX(X$4:X40)+1))</f>
        <v>0</v>
      </c>
      <c r="X41" s="513">
        <f t="shared" si="7"/>
        <v>0</v>
      </c>
    </row>
    <row r="42" spans="1:24" x14ac:dyDescent="0.3">
      <c r="A42" s="515" t="s">
        <v>408</v>
      </c>
      <c r="B42" s="515" t="s">
        <v>416</v>
      </c>
      <c r="C42" s="513" t="s">
        <v>409</v>
      </c>
      <c r="D42" s="513" t="s">
        <v>233</v>
      </c>
      <c r="E42" s="514">
        <v>5000</v>
      </c>
      <c r="F42" s="513">
        <f t="shared" si="6"/>
        <v>5000</v>
      </c>
      <c r="G42" s="514">
        <v>3</v>
      </c>
      <c r="H42" s="513">
        <f>'Budget Form'!P154</f>
        <v>0</v>
      </c>
      <c r="I42" s="518">
        <f>IF(AND('Budget Form'!$F154&gt;0,pStartYear&lt;&gt;""),First_year_fraction,0)</f>
        <v>0</v>
      </c>
      <c r="J42" s="518">
        <f>IF(OR(pStartYear="",pStartYear+1&gt;pEndYear,'Budget Form'!$G154=0),0,IF(AND('Budget Form'!$G154&gt;0,pStartYear+1=pEndYear),Last_Year_Fraction,12))</f>
        <v>0</v>
      </c>
      <c r="K42" s="518">
        <f>IF(OR(pStartYear="",pStartYear+2&gt;pEndYear,'Budget Form'!$H154=0),0,IF(AND('Budget Form'!$H154&gt;0,pStartYear+2=pEndYear),Last_Year_Fraction,12))</f>
        <v>0</v>
      </c>
      <c r="L42" s="518">
        <f>IF(OR(pStartYear="",pStartYear+3&gt;pEndYear,'Budget Form'!$I154=0),0,IF(AND('Budget Form'!$I154&gt;0,pStartYear+3=pEndYear),Last_Year_Fraction,12))</f>
        <v>0</v>
      </c>
      <c r="M42" s="518">
        <f>IF(OR(pStartYear="",pStartYear+4&gt;pEndYear,'Budget Form'!$J154=0),0,IF(AND('Budget Form'!$J154&gt;0,pStartYear+4=pEndYear),Last_Year_Fraction,12))</f>
        <v>0</v>
      </c>
      <c r="N42" s="518">
        <f>IF(OR(pStartYear="",pStartYear+5&gt;pEndYear,'Budget Form'!$K154=0),0,IF(AND('Budget Form'!$K154&gt;0,pStartYear+5=pEndYear),Last_Year_Fraction,12))</f>
        <v>0</v>
      </c>
      <c r="O42" s="518">
        <f>IF(OR(pStartYear="",pStartYear+6&gt;pEndYear,'Budget Form'!$L154=0),0,IF(AND('Budget Form'!$L154&gt;0,pStartYear+6=pEndYear),Last_Year_Fraction,12))</f>
        <v>0</v>
      </c>
      <c r="P42" s="518">
        <f>IF(OR(pStartYear="",pStartYear+7&gt;pEndYear,'Budget Form'!$M154=0),0,IF(AND('Budget Form'!$M154&gt;0,pStartYear+7=pEndYear),Last_Year_Fraction,12))</f>
        <v>0</v>
      </c>
      <c r="Q42" s="518">
        <f>IF(OR(pStartYear="",pStartYear+8&gt;pEndYear,'Budget Form'!$N154=0),0,IF(AND('Budget Form'!$N154&gt;0,pStartYear+8=pEndYear),Last_Year_Fraction,12))</f>
        <v>0</v>
      </c>
      <c r="R42" s="518">
        <f>IF(OR(pStartYear="",pStartYear+9&gt;pEndYear,'Budget Form'!$O154=0),0,IF(AND('Budget Form'!$O154&gt;0,pStartYear+9=pEndYear),Last_Year_Fraction,12))</f>
        <v>0</v>
      </c>
      <c r="S42" s="513" cm="1">
        <f t="array" ref="S42">IF($H42=0,0,_xlfn.IFNA(INDEX($I$4:$R$4,MATCH(TRUE,INDEX($I42:$R42&lt;&gt;0,),0)),0))</f>
        <v>0</v>
      </c>
      <c r="T42" s="513">
        <f>IF($H42=0,0,IF($S42=Start_Year,VLOOKUP(Start_Month,lv_month,2,FALSE),1))</f>
        <v>0</v>
      </c>
      <c r="U42" s="513" cm="1">
        <f t="array" ref="U42">IF($H42=0,0,_xlfn.IFNA(INDEX($I$4:$R$4,_xlfn.XMATCH(TRUE,I42:R42&lt;&gt;0,0,-1)),0))</f>
        <v>0</v>
      </c>
      <c r="V42" s="513">
        <f t="shared" si="0"/>
        <v>0</v>
      </c>
      <c r="W42" s="513">
        <f>IF(H42=0,0,IF(MAX(X$4:X41)&lt;=6,6,MAX(X$4:X41)+1))</f>
        <v>0</v>
      </c>
      <c r="X42" s="513">
        <f t="shared" si="7"/>
        <v>0</v>
      </c>
    </row>
    <row r="43" spans="1:24" x14ac:dyDescent="0.3">
      <c r="A43" s="515" t="s">
        <v>408</v>
      </c>
      <c r="B43" s="515" t="s">
        <v>416</v>
      </c>
      <c r="C43" s="513" t="s">
        <v>409</v>
      </c>
      <c r="D43" s="513" t="s">
        <v>234</v>
      </c>
      <c r="E43" s="514">
        <v>5000</v>
      </c>
      <c r="F43" s="513">
        <f t="shared" si="6"/>
        <v>5000</v>
      </c>
      <c r="G43" s="514">
        <v>3</v>
      </c>
      <c r="H43" s="513">
        <f>'Budget Form'!P155</f>
        <v>0</v>
      </c>
      <c r="I43" s="518">
        <f>IF(AND('Budget Form'!$F155&gt;0,pStartYear&lt;&gt;""),First_year_fraction,0)</f>
        <v>0</v>
      </c>
      <c r="J43" s="518">
        <f>IF(OR(pStartYear="",pStartYear+1&gt;pEndYear,'Budget Form'!$G155=0),0,IF(AND('Budget Form'!$G155&gt;0,pStartYear+1=pEndYear),Last_Year_Fraction,12))</f>
        <v>0</v>
      </c>
      <c r="K43" s="518">
        <f>IF(OR(pStartYear="",pStartYear+2&gt;pEndYear,'Budget Form'!$H155=0),0,IF(AND('Budget Form'!$H155&gt;0,pStartYear+2=pEndYear),Last_Year_Fraction,12))</f>
        <v>0</v>
      </c>
      <c r="L43" s="518">
        <f>IF(OR(pStartYear="",pStartYear+3&gt;pEndYear,'Budget Form'!$I155=0),0,IF(AND('Budget Form'!$I155&gt;0,pStartYear+3=pEndYear),Last_Year_Fraction,12))</f>
        <v>0</v>
      </c>
      <c r="M43" s="518">
        <f>IF(OR(pStartYear="",pStartYear+4&gt;pEndYear,'Budget Form'!$J155=0),0,IF(AND('Budget Form'!$J155&gt;0,pStartYear+4=pEndYear),Last_Year_Fraction,12))</f>
        <v>0</v>
      </c>
      <c r="N43" s="518">
        <f>IF(OR(pStartYear="",pStartYear+5&gt;pEndYear,'Budget Form'!$K155=0),0,IF(AND('Budget Form'!$K155&gt;0,pStartYear+5=pEndYear),Last_Year_Fraction,12))</f>
        <v>0</v>
      </c>
      <c r="O43" s="518">
        <f>IF(OR(pStartYear="",pStartYear+6&gt;pEndYear,'Budget Form'!$L155=0),0,IF(AND('Budget Form'!$L155&gt;0,pStartYear+6=pEndYear),Last_Year_Fraction,12))</f>
        <v>0</v>
      </c>
      <c r="P43" s="518">
        <f>IF(OR(pStartYear="",pStartYear+7&gt;pEndYear,'Budget Form'!$M155=0),0,IF(AND('Budget Form'!$M155&gt;0,pStartYear+7=pEndYear),Last_Year_Fraction,12))</f>
        <v>0</v>
      </c>
      <c r="Q43" s="518">
        <f>IF(OR(pStartYear="",pStartYear+8&gt;pEndYear,'Budget Form'!$N155=0),0,IF(AND('Budget Form'!$N155&gt;0,pStartYear+8=pEndYear),Last_Year_Fraction,12))</f>
        <v>0</v>
      </c>
      <c r="R43" s="518">
        <f>IF(OR(pStartYear="",pStartYear+9&gt;pEndYear,'Budget Form'!$O155=0),0,IF(AND('Budget Form'!$O155&gt;0,pStartYear+9=pEndYear),Last_Year_Fraction,12))</f>
        <v>0</v>
      </c>
      <c r="S43" s="513" cm="1">
        <f t="array" ref="S43">IF($H43=0,0,_xlfn.IFNA(INDEX($I$4:$R$4,MATCH(TRUE,INDEX($I43:$R43&lt;&gt;0,),0)),0))</f>
        <v>0</v>
      </c>
      <c r="T43" s="513">
        <f>IF($H43=0,0,IF($S43=Start_Year,VLOOKUP(Start_Month,lv_month,2,FALSE),1))</f>
        <v>0</v>
      </c>
      <c r="U43" s="513" cm="1">
        <f t="array" ref="U43">IF($H43=0,0,_xlfn.IFNA(INDEX($I$4:$R$4,_xlfn.XMATCH(TRUE,I43:R43&lt;&gt;0,0,-1)),0))</f>
        <v>0</v>
      </c>
      <c r="V43" s="513">
        <f t="shared" si="0"/>
        <v>0</v>
      </c>
      <c r="W43" s="513">
        <f>IF(H43=0,0,IF(MAX(X$4:X42)&lt;=6,6,MAX(X$4:X42)+1))</f>
        <v>0</v>
      </c>
      <c r="X43" s="513">
        <f t="shared" si="7"/>
        <v>0</v>
      </c>
    </row>
    <row r="44" spans="1:24" x14ac:dyDescent="0.3">
      <c r="A44" s="515" t="s">
        <v>408</v>
      </c>
      <c r="B44" s="515" t="s">
        <v>416</v>
      </c>
      <c r="C44" s="513" t="s">
        <v>409</v>
      </c>
      <c r="D44" s="513" t="s">
        <v>235</v>
      </c>
      <c r="E44" s="514">
        <v>5000</v>
      </c>
      <c r="F44" s="513">
        <f t="shared" si="6"/>
        <v>5000</v>
      </c>
      <c r="G44" s="514">
        <v>3</v>
      </c>
      <c r="H44" s="513">
        <f>'Budget Form'!P156</f>
        <v>0</v>
      </c>
      <c r="I44" s="518">
        <f>IF(AND('Budget Form'!$F156&gt;0,pStartYear&lt;&gt;""),First_year_fraction,0)</f>
        <v>0</v>
      </c>
      <c r="J44" s="518">
        <f>IF(OR(pStartYear="",pStartYear+1&gt;pEndYear,'Budget Form'!$G156=0),0,IF(AND('Budget Form'!$G156&gt;0,pStartYear+1=pEndYear),Last_Year_Fraction,12))</f>
        <v>0</v>
      </c>
      <c r="K44" s="518">
        <f>IF(OR(pStartYear="",pStartYear+2&gt;pEndYear,'Budget Form'!$H156=0),0,IF(AND('Budget Form'!$H156&gt;0,pStartYear+2=pEndYear),Last_Year_Fraction,12))</f>
        <v>0</v>
      </c>
      <c r="L44" s="518">
        <f>IF(OR(pStartYear="",pStartYear+3&gt;pEndYear,'Budget Form'!$I156=0),0,IF(AND('Budget Form'!$I156&gt;0,pStartYear+3=pEndYear),Last_Year_Fraction,12))</f>
        <v>0</v>
      </c>
      <c r="M44" s="518">
        <f>IF(OR(pStartYear="",pStartYear+4&gt;pEndYear,'Budget Form'!$J156=0),0,IF(AND('Budget Form'!$J156&gt;0,pStartYear+4=pEndYear),Last_Year_Fraction,12))</f>
        <v>0</v>
      </c>
      <c r="N44" s="518">
        <f>IF(OR(pStartYear="",pStartYear+5&gt;pEndYear,'Budget Form'!$K156=0),0,IF(AND('Budget Form'!$K156&gt;0,pStartYear+5=pEndYear),Last_Year_Fraction,12))</f>
        <v>0</v>
      </c>
      <c r="O44" s="518">
        <f>IF(OR(pStartYear="",pStartYear+6&gt;pEndYear,'Budget Form'!$L156=0),0,IF(AND('Budget Form'!$L156&gt;0,pStartYear+6=pEndYear),Last_Year_Fraction,12))</f>
        <v>0</v>
      </c>
      <c r="P44" s="518">
        <f>IF(OR(pStartYear="",pStartYear+7&gt;pEndYear,'Budget Form'!$M156=0),0,IF(AND('Budget Form'!$M156&gt;0,pStartYear+7=pEndYear),Last_Year_Fraction,12))</f>
        <v>0</v>
      </c>
      <c r="Q44" s="518">
        <f>IF(OR(pStartYear="",pStartYear+8&gt;pEndYear,'Budget Form'!$N156=0),0,IF(AND('Budget Form'!$N156&gt;0,pStartYear+8=pEndYear),Last_Year_Fraction,12))</f>
        <v>0</v>
      </c>
      <c r="R44" s="518">
        <f>IF(OR(pStartYear="",pStartYear+9&gt;pEndYear,'Budget Form'!$O156=0),0,IF(AND('Budget Form'!$O156&gt;0,pStartYear+9=pEndYear),Last_Year_Fraction,12))</f>
        <v>0</v>
      </c>
      <c r="S44" s="513" cm="1">
        <f t="array" ref="S44">IF($H44=0,0,_xlfn.IFNA(INDEX($I$4:$R$4,MATCH(TRUE,INDEX($I44:$R44&lt;&gt;0,),0)),0))</f>
        <v>0</v>
      </c>
      <c r="T44" s="513">
        <f>IF($H44=0,0,IF($S44=Start_Year,VLOOKUP(Start_Month,lv_month,2,FALSE),1))</f>
        <v>0</v>
      </c>
      <c r="U44" s="513" cm="1">
        <f t="array" ref="U44">IF($H44=0,0,_xlfn.IFNA(INDEX($I$4:$R$4,_xlfn.XMATCH(TRUE,I44:R44&lt;&gt;0,0,-1)),0))</f>
        <v>0</v>
      </c>
      <c r="V44" s="513">
        <f t="shared" si="0"/>
        <v>0</v>
      </c>
      <c r="W44" s="513">
        <f>IF(H44=0,0,IF(MAX(X$4:X43)&lt;=6,6,MAX(X$4:X43)+1))</f>
        <v>0</v>
      </c>
      <c r="X44" s="513">
        <f t="shared" si="7"/>
        <v>0</v>
      </c>
    </row>
    <row r="45" spans="1:24" x14ac:dyDescent="0.3">
      <c r="A45" s="515" t="s">
        <v>408</v>
      </c>
      <c r="B45" s="515" t="s">
        <v>417</v>
      </c>
      <c r="C45" s="513" t="s">
        <v>83</v>
      </c>
      <c r="D45" s="513" t="s">
        <v>85</v>
      </c>
      <c r="E45" s="514">
        <v>5060</v>
      </c>
      <c r="F45" s="513">
        <f t="shared" ref="F45:F63" si="8">E45</f>
        <v>5060</v>
      </c>
      <c r="G45" s="514">
        <v>3</v>
      </c>
      <c r="H45" s="513">
        <f>'PART C Non-Staff Costs'!P67</f>
        <v>0</v>
      </c>
      <c r="I45" s="518">
        <f>IF(AND('PART C Non-Staff Costs'!F67,pStartYear&lt;&gt;""),First_year_fraction,0)</f>
        <v>0</v>
      </c>
      <c r="J45" s="518">
        <f>IF(OR(pStartYear="",pStartYear+1&gt;pEndYear,'PART C Non-Staff Costs'!G67=0),0,IF(AND('PART C Non-Staff Costs'!G67&gt;0,pStartYear+1=pEndYear),Last_Year_Fraction,12))</f>
        <v>0</v>
      </c>
      <c r="K45" s="518">
        <f>IF(OR(pStartYear="",pStartYear+2&gt;pEndYear,'PART C Non-Staff Costs'!H91=0),0,IF(AND('PART C Non-Staff Costs'!H91&gt;0,pStartYear+2=pEndYear),Last_Year_Fraction,12))</f>
        <v>0</v>
      </c>
      <c r="L45" s="518">
        <f>IF(OR(pStartYear="",pStartYear+3&gt;pEndYear,'PART C Non-Staff Costs'!I91=0),0,IF(AND('PART C Non-Staff Costs'!I91&gt;0,pStartYear+3=pEndYear),Last_Year_Fraction,12))</f>
        <v>0</v>
      </c>
      <c r="M45" s="518">
        <f>IF(OR(pStartYear="",pStartYear+4&gt;pEndYear,'PART C Non-Staff Costs'!J91=0),0,IF(AND('PART C Non-Staff Costs'!J91&gt;0,pStartYear+4=pEndYear),Last_Year_Fraction,12))</f>
        <v>0</v>
      </c>
      <c r="N45" s="518">
        <f>IF(OR(pStartYear="",pStartYear+5&gt;pEndYear,'PART C Non-Staff Costs'!K91=0),0,IF(AND('PART C Non-Staff Costs'!K91&gt;0,pStartYear+5=pEndYear),Last_Year_Fraction,12))</f>
        <v>0</v>
      </c>
      <c r="O45" s="518">
        <f>IF(OR(pStartYear="",pStartYear+6&gt;pEndYear,'PART C Non-Staff Costs'!L91=0),0,IF(AND('PART C Non-Staff Costs'!L91&gt;0,pStartYear+6=pEndYear),Last_Year_Fraction,12))</f>
        <v>0</v>
      </c>
      <c r="P45" s="518">
        <f>IF(OR(pStartYear="",pStartYear+7&gt;pEndYear,'PART C Non-Staff Costs'!M91=0),0,IF(AND('PART C Non-Staff Costs'!M91&gt;0,pStartYear+7=pEndYear),Last_Year_Fraction,12))</f>
        <v>0</v>
      </c>
      <c r="Q45" s="518">
        <f>IF(OR(pStartYear="",pStartYear+8&gt;pEndYear,'PART C Non-Staff Costs'!N91=0),0,IF(AND('PART C Non-Staff Costs'!N91&gt;0,pStartYear+8=pEndYear),Last_Year_Fraction,12))</f>
        <v>0</v>
      </c>
      <c r="R45" s="518">
        <f>IF(OR(pStartYear="",pStartYear+9&gt;pEndYear,'PART C Non-Staff Costs'!O91=0),0,IF(AND('PART C Non-Staff Costs'!O91&gt;0,pStartYear+9=pEndYear),Last_Year_Fraction,12))</f>
        <v>0</v>
      </c>
      <c r="S45" s="513" cm="1">
        <f t="array" ref="S45">IF($H45=0,0,_xlfn.IFNA(INDEX($I$4:$R$4,MATCH(TRUE,INDEX($I45:$R45&lt;&gt;0,),0)),0))</f>
        <v>0</v>
      </c>
      <c r="T45" s="513">
        <f>IF($H45=0,0,IF($S45=Start_Year,VLOOKUP(Start_Month,lv_month,2,FALSE),1))</f>
        <v>0</v>
      </c>
      <c r="U45" s="513" cm="1">
        <f t="array" ref="U45">IF($H45=0,0,_xlfn.IFNA(INDEX($I$4:$R$4,_xlfn.XMATCH(TRUE,I45:R45&lt;&gt;0,0,-1)),0))</f>
        <v>0</v>
      </c>
      <c r="V45" s="513">
        <f t="shared" si="0"/>
        <v>0</v>
      </c>
      <c r="W45" s="513">
        <f>IF(H45=0,0,IF(MAX(X$4:X44)&lt;=6,6,MAX(X$4:X44)+1))</f>
        <v>0</v>
      </c>
      <c r="X45" s="513">
        <f t="shared" si="7"/>
        <v>0</v>
      </c>
    </row>
    <row r="46" spans="1:24" x14ac:dyDescent="0.3">
      <c r="A46" s="515" t="s">
        <v>408</v>
      </c>
      <c r="B46" s="515" t="s">
        <v>417</v>
      </c>
      <c r="C46" s="513" t="s">
        <v>90</v>
      </c>
      <c r="D46" s="513" t="s">
        <v>92</v>
      </c>
      <c r="E46" s="514">
        <v>5063</v>
      </c>
      <c r="F46" s="513">
        <f t="shared" si="8"/>
        <v>5063</v>
      </c>
      <c r="G46" s="514">
        <v>3</v>
      </c>
      <c r="H46" s="513">
        <f>'PART C Non-Staff Costs'!P80</f>
        <v>0</v>
      </c>
      <c r="I46" s="518">
        <f>IF(AND('PART C Non-Staff Costs'!F80,pStartYear&lt;&gt;""),First_year_fraction,0)</f>
        <v>0</v>
      </c>
      <c r="J46" s="518">
        <f>IF(OR(pStartYear="",pStartYear+1&gt;pEndYear,'PART C Non-Staff Costs'!G80=0),0,IF(AND('PART C Non-Staff Costs'!G80&gt;0,pStartYear+1=pEndYear),Last_Year_Fraction,12))</f>
        <v>0</v>
      </c>
      <c r="K46" s="518">
        <f>IF(OR(pStartYear="",pStartYear+2&gt;pEndYear,'PART C Non-Staff Costs'!H80=0),0,IF(AND('PART C Non-Staff Costs'!H80&gt;0,pStartYear+2=pEndYear),Last_Year_Fraction,12))</f>
        <v>0</v>
      </c>
      <c r="L46" s="518">
        <f>IF(OR(pStartYear="",pStartYear+3&gt;pEndYear,'PART C Non-Staff Costs'!I80=0),0,IF(AND('PART C Non-Staff Costs'!I80&gt;0,pStartYear+3=pEndYear),Last_Year_Fraction,12))</f>
        <v>0</v>
      </c>
      <c r="M46" s="518">
        <f>IF(OR(pStartYear="",pStartYear+4&gt;pEndYear,'PART C Non-Staff Costs'!J80=0),0,IF(AND('PART C Non-Staff Costs'!J80&gt;0,pStartYear+4=pEndYear),Last_Year_Fraction,12))</f>
        <v>0</v>
      </c>
      <c r="N46" s="518">
        <f>IF(OR(pStartYear="",pStartYear+5&gt;pEndYear,'PART C Non-Staff Costs'!K80=0),0,IF(AND('PART C Non-Staff Costs'!K80&gt;0,pStartYear+5=pEndYear),Last_Year_Fraction,12))</f>
        <v>0</v>
      </c>
      <c r="O46" s="518">
        <f>IF(OR(pStartYear="",pStartYear+6&gt;pEndYear,'PART C Non-Staff Costs'!L80=0),0,IF(AND('PART C Non-Staff Costs'!L80&gt;0,pStartYear+6=pEndYear),Last_Year_Fraction,12))</f>
        <v>0</v>
      </c>
      <c r="P46" s="518">
        <f>IF(OR(pStartYear="",pStartYear+7&gt;pEndYear,'PART C Non-Staff Costs'!M80=0),0,IF(AND('PART C Non-Staff Costs'!M80&gt;0,pStartYear+7=pEndYear),Last_Year_Fraction,12))</f>
        <v>0</v>
      </c>
      <c r="Q46" s="518">
        <f>IF(OR(pStartYear="",pStartYear+8&gt;pEndYear,'PART C Non-Staff Costs'!N80=0),0,IF(AND('PART C Non-Staff Costs'!N80&gt;0,pStartYear+8=pEndYear),Last_Year_Fraction,12))</f>
        <v>0</v>
      </c>
      <c r="R46" s="518">
        <f>IF(OR(pStartYear="",pStartYear+9&gt;pEndYear,'PART C Non-Staff Costs'!O80=0),0,IF(AND('PART C Non-Staff Costs'!O80&gt;0,pStartYear+9=pEndYear),Last_Year_Fraction,12))</f>
        <v>0</v>
      </c>
      <c r="S46" s="513" cm="1">
        <f t="array" ref="S46">IF($H46=0,0,_xlfn.IFNA(INDEX($I$4:$R$4,MATCH(TRUE,INDEX($I46:$R46&lt;&gt;0,),0)),0))</f>
        <v>0</v>
      </c>
      <c r="T46" s="513">
        <f>IF($H46=0,0,IF($S46=Start_Year,VLOOKUP(Start_Month,lv_month,2,FALSE),1))</f>
        <v>0</v>
      </c>
      <c r="U46" s="513" cm="1">
        <f t="array" ref="U46">IF($H46=0,0,_xlfn.IFNA(INDEX($I$4:$R$4,_xlfn.XMATCH(TRUE,I46:R46&lt;&gt;0,0,-1)),0))</f>
        <v>0</v>
      </c>
      <c r="V46" s="513">
        <f t="shared" si="0"/>
        <v>0</v>
      </c>
      <c r="W46" s="513">
        <f>IF(H46=0,0,IF(MAX(X$4:X45)&lt;=6,6,MAX(X$4:X45)+1))</f>
        <v>0</v>
      </c>
      <c r="X46" s="513">
        <f t="shared" si="7"/>
        <v>0</v>
      </c>
    </row>
    <row r="47" spans="1:24" x14ac:dyDescent="0.3">
      <c r="A47" s="515" t="s">
        <v>408</v>
      </c>
      <c r="B47" s="515" t="s">
        <v>417</v>
      </c>
      <c r="C47" s="513" t="s">
        <v>90</v>
      </c>
      <c r="D47" s="513" t="s">
        <v>94</v>
      </c>
      <c r="E47" s="514">
        <v>5061</v>
      </c>
      <c r="F47" s="513">
        <f t="shared" si="8"/>
        <v>5061</v>
      </c>
      <c r="G47" s="514">
        <v>3</v>
      </c>
      <c r="H47" s="513">
        <f>'PART C Non-Staff Costs'!P88</f>
        <v>0</v>
      </c>
      <c r="I47" s="518">
        <f>IF(AND('PART C Non-Staff Costs'!F88,pStartYear&lt;&gt;""),First_year_fraction,0)</f>
        <v>0</v>
      </c>
      <c r="J47" s="518">
        <f>IF(OR(pStartYear="",pStartYear+1&gt;pEndYear,'PART C Non-Staff Costs'!G88=0),0,IF(AND('PART C Non-Staff Costs'!G88&gt;0,pStartYear+1=pEndYear),Last_Year_Fraction,12))</f>
        <v>0</v>
      </c>
      <c r="K47" s="518">
        <f>IF(OR(pStartYear="",pStartYear+2&gt;pEndYear,'PART C Non-Staff Costs'!H88=0),0,IF(AND('PART C Non-Staff Costs'!H88&gt;0,pStartYear+2=pEndYear),Last_Year_Fraction,12))</f>
        <v>0</v>
      </c>
      <c r="L47" s="518">
        <f>IF(OR(pStartYear="",pStartYear+3&gt;pEndYear,'PART C Non-Staff Costs'!I88=0),0,IF(AND('PART C Non-Staff Costs'!I88&gt;0,pStartYear+3=pEndYear),Last_Year_Fraction,12))</f>
        <v>0</v>
      </c>
      <c r="M47" s="518">
        <f>IF(OR(pStartYear="",pStartYear+4&gt;pEndYear,'PART C Non-Staff Costs'!J88=0),0,IF(AND('PART C Non-Staff Costs'!J88&gt;0,pStartYear+4=pEndYear),Last_Year_Fraction,12))</f>
        <v>0</v>
      </c>
      <c r="N47" s="518">
        <f>IF(OR(pStartYear="",pStartYear+5&gt;pEndYear,'PART C Non-Staff Costs'!K88=0),0,IF(AND('PART C Non-Staff Costs'!K88&gt;0,pStartYear+5=pEndYear),Last_Year_Fraction,12))</f>
        <v>0</v>
      </c>
      <c r="O47" s="518">
        <f>IF(OR(pStartYear="",pStartYear+6&gt;pEndYear,'PART C Non-Staff Costs'!L88=0),0,IF(AND('PART C Non-Staff Costs'!L88&gt;0,pStartYear+6=pEndYear),Last_Year_Fraction,12))</f>
        <v>0</v>
      </c>
      <c r="P47" s="518">
        <f>IF(OR(pStartYear="",pStartYear+7&gt;pEndYear,'PART C Non-Staff Costs'!M88=0),0,IF(AND('PART C Non-Staff Costs'!M88&gt;0,pStartYear+7=pEndYear),Last_Year_Fraction,12))</f>
        <v>0</v>
      </c>
      <c r="Q47" s="518">
        <f>IF(OR(pStartYear="",pStartYear+8&gt;pEndYear,'PART C Non-Staff Costs'!N88=0),0,IF(AND('PART C Non-Staff Costs'!N88&gt;0,pStartYear+8=pEndYear),Last_Year_Fraction,12))</f>
        <v>0</v>
      </c>
      <c r="R47" s="518">
        <f>IF(OR(pStartYear="",pStartYear+9&gt;pEndYear,'PART C Non-Staff Costs'!O88=0),0,IF(AND('PART C Non-Staff Costs'!O88&gt;0,pStartYear+9=pEndYear),Last_Year_Fraction,12))</f>
        <v>0</v>
      </c>
      <c r="S47" s="513" cm="1">
        <f t="array" ref="S47">IF($H47=0,0,_xlfn.IFNA(INDEX($I$4:$R$4,MATCH(TRUE,INDEX($I47:$R47&lt;&gt;0,),0)),0))</f>
        <v>0</v>
      </c>
      <c r="T47" s="513">
        <f>IF($H47=0,0,IF($S47=Start_Year,VLOOKUP(Start_Month,lv_month,2,FALSE),1))</f>
        <v>0</v>
      </c>
      <c r="U47" s="513" cm="1">
        <f t="array" ref="U47">IF($H47=0,0,_xlfn.IFNA(INDEX($I$4:$R$4,_xlfn.XMATCH(TRUE,I47:R47&lt;&gt;0,0,-1)),0))</f>
        <v>0</v>
      </c>
      <c r="V47" s="513">
        <f t="shared" si="0"/>
        <v>0</v>
      </c>
      <c r="W47" s="513">
        <f>IF(H47=0,0,IF(MAX(X$4:X46)&lt;=6,6,MAX(X$4:X46)+1))</f>
        <v>0</v>
      </c>
      <c r="X47" s="513">
        <f t="shared" si="7"/>
        <v>0</v>
      </c>
    </row>
    <row r="48" spans="1:24" x14ac:dyDescent="0.3">
      <c r="A48" s="515" t="s">
        <v>408</v>
      </c>
      <c r="B48" s="515" t="s">
        <v>417</v>
      </c>
      <c r="C48" s="513" t="s">
        <v>96</v>
      </c>
      <c r="D48" s="513" t="s">
        <v>98</v>
      </c>
      <c r="E48" s="514">
        <v>5101</v>
      </c>
      <c r="F48" s="513">
        <f t="shared" si="8"/>
        <v>5101</v>
      </c>
      <c r="G48" s="514">
        <v>3</v>
      </c>
      <c r="H48" s="513">
        <f>'PART C Non-Staff Costs'!P102</f>
        <v>0</v>
      </c>
      <c r="I48" s="518">
        <f>IF(AND('PART C Non-Staff Costs'!F102,pStartYear&lt;&gt;""),First_year_fraction,0)</f>
        <v>0</v>
      </c>
      <c r="J48" s="518">
        <f>IF(OR(pStartYear="",pStartYear+1&gt;pEndYear,'PART C Non-Staff Costs'!G102=0),0,IF(AND('PART C Non-Staff Costs'!G102&gt;0,pStartYear+1=pEndYear),Last_Year_Fraction,12))</f>
        <v>0</v>
      </c>
      <c r="K48" s="518">
        <f>IF(OR(pStartYear="",pStartYear+2&gt;pEndYear,'PART C Non-Staff Costs'!H102=0),0,IF(AND('PART C Non-Staff Costs'!H102&gt;0,pStartYear+2=pEndYear),Last_Year_Fraction,12))</f>
        <v>0</v>
      </c>
      <c r="L48" s="518">
        <f>IF(OR(pStartYear="",pStartYear+3&gt;pEndYear,'PART C Non-Staff Costs'!I102=0),0,IF(AND('PART C Non-Staff Costs'!I102&gt;0,pStartYear+3=pEndYear),Last_Year_Fraction,12))</f>
        <v>0</v>
      </c>
      <c r="M48" s="518">
        <f>IF(OR(pStartYear="",pStartYear+4&gt;pEndYear,'PART C Non-Staff Costs'!J102=0),0,IF(AND('PART C Non-Staff Costs'!J102&gt;0,pStartYear+4=pEndYear),Last_Year_Fraction,12))</f>
        <v>0</v>
      </c>
      <c r="N48" s="518">
        <f>IF(OR(pStartYear="",pStartYear+5&gt;pEndYear,'PART C Non-Staff Costs'!K102=0),0,IF(AND('PART C Non-Staff Costs'!K102&gt;0,pStartYear+5=pEndYear),Last_Year_Fraction,12))</f>
        <v>0</v>
      </c>
      <c r="O48" s="518">
        <f>IF(OR(pStartYear="",pStartYear+6&gt;pEndYear,'PART C Non-Staff Costs'!L102=0),0,IF(AND('PART C Non-Staff Costs'!L102&gt;0,pStartYear+6=pEndYear),Last_Year_Fraction,12))</f>
        <v>0</v>
      </c>
      <c r="P48" s="518">
        <f>IF(OR(pStartYear="",pStartYear+7&gt;pEndYear,'PART C Non-Staff Costs'!M102=0),0,IF(AND('PART C Non-Staff Costs'!M102&gt;0,pStartYear+7=pEndYear),Last_Year_Fraction,12))</f>
        <v>0</v>
      </c>
      <c r="Q48" s="518">
        <f>IF(OR(pStartYear="",pStartYear+8&gt;pEndYear,'PART C Non-Staff Costs'!N102=0),0,IF(AND('PART C Non-Staff Costs'!N102&gt;0,pStartYear+8=pEndYear),Last_Year_Fraction,12))</f>
        <v>0</v>
      </c>
      <c r="R48" s="518">
        <f>IF(OR(pStartYear="",pStartYear+9&gt;pEndYear,'PART C Non-Staff Costs'!O102=0),0,IF(AND('PART C Non-Staff Costs'!O102&gt;0,pStartYear+9=pEndYear),Last_Year_Fraction,12))</f>
        <v>0</v>
      </c>
      <c r="S48" s="513" cm="1">
        <f t="array" ref="S48">IF($H48=0,0,_xlfn.IFNA(INDEX($I$4:$R$4,MATCH(TRUE,INDEX($I48:$R48&lt;&gt;0,),0)),0))</f>
        <v>0</v>
      </c>
      <c r="T48" s="513">
        <f>IF($H48=0,0,IF($S48=Start_Year,VLOOKUP(Start_Month,lv_month,2,FALSE),1))</f>
        <v>0</v>
      </c>
      <c r="U48" s="513" cm="1">
        <f t="array" ref="U48">IF($H48=0,0,_xlfn.IFNA(INDEX($I$4:$R$4,_xlfn.XMATCH(TRUE,I48:R48&lt;&gt;0,0,-1)),0))</f>
        <v>0</v>
      </c>
      <c r="V48" s="513">
        <f t="shared" si="0"/>
        <v>0</v>
      </c>
      <c r="W48" s="513">
        <f>IF(H48=0,0,IF(MAX(X$4:X47)&lt;=6,6,MAX(X$4:X47)+1))</f>
        <v>0</v>
      </c>
      <c r="X48" s="513">
        <f t="shared" si="7"/>
        <v>0</v>
      </c>
    </row>
    <row r="49" spans="1:24" x14ac:dyDescent="0.3">
      <c r="A49" s="515" t="s">
        <v>408</v>
      </c>
      <c r="B49" s="515" t="s">
        <v>417</v>
      </c>
      <c r="C49" s="513" t="s">
        <v>100</v>
      </c>
      <c r="D49" s="513" t="s">
        <v>102</v>
      </c>
      <c r="E49" s="514">
        <v>1640</v>
      </c>
      <c r="F49" s="513">
        <f t="shared" si="8"/>
        <v>1640</v>
      </c>
      <c r="G49" s="514">
        <v>3</v>
      </c>
      <c r="H49" s="513">
        <f>'PART C Non-Staff Costs'!P115</f>
        <v>0</v>
      </c>
      <c r="I49" s="518">
        <f>IF(AND('PART C Non-Staff Costs'!F115,pStartYear&lt;&gt;""),First_year_fraction,0)</f>
        <v>0</v>
      </c>
      <c r="J49" s="518">
        <f>IF(OR(pStartYear="",pStartYear+1&gt;pEndYear,'PART C Non-Staff Costs'!G115=0),0,IF(AND('PART C Non-Staff Costs'!G115&gt;0,pStartYear+1=pEndYear),Last_Year_Fraction,12))</f>
        <v>0</v>
      </c>
      <c r="K49" s="518">
        <f>IF(OR(pStartYear="",pStartYear+2&gt;pEndYear,'PART C Non-Staff Costs'!H115=0),0,IF(AND('PART C Non-Staff Costs'!H115&gt;0,pStartYear+2=pEndYear),Last_Year_Fraction,12))</f>
        <v>0</v>
      </c>
      <c r="L49" s="518">
        <f>IF(OR(pStartYear="",pStartYear+3&gt;pEndYear,'PART C Non-Staff Costs'!I115=0),0,IF(AND('PART C Non-Staff Costs'!I115&gt;0,pStartYear+3=pEndYear),Last_Year_Fraction,12))</f>
        <v>0</v>
      </c>
      <c r="M49" s="518">
        <f>IF(OR(pStartYear="",pStartYear+4&gt;pEndYear,'PART C Non-Staff Costs'!J115=0),0,IF(AND('PART C Non-Staff Costs'!J115&gt;0,pStartYear+4=pEndYear),Last_Year_Fraction,12))</f>
        <v>0</v>
      </c>
      <c r="N49" s="518">
        <f>IF(OR(pStartYear="",pStartYear+5&gt;pEndYear,'PART C Non-Staff Costs'!K115=0),0,IF(AND('PART C Non-Staff Costs'!K115&gt;0,pStartYear+5=pEndYear),Last_Year_Fraction,12))</f>
        <v>0</v>
      </c>
      <c r="O49" s="518">
        <f>IF(OR(pStartYear="",pStartYear+6&gt;pEndYear,'PART C Non-Staff Costs'!L115=0),0,IF(AND('PART C Non-Staff Costs'!L115&gt;0,pStartYear+6=pEndYear),Last_Year_Fraction,12))</f>
        <v>0</v>
      </c>
      <c r="P49" s="518">
        <f>IF(OR(pStartYear="",pStartYear+7&gt;pEndYear,'PART C Non-Staff Costs'!M115=0),0,IF(AND('PART C Non-Staff Costs'!M115&gt;0,pStartYear+7=pEndYear),Last_Year_Fraction,12))</f>
        <v>0</v>
      </c>
      <c r="Q49" s="518">
        <f>IF(OR(pStartYear="",pStartYear+8&gt;pEndYear,'PART C Non-Staff Costs'!N115=0),0,IF(AND('PART C Non-Staff Costs'!N115&gt;0,pStartYear+8=pEndYear),Last_Year_Fraction,12))</f>
        <v>0</v>
      </c>
      <c r="R49" s="518">
        <f>IF(OR(pStartYear="",pStartYear+9&gt;pEndYear,'PART C Non-Staff Costs'!O115=0),0,IF(AND('PART C Non-Staff Costs'!O115&gt;0,pStartYear+9=pEndYear),Last_Year_Fraction,12))</f>
        <v>0</v>
      </c>
      <c r="S49" s="513" cm="1">
        <f t="array" ref="S49">IF($H49=0,0,_xlfn.IFNA(INDEX($I$4:$R$4,MATCH(TRUE,INDEX($I49:$R49&lt;&gt;0,),0)),0))</f>
        <v>0</v>
      </c>
      <c r="T49" s="513">
        <f>IF($H49=0,0,IF($S49=Start_Year,VLOOKUP(Start_Month,lv_month,2,FALSE),1))</f>
        <v>0</v>
      </c>
      <c r="U49" s="513" cm="1">
        <f t="array" ref="U49">IF($H49=0,0,_xlfn.IFNA(INDEX($I$4:$R$4,_xlfn.XMATCH(TRUE,I49:R49&lt;&gt;0,0,-1)),0))</f>
        <v>0</v>
      </c>
      <c r="V49" s="513">
        <f t="shared" si="0"/>
        <v>0</v>
      </c>
      <c r="W49" s="513">
        <f>IF(H49=0,0,IF(MAX(X$4:X48)&lt;=6,6,MAX(X$4:X48)+1))</f>
        <v>0</v>
      </c>
      <c r="X49" s="513">
        <f t="shared" si="7"/>
        <v>0</v>
      </c>
    </row>
    <row r="50" spans="1:24" x14ac:dyDescent="0.3">
      <c r="A50" s="515" t="s">
        <v>408</v>
      </c>
      <c r="B50" s="515" t="s">
        <v>417</v>
      </c>
      <c r="C50" s="513" t="s">
        <v>100</v>
      </c>
      <c r="D50" s="513" t="s">
        <v>103</v>
      </c>
      <c r="E50" s="514">
        <v>5100</v>
      </c>
      <c r="F50" s="513">
        <f t="shared" si="8"/>
        <v>5100</v>
      </c>
      <c r="G50" s="514">
        <v>3</v>
      </c>
      <c r="H50" s="513">
        <f>'PART C Non-Staff Costs'!P123</f>
        <v>0</v>
      </c>
      <c r="I50" s="518">
        <f>IF(AND('PART C Non-Staff Costs'!F123,pStartYear&lt;&gt;""),First_year_fraction,0)</f>
        <v>0</v>
      </c>
      <c r="J50" s="518">
        <f>IF(OR(pStartYear="",pStartYear+1&gt;pEndYear,'PART C Non-Staff Costs'!G123=0),0,IF(AND('PART C Non-Staff Costs'!G123&gt;0,pStartYear+1=pEndYear),Last_Year_Fraction,12))</f>
        <v>0</v>
      </c>
      <c r="K50" s="518">
        <f>IF(OR(pStartYear="",pStartYear+2&gt;pEndYear,'PART C Non-Staff Costs'!H123=0),0,IF(AND('PART C Non-Staff Costs'!H123&gt;0,pStartYear+2=pEndYear),Last_Year_Fraction,12))</f>
        <v>0</v>
      </c>
      <c r="L50" s="518">
        <f>IF(OR(pStartYear="",pStartYear+3&gt;pEndYear,'PART C Non-Staff Costs'!I123=0),0,IF(AND('PART C Non-Staff Costs'!I123&gt;0,pStartYear+3=pEndYear),Last_Year_Fraction,12))</f>
        <v>0</v>
      </c>
      <c r="M50" s="518">
        <f>IF(OR(pStartYear="",pStartYear+4&gt;pEndYear,'PART C Non-Staff Costs'!J123=0),0,IF(AND('PART C Non-Staff Costs'!J123&gt;0,pStartYear+4=pEndYear),Last_Year_Fraction,12))</f>
        <v>0</v>
      </c>
      <c r="N50" s="518">
        <f>IF(OR(pStartYear="",pStartYear+5&gt;pEndYear,'PART C Non-Staff Costs'!K123=0),0,IF(AND('PART C Non-Staff Costs'!K123&gt;0,pStartYear+5=pEndYear),Last_Year_Fraction,12))</f>
        <v>0</v>
      </c>
      <c r="O50" s="518">
        <f>IF(OR(pStartYear="",pStartYear+6&gt;pEndYear,'PART C Non-Staff Costs'!L123=0),0,IF(AND('PART C Non-Staff Costs'!L123&gt;0,pStartYear+6=pEndYear),Last_Year_Fraction,12))</f>
        <v>0</v>
      </c>
      <c r="P50" s="518">
        <f>IF(OR(pStartYear="",pStartYear+7&gt;pEndYear,'PART C Non-Staff Costs'!M123=0),0,IF(AND('PART C Non-Staff Costs'!M123&gt;0,pStartYear+7=pEndYear),Last_Year_Fraction,12))</f>
        <v>0</v>
      </c>
      <c r="Q50" s="518">
        <f>IF(OR(pStartYear="",pStartYear+8&gt;pEndYear,'PART C Non-Staff Costs'!N123=0),0,IF(AND('PART C Non-Staff Costs'!N123&gt;0,pStartYear+8=pEndYear),Last_Year_Fraction,12))</f>
        <v>0</v>
      </c>
      <c r="R50" s="518">
        <f>IF(OR(pStartYear="",pStartYear+9&gt;pEndYear,'PART C Non-Staff Costs'!O123=0),0,IF(AND('PART C Non-Staff Costs'!O123&gt;0,pStartYear+9=pEndYear),Last_Year_Fraction,12))</f>
        <v>0</v>
      </c>
      <c r="S50" s="513" cm="1">
        <f t="array" ref="S50">IF($H50=0,0,_xlfn.IFNA(INDEX($I$4:$R$4,MATCH(TRUE,INDEX($I50:$R50&lt;&gt;0,),0)),0))</f>
        <v>0</v>
      </c>
      <c r="T50" s="513">
        <f>IF($H50=0,0,IF($S50=Start_Year,VLOOKUP(Start_Month,lv_month,2,FALSE),1))</f>
        <v>0</v>
      </c>
      <c r="U50" s="513" cm="1">
        <f t="array" ref="U50">IF($H50=0,0,_xlfn.IFNA(INDEX($I$4:$R$4,_xlfn.XMATCH(TRUE,I50:R50&lt;&gt;0,0,-1)),0))</f>
        <v>0</v>
      </c>
      <c r="V50" s="513">
        <f t="shared" si="0"/>
        <v>0</v>
      </c>
      <c r="W50" s="513">
        <f>IF(H50=0,0,IF(MAX(X$4:X49)&lt;=6,6,MAX(X$4:X49)+1))</f>
        <v>0</v>
      </c>
      <c r="X50" s="513">
        <f t="shared" si="7"/>
        <v>0</v>
      </c>
    </row>
    <row r="51" spans="1:24" x14ac:dyDescent="0.3">
      <c r="A51" s="515" t="s">
        <v>408</v>
      </c>
      <c r="B51" s="515" t="s">
        <v>417</v>
      </c>
      <c r="C51" s="513" t="s">
        <v>100</v>
      </c>
      <c r="D51" s="513" t="s">
        <v>104</v>
      </c>
      <c r="E51" s="514">
        <v>5201</v>
      </c>
      <c r="F51" s="513">
        <f t="shared" si="8"/>
        <v>5201</v>
      </c>
      <c r="G51" s="514">
        <v>3</v>
      </c>
      <c r="H51" s="513">
        <f>'PART C Non-Staff Costs'!P131</f>
        <v>0</v>
      </c>
      <c r="I51" s="518">
        <f>IF(AND('PART C Non-Staff Costs'!F131,pStartYear&lt;&gt;""),First_year_fraction,0)</f>
        <v>0</v>
      </c>
      <c r="J51" s="518">
        <f>IF(OR(pStartYear="",pStartYear+1&gt;pEndYear,'PART C Non-Staff Costs'!G131=0),0,IF(AND('PART C Non-Staff Costs'!G131&gt;0,pStartYear+1=pEndYear),Last_Year_Fraction,12))</f>
        <v>0</v>
      </c>
      <c r="K51" s="518">
        <f>IF(OR(pStartYear="",pStartYear+2&gt;pEndYear,'PART C Non-Staff Costs'!H131=0),0,IF(AND('PART C Non-Staff Costs'!H131&gt;0,pStartYear+2=pEndYear),Last_Year_Fraction,12))</f>
        <v>0</v>
      </c>
      <c r="L51" s="518">
        <f>IF(OR(pStartYear="",pStartYear+3&gt;pEndYear,'PART C Non-Staff Costs'!I131=0),0,IF(AND('PART C Non-Staff Costs'!I131&gt;0,pStartYear+3=pEndYear),Last_Year_Fraction,12))</f>
        <v>0</v>
      </c>
      <c r="M51" s="518">
        <f>IF(OR(pStartYear="",pStartYear+4&gt;pEndYear,'PART C Non-Staff Costs'!J131=0),0,IF(AND('PART C Non-Staff Costs'!J131&gt;0,pStartYear+4=pEndYear),Last_Year_Fraction,12))</f>
        <v>0</v>
      </c>
      <c r="N51" s="518">
        <f>IF(OR(pStartYear="",pStartYear+5&gt;pEndYear,'PART C Non-Staff Costs'!K131=0),0,IF(AND('PART C Non-Staff Costs'!K131&gt;0,pStartYear+5=pEndYear),Last_Year_Fraction,12))</f>
        <v>0</v>
      </c>
      <c r="O51" s="518">
        <f>IF(OR(pStartYear="",pStartYear+6&gt;pEndYear,'PART C Non-Staff Costs'!L131=0),0,IF(AND('PART C Non-Staff Costs'!L131&gt;0,pStartYear+6=pEndYear),Last_Year_Fraction,12))</f>
        <v>0</v>
      </c>
      <c r="P51" s="518">
        <f>IF(OR(pStartYear="",pStartYear+7&gt;pEndYear,'PART C Non-Staff Costs'!M131=0),0,IF(AND('PART C Non-Staff Costs'!M131&gt;0,pStartYear+7=pEndYear),Last_Year_Fraction,12))</f>
        <v>0</v>
      </c>
      <c r="Q51" s="518">
        <f>IF(OR(pStartYear="",pStartYear+8&gt;pEndYear,'PART C Non-Staff Costs'!N131=0),0,IF(AND('PART C Non-Staff Costs'!N131&gt;0,pStartYear+8=pEndYear),Last_Year_Fraction,12))</f>
        <v>0</v>
      </c>
      <c r="R51" s="518">
        <f>IF(OR(pStartYear="",pStartYear+9&gt;pEndYear,'PART C Non-Staff Costs'!O131=0),0,IF(AND('PART C Non-Staff Costs'!O131&gt;0,pStartYear+9=pEndYear),Last_Year_Fraction,12))</f>
        <v>0</v>
      </c>
      <c r="S51" s="513" cm="1">
        <f t="array" ref="S51">IF($H51=0,0,_xlfn.IFNA(INDEX($I$4:$R$4,MATCH(TRUE,INDEX($I51:$R51&lt;&gt;0,),0)),0))</f>
        <v>0</v>
      </c>
      <c r="T51" s="513">
        <f>IF($H51=0,0,IF($S51=Start_Year,VLOOKUP(Start_Month,lv_month,2,FALSE),1))</f>
        <v>0</v>
      </c>
      <c r="U51" s="513" cm="1">
        <f t="array" ref="U51">IF($H51=0,0,_xlfn.IFNA(INDEX($I$4:$R$4,_xlfn.XMATCH(TRUE,I51:R51&lt;&gt;0,0,-1)),0))</f>
        <v>0</v>
      </c>
      <c r="V51" s="513">
        <f t="shared" si="0"/>
        <v>0</v>
      </c>
      <c r="W51" s="513">
        <f>IF(H51=0,0,IF(MAX(X$4:X50)&lt;=6,6,MAX(X$4:X50)+1))</f>
        <v>0</v>
      </c>
      <c r="X51" s="513">
        <f t="shared" si="7"/>
        <v>0</v>
      </c>
    </row>
    <row r="52" spans="1:24" x14ac:dyDescent="0.3">
      <c r="A52" s="515" t="s">
        <v>408</v>
      </c>
      <c r="B52" s="515" t="s">
        <v>417</v>
      </c>
      <c r="C52" s="513" t="s">
        <v>100</v>
      </c>
      <c r="D52" s="513" t="s">
        <v>105</v>
      </c>
      <c r="E52" s="514">
        <v>5220</v>
      </c>
      <c r="F52" s="513">
        <f t="shared" si="8"/>
        <v>5220</v>
      </c>
      <c r="G52" s="514">
        <v>3</v>
      </c>
      <c r="H52" s="513">
        <f>'PART C Non-Staff Costs'!P139</f>
        <v>0</v>
      </c>
      <c r="I52" s="518">
        <f>IF(AND('PART C Non-Staff Costs'!F139,pStartYear&lt;&gt;""),First_year_fraction,0)</f>
        <v>0</v>
      </c>
      <c r="J52" s="518">
        <f>IF(OR(pStartYear="",pStartYear+1&gt;pEndYear,'PART C Non-Staff Costs'!G139=0),0,IF(AND('PART C Non-Staff Costs'!G139&gt;0,pStartYear+1=pEndYear),Last_Year_Fraction,12))</f>
        <v>0</v>
      </c>
      <c r="K52" s="518">
        <f>IF(OR(pStartYear="",pStartYear+2&gt;pEndYear,'PART C Non-Staff Costs'!H139=0),0,IF(AND('PART C Non-Staff Costs'!H139&gt;0,pStartYear+2=pEndYear),Last_Year_Fraction,12))</f>
        <v>0</v>
      </c>
      <c r="L52" s="518">
        <f>IF(OR(pStartYear="",pStartYear+3&gt;pEndYear,'PART C Non-Staff Costs'!I139=0),0,IF(AND('PART C Non-Staff Costs'!I139&gt;0,pStartYear+3=pEndYear),Last_Year_Fraction,12))</f>
        <v>0</v>
      </c>
      <c r="M52" s="518">
        <f>IF(OR(pStartYear="",pStartYear+4&gt;pEndYear,'PART C Non-Staff Costs'!J139=0),0,IF(AND('PART C Non-Staff Costs'!J139&gt;0,pStartYear+4=pEndYear),Last_Year_Fraction,12))</f>
        <v>0</v>
      </c>
      <c r="N52" s="518">
        <f>IF(OR(pStartYear="",pStartYear+5&gt;pEndYear,'PART C Non-Staff Costs'!K139=0),0,IF(AND('PART C Non-Staff Costs'!K139&gt;0,pStartYear+5=pEndYear),Last_Year_Fraction,12))</f>
        <v>0</v>
      </c>
      <c r="O52" s="518">
        <f>IF(OR(pStartYear="",pStartYear+6&gt;pEndYear,'PART C Non-Staff Costs'!L139=0),0,IF(AND('PART C Non-Staff Costs'!L139&gt;0,pStartYear+6=pEndYear),Last_Year_Fraction,12))</f>
        <v>0</v>
      </c>
      <c r="P52" s="518">
        <f>IF(OR(pStartYear="",pStartYear+7&gt;pEndYear,'PART C Non-Staff Costs'!M139=0),0,IF(AND('PART C Non-Staff Costs'!M139&gt;0,pStartYear+7=pEndYear),Last_Year_Fraction,12))</f>
        <v>0</v>
      </c>
      <c r="Q52" s="518">
        <f>IF(OR(pStartYear="",pStartYear+8&gt;pEndYear,'PART C Non-Staff Costs'!N139=0),0,IF(AND('PART C Non-Staff Costs'!N139&gt;0,pStartYear+8=pEndYear),Last_Year_Fraction,12))</f>
        <v>0</v>
      </c>
      <c r="R52" s="518">
        <f>IF(OR(pStartYear="",pStartYear+9&gt;pEndYear,'PART C Non-Staff Costs'!O139=0),0,IF(AND('PART C Non-Staff Costs'!O139&gt;0,pStartYear+9=pEndYear),Last_Year_Fraction,12))</f>
        <v>0</v>
      </c>
      <c r="S52" s="513" cm="1">
        <f t="array" ref="S52">IF($H52=0,0,_xlfn.IFNA(INDEX($I$4:$R$4,MATCH(TRUE,INDEX($I52:$R52&lt;&gt;0,),0)),0))</f>
        <v>0</v>
      </c>
      <c r="T52" s="513">
        <f>IF($H52=0,0,IF($S52=Start_Year,VLOOKUP(Start_Month,lv_month,2,FALSE),1))</f>
        <v>0</v>
      </c>
      <c r="U52" s="513" cm="1">
        <f t="array" ref="U52">IF($H52=0,0,_xlfn.IFNA(INDEX($I$4:$R$4,_xlfn.XMATCH(TRUE,I52:R52&lt;&gt;0,0,-1)),0))</f>
        <v>0</v>
      </c>
      <c r="V52" s="513">
        <f t="shared" si="0"/>
        <v>0</v>
      </c>
      <c r="W52" s="513">
        <f>IF(H52=0,0,IF(MAX(X$4:X51)&lt;=6,6,MAX(X$4:X51)+1))</f>
        <v>0</v>
      </c>
      <c r="X52" s="513">
        <f t="shared" si="7"/>
        <v>0</v>
      </c>
    </row>
    <row r="53" spans="1:24" x14ac:dyDescent="0.3">
      <c r="A53" s="515" t="s">
        <v>408</v>
      </c>
      <c r="B53" s="515" t="s">
        <v>417</v>
      </c>
      <c r="C53" s="513" t="s">
        <v>100</v>
      </c>
      <c r="D53" s="513" t="s">
        <v>106</v>
      </c>
      <c r="E53" s="514">
        <v>5200</v>
      </c>
      <c r="F53" s="513">
        <f t="shared" si="8"/>
        <v>5200</v>
      </c>
      <c r="G53" s="514">
        <v>3</v>
      </c>
      <c r="H53" s="513">
        <f>'PART C Non-Staff Costs'!P147</f>
        <v>0</v>
      </c>
      <c r="I53" s="518">
        <f>IF(AND('PART C Non-Staff Costs'!F147,pStartYear&lt;&gt;""),First_year_fraction,0)</f>
        <v>0</v>
      </c>
      <c r="J53" s="518">
        <f>IF(OR(pStartYear="",pStartYear+1&gt;pEndYear,'PART C Non-Staff Costs'!G147=0),0,IF(AND('PART C Non-Staff Costs'!G147&gt;0,pStartYear+1=pEndYear),Last_Year_Fraction,12))</f>
        <v>0</v>
      </c>
      <c r="K53" s="518">
        <f>IF(OR(pStartYear="",pStartYear+2&gt;pEndYear,'PART C Non-Staff Costs'!H147=0),0,IF(AND('PART C Non-Staff Costs'!H147&gt;0,pStartYear+2=pEndYear),Last_Year_Fraction,12))</f>
        <v>0</v>
      </c>
      <c r="L53" s="518">
        <f>IF(OR(pStartYear="",pStartYear+3&gt;pEndYear,'PART C Non-Staff Costs'!I147=0),0,IF(AND('PART C Non-Staff Costs'!I147&gt;0,pStartYear+3=pEndYear),Last_Year_Fraction,12))</f>
        <v>0</v>
      </c>
      <c r="M53" s="518">
        <f>IF(OR(pStartYear="",pStartYear+4&gt;pEndYear,'PART C Non-Staff Costs'!J147=0),0,IF(AND('PART C Non-Staff Costs'!J147&gt;0,pStartYear+4=pEndYear),Last_Year_Fraction,12))</f>
        <v>0</v>
      </c>
      <c r="N53" s="518">
        <f>IF(OR(pStartYear="",pStartYear+5&gt;pEndYear,'PART C Non-Staff Costs'!K147=0),0,IF(AND('PART C Non-Staff Costs'!K147&gt;0,pStartYear+5=pEndYear),Last_Year_Fraction,12))</f>
        <v>0</v>
      </c>
      <c r="O53" s="518">
        <f>IF(OR(pStartYear="",pStartYear+6&gt;pEndYear,'PART C Non-Staff Costs'!L147=0),0,IF(AND('PART C Non-Staff Costs'!L147&gt;0,pStartYear+6=pEndYear),Last_Year_Fraction,12))</f>
        <v>0</v>
      </c>
      <c r="P53" s="518">
        <f>IF(OR(pStartYear="",pStartYear+7&gt;pEndYear,'PART C Non-Staff Costs'!M147=0),0,IF(AND('PART C Non-Staff Costs'!M147&gt;0,pStartYear+7=pEndYear),Last_Year_Fraction,12))</f>
        <v>0</v>
      </c>
      <c r="Q53" s="518">
        <f>IF(OR(pStartYear="",pStartYear+8&gt;pEndYear,'PART C Non-Staff Costs'!N147=0),0,IF(AND('PART C Non-Staff Costs'!N147&gt;0,pStartYear+8=pEndYear),Last_Year_Fraction,12))</f>
        <v>0</v>
      </c>
      <c r="R53" s="518">
        <f>IF(OR(pStartYear="",pStartYear+9&gt;pEndYear,'PART C Non-Staff Costs'!O147=0),0,IF(AND('PART C Non-Staff Costs'!O147&gt;0,pStartYear+9=pEndYear),Last_Year_Fraction,12))</f>
        <v>0</v>
      </c>
      <c r="S53" s="513" cm="1">
        <f t="array" ref="S53">IF($H53=0,0,_xlfn.IFNA(INDEX($I$4:$R$4,MATCH(TRUE,INDEX($I53:$R53&lt;&gt;0,),0)),0))</f>
        <v>0</v>
      </c>
      <c r="T53" s="513">
        <f>IF($H53=0,0,IF($S53=Start_Year,VLOOKUP(Start_Month,lv_month,2,FALSE),1))</f>
        <v>0</v>
      </c>
      <c r="U53" s="513" cm="1">
        <f t="array" ref="U53">IF($H53=0,0,_xlfn.IFNA(INDEX($I$4:$R$4,_xlfn.XMATCH(TRUE,I53:R53&lt;&gt;0,0,-1)),0))</f>
        <v>0</v>
      </c>
      <c r="V53" s="513">
        <f t="shared" si="0"/>
        <v>0</v>
      </c>
      <c r="W53" s="513">
        <f>IF(H53=0,0,IF(MAX(X$4:X52)&lt;=6,6,MAX(X$4:X52)+1))</f>
        <v>0</v>
      </c>
      <c r="X53" s="513">
        <f t="shared" si="7"/>
        <v>0</v>
      </c>
    </row>
    <row r="54" spans="1:24" x14ac:dyDescent="0.3">
      <c r="A54" s="515" t="s">
        <v>408</v>
      </c>
      <c r="B54" s="515" t="s">
        <v>417</v>
      </c>
      <c r="C54" s="513" t="s">
        <v>107</v>
      </c>
      <c r="D54" s="513" t="s">
        <v>109</v>
      </c>
      <c r="E54" s="514">
        <v>5040</v>
      </c>
      <c r="F54" s="513">
        <f t="shared" si="8"/>
        <v>5040</v>
      </c>
      <c r="G54" s="514">
        <v>3</v>
      </c>
      <c r="H54" s="513">
        <f>'PART C Non-Staff Costs'!P160</f>
        <v>0</v>
      </c>
      <c r="I54" s="518">
        <f>IF(AND('PART C Non-Staff Costs'!F160,pStartYear&lt;&gt;""),First_year_fraction,0)</f>
        <v>0</v>
      </c>
      <c r="J54" s="518">
        <f>IF(OR(pStartYear="",pStartYear+1&gt;pEndYear,'PART C Non-Staff Costs'!G160=0),0,IF(AND('PART C Non-Staff Costs'!G160&gt;0,pStartYear+1=pEndYear),Last_Year_Fraction,12))</f>
        <v>0</v>
      </c>
      <c r="K54" s="518">
        <f>IF(OR(pStartYear="",pStartYear+2&gt;pEndYear,'PART C Non-Staff Costs'!H160=0),0,IF(AND('PART C Non-Staff Costs'!H160&gt;0,pStartYear+2=pEndYear),Last_Year_Fraction,12))</f>
        <v>0</v>
      </c>
      <c r="L54" s="518">
        <f>IF(OR(pStartYear="",pStartYear+3&gt;pEndYear,'PART C Non-Staff Costs'!I160=0),0,IF(AND('PART C Non-Staff Costs'!I160&gt;0,pStartYear+3=pEndYear),Last_Year_Fraction,12))</f>
        <v>0</v>
      </c>
      <c r="M54" s="518">
        <f>IF(OR(pStartYear="",pStartYear+4&gt;pEndYear,'PART C Non-Staff Costs'!J160=0),0,IF(AND('PART C Non-Staff Costs'!J160&gt;0,pStartYear+4=pEndYear),Last_Year_Fraction,12))</f>
        <v>0</v>
      </c>
      <c r="N54" s="518">
        <f>IF(OR(pStartYear="",pStartYear+5&gt;pEndYear,'PART C Non-Staff Costs'!K160=0),0,IF(AND('PART C Non-Staff Costs'!K160&gt;0,pStartYear+5=pEndYear),Last_Year_Fraction,12))</f>
        <v>0</v>
      </c>
      <c r="O54" s="518">
        <f>IF(OR(pStartYear="",pStartYear+6&gt;pEndYear,'PART C Non-Staff Costs'!L160=0),0,IF(AND('PART C Non-Staff Costs'!L160&gt;0,pStartYear+6=pEndYear),Last_Year_Fraction,12))</f>
        <v>0</v>
      </c>
      <c r="P54" s="518">
        <f>IF(OR(pStartYear="",pStartYear+7&gt;pEndYear,'PART C Non-Staff Costs'!M160=0),0,IF(AND('PART C Non-Staff Costs'!M160&gt;0,pStartYear+7=pEndYear),Last_Year_Fraction,12))</f>
        <v>0</v>
      </c>
      <c r="Q54" s="518">
        <f>IF(OR(pStartYear="",pStartYear+8&gt;pEndYear,'PART C Non-Staff Costs'!N160=0),0,IF(AND('PART C Non-Staff Costs'!N160&gt;0,pStartYear+8=pEndYear),Last_Year_Fraction,12))</f>
        <v>0</v>
      </c>
      <c r="R54" s="518">
        <f>IF(OR(pStartYear="",pStartYear+9&gt;pEndYear,'PART C Non-Staff Costs'!O160=0),0,IF(AND('PART C Non-Staff Costs'!O160&gt;0,pStartYear+9=pEndYear),Last_Year_Fraction,12))</f>
        <v>0</v>
      </c>
      <c r="S54" s="513" cm="1">
        <f t="array" ref="S54">IF($H54=0,0,_xlfn.IFNA(INDEX($I$4:$R$4,MATCH(TRUE,INDEX($I54:$R54&lt;&gt;0,),0)),0))</f>
        <v>0</v>
      </c>
      <c r="T54" s="513">
        <f>IF($H54=0,0,IF($S54=Start_Year,VLOOKUP(Start_Month,lv_month,2,FALSE),1))</f>
        <v>0</v>
      </c>
      <c r="U54" s="513" cm="1">
        <f t="array" ref="U54">IF($H54=0,0,_xlfn.IFNA(INDEX($I$4:$R$4,_xlfn.XMATCH(TRUE,I54:R54&lt;&gt;0,0,-1)),0))</f>
        <v>0</v>
      </c>
      <c r="V54" s="513">
        <f t="shared" si="0"/>
        <v>0</v>
      </c>
      <c r="W54" s="513">
        <f>IF(H54=0,0,IF(MAX(X$4:X53)&lt;=6,6,MAX(X$4:X53)+1))</f>
        <v>0</v>
      </c>
      <c r="X54" s="513">
        <f t="shared" si="7"/>
        <v>0</v>
      </c>
    </row>
    <row r="55" spans="1:24" x14ac:dyDescent="0.3">
      <c r="A55" s="515" t="s">
        <v>408</v>
      </c>
      <c r="B55" s="515" t="s">
        <v>417</v>
      </c>
      <c r="C55" s="513" t="s">
        <v>107</v>
      </c>
      <c r="D55" s="513" t="s">
        <v>111</v>
      </c>
      <c r="E55" s="514">
        <v>5020</v>
      </c>
      <c r="F55" s="513">
        <f t="shared" si="8"/>
        <v>5020</v>
      </c>
      <c r="G55" s="514">
        <v>3</v>
      </c>
      <c r="H55" s="513">
        <f>'PART C Non-Staff Costs'!P168</f>
        <v>0</v>
      </c>
      <c r="I55" s="518">
        <f>IF(AND('PART C Non-Staff Costs'!F168,pStartYear&lt;&gt;""),First_year_fraction,0)</f>
        <v>0</v>
      </c>
      <c r="J55" s="518">
        <f>IF(OR(pStartYear="",pStartYear+1&gt;pEndYear,'PART C Non-Staff Costs'!G168=0),0,IF(AND('PART C Non-Staff Costs'!G168&gt;0,pStartYear+1=pEndYear),Last_Year_Fraction,12))</f>
        <v>0</v>
      </c>
      <c r="K55" s="518">
        <f>IF(OR(pStartYear="",pStartYear+2&gt;pEndYear,'PART C Non-Staff Costs'!H168=0),0,IF(AND('PART C Non-Staff Costs'!H168&gt;0,pStartYear+2=pEndYear),Last_Year_Fraction,12))</f>
        <v>0</v>
      </c>
      <c r="L55" s="518">
        <f>IF(OR(pStartYear="",pStartYear+3&gt;pEndYear,'PART C Non-Staff Costs'!I168=0),0,IF(AND('PART C Non-Staff Costs'!I168&gt;0,pStartYear+3=pEndYear),Last_Year_Fraction,12))</f>
        <v>0</v>
      </c>
      <c r="M55" s="518">
        <f>IF(OR(pStartYear="",pStartYear+4&gt;pEndYear,'PART C Non-Staff Costs'!J168=0),0,IF(AND('PART C Non-Staff Costs'!J168&gt;0,pStartYear+4=pEndYear),Last_Year_Fraction,12))</f>
        <v>0</v>
      </c>
      <c r="N55" s="518">
        <f>IF(OR(pStartYear="",pStartYear+5&gt;pEndYear,'PART C Non-Staff Costs'!K168=0),0,IF(AND('PART C Non-Staff Costs'!K168&gt;0,pStartYear+5=pEndYear),Last_Year_Fraction,12))</f>
        <v>0</v>
      </c>
      <c r="O55" s="518">
        <f>IF(OR(pStartYear="",pStartYear+6&gt;pEndYear,'PART C Non-Staff Costs'!L168=0),0,IF(AND('PART C Non-Staff Costs'!L168&gt;0,pStartYear+6=pEndYear),Last_Year_Fraction,12))</f>
        <v>0</v>
      </c>
      <c r="P55" s="518">
        <f>IF(OR(pStartYear="",pStartYear+7&gt;pEndYear,'PART C Non-Staff Costs'!M168=0),0,IF(AND('PART C Non-Staff Costs'!M168&gt;0,pStartYear+7=pEndYear),Last_Year_Fraction,12))</f>
        <v>0</v>
      </c>
      <c r="Q55" s="518">
        <f>IF(OR(pStartYear="",pStartYear+8&gt;pEndYear,'PART C Non-Staff Costs'!N168=0),0,IF(AND('PART C Non-Staff Costs'!N168&gt;0,pStartYear+8=pEndYear),Last_Year_Fraction,12))</f>
        <v>0</v>
      </c>
      <c r="R55" s="518">
        <f>IF(OR(pStartYear="",pStartYear+9&gt;pEndYear,'PART C Non-Staff Costs'!O168=0),0,IF(AND('PART C Non-Staff Costs'!O168&gt;0,pStartYear+9=pEndYear),Last_Year_Fraction,12))</f>
        <v>0</v>
      </c>
      <c r="S55" s="513" cm="1">
        <f t="array" ref="S55">IF($H55=0,0,_xlfn.IFNA(INDEX($I$4:$R$4,MATCH(TRUE,INDEX($I55:$R55&lt;&gt;0,),0)),0))</f>
        <v>0</v>
      </c>
      <c r="T55" s="513">
        <f>IF($H55=0,0,IF($S55=Start_Year,VLOOKUP(Start_Month,lv_month,2,FALSE),1))</f>
        <v>0</v>
      </c>
      <c r="U55" s="513" cm="1">
        <f t="array" ref="U55">IF($H55=0,0,_xlfn.IFNA(INDEX($I$4:$R$4,_xlfn.XMATCH(TRUE,I55:R55&lt;&gt;0,0,-1)),0))</f>
        <v>0</v>
      </c>
      <c r="V55" s="513">
        <f t="shared" si="0"/>
        <v>0</v>
      </c>
      <c r="W55" s="513">
        <f>IF(H55=0,0,IF(MAX(X$4:X54)&lt;=6,6,MAX(X$4:X54)+1))</f>
        <v>0</v>
      </c>
      <c r="X55" s="513">
        <f t="shared" si="7"/>
        <v>0</v>
      </c>
    </row>
    <row r="56" spans="1:24" x14ac:dyDescent="0.3">
      <c r="A56" s="515" t="s">
        <v>408</v>
      </c>
      <c r="B56" s="515" t="s">
        <v>417</v>
      </c>
      <c r="C56" s="513" t="s">
        <v>107</v>
      </c>
      <c r="D56" s="513" t="s">
        <v>113</v>
      </c>
      <c r="E56" s="514">
        <v>5041</v>
      </c>
      <c r="F56" s="513">
        <f t="shared" si="8"/>
        <v>5041</v>
      </c>
      <c r="G56" s="514">
        <v>3</v>
      </c>
      <c r="H56" s="513">
        <f>'PART C Non-Staff Costs'!P176</f>
        <v>0</v>
      </c>
      <c r="I56" s="518">
        <f>IF(AND('PART C Non-Staff Costs'!F176,pStartYear&lt;&gt;""),First_year_fraction,0)</f>
        <v>0</v>
      </c>
      <c r="J56" s="518">
        <f>IF(OR(pStartYear="",pStartYear+1&gt;pEndYear,'PART C Non-Staff Costs'!G176=0),0,IF(AND('PART C Non-Staff Costs'!G176&gt;0,pStartYear+1=pEndYear),Last_Year_Fraction,12))</f>
        <v>0</v>
      </c>
      <c r="K56" s="518">
        <f>IF(OR(pStartYear="",pStartYear+2&gt;pEndYear,'PART C Non-Staff Costs'!H176=0),0,IF(AND('PART C Non-Staff Costs'!H176&gt;0,pStartYear+2=pEndYear),Last_Year_Fraction,12))</f>
        <v>0</v>
      </c>
      <c r="L56" s="518">
        <f>IF(OR(pStartYear="",pStartYear+3&gt;pEndYear,'PART C Non-Staff Costs'!I176=0),0,IF(AND('PART C Non-Staff Costs'!I176&gt;0,pStartYear+3=pEndYear),Last_Year_Fraction,12))</f>
        <v>0</v>
      </c>
      <c r="M56" s="518">
        <f>IF(OR(pStartYear="",pStartYear+4&gt;pEndYear,'PART C Non-Staff Costs'!J176=0),0,IF(AND('PART C Non-Staff Costs'!J176&gt;0,pStartYear+4=pEndYear),Last_Year_Fraction,12))</f>
        <v>0</v>
      </c>
      <c r="N56" s="518">
        <f>IF(OR(pStartYear="",pStartYear+5&gt;pEndYear,'PART C Non-Staff Costs'!K176=0),0,IF(AND('PART C Non-Staff Costs'!K176&gt;0,pStartYear+5=pEndYear),Last_Year_Fraction,12))</f>
        <v>0</v>
      </c>
      <c r="O56" s="518">
        <f>IF(OR(pStartYear="",pStartYear+6&gt;pEndYear,'PART C Non-Staff Costs'!L176=0),0,IF(AND('PART C Non-Staff Costs'!L176&gt;0,pStartYear+6=pEndYear),Last_Year_Fraction,12))</f>
        <v>0</v>
      </c>
      <c r="P56" s="518">
        <f>IF(OR(pStartYear="",pStartYear+7&gt;pEndYear,'PART C Non-Staff Costs'!M176=0),0,IF(AND('PART C Non-Staff Costs'!M176&gt;0,pStartYear+7=pEndYear),Last_Year_Fraction,12))</f>
        <v>0</v>
      </c>
      <c r="Q56" s="518">
        <f>IF(OR(pStartYear="",pStartYear+8&gt;pEndYear,'PART C Non-Staff Costs'!N176=0),0,IF(AND('PART C Non-Staff Costs'!N176&gt;0,pStartYear+8=pEndYear),Last_Year_Fraction,12))</f>
        <v>0</v>
      </c>
      <c r="R56" s="518">
        <f>IF(OR(pStartYear="",pStartYear+9&gt;pEndYear,'PART C Non-Staff Costs'!O176=0),0,IF(AND('PART C Non-Staff Costs'!O176&gt;0,pStartYear+9=pEndYear),Last_Year_Fraction,12))</f>
        <v>0</v>
      </c>
      <c r="S56" s="513" cm="1">
        <f t="array" ref="S56">IF($H56=0,0,_xlfn.IFNA(INDEX($I$4:$R$4,MATCH(TRUE,INDEX($I56:$R56&lt;&gt;0,),0)),0))</f>
        <v>0</v>
      </c>
      <c r="T56" s="513">
        <f>IF($H56=0,0,IF($S56=Start_Year,VLOOKUP(Start_Month,lv_month,2,FALSE),1))</f>
        <v>0</v>
      </c>
      <c r="U56" s="513" cm="1">
        <f t="array" ref="U56">IF($H56=0,0,_xlfn.IFNA(INDEX($I$4:$R$4,_xlfn.XMATCH(TRUE,I56:R56&lt;&gt;0,0,-1)),0))</f>
        <v>0</v>
      </c>
      <c r="V56" s="513">
        <f t="shared" si="0"/>
        <v>0</v>
      </c>
      <c r="W56" s="513">
        <f>IF(H56=0,0,IF(MAX(X$4:X55)&lt;=6,6,MAX(X$4:X55)+1))</f>
        <v>0</v>
      </c>
      <c r="X56" s="513">
        <f t="shared" si="7"/>
        <v>0</v>
      </c>
    </row>
    <row r="57" spans="1:24" x14ac:dyDescent="0.3">
      <c r="A57" s="515" t="s">
        <v>408</v>
      </c>
      <c r="B57" s="515" t="s">
        <v>417</v>
      </c>
      <c r="C57" s="513" t="s">
        <v>107</v>
      </c>
      <c r="D57" s="513" t="s">
        <v>115</v>
      </c>
      <c r="E57" s="514">
        <v>5042</v>
      </c>
      <c r="F57" s="513">
        <f t="shared" si="8"/>
        <v>5042</v>
      </c>
      <c r="G57" s="514">
        <v>3</v>
      </c>
      <c r="H57" s="513">
        <f>'PART C Non-Staff Costs'!P184</f>
        <v>0</v>
      </c>
      <c r="I57" s="518">
        <f>IF(AND('PART C Non-Staff Costs'!F184,pStartYear&lt;&gt;""),First_year_fraction,0)</f>
        <v>0</v>
      </c>
      <c r="J57" s="518">
        <f>IF(OR(pStartYear="",pStartYear+1&gt;pEndYear,'PART C Non-Staff Costs'!G184=0),0,IF(AND('PART C Non-Staff Costs'!G184&gt;0,pStartYear+1=pEndYear),Last_Year_Fraction,12))</f>
        <v>0</v>
      </c>
      <c r="K57" s="518">
        <f>IF(OR(pStartYear="",pStartYear+2&gt;pEndYear,'PART C Non-Staff Costs'!H184=0),0,IF(AND('PART C Non-Staff Costs'!H184&gt;0,pStartYear+2=pEndYear),Last_Year_Fraction,12))</f>
        <v>0</v>
      </c>
      <c r="L57" s="518">
        <f>IF(OR(pStartYear="",pStartYear+3&gt;pEndYear,'PART C Non-Staff Costs'!I184=0),0,IF(AND('PART C Non-Staff Costs'!I184&gt;0,pStartYear+3=pEndYear),Last_Year_Fraction,12))</f>
        <v>0</v>
      </c>
      <c r="M57" s="518">
        <f>IF(OR(pStartYear="",pStartYear+4&gt;pEndYear,'PART C Non-Staff Costs'!J184=0),0,IF(AND('PART C Non-Staff Costs'!J184&gt;0,pStartYear+4=pEndYear),Last_Year_Fraction,12))</f>
        <v>0</v>
      </c>
      <c r="N57" s="518">
        <f>IF(OR(pStartYear="",pStartYear+5&gt;pEndYear,'PART C Non-Staff Costs'!K184=0),0,IF(AND('PART C Non-Staff Costs'!K184&gt;0,pStartYear+5=pEndYear),Last_Year_Fraction,12))</f>
        <v>0</v>
      </c>
      <c r="O57" s="518">
        <f>IF(OR(pStartYear="",pStartYear+6&gt;pEndYear,'PART C Non-Staff Costs'!L184=0),0,IF(AND('PART C Non-Staff Costs'!L184&gt;0,pStartYear+6=pEndYear),Last_Year_Fraction,12))</f>
        <v>0</v>
      </c>
      <c r="P57" s="518">
        <f>IF(OR(pStartYear="",pStartYear+7&gt;pEndYear,'PART C Non-Staff Costs'!M184=0),0,IF(AND('PART C Non-Staff Costs'!M184&gt;0,pStartYear+7=pEndYear),Last_Year_Fraction,12))</f>
        <v>0</v>
      </c>
      <c r="Q57" s="518">
        <f>IF(OR(pStartYear="",pStartYear+8&gt;pEndYear,'PART C Non-Staff Costs'!N184=0),0,IF(AND('PART C Non-Staff Costs'!N184&gt;0,pStartYear+8=pEndYear),Last_Year_Fraction,12))</f>
        <v>0</v>
      </c>
      <c r="R57" s="518">
        <f>IF(OR(pStartYear="",pStartYear+9&gt;pEndYear,'PART C Non-Staff Costs'!O184=0),0,IF(AND('PART C Non-Staff Costs'!O184&gt;0,pStartYear+9=pEndYear),Last_Year_Fraction,12))</f>
        <v>0</v>
      </c>
      <c r="S57" s="513" cm="1">
        <f t="array" ref="S57">IF($H57=0,0,_xlfn.IFNA(INDEX($I$4:$R$4,MATCH(TRUE,INDEX($I57:$R57&lt;&gt;0,),0)),0))</f>
        <v>0</v>
      </c>
      <c r="T57" s="513">
        <f>IF($H57=0,0,IF($S57=Start_Year,VLOOKUP(Start_Month,lv_month,2,FALSE),1))</f>
        <v>0</v>
      </c>
      <c r="U57" s="513" cm="1">
        <f t="array" ref="U57">IF($H57=0,0,_xlfn.IFNA(INDEX($I$4:$R$4,_xlfn.XMATCH(TRUE,I57:R57&lt;&gt;0,0,-1)),0))</f>
        <v>0</v>
      </c>
      <c r="V57" s="513">
        <f t="shared" si="0"/>
        <v>0</v>
      </c>
      <c r="W57" s="513">
        <f>IF(H57=0,0,IF(MAX(X$4:X56)&lt;=6,6,MAX(X$4:X56)+1))</f>
        <v>0</v>
      </c>
      <c r="X57" s="513">
        <f t="shared" si="7"/>
        <v>0</v>
      </c>
    </row>
    <row r="58" spans="1:24" x14ac:dyDescent="0.3">
      <c r="A58" s="515" t="s">
        <v>408</v>
      </c>
      <c r="B58" s="515" t="s">
        <v>417</v>
      </c>
      <c r="C58" s="513" t="s">
        <v>117</v>
      </c>
      <c r="D58" s="513" t="s">
        <v>119</v>
      </c>
      <c r="E58" s="514">
        <v>5062</v>
      </c>
      <c r="F58" s="513">
        <f t="shared" si="8"/>
        <v>5062</v>
      </c>
      <c r="G58" s="514">
        <v>3</v>
      </c>
      <c r="H58" s="513">
        <f>'PART C Non-Staff Costs'!P197</f>
        <v>0</v>
      </c>
      <c r="I58" s="518">
        <f>IF(AND('PART C Non-Staff Costs'!F197,pStartYear&lt;&gt;""),First_year_fraction,0)</f>
        <v>0</v>
      </c>
      <c r="J58" s="518">
        <f>IF(OR(pStartYear="",pStartYear+1&gt;pEndYear,'PART C Non-Staff Costs'!G197=0),0,IF(AND('PART C Non-Staff Costs'!G197&gt;0,pStartYear+1=pEndYear),Last_Year_Fraction,12))</f>
        <v>0</v>
      </c>
      <c r="K58" s="518">
        <f>IF(OR(pStartYear="",pStartYear+2&gt;pEndYear,'PART C Non-Staff Costs'!H197=0),0,IF(AND('PART C Non-Staff Costs'!H197&gt;0,pStartYear+2=pEndYear),Last_Year_Fraction,12))</f>
        <v>0</v>
      </c>
      <c r="L58" s="518">
        <f>IF(OR(pStartYear="",pStartYear+3&gt;pEndYear,'PART C Non-Staff Costs'!I197=0),0,IF(AND('PART C Non-Staff Costs'!I197&gt;0,pStartYear+3=pEndYear),Last_Year_Fraction,12))</f>
        <v>0</v>
      </c>
      <c r="M58" s="518">
        <f>IF(OR(pStartYear="",pStartYear+4&gt;pEndYear,'PART C Non-Staff Costs'!J197=0),0,IF(AND('PART C Non-Staff Costs'!J197&gt;0,pStartYear+4=pEndYear),Last_Year_Fraction,12))</f>
        <v>0</v>
      </c>
      <c r="N58" s="518">
        <f>IF(OR(pStartYear="",pStartYear+5&gt;pEndYear,'PART C Non-Staff Costs'!K197=0),0,IF(AND('PART C Non-Staff Costs'!K197&gt;0,pStartYear+5=pEndYear),Last_Year_Fraction,12))</f>
        <v>0</v>
      </c>
      <c r="O58" s="518">
        <f>IF(OR(pStartYear="",pStartYear+6&gt;pEndYear,'PART C Non-Staff Costs'!L197=0),0,IF(AND('PART C Non-Staff Costs'!L197&gt;0,pStartYear+6=pEndYear),Last_Year_Fraction,12))</f>
        <v>0</v>
      </c>
      <c r="P58" s="518">
        <f>IF(OR(pStartYear="",pStartYear+7&gt;pEndYear,'PART C Non-Staff Costs'!M197=0),0,IF(AND('PART C Non-Staff Costs'!M197&gt;0,pStartYear+7=pEndYear),Last_Year_Fraction,12))</f>
        <v>0</v>
      </c>
      <c r="Q58" s="518">
        <f>IF(OR(pStartYear="",pStartYear+8&gt;pEndYear,'PART C Non-Staff Costs'!N197=0),0,IF(AND('PART C Non-Staff Costs'!N197&gt;0,pStartYear+8=pEndYear),Last_Year_Fraction,12))</f>
        <v>0</v>
      </c>
      <c r="R58" s="518">
        <f>IF(OR(pStartYear="",pStartYear+9&gt;pEndYear,'PART C Non-Staff Costs'!O197=0),0,IF(AND('PART C Non-Staff Costs'!O197&gt;0,pStartYear+9=pEndYear),Last_Year_Fraction,12))</f>
        <v>0</v>
      </c>
      <c r="S58" s="513" cm="1">
        <f t="array" ref="S58">IF($H58=0,0,_xlfn.IFNA(INDEX($I$4:$R$4,MATCH(TRUE,INDEX($I58:$R58&lt;&gt;0,),0)),0))</f>
        <v>0</v>
      </c>
      <c r="T58" s="513">
        <f>IF($H58=0,0,IF($S58=Start_Year,VLOOKUP(Start_Month,lv_month,2,FALSE),1))</f>
        <v>0</v>
      </c>
      <c r="U58" s="513" cm="1">
        <f t="array" ref="U58">IF($H58=0,0,_xlfn.IFNA(INDEX($I$4:$R$4,_xlfn.XMATCH(TRUE,I58:R58&lt;&gt;0,0,-1)),0))</f>
        <v>0</v>
      </c>
      <c r="V58" s="513">
        <f t="shared" si="0"/>
        <v>0</v>
      </c>
      <c r="W58" s="513">
        <f>IF(H58=0,0,IF(MAX(X$4:X57)&lt;=6,6,MAX(X$4:X57)+1))</f>
        <v>0</v>
      </c>
      <c r="X58" s="513">
        <f t="shared" si="7"/>
        <v>0</v>
      </c>
    </row>
    <row r="59" spans="1:24" x14ac:dyDescent="0.3">
      <c r="A59" s="515" t="s">
        <v>408</v>
      </c>
      <c r="B59" s="515" t="s">
        <v>417</v>
      </c>
      <c r="C59" s="513" t="s">
        <v>117</v>
      </c>
      <c r="D59" s="513" t="s">
        <v>121</v>
      </c>
      <c r="E59" s="514">
        <v>5062</v>
      </c>
      <c r="F59" s="513">
        <f t="shared" si="8"/>
        <v>5062</v>
      </c>
      <c r="G59" s="514">
        <v>3</v>
      </c>
      <c r="H59" s="513">
        <f>'PART C Non-Staff Costs'!P205</f>
        <v>0</v>
      </c>
      <c r="I59" s="518">
        <f>IF(AND('PART C Non-Staff Costs'!F205,pStartYear&lt;&gt;""),First_year_fraction,0)</f>
        <v>0</v>
      </c>
      <c r="J59" s="518">
        <f>IF(OR(pStartYear="",pStartYear+1&gt;pEndYear,'PART C Non-Staff Costs'!G205=0),0,IF(AND('PART C Non-Staff Costs'!G205&gt;0,pStartYear+1=pEndYear),Last_Year_Fraction,12))</f>
        <v>0</v>
      </c>
      <c r="K59" s="518">
        <f>IF(OR(pStartYear="",pStartYear+2&gt;pEndYear,'PART C Non-Staff Costs'!H205=0),0,IF(AND('PART C Non-Staff Costs'!H205&gt;0,pStartYear+2=pEndYear),Last_Year_Fraction,12))</f>
        <v>0</v>
      </c>
      <c r="L59" s="518">
        <f>IF(OR(pStartYear="",pStartYear+3&gt;pEndYear,'PART C Non-Staff Costs'!I205=0),0,IF(AND('PART C Non-Staff Costs'!I205&gt;0,pStartYear+3=pEndYear),Last_Year_Fraction,12))</f>
        <v>0</v>
      </c>
      <c r="M59" s="518">
        <f>IF(OR(pStartYear="",pStartYear+4&gt;pEndYear,'PART C Non-Staff Costs'!J205=0),0,IF(AND('PART C Non-Staff Costs'!J205&gt;0,pStartYear+4=pEndYear),Last_Year_Fraction,12))</f>
        <v>0</v>
      </c>
      <c r="N59" s="518">
        <f>IF(OR(pStartYear="",pStartYear+5&gt;pEndYear,'PART C Non-Staff Costs'!K205=0),0,IF(AND('PART C Non-Staff Costs'!K205&gt;0,pStartYear+5=pEndYear),Last_Year_Fraction,12))</f>
        <v>0</v>
      </c>
      <c r="O59" s="518">
        <f>IF(OR(pStartYear="",pStartYear+6&gt;pEndYear,'PART C Non-Staff Costs'!L205=0),0,IF(AND('PART C Non-Staff Costs'!L205&gt;0,pStartYear+6=pEndYear),Last_Year_Fraction,12))</f>
        <v>0</v>
      </c>
      <c r="P59" s="518">
        <f>IF(OR(pStartYear="",pStartYear+7&gt;pEndYear,'PART C Non-Staff Costs'!M205=0),0,IF(AND('PART C Non-Staff Costs'!M205&gt;0,pStartYear+7=pEndYear),Last_Year_Fraction,12))</f>
        <v>0</v>
      </c>
      <c r="Q59" s="518">
        <f>IF(OR(pStartYear="",pStartYear+8&gt;pEndYear,'PART C Non-Staff Costs'!N205=0),0,IF(AND('PART C Non-Staff Costs'!N205&gt;0,pStartYear+8=pEndYear),Last_Year_Fraction,12))</f>
        <v>0</v>
      </c>
      <c r="R59" s="518">
        <f>IF(OR(pStartYear="",pStartYear+9&gt;pEndYear,'PART C Non-Staff Costs'!O205=0),0,IF(AND('PART C Non-Staff Costs'!O205&gt;0,pStartYear+9=pEndYear),Last_Year_Fraction,12))</f>
        <v>0</v>
      </c>
      <c r="S59" s="513" cm="1">
        <f t="array" ref="S59">IF($H59=0,0,_xlfn.IFNA(INDEX($I$4:$R$4,MATCH(TRUE,INDEX($I59:$R59&lt;&gt;0,),0)),0))</f>
        <v>0</v>
      </c>
      <c r="T59" s="513">
        <f>IF($H59=0,0,IF($S59=Start_Year,VLOOKUP(Start_Month,lv_month,2,FALSE),1))</f>
        <v>0</v>
      </c>
      <c r="U59" s="513" cm="1">
        <f t="array" ref="U59">IF($H59=0,0,_xlfn.IFNA(INDEX($I$4:$R$4,_xlfn.XMATCH(TRUE,I59:R59&lt;&gt;0,0,-1)),0))</f>
        <v>0</v>
      </c>
      <c r="V59" s="513">
        <f t="shared" si="0"/>
        <v>0</v>
      </c>
      <c r="W59" s="513">
        <f>IF(H59=0,0,IF(MAX(X$4:X58)&lt;=6,6,MAX(X$4:X58)+1))</f>
        <v>0</v>
      </c>
      <c r="X59" s="513">
        <f t="shared" si="7"/>
        <v>0</v>
      </c>
    </row>
    <row r="60" spans="1:24" x14ac:dyDescent="0.3">
      <c r="A60" s="515" t="s">
        <v>408</v>
      </c>
      <c r="B60" s="515" t="s">
        <v>417</v>
      </c>
      <c r="C60" s="513" t="s">
        <v>123</v>
      </c>
      <c r="D60" s="513" t="s">
        <v>412</v>
      </c>
      <c r="E60" s="514">
        <v>5241</v>
      </c>
      <c r="F60" s="513">
        <f t="shared" si="8"/>
        <v>5241</v>
      </c>
      <c r="G60" s="514">
        <v>3</v>
      </c>
      <c r="H60" s="513">
        <f>'PART C Non-Staff Costs'!P218</f>
        <v>0</v>
      </c>
      <c r="I60" s="518">
        <f>IF(AND('PART C Non-Staff Costs'!F218,pStartYear&lt;&gt;""),First_year_fraction,0)</f>
        <v>0</v>
      </c>
      <c r="J60" s="518">
        <f>IF(OR(pStartYear="",pStartYear+1&gt;pEndYear,'PART C Non-Staff Costs'!G218=0),0,IF(AND('PART C Non-Staff Costs'!G218&gt;0,pStartYear+1=pEndYear),Last_Year_Fraction,12))</f>
        <v>0</v>
      </c>
      <c r="K60" s="518">
        <f>IF(OR(pStartYear="",pStartYear+2&gt;pEndYear,'PART C Non-Staff Costs'!H218=0),0,IF(AND('PART C Non-Staff Costs'!H218&gt;0,pStartYear+2=pEndYear),Last_Year_Fraction,12))</f>
        <v>0</v>
      </c>
      <c r="L60" s="518">
        <f>IF(OR(pStartYear="",pStartYear+3&gt;pEndYear,'PART C Non-Staff Costs'!I218=0),0,IF(AND('PART C Non-Staff Costs'!I218&gt;0,pStartYear+3=pEndYear),Last_Year_Fraction,12))</f>
        <v>0</v>
      </c>
      <c r="M60" s="518">
        <f>IF(OR(pStartYear="",pStartYear+4&gt;pEndYear,'PART C Non-Staff Costs'!J218=0),0,IF(AND('PART C Non-Staff Costs'!J218&gt;0,pStartYear+4=pEndYear),Last_Year_Fraction,12))</f>
        <v>0</v>
      </c>
      <c r="N60" s="518">
        <f>IF(OR(pStartYear="",pStartYear+5&gt;pEndYear,'PART C Non-Staff Costs'!K218=0),0,IF(AND('PART C Non-Staff Costs'!K218&gt;0,pStartYear+5=pEndYear),Last_Year_Fraction,12))</f>
        <v>0</v>
      </c>
      <c r="O60" s="518">
        <f>IF(OR(pStartYear="",pStartYear+6&gt;pEndYear,'PART C Non-Staff Costs'!L218=0),0,IF(AND('PART C Non-Staff Costs'!L218&gt;0,pStartYear+6=pEndYear),Last_Year_Fraction,12))</f>
        <v>0</v>
      </c>
      <c r="P60" s="518">
        <f>IF(OR(pStartYear="",pStartYear+7&gt;pEndYear,'PART C Non-Staff Costs'!M218=0),0,IF(AND('PART C Non-Staff Costs'!M218&gt;0,pStartYear+7=pEndYear),Last_Year_Fraction,12))</f>
        <v>0</v>
      </c>
      <c r="Q60" s="518">
        <f>IF(OR(pStartYear="",pStartYear+8&gt;pEndYear,'PART C Non-Staff Costs'!N218=0),0,IF(AND('PART C Non-Staff Costs'!N218&gt;0,pStartYear+8=pEndYear),Last_Year_Fraction,12))</f>
        <v>0</v>
      </c>
      <c r="R60" s="518">
        <f>IF(OR(pStartYear="",pStartYear+9&gt;pEndYear,'PART C Non-Staff Costs'!O218=0),0,IF(AND('PART C Non-Staff Costs'!O218&gt;0,pStartYear+9=pEndYear),Last_Year_Fraction,12))</f>
        <v>0</v>
      </c>
      <c r="S60" s="513" cm="1">
        <f t="array" ref="S60">IF($H60=0,0,_xlfn.IFNA(INDEX($I$4:$R$4,MATCH(TRUE,INDEX($I60:$R60&lt;&gt;0,),0)),0))</f>
        <v>0</v>
      </c>
      <c r="T60" s="513">
        <f>IF($H60=0,0,IF($S60=Start_Year,VLOOKUP(Start_Month,lv_month,2,FALSE),1))</f>
        <v>0</v>
      </c>
      <c r="U60" s="513" cm="1">
        <f t="array" ref="U60">IF($H60=0,0,_xlfn.IFNA(INDEX($I$4:$R$4,_xlfn.XMATCH(TRUE,I60:R60&lt;&gt;0,0,-1)),0))</f>
        <v>0</v>
      </c>
      <c r="V60" s="513">
        <f t="shared" si="0"/>
        <v>0</v>
      </c>
      <c r="W60" s="513">
        <f>IF(H60=0,0,IF(MAX(X$4:X59)&lt;=6,6,MAX(X$4:X59)+1))</f>
        <v>0</v>
      </c>
      <c r="X60" s="513">
        <f t="shared" si="7"/>
        <v>0</v>
      </c>
    </row>
    <row r="61" spans="1:24" x14ac:dyDescent="0.3">
      <c r="A61" s="515" t="s">
        <v>408</v>
      </c>
      <c r="B61" s="515" t="s">
        <v>417</v>
      </c>
      <c r="C61" s="513" t="s">
        <v>128</v>
      </c>
      <c r="D61" s="513" t="s">
        <v>130</v>
      </c>
      <c r="E61" s="514">
        <v>5181</v>
      </c>
      <c r="F61" s="513">
        <f t="shared" si="8"/>
        <v>5181</v>
      </c>
      <c r="G61" s="514">
        <v>3</v>
      </c>
      <c r="H61" s="513">
        <f>'PART C Non-Staff Costs'!P231</f>
        <v>0</v>
      </c>
      <c r="I61" s="518">
        <f>IF(AND('PART C Non-Staff Costs'!F231,pStartYear&lt;&gt;""),First_year_fraction,0)</f>
        <v>0</v>
      </c>
      <c r="J61" s="518">
        <f>IF(OR(pStartYear="",pStartYear+1&gt;pEndYear,'PART C Non-Staff Costs'!G231=0),0,IF(AND('PART C Non-Staff Costs'!G231&gt;0,pStartYear+1=pEndYear),Last_Year_Fraction,12))</f>
        <v>0</v>
      </c>
      <c r="K61" s="518">
        <f>IF(OR(pStartYear="",pStartYear+2&gt;pEndYear,'PART C Non-Staff Costs'!H231=0),0,IF(AND('PART C Non-Staff Costs'!H231&gt;0,pStartYear+2=pEndYear),Last_Year_Fraction,12))</f>
        <v>0</v>
      </c>
      <c r="L61" s="518">
        <f>IF(OR(pStartYear="",pStartYear+3&gt;pEndYear,'PART C Non-Staff Costs'!I231=0),0,IF(AND('PART C Non-Staff Costs'!I231&gt;0,pStartYear+3=pEndYear),Last_Year_Fraction,12))</f>
        <v>0</v>
      </c>
      <c r="M61" s="518">
        <f>IF(OR(pStartYear="",pStartYear+4&gt;pEndYear,'PART C Non-Staff Costs'!J231=0),0,IF(AND('PART C Non-Staff Costs'!J231&gt;0,pStartYear+4=pEndYear),Last_Year_Fraction,12))</f>
        <v>0</v>
      </c>
      <c r="N61" s="518">
        <f>IF(OR(pStartYear="",pStartYear+5&gt;pEndYear,'PART C Non-Staff Costs'!K231=0),0,IF(AND('PART C Non-Staff Costs'!K231&gt;0,pStartYear+5=pEndYear),Last_Year_Fraction,12))</f>
        <v>0</v>
      </c>
      <c r="O61" s="518">
        <f>IF(OR(pStartYear="",pStartYear+6&gt;pEndYear,'PART C Non-Staff Costs'!L231=0),0,IF(AND('PART C Non-Staff Costs'!L231&gt;0,pStartYear+6=pEndYear),Last_Year_Fraction,12))</f>
        <v>0</v>
      </c>
      <c r="P61" s="518">
        <f>IF(OR(pStartYear="",pStartYear+7&gt;pEndYear,'PART C Non-Staff Costs'!M231=0),0,IF(AND('PART C Non-Staff Costs'!M231&gt;0,pStartYear+7=pEndYear),Last_Year_Fraction,12))</f>
        <v>0</v>
      </c>
      <c r="Q61" s="518">
        <f>IF(OR(pStartYear="",pStartYear+8&gt;pEndYear,'PART C Non-Staff Costs'!N231=0),0,IF(AND('PART C Non-Staff Costs'!N231&gt;0,pStartYear+8=pEndYear),Last_Year_Fraction,12))</f>
        <v>0</v>
      </c>
      <c r="R61" s="518">
        <f>IF(OR(pStartYear="",pStartYear+9&gt;pEndYear,'PART C Non-Staff Costs'!O231=0),0,IF(AND('PART C Non-Staff Costs'!O231&gt;0,pStartYear+9=pEndYear),Last_Year_Fraction,12))</f>
        <v>0</v>
      </c>
      <c r="S61" s="513" cm="1">
        <f t="array" ref="S61">IF($H61=0,0,_xlfn.IFNA(INDEX($I$4:$R$4,MATCH(TRUE,INDEX($I61:$R61&lt;&gt;0,),0)),0))</f>
        <v>0</v>
      </c>
      <c r="T61" s="513">
        <f>IF($H61=0,0,IF($S61=Start_Year,VLOOKUP(Start_Month,lv_month,2,FALSE),1))</f>
        <v>0</v>
      </c>
      <c r="U61" s="513" cm="1">
        <f t="array" ref="U61">IF($H61=0,0,_xlfn.IFNA(INDEX($I$4:$R$4,_xlfn.XMATCH(TRUE,I61:R61&lt;&gt;0,0,-1)),0))</f>
        <v>0</v>
      </c>
      <c r="V61" s="513">
        <f t="shared" si="0"/>
        <v>0</v>
      </c>
      <c r="W61" s="513">
        <f>IF(H61=0,0,IF(MAX(X$4:X60)&lt;=6,6,MAX(X$4:X60)+1))</f>
        <v>0</v>
      </c>
      <c r="X61" s="513">
        <f t="shared" si="7"/>
        <v>0</v>
      </c>
    </row>
    <row r="62" spans="1:24" x14ac:dyDescent="0.3">
      <c r="A62" s="515" t="s">
        <v>408</v>
      </c>
      <c r="B62" s="515" t="s">
        <v>417</v>
      </c>
      <c r="C62" s="513" t="s">
        <v>132</v>
      </c>
      <c r="D62" s="513" t="s">
        <v>134</v>
      </c>
      <c r="E62" s="514">
        <v>5261</v>
      </c>
      <c r="F62" s="513">
        <f t="shared" si="8"/>
        <v>5261</v>
      </c>
      <c r="G62" s="514">
        <v>3</v>
      </c>
      <c r="H62" s="513">
        <f>'PART C Non-Staff Costs'!P244</f>
        <v>0</v>
      </c>
      <c r="I62" s="518">
        <f>IF(AND('PART C Non-Staff Costs'!F244,pStartYear&lt;&gt;""),First_year_fraction,0)</f>
        <v>0</v>
      </c>
      <c r="J62" s="518">
        <f>IF(OR(pStartYear="",pStartYear+1&gt;pEndYear,'PART C Non-Staff Costs'!G244=0),0,IF(AND('PART C Non-Staff Costs'!G244&gt;0,pStartYear+1=pEndYear),Last_Year_Fraction,12))</f>
        <v>0</v>
      </c>
      <c r="K62" s="518">
        <f>IF(OR(pStartYear="",pStartYear+2&gt;pEndYear,'PART C Non-Staff Costs'!H244=0),0,IF(AND('PART C Non-Staff Costs'!H244&gt;0,pStartYear+2=pEndYear),Last_Year_Fraction,12))</f>
        <v>0</v>
      </c>
      <c r="L62" s="518">
        <f>IF(OR(pStartYear="",pStartYear+3&gt;pEndYear,'PART C Non-Staff Costs'!I244=0),0,IF(AND('PART C Non-Staff Costs'!I244&gt;0,pStartYear+3=pEndYear),Last_Year_Fraction,12))</f>
        <v>0</v>
      </c>
      <c r="M62" s="518">
        <f>IF(OR(pStartYear="",pStartYear+4&gt;pEndYear,'PART C Non-Staff Costs'!J244=0),0,IF(AND('PART C Non-Staff Costs'!J244&gt;0,pStartYear+4=pEndYear),Last_Year_Fraction,12))</f>
        <v>0</v>
      </c>
      <c r="N62" s="518">
        <f>IF(OR(pStartYear="",pStartYear+5&gt;pEndYear,'PART C Non-Staff Costs'!K244=0),0,IF(AND('PART C Non-Staff Costs'!K244&gt;0,pStartYear+5=pEndYear),Last_Year_Fraction,12))</f>
        <v>0</v>
      </c>
      <c r="O62" s="518">
        <f>IF(OR(pStartYear="",pStartYear+6&gt;pEndYear,'PART C Non-Staff Costs'!L244=0),0,IF(AND('PART C Non-Staff Costs'!L244&gt;0,pStartYear+6=pEndYear),Last_Year_Fraction,12))</f>
        <v>0</v>
      </c>
      <c r="P62" s="518">
        <f>IF(OR(pStartYear="",pStartYear+7&gt;pEndYear,'PART C Non-Staff Costs'!M244=0),0,IF(AND('PART C Non-Staff Costs'!M244&gt;0,pStartYear+7=pEndYear),Last_Year_Fraction,12))</f>
        <v>0</v>
      </c>
      <c r="Q62" s="518">
        <f>IF(OR(pStartYear="",pStartYear+8&gt;pEndYear,'PART C Non-Staff Costs'!N244=0),0,IF(AND('PART C Non-Staff Costs'!N244&gt;0,pStartYear+8=pEndYear),Last_Year_Fraction,12))</f>
        <v>0</v>
      </c>
      <c r="R62" s="518">
        <f>IF(OR(pStartYear="",pStartYear+9&gt;pEndYear,'PART C Non-Staff Costs'!O244=0),0,IF(AND('PART C Non-Staff Costs'!O244&gt;0,pStartYear+9=pEndYear),Last_Year_Fraction,12))</f>
        <v>0</v>
      </c>
      <c r="S62" s="513" cm="1">
        <f t="array" ref="S62">IF($H62=0,0,_xlfn.IFNA(INDEX($I$4:$R$4,MATCH(TRUE,INDEX($I62:$R62&lt;&gt;0,),0)),0))</f>
        <v>0</v>
      </c>
      <c r="T62" s="513">
        <f>IF($H62=0,0,IF($S62=Start_Year,VLOOKUP(Start_Month,lv_month,2,FALSE),1))</f>
        <v>0</v>
      </c>
      <c r="U62" s="513" cm="1">
        <f t="array" ref="U62">IF($H62=0,0,_xlfn.IFNA(INDEX($I$4:$R$4,_xlfn.XMATCH(TRUE,I62:R62&lt;&gt;0,0,-1)),0))</f>
        <v>0</v>
      </c>
      <c r="V62" s="513">
        <f t="shared" si="0"/>
        <v>0</v>
      </c>
      <c r="W62" s="513">
        <f>IF(H62=0,0,IF(MAX(X$4:X61)&lt;=6,6,MAX(X$4:X61)+1))</f>
        <v>0</v>
      </c>
      <c r="X62" s="513">
        <f t="shared" si="7"/>
        <v>0</v>
      </c>
    </row>
    <row r="63" spans="1:24" x14ac:dyDescent="0.3">
      <c r="A63" s="515" t="s">
        <v>408</v>
      </c>
      <c r="B63" s="515" t="s">
        <v>417</v>
      </c>
      <c r="C63" s="513" t="s">
        <v>132</v>
      </c>
      <c r="D63" s="513" t="s">
        <v>136</v>
      </c>
      <c r="E63" s="514">
        <v>5260</v>
      </c>
      <c r="F63" s="513">
        <f t="shared" si="8"/>
        <v>5260</v>
      </c>
      <c r="G63" s="514">
        <v>3</v>
      </c>
      <c r="H63" s="513">
        <f>'PART C Non-Staff Costs'!P252</f>
        <v>0</v>
      </c>
      <c r="I63" s="518">
        <f>IF(AND('PART C Non-Staff Costs'!F252,pStartYear&lt;&gt;""),First_year_fraction,0)</f>
        <v>0</v>
      </c>
      <c r="J63" s="518">
        <f>IF(OR(pStartYear="",pStartYear+1&gt;pEndYear,'PART C Non-Staff Costs'!G252=0),0,IF(AND('PART C Non-Staff Costs'!G252&gt;0,pStartYear+1=pEndYear),Last_Year_Fraction,12))</f>
        <v>0</v>
      </c>
      <c r="K63" s="518">
        <f>IF(OR(pStartYear="",pStartYear+2&gt;pEndYear,'PART C Non-Staff Costs'!H252=0),0,IF(AND('PART C Non-Staff Costs'!H252&gt;0,pStartYear+2=pEndYear),Last_Year_Fraction,12))</f>
        <v>0</v>
      </c>
      <c r="L63" s="518">
        <f>IF(OR(pStartYear="",pStartYear+3&gt;pEndYear,'PART C Non-Staff Costs'!I252=0),0,IF(AND('PART C Non-Staff Costs'!I252&gt;0,pStartYear+3=pEndYear),Last_Year_Fraction,12))</f>
        <v>0</v>
      </c>
      <c r="M63" s="518">
        <f>IF(OR(pStartYear="",pStartYear+4&gt;pEndYear,'PART C Non-Staff Costs'!J252=0),0,IF(AND('PART C Non-Staff Costs'!J252&gt;0,pStartYear+4=pEndYear),Last_Year_Fraction,12))</f>
        <v>0</v>
      </c>
      <c r="N63" s="518">
        <f>IF(OR(pStartYear="",pStartYear+5&gt;pEndYear,'PART C Non-Staff Costs'!K252=0),0,IF(AND('PART C Non-Staff Costs'!K252&gt;0,pStartYear+5=pEndYear),Last_Year_Fraction,12))</f>
        <v>0</v>
      </c>
      <c r="O63" s="518">
        <f>IF(OR(pStartYear="",pStartYear+6&gt;pEndYear,'PART C Non-Staff Costs'!L252=0),0,IF(AND('PART C Non-Staff Costs'!L252&gt;0,pStartYear+6=pEndYear),Last_Year_Fraction,12))</f>
        <v>0</v>
      </c>
      <c r="P63" s="518">
        <f>IF(OR(pStartYear="",pStartYear+7&gt;pEndYear,'PART C Non-Staff Costs'!M252=0),0,IF(AND('PART C Non-Staff Costs'!M252&gt;0,pStartYear+7=pEndYear),Last_Year_Fraction,12))</f>
        <v>0</v>
      </c>
      <c r="Q63" s="518">
        <f>IF(OR(pStartYear="",pStartYear+8&gt;pEndYear,'PART C Non-Staff Costs'!N252=0),0,IF(AND('PART C Non-Staff Costs'!N252&gt;0,pStartYear+8=pEndYear),Last_Year_Fraction,12))</f>
        <v>0</v>
      </c>
      <c r="R63" s="518">
        <f>IF(OR(pStartYear="",pStartYear+9&gt;pEndYear,'PART C Non-Staff Costs'!O252=0),0,IF(AND('PART C Non-Staff Costs'!O252&gt;0,pStartYear+9=pEndYear),Last_Year_Fraction,12))</f>
        <v>0</v>
      </c>
      <c r="S63" s="513" cm="1">
        <f t="array" ref="S63">IF($H63=0,0,_xlfn.IFNA(INDEX($I$4:$R$4,MATCH(TRUE,INDEX($I63:$R63&lt;&gt;0,),0)),0))</f>
        <v>0</v>
      </c>
      <c r="T63" s="513">
        <f>IF($H63=0,0,IF($S63=Start_Year,VLOOKUP(Start_Month,lv_month,2,FALSE),1))</f>
        <v>0</v>
      </c>
      <c r="U63" s="513" cm="1">
        <f t="array" ref="U63">IF($H63=0,0,_xlfn.IFNA(INDEX($I$4:$R$4,_xlfn.XMATCH(TRUE,I63:R63&lt;&gt;0,0,-1)),0))</f>
        <v>0</v>
      </c>
      <c r="V63" s="513">
        <f t="shared" si="0"/>
        <v>0</v>
      </c>
      <c r="W63" s="513">
        <f>IF(H63=0,0,IF(MAX(X$4:X62)&lt;=6,6,MAX(X$4:X62)+1))</f>
        <v>0</v>
      </c>
      <c r="X63" s="513">
        <f t="shared" si="7"/>
        <v>0</v>
      </c>
    </row>
  </sheetData>
  <sortState xmlns:xlrd2="http://schemas.microsoft.com/office/spreadsheetml/2017/richdata2" ref="C45:F63">
    <sortCondition ref="C45:C63"/>
    <sortCondition ref="D45:D63"/>
  </sortState>
  <hyperlinks>
    <hyperlink ref="H1" location="'Research Office Use - WD Budget'!A1" display="Return" xr:uid="{0FC0323C-4DB5-40F6-A149-8E93F84716E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D2D77-D65A-4593-8F85-CED874F6AA8B}">
  <sheetPr codeName="Sheet7">
    <pageSetUpPr autoPageBreaks="0"/>
  </sheetPr>
  <dimension ref="A1:L8"/>
  <sheetViews>
    <sheetView workbookViewId="0">
      <selection activeCell="E16" sqref="E16"/>
    </sheetView>
  </sheetViews>
  <sheetFormatPr defaultRowHeight="14.4" x14ac:dyDescent="0.3"/>
  <cols>
    <col min="2" max="5" width="17.44140625" customWidth="1"/>
    <col min="6" max="6" width="13.44140625" customWidth="1"/>
    <col min="7" max="7" width="17.44140625" customWidth="1"/>
    <col min="8" max="8" width="12.44140625" customWidth="1"/>
    <col min="9" max="9" width="35.5546875" customWidth="1"/>
    <col min="10" max="10" width="48.88671875" customWidth="1"/>
    <col min="11" max="12" width="23.44140625" customWidth="1"/>
  </cols>
  <sheetData>
    <row r="1" spans="1:12" ht="17.399999999999999" x14ac:dyDescent="0.3">
      <c r="A1" s="1446" t="s">
        <v>418</v>
      </c>
      <c r="B1" s="1447"/>
      <c r="C1" s="1448"/>
      <c r="D1" s="1448"/>
      <c r="E1" s="1447"/>
      <c r="F1" s="1448"/>
      <c r="G1" s="1448"/>
      <c r="H1" s="1447"/>
      <c r="I1" s="1448"/>
      <c r="J1" s="1448"/>
      <c r="K1" s="1448"/>
      <c r="L1" s="1448"/>
    </row>
    <row r="2" spans="1:12" x14ac:dyDescent="0.3">
      <c r="A2" s="505" t="s">
        <v>419</v>
      </c>
      <c r="B2" s="1449" t="s">
        <v>420</v>
      </c>
      <c r="C2" s="1448"/>
      <c r="D2" s="1448"/>
      <c r="E2" s="1447"/>
      <c r="F2" s="1450" t="s">
        <v>421</v>
      </c>
      <c r="G2" s="1448"/>
      <c r="H2" s="1449" t="s">
        <v>422</v>
      </c>
      <c r="I2" s="1448"/>
      <c r="J2" s="1448"/>
      <c r="K2" s="1448"/>
      <c r="L2" s="1448"/>
    </row>
    <row r="3" spans="1:12" x14ac:dyDescent="0.3">
      <c r="A3" s="505" t="s">
        <v>423</v>
      </c>
      <c r="B3" s="508" t="s">
        <v>424</v>
      </c>
      <c r="C3" s="508" t="s">
        <v>425</v>
      </c>
      <c r="D3" s="508" t="s">
        <v>425</v>
      </c>
      <c r="E3" s="508" t="s">
        <v>425</v>
      </c>
      <c r="F3" s="508" t="s">
        <v>425</v>
      </c>
      <c r="G3" s="508" t="s">
        <v>425</v>
      </c>
      <c r="H3" s="508" t="s">
        <v>425</v>
      </c>
      <c r="I3" s="508" t="s">
        <v>424</v>
      </c>
      <c r="J3" s="508" t="s">
        <v>424</v>
      </c>
      <c r="K3" s="508" t="s">
        <v>425</v>
      </c>
      <c r="L3" s="508" t="s">
        <v>425</v>
      </c>
    </row>
    <row r="4" spans="1:12" x14ac:dyDescent="0.3">
      <c r="A4" s="505" t="s">
        <v>426</v>
      </c>
      <c r="B4" s="508" t="s">
        <v>427</v>
      </c>
      <c r="C4" s="508" t="s">
        <v>428</v>
      </c>
      <c r="D4" s="508" t="s">
        <v>429</v>
      </c>
      <c r="E4" s="508" t="s">
        <v>430</v>
      </c>
      <c r="F4" s="508" t="s">
        <v>427</v>
      </c>
      <c r="G4" s="508" t="s">
        <v>431</v>
      </c>
      <c r="H4" s="508" t="s">
        <v>430</v>
      </c>
      <c r="I4" s="508" t="s">
        <v>432</v>
      </c>
      <c r="J4" s="508" t="s">
        <v>433</v>
      </c>
      <c r="K4" s="508" t="s">
        <v>427</v>
      </c>
      <c r="L4" s="508" t="s">
        <v>434</v>
      </c>
    </row>
    <row r="5" spans="1:12" x14ac:dyDescent="0.3">
      <c r="A5" s="505" t="s">
        <v>435</v>
      </c>
      <c r="B5" s="506" t="s">
        <v>436</v>
      </c>
      <c r="C5" s="506" t="s">
        <v>437</v>
      </c>
      <c r="D5" s="506" t="s">
        <v>438</v>
      </c>
      <c r="E5" s="506" t="s">
        <v>439</v>
      </c>
      <c r="F5" s="507" t="s">
        <v>440</v>
      </c>
      <c r="G5" s="507" t="s">
        <v>441</v>
      </c>
      <c r="H5" s="506" t="s">
        <v>442</v>
      </c>
      <c r="I5" s="506" t="s">
        <v>443</v>
      </c>
      <c r="J5" s="506" t="s">
        <v>444</v>
      </c>
      <c r="K5" s="506" t="s">
        <v>445</v>
      </c>
      <c r="L5" s="506" t="s">
        <v>446</v>
      </c>
    </row>
    <row r="6" spans="1:12" x14ac:dyDescent="0.3">
      <c r="B6">
        <v>1</v>
      </c>
      <c r="D6" s="108" t="s">
        <v>447</v>
      </c>
      <c r="E6" t="s">
        <v>448</v>
      </c>
      <c r="H6" t="s">
        <v>448</v>
      </c>
      <c r="I6" t="s">
        <v>449</v>
      </c>
      <c r="J6" s="509" t="s">
        <v>450</v>
      </c>
    </row>
    <row r="7" spans="1:12" x14ac:dyDescent="0.3">
      <c r="B7">
        <v>2</v>
      </c>
      <c r="D7" s="108" t="s">
        <v>447</v>
      </c>
      <c r="E7" t="s">
        <v>448</v>
      </c>
      <c r="H7" t="s">
        <v>448</v>
      </c>
      <c r="I7" t="s">
        <v>449</v>
      </c>
      <c r="J7" s="644" t="str">
        <f>CONCATENATE(tbProjectTitle," Cash Contribution Baseline")</f>
        <v xml:space="preserve"> Cash Contribution Baseline</v>
      </c>
    </row>
    <row r="8" spans="1:12" x14ac:dyDescent="0.3">
      <c r="B8">
        <v>3</v>
      </c>
      <c r="D8" s="108" t="s">
        <v>447</v>
      </c>
      <c r="E8" t="s">
        <v>448</v>
      </c>
      <c r="H8" t="s">
        <v>448</v>
      </c>
      <c r="I8" t="s">
        <v>449</v>
      </c>
      <c r="J8" s="644" t="str">
        <f>CONCATENATE(tbProjectTitle," In-kind Baseline")</f>
        <v xml:space="preserve"> In-kind Baseline</v>
      </c>
    </row>
  </sheetData>
  <mergeCells count="4">
    <mergeCell ref="A1:L1"/>
    <mergeCell ref="B2:E2"/>
    <mergeCell ref="F2:G2"/>
    <mergeCell ref="H2:L2"/>
  </mergeCells>
  <dataValidations count="6">
    <dataValidation type="list" allowBlank="1" showErrorMessage="1" sqref="L4" xr:uid="{CE502A0F-BF49-4418-9CB6-645D869B806C}">
      <formula1>"Budget_Period_ID,WID"</formula1>
    </dataValidation>
    <dataValidation type="list" allowBlank="1" showErrorMessage="1" sqref="J4" xr:uid="{A118B0BA-CB38-436D-8C25-0050664D6F48}">
      <formula1>"Project_Budget_ID,Award_Proposal_ID,WID,Award_Reference_ID,Custom_Budget_ID"</formula1>
    </dataValidation>
    <dataValidation type="list" allowBlank="1" showErrorMessage="1" sqref="I4" xr:uid="{8CFF70D7-C090-408C-A659-B603A7E0E4B2}">
      <formula1>"WID,Budget_Structure_ID"</formula1>
    </dataValidation>
    <dataValidation type="list" allowBlank="1" showErrorMessage="1" sqref="G4" xr:uid="{BF912F03-96A7-4ED5-B048-501B83CAB114}">
      <formula1>"Contingent_Worker_ID,WID,Employee_ID"</formula1>
    </dataValidation>
    <dataValidation type="list" allowBlank="1" showErrorMessage="1" sqref="D4" xr:uid="{C4C01754-FCE0-469C-A2B3-F558646C7537}">
      <formula1>"WID,Budget_Import_Mode_ID"</formula1>
    </dataValidation>
    <dataValidation type="list" allowBlank="1" showErrorMessage="1" sqref="C4" xr:uid="{F702EC60-BBEB-4B8C-BFEB-79D29F68E6DE}">
      <formula1>"WID,Plan_ID"</formula1>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5D4D7-A280-4D5E-8BA4-A0572A43D45A}">
  <sheetPr codeName="Sheet11">
    <pageSetUpPr autoPageBreaks="0"/>
  </sheetPr>
  <dimension ref="A1:AB5"/>
  <sheetViews>
    <sheetView topLeftCell="F1" workbookViewId="0">
      <pane ySplit="5" topLeftCell="A120" activePane="bottomLeft" state="frozen"/>
      <selection pane="bottomLeft" activeCell="B6" sqref="B6:AB150"/>
    </sheetView>
  </sheetViews>
  <sheetFormatPr defaultRowHeight="14.4" x14ac:dyDescent="0.3"/>
  <cols>
    <col min="2" max="2" width="9.44140625" customWidth="1"/>
    <col min="3" max="3" width="7.5546875" customWidth="1"/>
    <col min="6" max="6" width="8.44140625" customWidth="1"/>
    <col min="7" max="7" width="12.44140625" customWidth="1"/>
    <col min="8" max="8" width="25.88671875" customWidth="1"/>
    <col min="11" max="11" width="13.44140625" customWidth="1"/>
    <col min="12" max="12" width="15.44140625" customWidth="1"/>
    <col min="13" max="13" width="15.5546875" customWidth="1"/>
    <col min="15" max="15" width="12.5546875" customWidth="1"/>
    <col min="21" max="21" width="21.5546875" customWidth="1"/>
  </cols>
  <sheetData>
    <row r="1" spans="1:28" ht="27" customHeight="1" x14ac:dyDescent="0.3">
      <c r="A1" s="914" t="s">
        <v>451</v>
      </c>
      <c r="B1" s="914"/>
      <c r="C1" s="914"/>
      <c r="D1" s="914"/>
      <c r="E1" s="914"/>
      <c r="F1" s="914"/>
      <c r="G1" s="914"/>
      <c r="H1" s="914"/>
      <c r="I1" s="914"/>
      <c r="J1" s="914"/>
      <c r="K1" s="914"/>
      <c r="L1" s="914"/>
      <c r="M1" s="914"/>
      <c r="N1" s="914"/>
      <c r="O1" s="914"/>
      <c r="P1" s="914"/>
      <c r="Q1" s="914"/>
      <c r="R1" s="914"/>
      <c r="S1" s="914"/>
      <c r="T1" s="914"/>
      <c r="U1" s="914"/>
      <c r="V1" s="914"/>
      <c r="W1" s="914"/>
      <c r="X1" s="914"/>
      <c r="Y1" s="914"/>
      <c r="Z1" s="914"/>
      <c r="AA1" s="914"/>
      <c r="AB1" s="914"/>
    </row>
    <row r="2" spans="1:28" x14ac:dyDescent="0.3">
      <c r="A2" s="505" t="s">
        <v>419</v>
      </c>
      <c r="B2" s="1449" t="s">
        <v>420</v>
      </c>
      <c r="C2" s="1447"/>
      <c r="D2" s="1447"/>
      <c r="E2" s="1447"/>
      <c r="F2" s="1447"/>
      <c r="G2" s="1447"/>
      <c r="H2" s="1447"/>
      <c r="I2" s="1447"/>
      <c r="J2" s="1447"/>
      <c r="K2" s="1447"/>
      <c r="L2" s="1447"/>
      <c r="M2" s="1448"/>
      <c r="N2" s="1448"/>
      <c r="O2" s="1447"/>
      <c r="P2" s="1448"/>
      <c r="Q2" s="1448"/>
      <c r="R2" s="1447"/>
      <c r="S2" s="1448"/>
      <c r="T2" s="1448"/>
      <c r="U2" s="1448"/>
      <c r="V2" s="1448"/>
      <c r="W2" s="1448"/>
      <c r="X2" s="1447"/>
      <c r="Y2" s="1447"/>
      <c r="Z2" s="1447"/>
      <c r="AA2" s="1448"/>
      <c r="AB2" s="1448"/>
    </row>
    <row r="3" spans="1:28" s="512" customFormat="1" x14ac:dyDescent="0.3">
      <c r="A3" s="510" t="s">
        <v>423</v>
      </c>
      <c r="B3" s="511" t="s">
        <v>424</v>
      </c>
      <c r="C3" s="511" t="s">
        <v>424</v>
      </c>
      <c r="D3" s="511" t="s">
        <v>425</v>
      </c>
      <c r="E3" s="511" t="s">
        <v>424</v>
      </c>
      <c r="F3" s="511" t="s">
        <v>425</v>
      </c>
      <c r="G3" s="511" t="s">
        <v>425</v>
      </c>
      <c r="H3" s="511" t="s">
        <v>425</v>
      </c>
      <c r="I3" s="511" t="s">
        <v>425</v>
      </c>
      <c r="J3" s="511" t="s">
        <v>425</v>
      </c>
      <c r="K3" s="511" t="s">
        <v>425</v>
      </c>
      <c r="L3" s="511" t="s">
        <v>425</v>
      </c>
      <c r="M3" s="511" t="s">
        <v>425</v>
      </c>
      <c r="N3" s="511" t="s">
        <v>425</v>
      </c>
      <c r="O3" s="511" t="s">
        <v>425</v>
      </c>
      <c r="P3" s="511" t="s">
        <v>425</v>
      </c>
      <c r="Q3" s="511" t="s">
        <v>425</v>
      </c>
      <c r="R3" s="511" t="s">
        <v>425</v>
      </c>
      <c r="S3" s="511" t="s">
        <v>425</v>
      </c>
      <c r="T3" s="511" t="s">
        <v>425</v>
      </c>
      <c r="U3" s="511" t="s">
        <v>425</v>
      </c>
      <c r="V3" s="511" t="s">
        <v>425</v>
      </c>
      <c r="W3" s="511" t="s">
        <v>425</v>
      </c>
      <c r="X3" s="511" t="s">
        <v>425</v>
      </c>
      <c r="Y3" s="511" t="s">
        <v>425</v>
      </c>
      <c r="Z3" s="511" t="s">
        <v>425</v>
      </c>
      <c r="AA3" s="511" t="s">
        <v>425</v>
      </c>
      <c r="AB3" s="511" t="s">
        <v>425</v>
      </c>
    </row>
    <row r="4" spans="1:28" s="512" customFormat="1" ht="30.6" x14ac:dyDescent="0.3">
      <c r="A4" s="510" t="s">
        <v>426</v>
      </c>
      <c r="B4" s="511" t="s">
        <v>427</v>
      </c>
      <c r="C4" s="511" t="s">
        <v>427</v>
      </c>
      <c r="D4" s="511" t="s">
        <v>427</v>
      </c>
      <c r="E4" s="511" t="s">
        <v>452</v>
      </c>
      <c r="F4" s="511" t="s">
        <v>453</v>
      </c>
      <c r="G4" s="511" t="s">
        <v>454</v>
      </c>
      <c r="H4" s="511" t="s">
        <v>455</v>
      </c>
      <c r="I4" s="511" t="s">
        <v>456</v>
      </c>
      <c r="J4" s="511" t="s">
        <v>457</v>
      </c>
      <c r="K4" s="511" t="s">
        <v>458</v>
      </c>
      <c r="L4" s="511" t="s">
        <v>459</v>
      </c>
      <c r="M4" s="511" t="s">
        <v>459</v>
      </c>
      <c r="N4" s="511" t="s">
        <v>460</v>
      </c>
      <c r="O4" s="511" t="s">
        <v>461</v>
      </c>
      <c r="P4" s="511" t="s">
        <v>427</v>
      </c>
      <c r="Q4" s="511" t="s">
        <v>462</v>
      </c>
      <c r="R4" s="511" t="s">
        <v>463</v>
      </c>
      <c r="S4" s="511" t="s">
        <v>464</v>
      </c>
      <c r="T4" s="511" t="s">
        <v>465</v>
      </c>
      <c r="U4" s="511" t="s">
        <v>462</v>
      </c>
      <c r="V4" s="511" t="s">
        <v>466</v>
      </c>
      <c r="W4" s="511" t="s">
        <v>467</v>
      </c>
      <c r="X4" s="511" t="s">
        <v>468</v>
      </c>
      <c r="Y4" s="511" t="s">
        <v>469</v>
      </c>
      <c r="Z4" s="511" t="s">
        <v>470</v>
      </c>
      <c r="AA4" s="511" t="s">
        <v>471</v>
      </c>
      <c r="AB4" s="511" t="s">
        <v>472</v>
      </c>
    </row>
    <row r="5" spans="1:28" x14ac:dyDescent="0.3">
      <c r="A5" s="505" t="s">
        <v>435</v>
      </c>
      <c r="B5" s="506"/>
      <c r="C5" s="506"/>
      <c r="D5" s="506"/>
      <c r="E5" s="506"/>
      <c r="F5" s="506"/>
      <c r="G5" s="506"/>
      <c r="H5" s="506"/>
      <c r="I5" s="506"/>
      <c r="J5" s="506"/>
      <c r="K5" s="506"/>
      <c r="L5" s="506"/>
      <c r="M5" s="506"/>
      <c r="N5" s="506"/>
      <c r="O5" s="506"/>
      <c r="P5" s="506"/>
      <c r="Q5" s="506"/>
      <c r="R5" s="506"/>
      <c r="S5" s="506"/>
      <c r="T5" s="506"/>
      <c r="U5" s="506"/>
      <c r="V5" s="506"/>
      <c r="W5" s="506"/>
      <c r="X5" s="506"/>
      <c r="Y5" s="506"/>
      <c r="Z5" s="506"/>
      <c r="AA5" s="506"/>
      <c r="AB5" s="506"/>
    </row>
  </sheetData>
  <mergeCells count="1">
    <mergeCell ref="B2:AB2"/>
  </mergeCells>
  <dataValidations disablePrompts="1" count="18">
    <dataValidation type="list" allowBlank="1" showErrorMessage="1" sqref="AB4" xr:uid="{E7B4567B-8F72-4A75-9A92-F7557F633AA7}">
      <formula1>"WID,Project_ID"</formula1>
    </dataValidation>
    <dataValidation type="list" allowBlank="1" showErrorMessage="1" sqref="AA4" xr:uid="{844143BE-57B3-4FFE-B9E0-0FBD2CAAEF01}">
      <formula1>"WID,Spend_Category_ID"</formula1>
    </dataValidation>
    <dataValidation type="list" allowBlank="1" showErrorMessage="1" sqref="Z4" xr:uid="{F77A9AFC-4E5B-4B43-BCC1-DBA26681BD06}">
      <formula1>"WID,Revenue_Category_ID"</formula1>
    </dataValidation>
    <dataValidation type="list" allowBlank="1" showErrorMessage="1" sqref="Y4" xr:uid="{D6462C93-E2FD-4279-9825-6B7CEE71EEBB}">
      <formula1>"WID,Business_Unit_ID"</formula1>
    </dataValidation>
    <dataValidation type="list" allowBlank="1" showErrorMessage="1" sqref="X4" xr:uid="{8A21F6D9-E2C6-44CE-BC08-DA54D27087CF}">
      <formula1>"WID,Region_Reference_ID"</formula1>
    </dataValidation>
    <dataValidation type="list" allowBlank="1" showErrorMessage="1" sqref="W4" xr:uid="{E22CA0B4-4A21-4308-A992-361CF0381162}">
      <formula1>"WID,Project_Hierarchy_ID"</formula1>
    </dataValidation>
    <dataValidation type="list" allowBlank="1" showErrorMessage="1" sqref="V4" xr:uid="{F115E940-57D8-4F15-80EF-7360576D5DB4}">
      <formula1>"WID,Program_ID"</formula1>
    </dataValidation>
    <dataValidation type="list" allowBlank="1" showErrorMessage="1" sqref="T4" xr:uid="{8A0082DC-32F8-441E-817D-6F658965AFCF}">
      <formula1>"WID,Gift_Reference_ID"</formula1>
    </dataValidation>
    <dataValidation type="list" allowBlank="1" showErrorMessage="1" sqref="S4" xr:uid="{E1AB6FA0-2537-403A-BE00-77B5616E0CF0}">
      <formula1>"WID,Fund_Hierarchy_ID"</formula1>
    </dataValidation>
    <dataValidation type="list" allowBlank="1" showErrorMessage="1" sqref="R4" xr:uid="{A955D3DF-4107-421C-814C-C1D75720E739}">
      <formula1>"WID,Cost_Center_Reference_ID"</formula1>
    </dataValidation>
    <dataValidation type="list" allowBlank="1" showErrorMessage="1" sqref="Q4 U4" xr:uid="{AB78E062-57AC-4A2B-B433-CADEA384F941}">
      <formula1>"WID,Custom_Organization_Reference_ID"</formula1>
    </dataValidation>
    <dataValidation type="list" allowBlank="1" showErrorMessage="1" sqref="O4" xr:uid="{F4904995-BCC1-4C17-9007-D2D8965FB0DC}">
      <formula1>"WID,Unit_of_Time_ID"</formula1>
    </dataValidation>
    <dataValidation type="list" allowBlank="1" showErrorMessage="1" sqref="K4" xr:uid="{42D072AC-DBB1-4956-AD57-CFA0370FE432}">
      <formula1>"Currency_Numeric_Code,WID,Currency_ID"</formula1>
    </dataValidation>
    <dataValidation type="list" allowBlank="1" showErrorMessage="1" sqref="J4" xr:uid="{29372A7E-431B-4834-9D45-FE68CE15CFFF}">
      <formula1>"WID,Book_Code_ID"</formula1>
    </dataValidation>
    <dataValidation type="list" allowBlank="1" showErrorMessage="1" sqref="I4" xr:uid="{1B213308-CC64-43E5-876B-D13BF6C20A3E}">
      <formula1>"WID,Account_Set_ID"</formula1>
    </dataValidation>
    <dataValidation type="list" allowBlank="1" showErrorMessage="1" sqref="H4" xr:uid="{4595302B-ED25-4B44-BF27-31CBFDA84C42}">
      <formula1>"WID,Ledger_Account_ID,Ledger_Account_Summary_ID"</formula1>
    </dataValidation>
    <dataValidation type="list" allowBlank="1" showErrorMessage="1" sqref="G4" xr:uid="{2182CEF9-EDF8-4F7D-92D0-910CC7B2F9B9}">
      <formula1>"WID,Award_Posting_Interval_ID,Fiscal_Posting_Interval_ID,Fiscal_Summary_Schedule_ID,Fiscal_Summary_Interval_ID"</formula1>
    </dataValidation>
    <dataValidation type="list" allowBlank="1" showErrorMessage="1" sqref="E4" xr:uid="{3B830753-09E9-4C32-9335-D616AC8FCC71}">
      <formula1>"Company_Reference_ID,WID,Cost_Center_Reference_ID,Custom_Organization_Reference_ID,Organization_Reference_ID,Region_Reference_ID"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B286A-3BCB-443B-8ABE-D038F8975C63}">
  <sheetPr codeName="Sheet12">
    <pageSetUpPr autoPageBreaks="0"/>
  </sheetPr>
  <dimension ref="A1:AB5"/>
  <sheetViews>
    <sheetView topLeftCell="F1" workbookViewId="0">
      <pane ySplit="5" topLeftCell="A323" activePane="bottomLeft" state="frozen"/>
      <selection pane="bottomLeft" activeCell="B6" sqref="B6:AB353"/>
    </sheetView>
  </sheetViews>
  <sheetFormatPr defaultRowHeight="14.4" x14ac:dyDescent="0.3"/>
  <cols>
    <col min="2" max="2" width="9.44140625" customWidth="1"/>
    <col min="3" max="3" width="7.5546875" customWidth="1"/>
    <col min="6" max="6" width="8.44140625" customWidth="1"/>
    <col min="7" max="7" width="12.44140625" customWidth="1"/>
    <col min="8" max="8" width="25.88671875" customWidth="1"/>
    <col min="11" max="11" width="13.44140625" customWidth="1"/>
    <col min="12" max="12" width="15.44140625" customWidth="1"/>
    <col min="13" max="13" width="15.5546875" customWidth="1"/>
    <col min="15" max="15" width="12.5546875" customWidth="1"/>
    <col min="21" max="21" width="21.5546875" customWidth="1"/>
  </cols>
  <sheetData>
    <row r="1" spans="1:28" ht="27" customHeight="1" x14ac:dyDescent="0.3">
      <c r="A1" s="914" t="s">
        <v>451</v>
      </c>
      <c r="B1" s="914"/>
      <c r="C1" s="914"/>
      <c r="D1" s="914"/>
      <c r="E1" s="914"/>
      <c r="F1" s="914"/>
      <c r="G1" s="914"/>
      <c r="H1" s="914"/>
      <c r="I1" s="914"/>
      <c r="J1" s="914"/>
      <c r="K1" s="914"/>
      <c r="L1" s="914"/>
      <c r="M1" s="914"/>
      <c r="N1" s="914"/>
      <c r="O1" s="914"/>
      <c r="P1" s="914"/>
      <c r="Q1" s="914"/>
      <c r="R1" s="914"/>
      <c r="S1" s="914"/>
      <c r="T1" s="914"/>
      <c r="U1" s="914"/>
      <c r="V1" s="914"/>
      <c r="W1" s="914"/>
      <c r="X1" s="914"/>
      <c r="Y1" s="914"/>
      <c r="Z1" s="914"/>
      <c r="AA1" s="914"/>
      <c r="AB1" s="914"/>
    </row>
    <row r="2" spans="1:28" x14ac:dyDescent="0.3">
      <c r="A2" s="505" t="s">
        <v>419</v>
      </c>
      <c r="B2" s="1449" t="s">
        <v>420</v>
      </c>
      <c r="C2" s="1447"/>
      <c r="D2" s="1447"/>
      <c r="E2" s="1447"/>
      <c r="F2" s="1447"/>
      <c r="G2" s="1447"/>
      <c r="H2" s="1447"/>
      <c r="I2" s="1447"/>
      <c r="J2" s="1447"/>
      <c r="K2" s="1447"/>
      <c r="L2" s="1447"/>
      <c r="M2" s="1448"/>
      <c r="N2" s="1448"/>
      <c r="O2" s="1447"/>
      <c r="P2" s="1448"/>
      <c r="Q2" s="1448"/>
      <c r="R2" s="1447"/>
      <c r="S2" s="1448"/>
      <c r="T2" s="1448"/>
      <c r="U2" s="1448"/>
      <c r="V2" s="1448"/>
      <c r="W2" s="1448"/>
      <c r="X2" s="1447"/>
      <c r="Y2" s="1447"/>
      <c r="Z2" s="1447"/>
      <c r="AA2" s="1448"/>
      <c r="AB2" s="1448"/>
    </row>
    <row r="3" spans="1:28" s="512" customFormat="1" x14ac:dyDescent="0.3">
      <c r="A3" s="510" t="s">
        <v>423</v>
      </c>
      <c r="B3" s="511" t="s">
        <v>424</v>
      </c>
      <c r="C3" s="511" t="s">
        <v>424</v>
      </c>
      <c r="D3" s="511" t="s">
        <v>425</v>
      </c>
      <c r="E3" s="511" t="s">
        <v>424</v>
      </c>
      <c r="F3" s="511" t="s">
        <v>425</v>
      </c>
      <c r="G3" s="511" t="s">
        <v>425</v>
      </c>
      <c r="H3" s="511" t="s">
        <v>425</v>
      </c>
      <c r="I3" s="511" t="s">
        <v>425</v>
      </c>
      <c r="J3" s="511" t="s">
        <v>425</v>
      </c>
      <c r="K3" s="511" t="s">
        <v>425</v>
      </c>
      <c r="L3" s="511" t="s">
        <v>425</v>
      </c>
      <c r="M3" s="511" t="s">
        <v>425</v>
      </c>
      <c r="N3" s="511" t="s">
        <v>425</v>
      </c>
      <c r="O3" s="511" t="s">
        <v>425</v>
      </c>
      <c r="P3" s="511" t="s">
        <v>425</v>
      </c>
      <c r="Q3" s="511" t="s">
        <v>425</v>
      </c>
      <c r="R3" s="511" t="s">
        <v>425</v>
      </c>
      <c r="S3" s="511" t="s">
        <v>425</v>
      </c>
      <c r="T3" s="511" t="s">
        <v>425</v>
      </c>
      <c r="U3" s="511" t="s">
        <v>425</v>
      </c>
      <c r="V3" s="511" t="s">
        <v>425</v>
      </c>
      <c r="W3" s="511" t="s">
        <v>425</v>
      </c>
      <c r="X3" s="511" t="s">
        <v>425</v>
      </c>
      <c r="Y3" s="511" t="s">
        <v>425</v>
      </c>
      <c r="Z3" s="511" t="s">
        <v>425</v>
      </c>
      <c r="AA3" s="511" t="s">
        <v>425</v>
      </c>
      <c r="AB3" s="511" t="s">
        <v>425</v>
      </c>
    </row>
    <row r="4" spans="1:28" s="512" customFormat="1" ht="30.6" x14ac:dyDescent="0.3">
      <c r="A4" s="510" t="s">
        <v>426</v>
      </c>
      <c r="B4" s="511" t="s">
        <v>427</v>
      </c>
      <c r="C4" s="511" t="s">
        <v>427</v>
      </c>
      <c r="D4" s="511" t="s">
        <v>427</v>
      </c>
      <c r="E4" s="511" t="s">
        <v>452</v>
      </c>
      <c r="F4" s="511" t="s">
        <v>453</v>
      </c>
      <c r="G4" s="511" t="s">
        <v>454</v>
      </c>
      <c r="H4" s="511" t="s">
        <v>455</v>
      </c>
      <c r="I4" s="511" t="s">
        <v>456</v>
      </c>
      <c r="J4" s="511" t="s">
        <v>457</v>
      </c>
      <c r="K4" s="511" t="s">
        <v>458</v>
      </c>
      <c r="L4" s="511" t="s">
        <v>459</v>
      </c>
      <c r="M4" s="511" t="s">
        <v>459</v>
      </c>
      <c r="N4" s="511" t="s">
        <v>460</v>
      </c>
      <c r="O4" s="511" t="s">
        <v>461</v>
      </c>
      <c r="P4" s="511" t="s">
        <v>427</v>
      </c>
      <c r="Q4" s="511" t="s">
        <v>462</v>
      </c>
      <c r="R4" s="511" t="s">
        <v>463</v>
      </c>
      <c r="S4" s="511" t="s">
        <v>464</v>
      </c>
      <c r="T4" s="511" t="s">
        <v>465</v>
      </c>
      <c r="U4" s="511" t="s">
        <v>462</v>
      </c>
      <c r="V4" s="511" t="s">
        <v>466</v>
      </c>
      <c r="W4" s="511" t="s">
        <v>467</v>
      </c>
      <c r="X4" s="511" t="s">
        <v>468</v>
      </c>
      <c r="Y4" s="511" t="s">
        <v>469</v>
      </c>
      <c r="Z4" s="511" t="s">
        <v>470</v>
      </c>
      <c r="AA4" s="511" t="s">
        <v>471</v>
      </c>
      <c r="AB4" s="511" t="s">
        <v>472</v>
      </c>
    </row>
    <row r="5" spans="1:28" x14ac:dyDescent="0.3">
      <c r="A5" s="505" t="s">
        <v>435</v>
      </c>
      <c r="B5" s="506"/>
      <c r="C5" s="506"/>
      <c r="D5" s="506"/>
      <c r="E5" s="506"/>
      <c r="F5" s="506"/>
      <c r="G5" s="506"/>
      <c r="H5" s="506"/>
      <c r="I5" s="506"/>
      <c r="J5" s="506"/>
      <c r="K5" s="506"/>
      <c r="L5" s="506"/>
      <c r="M5" s="506"/>
      <c r="N5" s="506"/>
      <c r="O5" s="506"/>
      <c r="P5" s="506"/>
      <c r="Q5" s="506"/>
      <c r="R5" s="506"/>
      <c r="S5" s="506"/>
      <c r="T5" s="506"/>
      <c r="U5" s="506"/>
      <c r="V5" s="506"/>
      <c r="W5" s="506"/>
      <c r="X5" s="506"/>
      <c r="Y5" s="506"/>
      <c r="Z5" s="506"/>
      <c r="AA5" s="506"/>
      <c r="AB5" s="506"/>
    </row>
  </sheetData>
  <mergeCells count="1">
    <mergeCell ref="B2:AB2"/>
  </mergeCells>
  <dataValidations count="18">
    <dataValidation type="list" allowBlank="1" showErrorMessage="1" sqref="E4" xr:uid="{D53A32FB-1648-4007-B1E7-17F41D5E24DC}">
      <formula1>"Company_Reference_ID,WID,Cost_Center_Reference_ID,Custom_Organization_Reference_ID,Organization_Reference_ID,Region_Reference_ID"</formula1>
    </dataValidation>
    <dataValidation type="list" allowBlank="1" showErrorMessage="1" sqref="G4" xr:uid="{609FF46F-D59D-4881-8A25-A87FB1F39340}">
      <formula1>"WID,Award_Posting_Interval_ID,Fiscal_Posting_Interval_ID,Fiscal_Summary_Schedule_ID,Fiscal_Summary_Interval_ID"</formula1>
    </dataValidation>
    <dataValidation type="list" allowBlank="1" showErrorMessage="1" sqref="H4" xr:uid="{B2D1F382-6F5B-474B-B26D-63181307776D}">
      <formula1>"WID,Ledger_Account_ID,Ledger_Account_Summary_ID"</formula1>
    </dataValidation>
    <dataValidation type="list" allowBlank="1" showErrorMessage="1" sqref="I4" xr:uid="{B3E56EEF-6A64-47D3-A6D7-8FC3AEA92ACE}">
      <formula1>"WID,Account_Set_ID"</formula1>
    </dataValidation>
    <dataValidation type="list" allowBlank="1" showErrorMessage="1" sqref="J4" xr:uid="{A062A878-2030-4DC4-966B-A066165C9E3D}">
      <formula1>"WID,Book_Code_ID"</formula1>
    </dataValidation>
    <dataValidation type="list" allowBlank="1" showErrorMessage="1" sqref="K4" xr:uid="{9072E363-4554-4253-A9AF-9840E43588A1}">
      <formula1>"Currency_Numeric_Code,WID,Currency_ID"</formula1>
    </dataValidation>
    <dataValidation type="list" allowBlank="1" showErrorMessage="1" sqref="O4" xr:uid="{255F4B2C-4206-486B-B7A4-7C14877A5EF8}">
      <formula1>"WID,Unit_of_Time_ID"</formula1>
    </dataValidation>
    <dataValidation type="list" allowBlank="1" showErrorMessage="1" sqref="Q4 U4" xr:uid="{CE78BC96-90CC-4869-99CF-4BFBB1BD8AF7}">
      <formula1>"WID,Custom_Organization_Reference_ID"</formula1>
    </dataValidation>
    <dataValidation type="list" allowBlank="1" showErrorMessage="1" sqref="R4" xr:uid="{6AD50290-B85B-4CA9-BB60-64BBBEA4BE87}">
      <formula1>"WID,Cost_Center_Reference_ID"</formula1>
    </dataValidation>
    <dataValidation type="list" allowBlank="1" showErrorMessage="1" sqref="S4" xr:uid="{112883A7-1D44-49AD-BECE-C78364A91B03}">
      <formula1>"WID,Fund_Hierarchy_ID"</formula1>
    </dataValidation>
    <dataValidation type="list" allowBlank="1" showErrorMessage="1" sqref="T4" xr:uid="{447B6678-3685-4743-99FC-46847EAD7492}">
      <formula1>"WID,Gift_Reference_ID"</formula1>
    </dataValidation>
    <dataValidation type="list" allowBlank="1" showErrorMessage="1" sqref="V4" xr:uid="{42C33BB8-716C-40BD-BEF4-06CBE9AAA88C}">
      <formula1>"WID,Program_ID"</formula1>
    </dataValidation>
    <dataValidation type="list" allowBlank="1" showErrorMessage="1" sqref="W4" xr:uid="{5605EC64-5330-4286-840A-991B29A4BEBA}">
      <formula1>"WID,Project_Hierarchy_ID"</formula1>
    </dataValidation>
    <dataValidation type="list" allowBlank="1" showErrorMessage="1" sqref="X4" xr:uid="{A520B29F-7055-491C-BAB7-A27A1D1AB614}">
      <formula1>"WID,Region_Reference_ID"</formula1>
    </dataValidation>
    <dataValidation type="list" allowBlank="1" showErrorMessage="1" sqref="Y4" xr:uid="{9D392EDA-714F-4F99-A026-24268475397F}">
      <formula1>"WID,Business_Unit_ID"</formula1>
    </dataValidation>
    <dataValidation type="list" allowBlank="1" showErrorMessage="1" sqref="Z4" xr:uid="{AD8D7045-3EB2-4BC5-86BE-0186282D8E52}">
      <formula1>"WID,Revenue_Category_ID"</formula1>
    </dataValidation>
    <dataValidation type="list" allowBlank="1" showErrorMessage="1" sqref="AA4" xr:uid="{4EA35548-68F3-45EC-AD70-C17B1BBCA8A9}">
      <formula1>"WID,Spend_Category_ID"</formula1>
    </dataValidation>
    <dataValidation type="list" allowBlank="1" showErrorMessage="1" sqref="AB4" xr:uid="{50149CE8-62EC-46B4-8770-00D5ECFAA49C}">
      <formula1>"WID,Project_ID"</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5DE4-B31F-4F23-A773-3B86EE93CFD7}">
  <sheetPr codeName="Sheet22">
    <tabColor rgb="FFFFFF00"/>
    <pageSetUpPr autoPageBreaks="0" fitToPage="1"/>
  </sheetPr>
  <dimension ref="A1:DO253"/>
  <sheetViews>
    <sheetView showGridLines="0" zoomScaleNormal="100" zoomScaleSheetLayoutView="100" workbookViewId="0">
      <pane ySplit="1" topLeftCell="A2" activePane="bottomLeft" state="frozen"/>
      <selection pane="bottomLeft" activeCell="Y21" sqref="Y21"/>
    </sheetView>
  </sheetViews>
  <sheetFormatPr defaultColWidth="8.5546875" defaultRowHeight="14.4" outlineLevelCol="1" x14ac:dyDescent="0.3"/>
  <cols>
    <col min="1" max="1" width="3.5546875" style="11" customWidth="1"/>
    <col min="2" max="2" width="16" style="11" customWidth="1"/>
    <col min="3" max="3" width="19.44140625" style="11" customWidth="1"/>
    <col min="4" max="4" width="11.5546875" style="11" customWidth="1"/>
    <col min="5" max="5" width="12.44140625" style="11" customWidth="1"/>
    <col min="6" max="6" width="13.5546875" style="11" customWidth="1"/>
    <col min="7" max="7" width="12.5546875" style="11" customWidth="1"/>
    <col min="8" max="10" width="11.5546875" style="11" customWidth="1"/>
    <col min="11" max="15" width="11.5546875" style="11" customWidth="1" outlineLevel="1"/>
    <col min="16" max="16" width="11.5546875" style="11" customWidth="1"/>
    <col min="17" max="17" width="5.44140625" style="11" customWidth="1"/>
    <col min="18" max="18" width="1.44140625" style="11" customWidth="1"/>
    <col min="19" max="19" width="47.5546875" style="11" hidden="1" customWidth="1"/>
    <col min="20" max="20" width="15.5546875" style="11" hidden="1" customWidth="1"/>
    <col min="21" max="21" width="13.44140625" style="11" hidden="1" customWidth="1"/>
    <col min="22" max="22" width="9.44140625" style="11" hidden="1" customWidth="1"/>
    <col min="23" max="23" width="8.5546875" style="11"/>
    <col min="24" max="24" width="15.44140625" style="11" bestFit="1" customWidth="1"/>
    <col min="25" max="16384" width="8.5546875" style="11"/>
  </cols>
  <sheetData>
    <row r="1" spans="1:24" ht="61.2" customHeight="1" thickTop="1" thickBot="1" x14ac:dyDescent="0.35">
      <c r="A1" s="1460"/>
      <c r="B1" s="1461"/>
      <c r="C1" s="1461"/>
      <c r="D1" s="1461"/>
      <c r="E1" s="1461"/>
      <c r="F1" s="1461"/>
      <c r="G1" s="1461"/>
      <c r="H1" s="1461"/>
      <c r="I1" s="1461"/>
      <c r="J1" s="1461"/>
      <c r="K1" s="1461"/>
      <c r="L1" s="1461"/>
      <c r="M1" s="1461"/>
      <c r="N1" s="1461"/>
      <c r="O1" s="1461"/>
      <c r="P1" s="1461"/>
      <c r="Q1" s="1462"/>
      <c r="S1" s="915"/>
      <c r="T1" s="916"/>
      <c r="U1" s="916"/>
      <c r="V1" s="916"/>
    </row>
    <row r="2" spans="1:24" ht="33" customHeight="1" thickBot="1" x14ac:dyDescent="0.35">
      <c r="A2" s="917"/>
      <c r="B2" s="917"/>
      <c r="C2" s="917"/>
      <c r="D2" s="917"/>
      <c r="E2" s="917" t="s">
        <v>475</v>
      </c>
      <c r="F2" s="917"/>
      <c r="G2" s="917"/>
      <c r="H2" s="917"/>
      <c r="I2" s="917"/>
      <c r="J2" s="917"/>
      <c r="K2" s="917"/>
      <c r="L2" s="917"/>
      <c r="M2" s="917"/>
      <c r="N2" s="917"/>
      <c r="O2" s="917"/>
      <c r="P2" s="917"/>
      <c r="Q2" s="917"/>
    </row>
    <row r="3" spans="1:24" ht="25.5" customHeight="1" thickBot="1" x14ac:dyDescent="0.35">
      <c r="A3" s="1463" t="s">
        <v>173</v>
      </c>
      <c r="B3" s="1464"/>
      <c r="C3" s="1464"/>
      <c r="D3" s="1464"/>
      <c r="E3" s="1464"/>
      <c r="F3" s="1464"/>
      <c r="G3" s="1464"/>
      <c r="H3" s="1464"/>
      <c r="I3" s="1464"/>
      <c r="J3" s="1464"/>
      <c r="K3" s="1464"/>
      <c r="L3" s="1464"/>
      <c r="M3" s="1464"/>
      <c r="N3" s="1464"/>
      <c r="O3" s="1464"/>
      <c r="P3" s="1464"/>
      <c r="Q3" s="1465"/>
      <c r="S3" s="918" t="s">
        <v>175</v>
      </c>
      <c r="T3" s="919" t="s">
        <v>176</v>
      </c>
      <c r="U3" s="920"/>
      <c r="V3" s="920"/>
    </row>
    <row r="4" spans="1:24" ht="15" customHeight="1" x14ac:dyDescent="0.3">
      <c r="A4" s="41"/>
      <c r="B4" s="99"/>
      <c r="C4" s="99"/>
      <c r="D4" s="99"/>
      <c r="E4" s="99"/>
      <c r="F4" s="99"/>
      <c r="G4" s="99"/>
      <c r="H4" s="99"/>
      <c r="I4" s="99"/>
      <c r="J4" s="99"/>
      <c r="K4" s="99"/>
      <c r="L4" s="99"/>
      <c r="M4" s="99"/>
      <c r="N4" s="99"/>
      <c r="O4" s="99"/>
      <c r="P4" s="99"/>
      <c r="Q4" s="103"/>
      <c r="S4" s="1518"/>
      <c r="T4" s="921"/>
      <c r="U4" s="922" t="s">
        <v>177</v>
      </c>
      <c r="V4" s="922" t="s">
        <v>153</v>
      </c>
    </row>
    <row r="5" spans="1:24" ht="15" customHeight="1" x14ac:dyDescent="0.3">
      <c r="A5" s="41"/>
      <c r="B5" s="75"/>
      <c r="C5" s="96"/>
      <c r="D5" s="96"/>
      <c r="E5" s="96"/>
      <c r="F5" s="96"/>
      <c r="G5" s="75"/>
      <c r="H5" s="96"/>
      <c r="I5" s="1466"/>
      <c r="J5" s="1466"/>
      <c r="K5" s="97"/>
      <c r="L5" s="97"/>
      <c r="M5" s="97"/>
      <c r="N5" s="97"/>
      <c r="O5" s="97"/>
      <c r="P5" s="23"/>
      <c r="Q5" s="98"/>
      <c r="S5" s="1519"/>
      <c r="T5" s="923" t="s">
        <v>178</v>
      </c>
      <c r="U5" s="924">
        <f>P66</f>
        <v>0</v>
      </c>
      <c r="V5" s="925" t="str">
        <f>IFERROR(U5/(U5+U7),"")</f>
        <v/>
      </c>
      <c r="X5" s="926"/>
    </row>
    <row r="6" spans="1:24" ht="5.0999999999999996" customHeight="1" x14ac:dyDescent="0.3">
      <c r="A6" s="41"/>
      <c r="B6" s="96"/>
      <c r="C6" s="96"/>
      <c r="D6" s="99"/>
      <c r="E6" s="99"/>
      <c r="F6" s="96"/>
      <c r="G6" s="96"/>
      <c r="H6" s="99"/>
      <c r="I6" s="99"/>
      <c r="J6" s="100"/>
      <c r="K6" s="100"/>
      <c r="L6" s="100"/>
      <c r="M6" s="100"/>
      <c r="N6" s="100"/>
      <c r="O6" s="100"/>
      <c r="P6" s="23"/>
      <c r="Q6" s="98"/>
      <c r="S6" s="1519"/>
      <c r="T6" s="923"/>
      <c r="U6" s="927"/>
      <c r="V6" s="927"/>
      <c r="X6" s="926"/>
    </row>
    <row r="7" spans="1:24" ht="15" customHeight="1" x14ac:dyDescent="0.3">
      <c r="A7" s="41"/>
      <c r="B7" s="75" t="s">
        <v>339</v>
      </c>
      <c r="C7" s="75"/>
      <c r="D7" s="1451">
        <f>'Budget Form'!D8</f>
        <v>0</v>
      </c>
      <c r="E7" s="1452"/>
      <c r="F7" s="1452"/>
      <c r="G7" s="1452"/>
      <c r="H7" s="1452"/>
      <c r="I7" s="1452"/>
      <c r="J7" s="1453"/>
      <c r="K7" s="23"/>
      <c r="L7" s="23"/>
      <c r="M7" s="23"/>
      <c r="N7" s="23"/>
      <c r="O7" s="23"/>
      <c r="P7" s="23"/>
      <c r="Q7" s="39"/>
      <c r="S7" s="1519"/>
      <c r="T7" s="923" t="s">
        <v>180</v>
      </c>
      <c r="U7" s="924">
        <f>P90</f>
        <v>0</v>
      </c>
      <c r="V7" s="925" t="str">
        <f>IFERROR(U7/(U5+U7),"")</f>
        <v/>
      </c>
    </row>
    <row r="8" spans="1:24" ht="5.0999999999999996" customHeight="1" x14ac:dyDescent="0.3">
      <c r="A8" s="41"/>
      <c r="B8" s="75"/>
      <c r="C8" s="75"/>
      <c r="D8" s="97"/>
      <c r="E8" s="97"/>
      <c r="F8" s="99"/>
      <c r="G8" s="96"/>
      <c r="H8" s="97"/>
      <c r="I8" s="97"/>
      <c r="J8" s="97"/>
      <c r="K8" s="23"/>
      <c r="L8" s="23"/>
      <c r="M8" s="23"/>
      <c r="N8" s="23"/>
      <c r="O8" s="23"/>
      <c r="P8" s="23"/>
      <c r="Q8" s="40"/>
      <c r="S8" s="1519"/>
    </row>
    <row r="9" spans="1:24" ht="15" customHeight="1" x14ac:dyDescent="0.3">
      <c r="A9" s="41"/>
      <c r="B9" s="75" t="s">
        <v>476</v>
      </c>
      <c r="C9" s="75"/>
      <c r="D9" s="1451" t="str">
        <f>'Budget Form'!D10</f>
        <v>Other</v>
      </c>
      <c r="E9" s="1452"/>
      <c r="F9" s="1452"/>
      <c r="G9" s="1452"/>
      <c r="H9" s="1452"/>
      <c r="I9" s="1452"/>
      <c r="J9" s="1453"/>
      <c r="K9" s="23"/>
      <c r="L9" s="23"/>
      <c r="M9" s="23"/>
      <c r="N9" s="23"/>
      <c r="O9" s="23"/>
      <c r="P9" s="23"/>
      <c r="Q9" s="39"/>
      <c r="S9" s="1519"/>
      <c r="U9" s="928"/>
      <c r="V9" s="929"/>
      <c r="W9" s="929"/>
      <c r="X9" s="930"/>
    </row>
    <row r="10" spans="1:24" ht="4.5" hidden="1" customHeight="1" x14ac:dyDescent="0.3">
      <c r="A10" s="41"/>
      <c r="B10" s="75"/>
      <c r="C10" s="75"/>
      <c r="D10" s="102"/>
      <c r="E10" s="102"/>
      <c r="F10" s="102"/>
      <c r="G10" s="102"/>
      <c r="H10" s="102"/>
      <c r="I10" s="102"/>
      <c r="J10" s="102"/>
      <c r="K10" s="23"/>
      <c r="L10" s="23"/>
      <c r="M10" s="23"/>
      <c r="N10" s="23"/>
      <c r="O10" s="23"/>
      <c r="P10" s="23"/>
      <c r="Q10" s="39"/>
      <c r="S10" s="1519"/>
    </row>
    <row r="11" spans="1:24" ht="15.75" hidden="1" customHeight="1" x14ac:dyDescent="0.3">
      <c r="A11" s="41"/>
      <c r="B11" s="75" t="s">
        <v>182</v>
      </c>
      <c r="C11" s="75"/>
      <c r="D11" s="1467" t="e">
        <f>IF(tbExternalParty2="","",tbExternalParty2)</f>
        <v>#REF!</v>
      </c>
      <c r="E11" s="1468"/>
      <c r="F11" s="1468"/>
      <c r="G11" s="1468"/>
      <c r="H11" s="1468"/>
      <c r="I11" s="1468"/>
      <c r="J11" s="1469"/>
      <c r="K11" s="23"/>
      <c r="L11" s="23"/>
      <c r="M11" s="23"/>
      <c r="N11" s="23"/>
      <c r="O11" s="23"/>
      <c r="P11" s="23"/>
      <c r="Q11" s="39"/>
      <c r="S11" s="1519"/>
    </row>
    <row r="12" spans="1:24" ht="4.5" hidden="1" customHeight="1" x14ac:dyDescent="0.3">
      <c r="A12" s="41"/>
      <c r="B12" s="75"/>
      <c r="C12" s="75"/>
      <c r="D12" s="102"/>
      <c r="E12" s="102"/>
      <c r="F12" s="102"/>
      <c r="G12" s="102"/>
      <c r="H12" s="102"/>
      <c r="I12" s="102"/>
      <c r="J12" s="102"/>
      <c r="K12" s="23"/>
      <c r="L12" s="23"/>
      <c r="M12" s="23"/>
      <c r="N12" s="23"/>
      <c r="O12" s="23"/>
      <c r="P12" s="23"/>
      <c r="Q12" s="39"/>
      <c r="S12" s="1519"/>
    </row>
    <row r="13" spans="1:24" ht="15.75" hidden="1" customHeight="1" x14ac:dyDescent="0.3">
      <c r="A13" s="41"/>
      <c r="B13" s="75" t="s">
        <v>183</v>
      </c>
      <c r="C13" s="75"/>
      <c r="D13" s="1467" t="e">
        <f>IF(tbExternalParty3="","",tbExternalParty3)</f>
        <v>#REF!</v>
      </c>
      <c r="E13" s="1468"/>
      <c r="F13" s="1468"/>
      <c r="G13" s="1468"/>
      <c r="H13" s="1468"/>
      <c r="I13" s="1468"/>
      <c r="J13" s="1469"/>
      <c r="K13" s="23"/>
      <c r="L13" s="23"/>
      <c r="M13" s="23"/>
      <c r="N13" s="23"/>
      <c r="O13" s="23"/>
      <c r="P13" s="23"/>
      <c r="Q13" s="39"/>
      <c r="S13" s="1519"/>
    </row>
    <row r="14" spans="1:24" ht="4.5" hidden="1" customHeight="1" x14ac:dyDescent="0.3">
      <c r="A14" s="41"/>
      <c r="B14" s="75"/>
      <c r="C14" s="75"/>
      <c r="D14" s="102"/>
      <c r="E14" s="102"/>
      <c r="F14" s="102"/>
      <c r="G14" s="102"/>
      <c r="H14" s="102"/>
      <c r="I14" s="102"/>
      <c r="J14" s="102"/>
      <c r="K14" s="23"/>
      <c r="L14" s="23"/>
      <c r="M14" s="23"/>
      <c r="N14" s="23"/>
      <c r="O14" s="23"/>
      <c r="P14" s="23"/>
      <c r="Q14" s="39"/>
      <c r="S14" s="1519"/>
    </row>
    <row r="15" spans="1:24" ht="16.5" hidden="1" customHeight="1" x14ac:dyDescent="0.3">
      <c r="A15" s="41"/>
      <c r="B15" s="75" t="s">
        <v>184</v>
      </c>
      <c r="C15" s="75"/>
      <c r="D15" s="1467" t="e">
        <f>IF(tbExternalParty4="","",tbExternalParty4)</f>
        <v>#REF!</v>
      </c>
      <c r="E15" s="1468"/>
      <c r="F15" s="1468"/>
      <c r="G15" s="1468"/>
      <c r="H15" s="1468"/>
      <c r="I15" s="1468"/>
      <c r="J15" s="1469"/>
      <c r="K15" s="23"/>
      <c r="L15" s="23"/>
      <c r="M15" s="23"/>
      <c r="N15" s="23"/>
      <c r="O15" s="23"/>
      <c r="P15" s="23"/>
      <c r="Q15" s="39"/>
      <c r="S15" s="1519"/>
    </row>
    <row r="16" spans="1:24" ht="3.75" customHeight="1" x14ac:dyDescent="0.3">
      <c r="A16" s="41"/>
      <c r="B16" s="75"/>
      <c r="C16" s="75"/>
      <c r="D16" s="102"/>
      <c r="E16" s="102"/>
      <c r="F16" s="102"/>
      <c r="G16" s="102"/>
      <c r="H16" s="102"/>
      <c r="I16" s="102"/>
      <c r="J16" s="102"/>
      <c r="K16" s="23"/>
      <c r="L16" s="23"/>
      <c r="M16" s="23"/>
      <c r="N16" s="23"/>
      <c r="O16" s="23"/>
      <c r="P16" s="23"/>
      <c r="Q16" s="39"/>
      <c r="S16" s="1519"/>
    </row>
    <row r="17" spans="1:25" ht="15" customHeight="1" x14ac:dyDescent="0.3">
      <c r="A17" s="41"/>
      <c r="B17" s="75" t="s">
        <v>477</v>
      </c>
      <c r="C17" s="75"/>
      <c r="D17" s="1451">
        <f>'Budget Form'!D18</f>
        <v>0</v>
      </c>
      <c r="E17" s="1452"/>
      <c r="F17" s="1452"/>
      <c r="G17" s="1452"/>
      <c r="H17" s="1452"/>
      <c r="I17" s="1452"/>
      <c r="J17" s="1453"/>
      <c r="K17" s="23"/>
      <c r="L17" s="23"/>
      <c r="M17" s="23"/>
      <c r="N17" s="23"/>
      <c r="O17" s="23"/>
      <c r="P17" s="23"/>
      <c r="Q17" s="40"/>
      <c r="S17" s="1519"/>
    </row>
    <row r="18" spans="1:25" ht="5.0999999999999996" customHeight="1" x14ac:dyDescent="0.3">
      <c r="A18" s="41"/>
      <c r="B18" s="75"/>
      <c r="C18" s="75"/>
      <c r="D18" s="203"/>
      <c r="E18" s="97"/>
      <c r="F18" s="203"/>
      <c r="G18" s="76"/>
      <c r="H18" s="97"/>
      <c r="I18" s="97"/>
      <c r="J18" s="97"/>
      <c r="K18" s="23"/>
      <c r="L18" s="23"/>
      <c r="M18" s="23"/>
      <c r="N18" s="23"/>
      <c r="O18" s="23"/>
      <c r="P18" s="23"/>
      <c r="Q18" s="40"/>
      <c r="S18" s="1519"/>
    </row>
    <row r="19" spans="1:25" ht="15" customHeight="1" x14ac:dyDescent="0.3">
      <c r="A19" s="41"/>
      <c r="B19" s="75" t="s">
        <v>478</v>
      </c>
      <c r="C19" s="75"/>
      <c r="D19" s="1451">
        <f>'Budget Form'!D20</f>
        <v>0</v>
      </c>
      <c r="E19" s="1452"/>
      <c r="F19" s="1452"/>
      <c r="G19" s="1452"/>
      <c r="H19" s="1452"/>
      <c r="I19" s="1452"/>
      <c r="J19" s="1453"/>
      <c r="K19" s="23"/>
      <c r="L19" s="23"/>
      <c r="M19" s="23"/>
      <c r="N19" s="23"/>
      <c r="O19" s="23"/>
      <c r="P19" s="23"/>
      <c r="Q19" s="40"/>
      <c r="S19" s="1519"/>
    </row>
    <row r="20" spans="1:25" ht="5.0999999999999996" customHeight="1" x14ac:dyDescent="0.3">
      <c r="A20" s="41"/>
      <c r="B20" s="75"/>
      <c r="C20" s="75"/>
      <c r="D20" s="203"/>
      <c r="E20" s="99"/>
      <c r="F20" s="99"/>
      <c r="G20" s="96"/>
      <c r="H20" s="97"/>
      <c r="I20" s="97"/>
      <c r="J20" s="75"/>
      <c r="K20" s="23"/>
      <c r="L20" s="23"/>
      <c r="M20" s="23"/>
      <c r="N20" s="23"/>
      <c r="O20" s="23"/>
      <c r="P20" s="23"/>
      <c r="Q20" s="39"/>
      <c r="S20" s="1519"/>
    </row>
    <row r="21" spans="1:25" ht="15" customHeight="1" x14ac:dyDescent="0.3">
      <c r="A21" s="41"/>
      <c r="B21" s="75" t="s">
        <v>270</v>
      </c>
      <c r="C21" s="75"/>
      <c r="D21" s="1470">
        <f>'Budget Form'!D22</f>
        <v>0</v>
      </c>
      <c r="E21" s="1471"/>
      <c r="F21" s="1472"/>
      <c r="G21" s="76" t="s">
        <v>13</v>
      </c>
      <c r="H21" s="203"/>
      <c r="I21" s="1454">
        <f>'Budget Form'!I20</f>
        <v>0</v>
      </c>
      <c r="J21" s="1455"/>
      <c r="K21" s="23"/>
      <c r="L21" s="23"/>
      <c r="M21" s="23"/>
      <c r="N21" s="23"/>
      <c r="O21" s="23"/>
      <c r="P21" s="23"/>
      <c r="Q21" s="103"/>
      <c r="S21" s="1519"/>
      <c r="U21" s="928"/>
      <c r="V21" s="931"/>
      <c r="W21" s="931"/>
      <c r="X21" s="932"/>
    </row>
    <row r="22" spans="1:25" ht="9.75" customHeight="1" x14ac:dyDescent="0.3">
      <c r="A22" s="41"/>
      <c r="B22" s="75"/>
      <c r="C22" s="75"/>
      <c r="D22" s="203"/>
      <c r="E22" s="97"/>
      <c r="F22" s="203"/>
      <c r="G22" s="96"/>
      <c r="H22" s="97"/>
      <c r="I22" s="97"/>
      <c r="J22" s="75"/>
      <c r="K22" s="23"/>
      <c r="L22" s="23"/>
      <c r="M22" s="23"/>
      <c r="N22" s="23"/>
      <c r="O22" s="23"/>
      <c r="P22" s="23"/>
      <c r="Q22" s="39"/>
      <c r="S22" s="1519"/>
      <c r="U22" s="928"/>
      <c r="V22" s="929"/>
      <c r="W22" s="929"/>
      <c r="X22" s="930"/>
    </row>
    <row r="23" spans="1:25" ht="15" customHeight="1" x14ac:dyDescent="0.3">
      <c r="A23" s="41"/>
      <c r="B23" s="101" t="s">
        <v>479</v>
      </c>
      <c r="C23" s="75"/>
      <c r="D23" s="187" t="s">
        <v>188</v>
      </c>
      <c r="E23" s="187" t="s">
        <v>16</v>
      </c>
      <c r="F23" s="187" t="s">
        <v>189</v>
      </c>
      <c r="G23" s="187" t="s">
        <v>18</v>
      </c>
      <c r="H23" s="99"/>
      <c r="I23" s="1456" t="s">
        <v>190</v>
      </c>
      <c r="J23" s="1457"/>
      <c r="K23" s="23"/>
      <c r="L23" s="23"/>
      <c r="M23" s="23"/>
      <c r="N23" s="23"/>
      <c r="O23" s="23"/>
      <c r="P23" s="23"/>
      <c r="Q23" s="104"/>
      <c r="S23" s="1519"/>
    </row>
    <row r="24" spans="1:25" x14ac:dyDescent="0.3">
      <c r="A24" s="41"/>
      <c r="B24" s="75"/>
      <c r="C24" s="75"/>
      <c r="D24" s="183">
        <f>'Budget Form'!D25</f>
        <v>2026</v>
      </c>
      <c r="E24" s="183" t="str">
        <f>'Budget Form'!E25</f>
        <v>January</v>
      </c>
      <c r="F24" s="183">
        <f>'Budget Form'!F25</f>
        <v>2030</v>
      </c>
      <c r="G24" s="183" t="str">
        <f>'Budget Form'!G25</f>
        <v>December</v>
      </c>
      <c r="H24" s="99"/>
      <c r="I24" s="1458" t="str">
        <f>'Budget Form'!I25</f>
        <v>AUD - Australian Dollar</v>
      </c>
      <c r="J24" s="1459"/>
      <c r="K24" s="1141" t="str">
        <f>IF(tb_xrate="","",tb_xrate)</f>
        <v/>
      </c>
      <c r="L24" s="23"/>
      <c r="M24" s="23"/>
      <c r="N24" s="23"/>
      <c r="O24" s="23"/>
      <c r="P24" s="933"/>
      <c r="Q24" s="103"/>
      <c r="S24" s="1519"/>
    </row>
    <row r="25" spans="1:25" ht="5.0999999999999996" customHeight="1" x14ac:dyDescent="0.3">
      <c r="A25" s="41"/>
      <c r="B25" s="99"/>
      <c r="C25" s="99"/>
      <c r="D25" s="99"/>
      <c r="E25" s="99"/>
      <c r="F25" s="99"/>
      <c r="G25" s="96"/>
      <c r="H25" s="99"/>
      <c r="I25" s="99"/>
      <c r="J25" s="99"/>
      <c r="K25" s="23"/>
      <c r="L25" s="23"/>
      <c r="M25" s="23"/>
      <c r="N25" s="23"/>
      <c r="O25" s="23"/>
      <c r="P25" s="23"/>
      <c r="Q25" s="103"/>
      <c r="S25" s="1519"/>
    </row>
    <row r="26" spans="1:25" ht="17.100000000000001" customHeight="1" x14ac:dyDescent="0.3">
      <c r="A26" s="41"/>
      <c r="B26" s="75" t="s">
        <v>191</v>
      </c>
      <c r="C26" s="99"/>
      <c r="D26" s="184" t="s">
        <v>25</v>
      </c>
      <c r="E26" s="184" t="s">
        <v>26</v>
      </c>
      <c r="F26" s="184" t="s">
        <v>27</v>
      </c>
      <c r="G26" s="184" t="s">
        <v>192</v>
      </c>
      <c r="K26" s="23"/>
      <c r="L26" s="23"/>
      <c r="M26" s="23"/>
      <c r="N26" s="23"/>
      <c r="O26" s="23"/>
      <c r="P26" s="23"/>
      <c r="Q26" s="103"/>
      <c r="S26" s="1519"/>
      <c r="X26" s="928"/>
      <c r="Y26" s="928"/>
    </row>
    <row r="27" spans="1:25" x14ac:dyDescent="0.3">
      <c r="A27" s="41"/>
      <c r="B27" s="99"/>
      <c r="C27" s="99"/>
      <c r="D27" s="503" t="str">
        <f>'Budget Form'!$D$28</f>
        <v>C001</v>
      </c>
      <c r="E27" s="183" t="str">
        <f>'Budget Form'!$E$28</f>
        <v/>
      </c>
      <c r="F27" s="183" t="str">
        <f>'Budget Form'!$F$28</f>
        <v>Research</v>
      </c>
      <c r="G27" s="183" t="str">
        <f>'Budget Form'!$G$28</f>
        <v>Parkville</v>
      </c>
      <c r="H27" s="11" t="str">
        <f>'Budget Form'!$H$28</f>
        <v/>
      </c>
      <c r="K27" s="23"/>
      <c r="L27" s="23"/>
      <c r="M27" s="23"/>
      <c r="N27" s="23"/>
      <c r="O27" s="23"/>
      <c r="P27" s="23"/>
      <c r="Q27" s="98"/>
      <c r="S27" s="1519"/>
      <c r="X27" s="931"/>
      <c r="Y27" s="931"/>
    </row>
    <row r="28" spans="1:25" ht="5.0999999999999996" customHeight="1" x14ac:dyDescent="0.3">
      <c r="A28" s="41"/>
      <c r="B28" s="96"/>
      <c r="C28" s="96"/>
      <c r="D28" s="97"/>
      <c r="E28" s="97"/>
      <c r="F28" s="99"/>
      <c r="G28" s="96"/>
      <c r="H28" s="97"/>
      <c r="I28" s="97"/>
      <c r="J28" s="97"/>
      <c r="K28" s="23"/>
      <c r="L28" s="23"/>
      <c r="M28" s="23"/>
      <c r="N28" s="23"/>
      <c r="O28" s="23"/>
      <c r="P28" s="23"/>
      <c r="Q28" s="40"/>
      <c r="S28" s="1519"/>
    </row>
    <row r="29" spans="1:25" ht="14.25" customHeight="1" x14ac:dyDescent="0.3">
      <c r="A29" s="41"/>
      <c r="B29" s="76" t="s">
        <v>193</v>
      </c>
      <c r="C29" s="122"/>
      <c r="D29" s="1476">
        <f>'Budget Form'!D30</f>
        <v>0</v>
      </c>
      <c r="E29" s="1477"/>
      <c r="F29" s="934"/>
      <c r="G29" s="88" t="s">
        <v>194</v>
      </c>
      <c r="H29" s="121"/>
      <c r="I29" s="1478">
        <f>'Budget Form'!D32/new_xrate</f>
        <v>0</v>
      </c>
      <c r="J29" s="1479"/>
      <c r="K29" s="23"/>
      <c r="L29" s="23"/>
      <c r="M29" s="23"/>
      <c r="N29" s="23"/>
      <c r="O29" s="23"/>
      <c r="P29" s="23"/>
      <c r="Q29" s="40"/>
      <c r="S29" s="1519"/>
    </row>
    <row r="30" spans="1:25" ht="15.75" customHeight="1" x14ac:dyDescent="0.3">
      <c r="A30" s="41"/>
      <c r="B30" s="203"/>
      <c r="C30" s="203"/>
      <c r="D30" s="203"/>
      <c r="E30" s="203"/>
      <c r="F30" s="203"/>
      <c r="G30" s="203"/>
      <c r="H30" s="935"/>
      <c r="I30" s="936"/>
      <c r="J30" s="937"/>
      <c r="K30" s="23"/>
      <c r="L30" s="23"/>
      <c r="M30" s="23"/>
      <c r="N30" s="23"/>
      <c r="O30" s="23"/>
      <c r="P30" s="23"/>
      <c r="Q30" s="103"/>
      <c r="S30" s="1519"/>
    </row>
    <row r="31" spans="1:25" x14ac:dyDescent="0.3">
      <c r="A31" s="41"/>
      <c r="B31" s="938"/>
      <c r="C31" s="938" t="s">
        <v>480</v>
      </c>
      <c r="D31" s="305">
        <f>'Budget Form'!J30/new_xrate</f>
        <v>0</v>
      </c>
      <c r="E31" s="939">
        <f>IFERROR(D31/(D31+D32),0)</f>
        <v>0</v>
      </c>
      <c r="F31" s="940"/>
      <c r="G31" s="940"/>
      <c r="H31" s="941" t="str">
        <f>IF('Budget Form - AUD amounts'!E38="No","No GST selected in cell E38","")</f>
        <v/>
      </c>
      <c r="I31" s="1480"/>
      <c r="J31" s="1480"/>
      <c r="K31" s="23"/>
      <c r="L31" s="23"/>
      <c r="M31" s="23"/>
      <c r="N31" s="23"/>
      <c r="O31" s="23"/>
      <c r="P31" s="23"/>
      <c r="Q31" s="40"/>
      <c r="S31" s="1519"/>
    </row>
    <row r="32" spans="1:25" ht="15" customHeight="1" x14ac:dyDescent="0.3">
      <c r="A32" s="41"/>
      <c r="B32" s="938"/>
      <c r="C32" s="938" t="s">
        <v>481</v>
      </c>
      <c r="D32" s="305">
        <f>'Budget Form'!J31/new_xrate</f>
        <v>0</v>
      </c>
      <c r="E32" s="939">
        <f>IFERROR(D32/(D31+D32),0)</f>
        <v>0</v>
      </c>
      <c r="F32" s="940"/>
      <c r="G32" s="940"/>
      <c r="K32" s="23"/>
      <c r="L32" s="23"/>
      <c r="M32" s="23"/>
      <c r="N32" s="23"/>
      <c r="O32" s="23"/>
      <c r="P32" s="23"/>
      <c r="Q32" s="40"/>
      <c r="S32" s="1519"/>
    </row>
    <row r="33" spans="1:19" ht="15" customHeight="1" thickBot="1" x14ac:dyDescent="0.35">
      <c r="A33" s="42"/>
      <c r="B33" s="105"/>
      <c r="C33" s="105"/>
      <c r="D33" s="105"/>
      <c r="E33" s="105"/>
      <c r="F33" s="105"/>
      <c r="G33" s="105"/>
      <c r="H33" s="105"/>
      <c r="I33" s="105"/>
      <c r="J33" s="105"/>
      <c r="K33" s="105"/>
      <c r="L33" s="105"/>
      <c r="M33" s="105"/>
      <c r="N33" s="105"/>
      <c r="O33" s="105"/>
      <c r="P33" s="105"/>
      <c r="Q33" s="106"/>
      <c r="S33" s="1520"/>
    </row>
    <row r="34" spans="1:19" ht="25.5" customHeight="1" thickBot="1" x14ac:dyDescent="0.35">
      <c r="A34" s="1463" t="s">
        <v>482</v>
      </c>
      <c r="B34" s="1464"/>
      <c r="C34" s="1464"/>
      <c r="D34" s="1464"/>
      <c r="E34" s="1464"/>
      <c r="F34" s="1464"/>
      <c r="G34" s="1464"/>
      <c r="H34" s="1464"/>
      <c r="I34" s="1464"/>
      <c r="J34" s="1464"/>
      <c r="K34" s="1464"/>
      <c r="L34" s="1464"/>
      <c r="M34" s="1464"/>
      <c r="N34" s="1464"/>
      <c r="O34" s="1464"/>
      <c r="P34" s="1464"/>
      <c r="Q34" s="1465"/>
      <c r="S34" s="918" t="s">
        <v>215</v>
      </c>
    </row>
    <row r="35" spans="1:19" ht="15" customHeight="1" x14ac:dyDescent="0.3">
      <c r="A35" s="67"/>
      <c r="B35" s="95"/>
      <c r="C35" s="95"/>
      <c r="D35" s="95"/>
      <c r="E35" s="95"/>
      <c r="F35" s="95"/>
      <c r="G35" s="95"/>
      <c r="H35" s="95"/>
      <c r="I35" s="95"/>
      <c r="J35" s="95"/>
      <c r="K35" s="95"/>
      <c r="L35" s="95"/>
      <c r="M35" s="95"/>
      <c r="N35" s="95"/>
      <c r="O35" s="95"/>
      <c r="P35" s="142"/>
      <c r="Q35" s="143"/>
      <c r="S35" s="1518"/>
    </row>
    <row r="36" spans="1:19" ht="20.85" customHeight="1" x14ac:dyDescent="0.3">
      <c r="A36" s="127" t="s">
        <v>483</v>
      </c>
      <c r="B36" s="96" t="s">
        <v>197</v>
      </c>
      <c r="C36" s="99"/>
      <c r="D36" s="99"/>
      <c r="E36" s="23"/>
      <c r="F36" s="185" t="str">
        <f>"Year 1" &amp; IF(pStartYear&lt;&gt;"",IF(First_year_fraction=12," ("&amp;pStartYear&amp;") "," ("&amp;pStartYear&amp;") " &amp; "- " &amp;First_year_fraction&amp; " months"),"")</f>
        <v xml:space="preserve">Year 1 (2026) </v>
      </c>
      <c r="G36" s="185" t="str">
        <f>"Year 2" &amp; IF(OR(pStartYear="",pStartYear+1&gt;pEndYear),"",(IF(pStartYear+1=pEndYear,(IF(Last_Year_Fraction=12," ("&amp;pStartYear+1&amp;") "," ("&amp;pStartYear+1&amp;") - "&amp;Last_Year_Fraction&amp;" months"))," ("&amp;pStartYear+1&amp;") ")))</f>
        <v xml:space="preserve">Year 2 (2027) </v>
      </c>
      <c r="H36" s="185" t="str">
        <f>"Year 3" &amp; IF(OR(pStartYear="",pStartYear+2&gt;pEndYear),"",(IF(pStartYear+2=pEndYear,(IF(Last_Year_Fraction=12," ("&amp;pStartYear+2&amp;") "," ("&amp;pStartYear+2&amp;") - "&amp;Last_Year_Fraction&amp;" months"))," ("&amp;pStartYear+2&amp;") ")))</f>
        <v xml:space="preserve">Year 3 (2028) </v>
      </c>
      <c r="I36" s="185" t="str">
        <f>"Year 4" &amp; IF(OR(pStartYear="",pStartYear+3&gt;pEndYear),"",(IF(pStartYear+3=pEndYear,(IF(Last_Year_Fraction=12," ("&amp;pStartYear+3&amp;") "," ("&amp;pStartYear+3&amp;") - "&amp;Last_Year_Fraction&amp;" months"))," ("&amp;pStartYear+3&amp;") ")))</f>
        <v xml:space="preserve">Year 4 (2029) </v>
      </c>
      <c r="J36" s="185" t="str">
        <f>"Year 5" &amp; IF(OR(pStartYear="",pStartYear+4&gt;pEndYear),"",(IF(pStartYear+4=pEndYear,(IF(Last_Year_Fraction=12," ("&amp;pStartYear+4&amp;") "," ("&amp;pStartYear+4&amp;") - "&amp;Last_Year_Fraction&amp;" months"))," ("&amp;pStartYear+4&amp;") ")))</f>
        <v xml:space="preserve">Year 5 (2030) </v>
      </c>
      <c r="K36" s="185" t="str">
        <f>"Year 6" &amp; IF(OR(pStartYear="",pStartYear+5&gt;pEndYear),"",(IF(pStartYear+5=pEndYear,(IF(Last_Year_Fraction=12," ("&amp;pStartYear+5&amp;") "," ("&amp;pStartYear+5&amp;") - "&amp;Last_Year_Fraction&amp;" months"))," ("&amp;pStartYear+5&amp;") ")))</f>
        <v>Year 6</v>
      </c>
      <c r="L36" s="185" t="str">
        <f>"Year 7" &amp; IF(OR(pStartYear="",pStartYear+6&gt;pEndYear),"",(IF(pStartYear+6=pEndYear,(IF(Last_Year_Fraction=12," ("&amp;pStartYear+6&amp;") "," ("&amp;pStartYear+6&amp;") - "&amp;Last_Year_Fraction&amp;" months"))," ("&amp;pStartYear+6&amp;") ")))</f>
        <v>Year 7</v>
      </c>
      <c r="M36" s="185" t="str">
        <f>"Year 8" &amp; IF(OR(pStartYear="",pStartYear+7&gt;pEndYear),"",(IF(pStartYear+7=pEndYear,(IF(Last_Year_Fraction=12," ("&amp;pStartYear+7&amp;") "," ("&amp;pStartYear+7&amp;") - "&amp;Last_Year_Fraction&amp;" months"))," ("&amp;pStartYear+7&amp;") ")))</f>
        <v>Year 8</v>
      </c>
      <c r="N36" s="185" t="str">
        <f>"Year 9" &amp; IF(OR(pStartYear="",pStartYear+8&gt;pEndYear),"",(IF(pStartYear+8=pEndYear,(IF(Last_Year_Fraction=12," ("&amp;pStartYear+8&amp;") "," ("&amp;pStartYear+8&amp;") - "&amp;Last_Year_Fraction&amp;" months"))," ("&amp;pStartYear+8&amp;") ")))</f>
        <v>Year 9</v>
      </c>
      <c r="O36" s="185" t="str">
        <f>"Year 10" &amp; IF(OR(pStartYear="",pStartYear+9&gt;pEndYear),"",(IF(pStartYear+9=pEndYear,(IF(Last_Year_Fraction=12," ("&amp;pStartYear+9&amp;") "," ("&amp;pStartYear+9&amp;") - "&amp;Last_Year_Fraction&amp;" months"))," ("&amp;pStartYear+9&amp;") ")))</f>
        <v>Year 10</v>
      </c>
      <c r="P36" s="184" t="str">
        <f>IF(tbBudgetCurrency="AUD - Australian Dollar", "Total (AUD)",CONCATENATE("Total (",LEFT(tbBudgetCurrency,3),")"))</f>
        <v>Total (AUD)</v>
      </c>
      <c r="Q36" s="145"/>
      <c r="S36" s="1519"/>
    </row>
    <row r="37" spans="1:19" ht="15" customHeight="1" x14ac:dyDescent="0.3">
      <c r="A37" s="68"/>
      <c r="B37" s="96" t="s">
        <v>198</v>
      </c>
      <c r="C37" s="99"/>
      <c r="D37" s="99"/>
      <c r="E37" s="23"/>
      <c r="F37" s="309">
        <f>'Budget Form'!F38/new_xrate</f>
        <v>0</v>
      </c>
      <c r="G37" s="309">
        <f>'Budget Form'!G38/new_xrate</f>
        <v>0</v>
      </c>
      <c r="H37" s="309">
        <f>'Budget Form'!H38/new_xrate</f>
        <v>0</v>
      </c>
      <c r="I37" s="309">
        <f>'Budget Form'!I38/new_xrate</f>
        <v>0</v>
      </c>
      <c r="J37" s="309">
        <f>'Budget Form'!J38/new_xrate</f>
        <v>0</v>
      </c>
      <c r="K37" s="309">
        <f>'Budget Form'!K38/new_xrate</f>
        <v>0</v>
      </c>
      <c r="L37" s="309">
        <f>'Budget Form'!L38/new_xrate</f>
        <v>0</v>
      </c>
      <c r="M37" s="309">
        <f>'Budget Form'!M38/new_xrate</f>
        <v>0</v>
      </c>
      <c r="N37" s="309">
        <f>'Budget Form'!N38/new_xrate</f>
        <v>0</v>
      </c>
      <c r="O37" s="309">
        <f>'Budget Form'!O38/new_xrate</f>
        <v>0</v>
      </c>
      <c r="P37" s="306">
        <f>SUM($F37:$O37)</f>
        <v>0</v>
      </c>
      <c r="Q37" s="145"/>
      <c r="S37" s="1519"/>
    </row>
    <row r="38" spans="1:19" ht="15" customHeight="1" x14ac:dyDescent="0.3">
      <c r="A38" s="68"/>
      <c r="B38" s="96" t="s">
        <v>199</v>
      </c>
      <c r="C38" s="99"/>
      <c r="D38" s="99"/>
      <c r="E38" s="315" t="str">
        <f>'Budget Form'!E39</f>
        <v>Yes</v>
      </c>
      <c r="F38" s="309">
        <f>'Budget Form'!F39/new_xrate</f>
        <v>0</v>
      </c>
      <c r="G38" s="309">
        <f>'Budget Form'!G39/new_xrate</f>
        <v>0</v>
      </c>
      <c r="H38" s="309">
        <f>'Budget Form'!H39/new_xrate</f>
        <v>0</v>
      </c>
      <c r="I38" s="309">
        <f>'Budget Form'!I39/new_xrate</f>
        <v>0</v>
      </c>
      <c r="J38" s="309">
        <f>'Budget Form'!J39/new_xrate</f>
        <v>0</v>
      </c>
      <c r="K38" s="309">
        <f>'Budget Form'!K39/new_xrate</f>
        <v>0</v>
      </c>
      <c r="L38" s="309">
        <f>'Budget Form'!L39/new_xrate</f>
        <v>0</v>
      </c>
      <c r="M38" s="309">
        <f>'Budget Form'!M39/new_xrate</f>
        <v>0</v>
      </c>
      <c r="N38" s="309">
        <f>'Budget Form'!N39/new_xrate</f>
        <v>0</v>
      </c>
      <c r="O38" s="309">
        <f>'Budget Form'!O39/new_xrate</f>
        <v>0</v>
      </c>
      <c r="P38" s="306">
        <f>SUM($F38:$O38)</f>
        <v>0</v>
      </c>
      <c r="Q38" s="145"/>
      <c r="S38" s="1519"/>
    </row>
    <row r="39" spans="1:19" ht="17.100000000000001" customHeight="1" thickBot="1" x14ac:dyDescent="0.35">
      <c r="A39" s="68"/>
      <c r="B39" s="128" t="s">
        <v>201</v>
      </c>
      <c r="C39" s="128"/>
      <c r="D39" s="128"/>
      <c r="E39" s="23"/>
      <c r="F39" s="312">
        <f t="shared" ref="F39:O39" si="0">SUM(F$37:F$38)</f>
        <v>0</v>
      </c>
      <c r="G39" s="312">
        <f t="shared" si="0"/>
        <v>0</v>
      </c>
      <c r="H39" s="312">
        <f t="shared" si="0"/>
        <v>0</v>
      </c>
      <c r="I39" s="312">
        <f t="shared" si="0"/>
        <v>0</v>
      </c>
      <c r="J39" s="312">
        <f t="shared" si="0"/>
        <v>0</v>
      </c>
      <c r="K39" s="312">
        <f t="shared" si="0"/>
        <v>0</v>
      </c>
      <c r="L39" s="312">
        <f t="shared" si="0"/>
        <v>0</v>
      </c>
      <c r="M39" s="312">
        <f t="shared" si="0"/>
        <v>0</v>
      </c>
      <c r="N39" s="312">
        <f t="shared" si="0"/>
        <v>0</v>
      </c>
      <c r="O39" s="312">
        <f t="shared" si="0"/>
        <v>0</v>
      </c>
      <c r="P39" s="312">
        <f>SUM($F39:$O39)</f>
        <v>0</v>
      </c>
      <c r="Q39" s="145"/>
      <c r="S39" s="1519"/>
    </row>
    <row r="40" spans="1:19" ht="17.100000000000001" customHeight="1" thickTop="1" x14ac:dyDescent="0.3">
      <c r="A40" s="68"/>
      <c r="B40" s="128"/>
      <c r="C40" s="128"/>
      <c r="D40" s="128"/>
      <c r="E40" s="23"/>
      <c r="F40" s="202"/>
      <c r="G40" s="202"/>
      <c r="H40" s="202"/>
      <c r="I40" s="202"/>
      <c r="J40" s="202"/>
      <c r="K40" s="202"/>
      <c r="L40" s="202"/>
      <c r="M40" s="202"/>
      <c r="N40" s="202"/>
      <c r="O40" s="202"/>
      <c r="P40" s="202"/>
      <c r="Q40" s="145"/>
      <c r="S40" s="1519"/>
    </row>
    <row r="41" spans="1:19" ht="17.100000000000001" customHeight="1" thickBot="1" x14ac:dyDescent="0.35">
      <c r="A41" s="68"/>
      <c r="B41" s="316" t="str">
        <f>IF(E38="Yes","Total Price to be charged to Funder (Including GST)","Total Price to be charged to Funder (Excluding GST)")</f>
        <v>Total Price to be charged to Funder (Including GST)</v>
      </c>
      <c r="C41" s="317"/>
      <c r="D41" s="317"/>
      <c r="E41" s="318"/>
      <c r="F41" s="318"/>
      <c r="G41" s="313"/>
      <c r="H41" s="313"/>
      <c r="I41" s="313"/>
      <c r="J41" s="313"/>
      <c r="K41" s="313"/>
      <c r="L41" s="313"/>
      <c r="M41" s="313"/>
      <c r="N41" s="313"/>
      <c r="O41" s="304"/>
      <c r="P41" s="314">
        <f>'Budget Form'!P42/new_xrate</f>
        <v>0</v>
      </c>
      <c r="Q41" s="145"/>
      <c r="S41" s="1519"/>
    </row>
    <row r="42" spans="1:19" ht="17.100000000000001" customHeight="1" thickTop="1" x14ac:dyDescent="0.3">
      <c r="A42" s="68"/>
      <c r="B42" s="203"/>
      <c r="C42" s="128"/>
      <c r="D42" s="128"/>
      <c r="E42" s="23"/>
      <c r="F42" s="23"/>
      <c r="G42" s="202"/>
      <c r="H42" s="202"/>
      <c r="I42" s="202"/>
      <c r="J42" s="202"/>
      <c r="K42" s="202"/>
      <c r="L42" s="202"/>
      <c r="M42" s="202"/>
      <c r="N42" s="202"/>
      <c r="O42" s="202"/>
      <c r="P42" s="205"/>
      <c r="Q42" s="145"/>
      <c r="S42" s="1519"/>
    </row>
    <row r="43" spans="1:19" ht="16.5" customHeight="1" x14ac:dyDescent="0.3">
      <c r="A43" s="68"/>
      <c r="B43" s="464" t="str">
        <f>'Budget Form'!B44</f>
        <v>Full Project Cost (excluding in-kind)</v>
      </c>
      <c r="C43" s="465"/>
      <c r="D43" s="465"/>
      <c r="E43" s="466"/>
      <c r="F43" s="466"/>
      <c r="G43" s="467"/>
      <c r="H43" s="467"/>
      <c r="I43" s="467"/>
      <c r="J43" s="467"/>
      <c r="K43" s="467"/>
      <c r="L43" s="467"/>
      <c r="M43" s="467"/>
      <c r="N43" s="467"/>
      <c r="O43" s="468"/>
      <c r="P43" s="469">
        <f>'Budget Form'!P44/new_xrate</f>
        <v>0</v>
      </c>
      <c r="Q43" s="145"/>
      <c r="S43" s="1519"/>
    </row>
    <row r="44" spans="1:19" ht="17.100000000000001" customHeight="1" x14ac:dyDescent="0.3">
      <c r="A44" s="68"/>
      <c r="B44" s="470" t="str">
        <f>'Budget Form'!B45</f>
        <v>Cash benefit/cost</v>
      </c>
      <c r="C44" s="297"/>
      <c r="D44" s="297"/>
      <c r="E44" s="298"/>
      <c r="F44" s="298"/>
      <c r="G44" s="201"/>
      <c r="H44" s="201"/>
      <c r="I44" s="201"/>
      <c r="J44" s="201"/>
      <c r="K44" s="201"/>
      <c r="L44" s="201"/>
      <c r="M44" s="201"/>
      <c r="N44" s="201"/>
      <c r="O44" s="303"/>
      <c r="P44" s="471">
        <f>'Budget Form'!P45/new_xrate</f>
        <v>0</v>
      </c>
      <c r="Q44" s="145"/>
      <c r="S44" s="1519"/>
    </row>
    <row r="45" spans="1:19" ht="17.100000000000001" customHeight="1" x14ac:dyDescent="0.3">
      <c r="A45" s="68"/>
      <c r="B45" s="470" t="str">
        <f>'Budget Form'!B46</f>
        <v xml:space="preserve">Total In-kind (University investment) </v>
      </c>
      <c r="C45" s="297"/>
      <c r="D45" s="297"/>
      <c r="E45" s="298"/>
      <c r="F45" s="298"/>
      <c r="G45" s="201"/>
      <c r="H45" s="201"/>
      <c r="I45" s="201"/>
      <c r="J45" s="201"/>
      <c r="K45" s="201"/>
      <c r="L45" s="201"/>
      <c r="M45" s="201"/>
      <c r="N45" s="201"/>
      <c r="O45" s="303"/>
      <c r="P45" s="471">
        <f>'Budget Form'!P46/new_xrate</f>
        <v>0</v>
      </c>
      <c r="Q45" s="145"/>
      <c r="S45" s="1519"/>
    </row>
    <row r="46" spans="1:19" ht="17.100000000000001" customHeight="1" x14ac:dyDescent="0.3">
      <c r="A46" s="68"/>
      <c r="B46" s="470" t="str">
        <f>'Budget Form'!B47</f>
        <v>Total Cash Co-Contribution (University investment - Department, Academic Division and Chancellery)</v>
      </c>
      <c r="C46" s="297"/>
      <c r="D46" s="297"/>
      <c r="E46" s="298"/>
      <c r="F46" s="298"/>
      <c r="G46" s="201"/>
      <c r="H46" s="201"/>
      <c r="I46" s="201"/>
      <c r="J46" s="201"/>
      <c r="K46" s="201"/>
      <c r="L46" s="201"/>
      <c r="M46" s="201"/>
      <c r="N46" s="201"/>
      <c r="O46" s="303"/>
      <c r="P46" s="471">
        <f>'Budget Form'!P47/new_xrate</f>
        <v>0</v>
      </c>
      <c r="Q46" s="145"/>
      <c r="S46" s="1519"/>
    </row>
    <row r="47" spans="1:19" ht="17.100000000000001" customHeight="1" thickBot="1" x14ac:dyDescent="0.35">
      <c r="A47" s="68"/>
      <c r="B47" s="472" t="str">
        <f>'Budget Form'!B48</f>
        <v>University Postion</v>
      </c>
      <c r="C47" s="473"/>
      <c r="D47" s="473"/>
      <c r="E47" s="474"/>
      <c r="F47" s="474"/>
      <c r="G47" s="475"/>
      <c r="H47" s="475"/>
      <c r="I47" s="475"/>
      <c r="J47" s="475"/>
      <c r="K47" s="475"/>
      <c r="L47" s="475"/>
      <c r="M47" s="475"/>
      <c r="N47" s="475"/>
      <c r="O47" s="476"/>
      <c r="P47" s="477">
        <f>'Budget Form'!P48/new_xrate</f>
        <v>0</v>
      </c>
      <c r="Q47" s="145"/>
      <c r="S47" s="1519"/>
    </row>
    <row r="48" spans="1:19" ht="12" customHeight="1" thickTop="1" thickBot="1" x14ac:dyDescent="0.35">
      <c r="A48" s="68"/>
      <c r="B48" s="99"/>
      <c r="C48" s="99"/>
      <c r="D48" s="99"/>
      <c r="E48" s="99"/>
      <c r="F48" s="96"/>
      <c r="G48" s="99"/>
      <c r="H48" s="99"/>
      <c r="I48" s="99"/>
      <c r="J48" s="99"/>
      <c r="K48" s="99"/>
      <c r="L48" s="99"/>
      <c r="M48" s="99"/>
      <c r="N48" s="99"/>
      <c r="O48" s="99"/>
      <c r="P48" s="942"/>
      <c r="Q48" s="145"/>
      <c r="S48" s="1520"/>
    </row>
    <row r="49" spans="1:24" ht="25.5" customHeight="1" thickBot="1" x14ac:dyDescent="0.35">
      <c r="A49" s="1463" t="s">
        <v>484</v>
      </c>
      <c r="B49" s="1464"/>
      <c r="C49" s="1464"/>
      <c r="D49" s="1464"/>
      <c r="E49" s="1464"/>
      <c r="F49" s="1464"/>
      <c r="G49" s="1464"/>
      <c r="H49" s="1464"/>
      <c r="I49" s="1464"/>
      <c r="J49" s="1464"/>
      <c r="K49" s="1464"/>
      <c r="L49" s="1464"/>
      <c r="M49" s="1464"/>
      <c r="N49" s="1464"/>
      <c r="O49" s="1464"/>
      <c r="P49" s="1464"/>
      <c r="Q49" s="1465"/>
      <c r="S49" s="918" t="s">
        <v>196</v>
      </c>
    </row>
    <row r="50" spans="1:24" ht="15" customHeight="1" x14ac:dyDescent="0.3">
      <c r="A50" s="41"/>
      <c r="B50" s="99"/>
      <c r="C50" s="99"/>
      <c r="D50" s="99"/>
      <c r="E50" s="126"/>
      <c r="F50" s="95"/>
      <c r="G50" s="95"/>
      <c r="H50" s="95"/>
      <c r="I50" s="95"/>
      <c r="J50" s="95"/>
      <c r="K50" s="99"/>
      <c r="L50" s="99"/>
      <c r="M50" s="99"/>
      <c r="N50" s="99"/>
      <c r="O50" s="99"/>
      <c r="P50" s="99"/>
      <c r="Q50" s="103"/>
      <c r="S50" s="1518" t="s">
        <v>227</v>
      </c>
    </row>
    <row r="51" spans="1:24" ht="17.100000000000001" customHeight="1" x14ac:dyDescent="0.35">
      <c r="A51" s="127" t="s">
        <v>228</v>
      </c>
      <c r="B51" s="128" t="s">
        <v>229</v>
      </c>
      <c r="C51" s="128"/>
      <c r="D51" s="128"/>
      <c r="E51" s="99"/>
      <c r="F51" s="185" t="str">
        <f>"Year 1" &amp; IF(pStartYear&lt;&gt;""," ("&amp;pStartYear&amp;") ","")</f>
        <v xml:space="preserve">Year 1 (2026) </v>
      </c>
      <c r="G51" s="185" t="str">
        <f>"Year 2" &amp; IF(pStartYear&lt;&gt;"",IF(pStartYear+1&gt;pEndYear,""," ("&amp;pStartYear+1&amp;") "),"")</f>
        <v xml:space="preserve">Year 2 (2027) </v>
      </c>
      <c r="H51" s="185" t="str">
        <f>"Year 3" &amp; IF(pStartYear&lt;&gt;"",IF(pStartYear+2&gt;pEndYear,""," ("&amp;pStartYear+2&amp;") "),"")</f>
        <v xml:space="preserve">Year 3 (2028) </v>
      </c>
      <c r="I51" s="185" t="str">
        <f>"Year 4" &amp; IF(pStartYear&lt;&gt;"",IF(pStartYear+3&gt;pEndYear,""," ("&amp;pStartYear+3&amp;") "),"")</f>
        <v xml:space="preserve">Year 4 (2029) </v>
      </c>
      <c r="J51" s="185" t="str">
        <f>"Year 5" &amp; IF(pStartYear&lt;&gt;"",IF(pStartYear+4&gt;pEndYear,""," ("&amp;pStartYear+4&amp;") "),"")</f>
        <v xml:space="preserve">Year 5 (2030) </v>
      </c>
      <c r="K51" s="185" t="str">
        <f>"Year 6" &amp; IF(pStartYear&lt;&gt;"",IF(pStartYear+5&gt;pEndYear,""," ("&amp;pStartYear+5&amp;") "),"")</f>
        <v>Year 6</v>
      </c>
      <c r="L51" s="185" t="str">
        <f>"Year 7" &amp; IF(pStartYear&lt;&gt;"",IF(pStartYear+6&gt;pEndYear,""," ("&amp;pStartYear+6&amp;") "),"")</f>
        <v>Year 7</v>
      </c>
      <c r="M51" s="185" t="str">
        <f>"Year 8" &amp; IF(pStartYear&lt;&gt;"",IF(pStartYear+7&gt;pEndYear,""," ("&amp;pStartYear+7&amp;") "),"")</f>
        <v>Year 8</v>
      </c>
      <c r="N51" s="185" t="str">
        <f>"Year 9" &amp; IF(pStartYear&lt;&gt;"",IF(pStartYear+8&gt;pEndYear,""," ("&amp;pStartYear+8&amp;") "),"")</f>
        <v>Year 9</v>
      </c>
      <c r="O51" s="185" t="str">
        <f>"Year 10" &amp; IF(pStartYear&lt;&gt;"",IF(pStartYear+9&gt;pEndYear,""," ("&amp;pStartYear+9&amp;") "),"")</f>
        <v>Year 10</v>
      </c>
      <c r="P51" s="184" t="s">
        <v>485</v>
      </c>
      <c r="Q51" s="130"/>
      <c r="S51" s="1519"/>
      <c r="W51" s="943"/>
    </row>
    <row r="52" spans="1:24" ht="15" customHeight="1" x14ac:dyDescent="0.3">
      <c r="A52" s="41"/>
      <c r="B52" s="504" t="str">
        <f>'Budget Form'!B80</f>
        <v>Academic Continuing</v>
      </c>
      <c r="C52" s="131"/>
      <c r="D52" s="131"/>
      <c r="E52" s="99"/>
      <c r="F52" s="309">
        <f>'Budget Form'!F80/new_xrate</f>
        <v>0</v>
      </c>
      <c r="G52" s="309">
        <f>'Budget Form'!G80/new_xrate</f>
        <v>0</v>
      </c>
      <c r="H52" s="309">
        <f>'Budget Form'!H80/new_xrate</f>
        <v>0</v>
      </c>
      <c r="I52" s="309">
        <f>'Budget Form'!I80/new_xrate</f>
        <v>0</v>
      </c>
      <c r="J52" s="309">
        <f>'Budget Form'!J80/new_xrate</f>
        <v>0</v>
      </c>
      <c r="K52" s="309">
        <f>'Budget Form'!K80/new_xrate</f>
        <v>0</v>
      </c>
      <c r="L52" s="309">
        <f>'Budget Form'!L80/new_xrate</f>
        <v>0</v>
      </c>
      <c r="M52" s="309">
        <f>'Budget Form'!M80/new_xrate</f>
        <v>0</v>
      </c>
      <c r="N52" s="309">
        <f>'Budget Form'!N80/new_xrate</f>
        <v>0</v>
      </c>
      <c r="O52" s="309">
        <f>'Budget Form'!O80/new_xrate</f>
        <v>0</v>
      </c>
      <c r="P52" s="306">
        <f>SUM($F52:$O52)</f>
        <v>0</v>
      </c>
      <c r="Q52" s="132"/>
      <c r="S52" s="1519"/>
    </row>
    <row r="53" spans="1:24" ht="15" customHeight="1" x14ac:dyDescent="0.3">
      <c r="A53" s="41"/>
      <c r="B53" s="504" t="str">
        <f>'Budget Form'!B81</f>
        <v>Academic Fixed-Term</v>
      </c>
      <c r="C53" s="131"/>
      <c r="D53" s="131"/>
      <c r="E53" s="99"/>
      <c r="F53" s="309">
        <f>'Budget Form'!F81/new_xrate</f>
        <v>0</v>
      </c>
      <c r="G53" s="309">
        <f>'Budget Form'!G81/new_xrate</f>
        <v>0</v>
      </c>
      <c r="H53" s="309">
        <f>'Budget Form'!H81/new_xrate</f>
        <v>0</v>
      </c>
      <c r="I53" s="309">
        <f>'Budget Form'!I81/new_xrate</f>
        <v>0</v>
      </c>
      <c r="J53" s="309">
        <f>'Budget Form'!J81/new_xrate</f>
        <v>0</v>
      </c>
      <c r="K53" s="309">
        <f>'Budget Form'!K81/new_xrate</f>
        <v>0</v>
      </c>
      <c r="L53" s="309">
        <f>'Budget Form'!L81/new_xrate</f>
        <v>0</v>
      </c>
      <c r="M53" s="309">
        <f>'Budget Form'!M81/new_xrate</f>
        <v>0</v>
      </c>
      <c r="N53" s="309">
        <f>'Budget Form'!N81/new_xrate</f>
        <v>0</v>
      </c>
      <c r="O53" s="309">
        <f>'Budget Form'!O81/new_xrate</f>
        <v>0</v>
      </c>
      <c r="P53" s="306">
        <f t="shared" ref="P53:P58" si="1">SUM($F53:$O53)</f>
        <v>0</v>
      </c>
      <c r="Q53" s="103"/>
      <c r="S53" s="1519"/>
    </row>
    <row r="54" spans="1:24" ht="15" customHeight="1" x14ac:dyDescent="0.3">
      <c r="A54" s="41"/>
      <c r="B54" s="504" t="str">
        <f>'Budget Form'!B82</f>
        <v>Professional Continuing</v>
      </c>
      <c r="C54" s="131"/>
      <c r="D54" s="131"/>
      <c r="E54" s="99"/>
      <c r="F54" s="309">
        <f>'Budget Form'!F82/new_xrate</f>
        <v>0</v>
      </c>
      <c r="G54" s="309">
        <f>'Budget Form'!G82/new_xrate</f>
        <v>0</v>
      </c>
      <c r="H54" s="309">
        <f>'Budget Form'!H82/new_xrate</f>
        <v>0</v>
      </c>
      <c r="I54" s="309">
        <f>'Budget Form'!I82/new_xrate</f>
        <v>0</v>
      </c>
      <c r="J54" s="309">
        <f>'Budget Form'!J82/new_xrate</f>
        <v>0</v>
      </c>
      <c r="K54" s="309">
        <f>'Budget Form'!K82/new_xrate</f>
        <v>0</v>
      </c>
      <c r="L54" s="309">
        <f>'Budget Form'!L82/new_xrate</f>
        <v>0</v>
      </c>
      <c r="M54" s="309">
        <f>'Budget Form'!M82/new_xrate</f>
        <v>0</v>
      </c>
      <c r="N54" s="309">
        <f>'Budget Form'!N82/new_xrate</f>
        <v>0</v>
      </c>
      <c r="O54" s="309">
        <f>'Budget Form'!O82/new_xrate</f>
        <v>0</v>
      </c>
      <c r="P54" s="306">
        <f t="shared" si="1"/>
        <v>0</v>
      </c>
      <c r="Q54" s="103"/>
      <c r="S54" s="1519"/>
    </row>
    <row r="55" spans="1:24" ht="15" customHeight="1" x14ac:dyDescent="0.3">
      <c r="A55" s="41"/>
      <c r="B55" s="504" t="str">
        <f>'Budget Form'!B83</f>
        <v>Professional Fixed-Term</v>
      </c>
      <c r="C55" s="131"/>
      <c r="D55" s="131"/>
      <c r="E55" s="99"/>
      <c r="F55" s="309">
        <f>'Budget Form'!F83/new_xrate</f>
        <v>0</v>
      </c>
      <c r="G55" s="309">
        <f>'Budget Form'!G83/new_xrate</f>
        <v>0</v>
      </c>
      <c r="H55" s="309">
        <f>'Budget Form'!H83/new_xrate</f>
        <v>0</v>
      </c>
      <c r="I55" s="309">
        <f>'Budget Form'!I83/new_xrate</f>
        <v>0</v>
      </c>
      <c r="J55" s="309">
        <f>'Budget Form'!J83/new_xrate</f>
        <v>0</v>
      </c>
      <c r="K55" s="309">
        <f>'Budget Form'!K83/new_xrate</f>
        <v>0</v>
      </c>
      <c r="L55" s="309">
        <f>'Budget Form'!L83/new_xrate</f>
        <v>0</v>
      </c>
      <c r="M55" s="309">
        <f>'Budget Form'!M83/new_xrate</f>
        <v>0</v>
      </c>
      <c r="N55" s="309">
        <f>'Budget Form'!N83/new_xrate</f>
        <v>0</v>
      </c>
      <c r="O55" s="309">
        <f>'Budget Form'!O83/new_xrate</f>
        <v>0</v>
      </c>
      <c r="P55" s="306">
        <f t="shared" si="1"/>
        <v>0</v>
      </c>
      <c r="Q55" s="103"/>
      <c r="S55" s="1519"/>
    </row>
    <row r="56" spans="1:24" ht="15" customHeight="1" x14ac:dyDescent="0.3">
      <c r="A56" s="41"/>
      <c r="B56" s="504" t="str">
        <f>'Budget Form'!B84</f>
        <v>Academic Casual</v>
      </c>
      <c r="C56" s="131"/>
      <c r="D56" s="131"/>
      <c r="E56" s="99"/>
      <c r="F56" s="309">
        <f>'Budget Form'!F84/new_xrate</f>
        <v>0</v>
      </c>
      <c r="G56" s="309">
        <f>'Budget Form'!G84/new_xrate</f>
        <v>0</v>
      </c>
      <c r="H56" s="309">
        <f>'Budget Form'!H84/new_xrate</f>
        <v>0</v>
      </c>
      <c r="I56" s="309">
        <f>'Budget Form'!I84/new_xrate</f>
        <v>0</v>
      </c>
      <c r="J56" s="309">
        <f>'Budget Form'!J84/new_xrate</f>
        <v>0</v>
      </c>
      <c r="K56" s="309">
        <f>'Budget Form'!K84/new_xrate</f>
        <v>0</v>
      </c>
      <c r="L56" s="309">
        <f>'Budget Form'!L84/new_xrate</f>
        <v>0</v>
      </c>
      <c r="M56" s="309">
        <f>'Budget Form'!M84/new_xrate</f>
        <v>0</v>
      </c>
      <c r="N56" s="309">
        <f>'Budget Form'!N84/new_xrate</f>
        <v>0</v>
      </c>
      <c r="O56" s="309">
        <f>'Budget Form'!O84/new_xrate</f>
        <v>0</v>
      </c>
      <c r="P56" s="306">
        <f t="shared" si="1"/>
        <v>0</v>
      </c>
      <c r="Q56" s="103"/>
      <c r="S56" s="1519"/>
    </row>
    <row r="57" spans="1:24" ht="15" customHeight="1" x14ac:dyDescent="0.3">
      <c r="A57" s="41"/>
      <c r="B57" s="504" t="str">
        <f>'Budget Form'!B85</f>
        <v>Professional Casual</v>
      </c>
      <c r="C57" s="131"/>
      <c r="D57" s="131"/>
      <c r="E57" s="99"/>
      <c r="F57" s="310">
        <f>'Budget Form'!F85/new_xrate</f>
        <v>0</v>
      </c>
      <c r="G57" s="310">
        <f>'Budget Form'!G85/new_xrate</f>
        <v>0</v>
      </c>
      <c r="H57" s="310">
        <f>'Budget Form'!H85/new_xrate</f>
        <v>0</v>
      </c>
      <c r="I57" s="310">
        <f>'Budget Form'!I85/new_xrate</f>
        <v>0</v>
      </c>
      <c r="J57" s="310">
        <f>'Budget Form'!J85/new_xrate</f>
        <v>0</v>
      </c>
      <c r="K57" s="310">
        <f>'Budget Form'!K85/new_xrate</f>
        <v>0</v>
      </c>
      <c r="L57" s="310">
        <f>'Budget Form'!L85/new_xrate</f>
        <v>0</v>
      </c>
      <c r="M57" s="310">
        <f>'Budget Form'!M85/new_xrate</f>
        <v>0</v>
      </c>
      <c r="N57" s="310">
        <f>'Budget Form'!N85/new_xrate</f>
        <v>0</v>
      </c>
      <c r="O57" s="310">
        <f>'Budget Form'!O85/new_xrate</f>
        <v>0</v>
      </c>
      <c r="P57" s="311">
        <f t="shared" si="1"/>
        <v>0</v>
      </c>
      <c r="Q57" s="103"/>
      <c r="S57" s="1519"/>
    </row>
    <row r="58" spans="1:24" ht="17.100000000000001" customHeight="1" thickBot="1" x14ac:dyDescent="0.35">
      <c r="A58" s="41"/>
      <c r="B58" s="285" t="str">
        <f>'Budget Form'!B86</f>
        <v>Total Salaries and On-Costs</v>
      </c>
      <c r="C58" s="128"/>
      <c r="D58" s="128"/>
      <c r="E58" s="99"/>
      <c r="F58" s="312">
        <f>'Budget Form'!F86/new_xrate</f>
        <v>0</v>
      </c>
      <c r="G58" s="312">
        <f>'Budget Form'!G86/new_xrate</f>
        <v>0</v>
      </c>
      <c r="H58" s="312">
        <f>'Budget Form'!H86/new_xrate</f>
        <v>0</v>
      </c>
      <c r="I58" s="312">
        <f>'Budget Form'!I86/new_xrate</f>
        <v>0</v>
      </c>
      <c r="J58" s="312">
        <f>'Budget Form'!J86/new_xrate</f>
        <v>0</v>
      </c>
      <c r="K58" s="312">
        <f>'Budget Form'!K86/new_xrate</f>
        <v>0</v>
      </c>
      <c r="L58" s="312">
        <f>'Budget Form'!L86/new_xrate</f>
        <v>0</v>
      </c>
      <c r="M58" s="312">
        <f>'Budget Form'!M86/new_xrate</f>
        <v>0</v>
      </c>
      <c r="N58" s="312">
        <f>'Budget Form'!N86/new_xrate</f>
        <v>0</v>
      </c>
      <c r="O58" s="312">
        <f>'Budget Form'!O86/new_xrate</f>
        <v>0</v>
      </c>
      <c r="P58" s="312">
        <f t="shared" si="1"/>
        <v>0</v>
      </c>
      <c r="Q58" s="103"/>
      <c r="S58" s="1519"/>
    </row>
    <row r="59" spans="1:24" ht="5.0999999999999996" customHeight="1" thickTop="1" x14ac:dyDescent="0.3">
      <c r="A59" s="41"/>
      <c r="B59" s="99"/>
      <c r="C59" s="99"/>
      <c r="D59" s="99"/>
      <c r="E59" s="99"/>
      <c r="F59" s="133"/>
      <c r="G59" s="134"/>
      <c r="H59" s="134"/>
      <c r="I59" s="134"/>
      <c r="J59" s="134"/>
      <c r="K59" s="134"/>
      <c r="L59" s="134"/>
      <c r="M59" s="134"/>
      <c r="N59" s="134"/>
      <c r="O59" s="134"/>
      <c r="P59" s="99"/>
      <c r="Q59" s="103"/>
      <c r="S59" s="1519"/>
    </row>
    <row r="60" spans="1:24" ht="17.100000000000001" customHeight="1" x14ac:dyDescent="0.3">
      <c r="A60" s="127" t="s">
        <v>237</v>
      </c>
      <c r="B60" s="128" t="str">
        <f>'Budget Form'!B88</f>
        <v>Indirect Cost Recovery (Salaries)</v>
      </c>
      <c r="C60" s="99"/>
      <c r="D60" s="99"/>
      <c r="E60" s="99"/>
      <c r="F60" s="185" t="str">
        <f>"Year 1" &amp; IF(pStartYear&lt;&gt;""," ("&amp;pStartYear&amp;") ","")</f>
        <v xml:space="preserve">Year 1 (2026) </v>
      </c>
      <c r="G60" s="185" t="str">
        <f>"Year 2" &amp; IF(pStartYear&lt;&gt;"",IF(pStartYear+1&gt;pEndYear,""," ("&amp;pStartYear+1&amp;") "),"")</f>
        <v xml:space="preserve">Year 2 (2027) </v>
      </c>
      <c r="H60" s="185" t="str">
        <f>"Year 3" &amp; IF(pStartYear&lt;&gt;"",IF(pStartYear+2&gt;pEndYear,""," ("&amp;pStartYear+2&amp;") "),"")</f>
        <v xml:space="preserve">Year 3 (2028) </v>
      </c>
      <c r="I60" s="185" t="str">
        <f>"Year 4" &amp; IF(pStartYear&lt;&gt;"",IF(pStartYear+3&gt;pEndYear,""," ("&amp;pStartYear+3&amp;") "),"")</f>
        <v xml:space="preserve">Year 4 (2029) </v>
      </c>
      <c r="J60" s="185" t="str">
        <f>"Year 5" &amp; IF(pStartYear&lt;&gt;"",IF(pStartYear+4&gt;pEndYear,""," ("&amp;pStartYear+4&amp;") "),"")</f>
        <v xml:space="preserve">Year 5 (2030) </v>
      </c>
      <c r="K60" s="185" t="str">
        <f>"Year 6" &amp; IF(pStartYear&lt;&gt;"",IF(pStartYear+5&gt;pEndYear,""," ("&amp;pStartYear+5&amp;") "),"")</f>
        <v>Year 6</v>
      </c>
      <c r="L60" s="185" t="str">
        <f>"Year 7" &amp; IF(pStartYear&lt;&gt;"",IF(pStartYear+6&gt;pEndYear,""," ("&amp;pStartYear+6&amp;") "),"")</f>
        <v>Year 7</v>
      </c>
      <c r="M60" s="185" t="str">
        <f>"Year 8" &amp; IF(pStartYear&lt;&gt;"",IF(pStartYear+7&gt;pEndYear,""," ("&amp;pStartYear+7&amp;") "),"")</f>
        <v>Year 8</v>
      </c>
      <c r="N60" s="185" t="str">
        <f>"Year 9" &amp; IF(pStartYear&lt;&gt;"",IF(pStartYear+8&gt;pEndYear,""," ("&amp;pStartYear+8&amp;") "),"")</f>
        <v>Year 9</v>
      </c>
      <c r="O60" s="185" t="str">
        <f>"Year 10" &amp; IF(pStartYear&lt;&gt;"",IF(pStartYear+9&gt;pEndYear,""," ("&amp;pStartYear+9&amp;") "),"")</f>
        <v>Year 10</v>
      </c>
      <c r="P60" s="184" t="s">
        <v>485</v>
      </c>
      <c r="Q60" s="103"/>
      <c r="S60" s="1519"/>
    </row>
    <row r="61" spans="1:24" ht="17.100000000000001" customHeight="1" thickBot="1" x14ac:dyDescent="0.35">
      <c r="A61" s="41"/>
      <c r="B61" s="285" t="str">
        <f>'Budget Form'!B89</f>
        <v>Cost Recovery (Salaries) (723B)</v>
      </c>
      <c r="C61" s="99"/>
      <c r="D61" s="99"/>
      <c r="E61" s="99"/>
      <c r="F61" s="312">
        <f>'Budget Form'!F89/new_xrate</f>
        <v>0</v>
      </c>
      <c r="G61" s="312">
        <f>'Budget Form'!G89/new_xrate</f>
        <v>0</v>
      </c>
      <c r="H61" s="312">
        <f>'Budget Form'!H89/new_xrate</f>
        <v>0</v>
      </c>
      <c r="I61" s="312">
        <f>'Budget Form'!I89/new_xrate</f>
        <v>0</v>
      </c>
      <c r="J61" s="312">
        <f>'Budget Form'!J89/new_xrate</f>
        <v>0</v>
      </c>
      <c r="K61" s="312">
        <f>'Budget Form'!K89/new_xrate</f>
        <v>0</v>
      </c>
      <c r="L61" s="312">
        <f>'Budget Form'!L89/new_xrate</f>
        <v>0</v>
      </c>
      <c r="M61" s="312">
        <f>'Budget Form'!M89/new_xrate</f>
        <v>0</v>
      </c>
      <c r="N61" s="312">
        <f>'Budget Form'!N89/new_xrate</f>
        <v>0</v>
      </c>
      <c r="O61" s="312">
        <f>'Budget Form'!O89/new_xrate</f>
        <v>0</v>
      </c>
      <c r="P61" s="312">
        <f>SUM($F61:$O61)</f>
        <v>0</v>
      </c>
      <c r="Q61" s="103"/>
      <c r="S61" s="1519"/>
    </row>
    <row r="62" spans="1:24" ht="5.0999999999999996" customHeight="1" thickTop="1" x14ac:dyDescent="0.3">
      <c r="A62" s="41"/>
      <c r="B62" s="99"/>
      <c r="C62" s="99"/>
      <c r="D62" s="99"/>
      <c r="E62" s="99"/>
      <c r="F62" s="134"/>
      <c r="G62" s="134"/>
      <c r="H62" s="135"/>
      <c r="I62" s="135"/>
      <c r="J62" s="135"/>
      <c r="K62" s="135"/>
      <c r="L62" s="135"/>
      <c r="M62" s="135"/>
      <c r="N62" s="135"/>
      <c r="O62" s="135"/>
      <c r="P62" s="99"/>
      <c r="Q62" s="103"/>
      <c r="S62" s="1519"/>
    </row>
    <row r="63" spans="1:24" ht="15" customHeight="1" x14ac:dyDescent="0.3">
      <c r="A63" s="41"/>
      <c r="B63" s="136" t="str">
        <f>'Budget Form'!B91</f>
        <v>Cost Recovery (Salaries) Multiplier</v>
      </c>
      <c r="C63" s="99"/>
      <c r="D63" s="99"/>
      <c r="E63" s="99"/>
      <c r="F63" s="186">
        <f>'Budget Form'!$F$91</f>
        <v>2.5</v>
      </c>
      <c r="G63" s="1481"/>
      <c r="H63" s="1481"/>
      <c r="I63" s="1481"/>
      <c r="J63" s="1481"/>
      <c r="K63" s="1481"/>
      <c r="L63" s="1481"/>
      <c r="M63" s="1481"/>
      <c r="N63" s="1481"/>
      <c r="O63" s="1481"/>
      <c r="P63" s="1481"/>
      <c r="Q63" s="103"/>
      <c r="S63" s="1519"/>
      <c r="V63" s="944"/>
      <c r="X63" s="945"/>
    </row>
    <row r="64" spans="1:24" ht="12" customHeight="1" x14ac:dyDescent="0.3">
      <c r="A64" s="41"/>
      <c r="B64" s="137"/>
      <c r="C64" s="99"/>
      <c r="D64" s="99"/>
      <c r="E64" s="99"/>
      <c r="F64" s="138"/>
      <c r="G64" s="1481"/>
      <c r="H64" s="1481"/>
      <c r="I64" s="1481"/>
      <c r="J64" s="1481"/>
      <c r="K64" s="1481"/>
      <c r="L64" s="1481"/>
      <c r="M64" s="1481"/>
      <c r="N64" s="1481"/>
      <c r="O64" s="1481"/>
      <c r="P64" s="1481"/>
      <c r="Q64" s="103"/>
      <c r="S64" s="1519"/>
      <c r="V64" s="944"/>
    </row>
    <row r="65" spans="1:19" ht="17.100000000000001" customHeight="1" x14ac:dyDescent="0.3">
      <c r="A65" s="127" t="s">
        <v>241</v>
      </c>
      <c r="B65" s="128" t="str">
        <f>'Budget Form'!B93</f>
        <v>Total Staff Costs</v>
      </c>
      <c r="C65" s="128"/>
      <c r="D65" s="128"/>
      <c r="E65" s="99"/>
      <c r="F65" s="185" t="str">
        <f>"Year 1" &amp; IF(pStartYear&lt;&gt;""," ("&amp;pStartYear&amp;") ","")</f>
        <v xml:space="preserve">Year 1 (2026) </v>
      </c>
      <c r="G65" s="185" t="str">
        <f>"Year 2" &amp; IF(pStartYear&lt;&gt;"",IF(pStartYear+1&gt;pEndYear,""," ("&amp;pStartYear+1&amp;") "),"")</f>
        <v xml:space="preserve">Year 2 (2027) </v>
      </c>
      <c r="H65" s="185" t="str">
        <f>"Year 3" &amp; IF(pStartYear&lt;&gt;"",IF(pStartYear+2&gt;pEndYear,""," ("&amp;pStartYear+2&amp;") "),"")</f>
        <v xml:space="preserve">Year 3 (2028) </v>
      </c>
      <c r="I65" s="185" t="str">
        <f>"Year 4" &amp; IF(pStartYear&lt;&gt;"",IF(pStartYear+3&gt;pEndYear,""," ("&amp;pStartYear+3&amp;") "),"")</f>
        <v xml:space="preserve">Year 4 (2029) </v>
      </c>
      <c r="J65" s="185" t="str">
        <f>"Year 5" &amp; IF(pStartYear&lt;&gt;"",IF(pStartYear+4&gt;pEndYear,""," ("&amp;pStartYear+4&amp;") "),"")</f>
        <v xml:space="preserve">Year 5 (2030) </v>
      </c>
      <c r="K65" s="185" t="str">
        <f>"Year 6" &amp; IF(pStartYear&lt;&gt;"",IF(pStartYear+5&gt;pEndYear,""," ("&amp;pStartYear+5&amp;") "),"")</f>
        <v>Year 6</v>
      </c>
      <c r="L65" s="185" t="str">
        <f>"Year 7" &amp; IF(pStartYear&lt;&gt;"",IF(pStartYear+6&gt;pEndYear,""," ("&amp;pStartYear+6&amp;") "),"")</f>
        <v>Year 7</v>
      </c>
      <c r="M65" s="185" t="str">
        <f>"Year 8" &amp; IF(pStartYear&lt;&gt;"",IF(pStartYear+7&gt;pEndYear,""," ("&amp;pStartYear+7&amp;") "),"")</f>
        <v>Year 8</v>
      </c>
      <c r="N65" s="185" t="str">
        <f>"Year 9" &amp; IF(pStartYear&lt;&gt;"",IF(pStartYear+8&gt;pEndYear,""," ("&amp;pStartYear+8&amp;") "),"")</f>
        <v>Year 9</v>
      </c>
      <c r="O65" s="185" t="str">
        <f>"Year 10" &amp; IF(pStartYear&lt;&gt;"",IF(pStartYear+9&gt;pEndYear,""," ("&amp;pStartYear+9&amp;") "),"")</f>
        <v>Year 10</v>
      </c>
      <c r="P65" s="184" t="s">
        <v>485</v>
      </c>
      <c r="Q65" s="103"/>
      <c r="S65" s="1519"/>
    </row>
    <row r="66" spans="1:19" ht="17.100000000000001" customHeight="1" thickBot="1" x14ac:dyDescent="0.35">
      <c r="A66" s="41"/>
      <c r="B66" s="99"/>
      <c r="C66" s="99"/>
      <c r="D66" s="99"/>
      <c r="E66" s="99"/>
      <c r="F66" s="312">
        <f>'Budget Form'!F94/new_xrate</f>
        <v>0</v>
      </c>
      <c r="G66" s="312">
        <f>'Budget Form'!G94/new_xrate</f>
        <v>0</v>
      </c>
      <c r="H66" s="312">
        <f>'Budget Form'!H94/new_xrate</f>
        <v>0</v>
      </c>
      <c r="I66" s="312">
        <f>'Budget Form'!I94/new_xrate</f>
        <v>0</v>
      </c>
      <c r="J66" s="312">
        <f>'Budget Form'!J94/new_xrate</f>
        <v>0</v>
      </c>
      <c r="K66" s="312">
        <f>'Budget Form'!K94/new_xrate</f>
        <v>0</v>
      </c>
      <c r="L66" s="312">
        <f>'Budget Form'!L94/new_xrate</f>
        <v>0</v>
      </c>
      <c r="M66" s="312">
        <f>'Budget Form'!M94/new_xrate</f>
        <v>0</v>
      </c>
      <c r="N66" s="312">
        <f>'Budget Form'!N94/new_xrate</f>
        <v>0</v>
      </c>
      <c r="O66" s="312">
        <f>'Budget Form'!O94/new_xrate</f>
        <v>0</v>
      </c>
      <c r="P66" s="312">
        <f>SUM($F66:$O66)</f>
        <v>0</v>
      </c>
      <c r="Q66" s="103"/>
      <c r="S66" s="1519"/>
    </row>
    <row r="67" spans="1:19" ht="26.1" customHeight="1" thickTop="1" x14ac:dyDescent="0.3">
      <c r="A67" s="1482" t="s">
        <v>243</v>
      </c>
      <c r="B67" s="1483"/>
      <c r="C67" s="1483"/>
      <c r="D67" s="1483"/>
      <c r="E67" s="1483"/>
      <c r="F67" s="1484" t="str">
        <f>'Budget Form'!$F$95</f>
        <v>Yes</v>
      </c>
      <c r="G67" s="1484"/>
      <c r="H67" s="946"/>
      <c r="I67" s="947"/>
      <c r="J67" s="947"/>
      <c r="K67" s="947"/>
      <c r="L67" s="947"/>
      <c r="M67" s="947"/>
      <c r="N67" s="947"/>
      <c r="O67" s="947"/>
      <c r="P67" s="947"/>
      <c r="Q67" s="103"/>
      <c r="S67" s="1519"/>
    </row>
    <row r="68" spans="1:19" ht="36.6" hidden="1" customHeight="1" thickTop="1" x14ac:dyDescent="0.3">
      <c r="A68" s="1482"/>
      <c r="B68" s="1483"/>
      <c r="C68" s="1483"/>
      <c r="D68" s="1483"/>
      <c r="E68" s="948"/>
      <c r="F68" s="1485" t="s">
        <v>245</v>
      </c>
      <c r="G68" s="1485"/>
      <c r="H68" s="1485"/>
      <c r="I68" s="1485"/>
      <c r="J68" s="1485"/>
      <c r="K68" s="1485"/>
      <c r="L68" s="1485"/>
      <c r="M68" s="1485"/>
      <c r="N68" s="1485"/>
      <c r="O68" s="1485"/>
      <c r="P68" s="1485"/>
      <c r="Q68" s="103"/>
      <c r="S68" s="1519"/>
    </row>
    <row r="69" spans="1:19" ht="15" thickBot="1" x14ac:dyDescent="0.35">
      <c r="A69" s="222"/>
      <c r="B69" s="223"/>
      <c r="C69" s="223"/>
      <c r="D69" s="223"/>
      <c r="E69" s="223"/>
      <c r="F69" s="139"/>
      <c r="G69" s="139"/>
      <c r="H69" s="139"/>
      <c r="I69" s="139"/>
      <c r="J69" s="139"/>
      <c r="K69" s="139"/>
      <c r="L69" s="139"/>
      <c r="M69" s="139"/>
      <c r="N69" s="139"/>
      <c r="O69" s="139"/>
      <c r="P69" s="139"/>
      <c r="Q69" s="140"/>
      <c r="S69" s="1520"/>
    </row>
    <row r="70" spans="1:19" ht="25.5" customHeight="1" thickBot="1" x14ac:dyDescent="0.35">
      <c r="A70" s="1463" t="s">
        <v>246</v>
      </c>
      <c r="B70" s="1464"/>
      <c r="C70" s="1464"/>
      <c r="D70" s="1464"/>
      <c r="E70" s="1464"/>
      <c r="F70" s="1464"/>
      <c r="G70" s="1464"/>
      <c r="H70" s="1464"/>
      <c r="I70" s="1464"/>
      <c r="J70" s="1464"/>
      <c r="K70" s="1464"/>
      <c r="L70" s="1464"/>
      <c r="M70" s="1464"/>
      <c r="N70" s="1464"/>
      <c r="O70" s="1464"/>
      <c r="P70" s="1464"/>
      <c r="Q70" s="1465"/>
      <c r="S70" s="918" t="s">
        <v>207</v>
      </c>
    </row>
    <row r="71" spans="1:19" ht="15" customHeight="1" x14ac:dyDescent="0.3">
      <c r="A71" s="66"/>
      <c r="B71" s="141"/>
      <c r="C71" s="95"/>
      <c r="D71" s="95"/>
      <c r="E71" s="95"/>
      <c r="F71" s="142"/>
      <c r="G71" s="142"/>
      <c r="H71" s="142"/>
      <c r="I71" s="142"/>
      <c r="J71" s="142"/>
      <c r="K71" s="142"/>
      <c r="L71" s="142"/>
      <c r="M71" s="142"/>
      <c r="N71" s="142"/>
      <c r="O71" s="142"/>
      <c r="P71" s="142"/>
      <c r="Q71" s="478"/>
      <c r="S71" s="1518"/>
    </row>
    <row r="72" spans="1:19" ht="17.100000000000001" customHeight="1" x14ac:dyDescent="0.3">
      <c r="A72" s="127" t="s">
        <v>249</v>
      </c>
      <c r="B72" s="96" t="s">
        <v>180</v>
      </c>
      <c r="C72" s="99"/>
      <c r="D72" s="99"/>
      <c r="E72" s="99"/>
      <c r="F72" s="185" t="str">
        <f>"Year 1" &amp; IF(pStartYear&lt;&gt;""," ("&amp;pStartYear&amp;") ","")</f>
        <v xml:space="preserve">Year 1 (2026) </v>
      </c>
      <c r="G72" s="185" t="str">
        <f>"Year 2" &amp; IF(pStartYear&lt;&gt;"",IF(pStartYear+1&gt;pEndYear,""," ("&amp;pStartYear+1&amp;") "),"")</f>
        <v xml:space="preserve">Year 2 (2027) </v>
      </c>
      <c r="H72" s="185" t="str">
        <f>"Year 3" &amp; IF(pStartYear&lt;&gt;"",IF(pStartYear+2&gt;pEndYear,""," ("&amp;pStartYear+2&amp;") "),"")</f>
        <v xml:space="preserve">Year 3 (2028) </v>
      </c>
      <c r="I72" s="185" t="str">
        <f>"Year 4" &amp; IF(pStartYear&lt;&gt;"",IF(pStartYear+3&gt;pEndYear,""," ("&amp;pStartYear+3&amp;") "),"")</f>
        <v xml:space="preserve">Year 4 (2029) </v>
      </c>
      <c r="J72" s="185" t="str">
        <f>"Year 5" &amp; IF(pStartYear&lt;&gt;"",IF(pStartYear+4&gt;pEndYear,""," ("&amp;pStartYear+4&amp;") "),"")</f>
        <v xml:space="preserve">Year 5 (2030) </v>
      </c>
      <c r="K72" s="185" t="str">
        <f>"Year 6" &amp; IF(pStartYear&lt;&gt;"",IF(pStartYear+5&gt;pEndYear,""," ("&amp;pStartYear+5&amp;") "),"")</f>
        <v>Year 6</v>
      </c>
      <c r="L72" s="185" t="str">
        <f>"Year 7" &amp; IF(pStartYear&lt;&gt;"",IF(pStartYear+6&gt;pEndYear,""," ("&amp;pStartYear+6&amp;") "),"")</f>
        <v>Year 7</v>
      </c>
      <c r="M72" s="185" t="str">
        <f>"Year 8" &amp; IF(pStartYear&lt;&gt;"",IF(pStartYear+7&gt;pEndYear,""," ("&amp;pStartYear+7&amp;") "),"")</f>
        <v>Year 8</v>
      </c>
      <c r="N72" s="185" t="str">
        <f>"Year 9" &amp; IF(pStartYear&lt;&gt;"",IF(pStartYear+8&gt;pEndYear,""," ("&amp;pStartYear+8&amp;") "),"")</f>
        <v>Year 9</v>
      </c>
      <c r="O72" s="185" t="str">
        <f>"Year 10" &amp; IF(pStartYear&lt;&gt;"",IF(pStartYear+9&gt;pEndYear,""," ("&amp;pStartYear+9&amp;") "),"")</f>
        <v>Year 10</v>
      </c>
      <c r="P72" s="184" t="s">
        <v>485</v>
      </c>
      <c r="Q72" s="479"/>
      <c r="S72" s="1519"/>
    </row>
    <row r="73" spans="1:19" ht="15" customHeight="1" x14ac:dyDescent="0.3">
      <c r="A73" s="41"/>
      <c r="B73" s="283" t="str">
        <f>'Budget Form'!B101</f>
        <v>Advertising and marketing</v>
      </c>
      <c r="C73" s="99"/>
      <c r="D73" s="99"/>
      <c r="E73" s="99"/>
      <c r="F73" s="309">
        <f>'Budget Form'!F101/new_xrate</f>
        <v>0</v>
      </c>
      <c r="G73" s="309">
        <f>'Budget Form'!G101/new_xrate</f>
        <v>0</v>
      </c>
      <c r="H73" s="309">
        <f>'Budget Form'!H101/new_xrate</f>
        <v>0</v>
      </c>
      <c r="I73" s="309">
        <f>'Budget Form'!I101/new_xrate</f>
        <v>0</v>
      </c>
      <c r="J73" s="309">
        <f>'Budget Form'!J101/new_xrate</f>
        <v>0</v>
      </c>
      <c r="K73" s="309">
        <f>'Budget Form'!K101/new_xrate</f>
        <v>0</v>
      </c>
      <c r="L73" s="309">
        <f>'Budget Form'!L101/new_xrate</f>
        <v>0</v>
      </c>
      <c r="M73" s="309">
        <f>'Budget Form'!M101/new_xrate</f>
        <v>0</v>
      </c>
      <c r="N73" s="309">
        <f>'Budget Form'!N101/new_xrate</f>
        <v>0</v>
      </c>
      <c r="O73" s="309">
        <f>'Budget Form'!O101/new_xrate</f>
        <v>0</v>
      </c>
      <c r="P73" s="306">
        <f t="shared" ref="P73:P83" si="2">SUM($F73:$O73)</f>
        <v>0</v>
      </c>
      <c r="Q73" s="479"/>
      <c r="S73" s="1519"/>
    </row>
    <row r="74" spans="1:19" ht="15" customHeight="1" x14ac:dyDescent="0.3">
      <c r="A74" s="41"/>
      <c r="B74" s="283" t="str">
        <f>'Budget Form'!B102</f>
        <v>Consumable Goods and Supplies</v>
      </c>
      <c r="C74" s="99"/>
      <c r="D74" s="99"/>
      <c r="E74" s="99"/>
      <c r="F74" s="309">
        <f>'Budget Form'!F102/new_xrate</f>
        <v>0</v>
      </c>
      <c r="G74" s="309">
        <f>'Budget Form'!G102/new_xrate</f>
        <v>0</v>
      </c>
      <c r="H74" s="309">
        <f>'Budget Form'!H102/new_xrate</f>
        <v>0</v>
      </c>
      <c r="I74" s="309">
        <f>'Budget Form'!I102/new_xrate</f>
        <v>0</v>
      </c>
      <c r="J74" s="309">
        <f>'Budget Form'!J102/new_xrate</f>
        <v>0</v>
      </c>
      <c r="K74" s="309">
        <f>'Budget Form'!K102/new_xrate</f>
        <v>0</v>
      </c>
      <c r="L74" s="309">
        <f>'Budget Form'!L102/new_xrate</f>
        <v>0</v>
      </c>
      <c r="M74" s="309">
        <f>'Budget Form'!M102/new_xrate</f>
        <v>0</v>
      </c>
      <c r="N74" s="309">
        <f>'Budget Form'!N102/new_xrate</f>
        <v>0</v>
      </c>
      <c r="O74" s="309">
        <f>'Budget Form'!O102/new_xrate</f>
        <v>0</v>
      </c>
      <c r="P74" s="306">
        <f t="shared" si="2"/>
        <v>0</v>
      </c>
      <c r="Q74" s="479"/>
      <c r="S74" s="1519"/>
    </row>
    <row r="75" spans="1:19" ht="15" customHeight="1" x14ac:dyDescent="0.3">
      <c r="A75" s="41"/>
      <c r="B75" s="283" t="str">
        <f>'Budget Form'!B103</f>
        <v>Data Management</v>
      </c>
      <c r="C75" s="99"/>
      <c r="D75" s="99"/>
      <c r="E75" s="99"/>
      <c r="F75" s="309">
        <f>'Budget Form'!F103/new_xrate</f>
        <v>0</v>
      </c>
      <c r="G75" s="309">
        <f>'Budget Form'!G103/new_xrate</f>
        <v>0</v>
      </c>
      <c r="H75" s="309">
        <f>'Budget Form'!H103/new_xrate</f>
        <v>0</v>
      </c>
      <c r="I75" s="309">
        <f>'Budget Form'!I103/new_xrate</f>
        <v>0</v>
      </c>
      <c r="J75" s="309">
        <f>'Budget Form'!J103/new_xrate</f>
        <v>0</v>
      </c>
      <c r="K75" s="309">
        <f>'Budget Form'!K103/new_xrate</f>
        <v>0</v>
      </c>
      <c r="L75" s="309">
        <f>'Budget Form'!L103/new_xrate</f>
        <v>0</v>
      </c>
      <c r="M75" s="309">
        <f>'Budget Form'!M103/new_xrate</f>
        <v>0</v>
      </c>
      <c r="N75" s="309">
        <f>'Budget Form'!N103/new_xrate</f>
        <v>0</v>
      </c>
      <c r="O75" s="309">
        <f>'Budget Form'!O103/new_xrate</f>
        <v>0</v>
      </c>
      <c r="P75" s="306">
        <f t="shared" si="2"/>
        <v>0</v>
      </c>
      <c r="Q75" s="479"/>
      <c r="S75" s="1519"/>
    </row>
    <row r="76" spans="1:19" ht="17.25" customHeight="1" x14ac:dyDescent="0.3">
      <c r="A76" s="41"/>
      <c r="B76" s="283" t="str">
        <f>'Budget Form'!B104</f>
        <v>Equipment and maintenance and utilities</v>
      </c>
      <c r="C76" s="97"/>
      <c r="D76" s="97"/>
      <c r="E76" s="99"/>
      <c r="F76" s="309">
        <f>'Budget Form'!F104/new_xrate</f>
        <v>0</v>
      </c>
      <c r="G76" s="309">
        <f>'Budget Form'!G104/new_xrate</f>
        <v>0</v>
      </c>
      <c r="H76" s="309">
        <f>'Budget Form'!H104/new_xrate</f>
        <v>0</v>
      </c>
      <c r="I76" s="309">
        <f>'Budget Form'!I104/new_xrate</f>
        <v>0</v>
      </c>
      <c r="J76" s="309">
        <f>'Budget Form'!J104/new_xrate</f>
        <v>0</v>
      </c>
      <c r="K76" s="309">
        <f>'Budget Form'!K104/new_xrate</f>
        <v>0</v>
      </c>
      <c r="L76" s="309">
        <f>'Budget Form'!L104/new_xrate</f>
        <v>0</v>
      </c>
      <c r="M76" s="309">
        <f>'Budget Form'!M104/new_xrate</f>
        <v>0</v>
      </c>
      <c r="N76" s="309">
        <f>'Budget Form'!N104/new_xrate</f>
        <v>0</v>
      </c>
      <c r="O76" s="309">
        <f>'Budget Form'!O104/new_xrate</f>
        <v>0</v>
      </c>
      <c r="P76" s="306">
        <f t="shared" si="2"/>
        <v>0</v>
      </c>
      <c r="Q76" s="479"/>
      <c r="S76" s="1519"/>
    </row>
    <row r="77" spans="1:19" x14ac:dyDescent="0.3">
      <c r="A77" s="41"/>
      <c r="B77" s="283" t="str">
        <f>'Budget Form'!B105</f>
        <v>Expert Services and Consultants and Contractors</v>
      </c>
      <c r="C77" s="99"/>
      <c r="D77" s="99"/>
      <c r="E77" s="99"/>
      <c r="F77" s="309">
        <f>'Budget Form'!F105/new_xrate</f>
        <v>0</v>
      </c>
      <c r="G77" s="309">
        <f>'Budget Form'!G105/new_xrate</f>
        <v>0</v>
      </c>
      <c r="H77" s="309">
        <f>'Budget Form'!H105/new_xrate</f>
        <v>0</v>
      </c>
      <c r="I77" s="309">
        <f>'Budget Form'!I105/new_xrate</f>
        <v>0</v>
      </c>
      <c r="J77" s="309">
        <f>'Budget Form'!J105/new_xrate</f>
        <v>0</v>
      </c>
      <c r="K77" s="309">
        <f>'Budget Form'!K105/new_xrate</f>
        <v>0</v>
      </c>
      <c r="L77" s="309">
        <f>'Budget Form'!L105/new_xrate</f>
        <v>0</v>
      </c>
      <c r="M77" s="309">
        <f>'Budget Form'!M105/new_xrate</f>
        <v>0</v>
      </c>
      <c r="N77" s="309">
        <f>'Budget Form'!N105/new_xrate</f>
        <v>0</v>
      </c>
      <c r="O77" s="309">
        <f>'Budget Form'!O105/new_xrate</f>
        <v>0</v>
      </c>
      <c r="P77" s="306">
        <f t="shared" si="2"/>
        <v>0</v>
      </c>
      <c r="Q77" s="479"/>
      <c r="S77" s="1519"/>
    </row>
    <row r="78" spans="1:19" ht="15" customHeight="1" x14ac:dyDescent="0.3">
      <c r="A78" s="41"/>
      <c r="B78" s="283" t="str">
        <f>'Budget Form'!B106</f>
        <v>Other consumable service</v>
      </c>
      <c r="C78" s="99"/>
      <c r="D78" s="99"/>
      <c r="E78" s="99"/>
      <c r="F78" s="309">
        <f>'Budget Form'!F106/new_xrate</f>
        <v>0</v>
      </c>
      <c r="G78" s="309">
        <f>'Budget Form'!G106/new_xrate</f>
        <v>0</v>
      </c>
      <c r="H78" s="309">
        <f>'Budget Form'!H106/new_xrate</f>
        <v>0</v>
      </c>
      <c r="I78" s="309">
        <f>'Budget Form'!I106/new_xrate</f>
        <v>0</v>
      </c>
      <c r="J78" s="309">
        <f>'Budget Form'!J106/new_xrate</f>
        <v>0</v>
      </c>
      <c r="K78" s="309">
        <f>'Budget Form'!K106/new_xrate</f>
        <v>0</v>
      </c>
      <c r="L78" s="309">
        <f>'Budget Form'!L106/new_xrate</f>
        <v>0</v>
      </c>
      <c r="M78" s="309">
        <f>'Budget Form'!M106/new_xrate</f>
        <v>0</v>
      </c>
      <c r="N78" s="309">
        <f>'Budget Form'!N106/new_xrate</f>
        <v>0</v>
      </c>
      <c r="O78" s="309">
        <f>'Budget Form'!O106/new_xrate</f>
        <v>0</v>
      </c>
      <c r="P78" s="306">
        <f t="shared" si="2"/>
        <v>0</v>
      </c>
      <c r="Q78" s="479"/>
      <c r="S78" s="1519"/>
    </row>
    <row r="79" spans="1:19" ht="15" customHeight="1" x14ac:dyDescent="0.3">
      <c r="A79" s="41"/>
      <c r="B79" s="283" t="str">
        <f>'Budget Form'!B107</f>
        <v>PhD Stipends</v>
      </c>
      <c r="C79" s="99"/>
      <c r="D79" s="99"/>
      <c r="E79" s="99"/>
      <c r="F79" s="309">
        <f>'Budget Form'!F107/new_xrate</f>
        <v>0</v>
      </c>
      <c r="G79" s="309">
        <f>'Budget Form'!G107/new_xrate</f>
        <v>0</v>
      </c>
      <c r="H79" s="309">
        <f>'Budget Form'!H107/new_xrate</f>
        <v>0</v>
      </c>
      <c r="I79" s="309">
        <f>'Budget Form'!I107/new_xrate</f>
        <v>0</v>
      </c>
      <c r="J79" s="309">
        <f>'Budget Form'!J107/new_xrate</f>
        <v>0</v>
      </c>
      <c r="K79" s="309">
        <f>'Budget Form'!K107/new_xrate</f>
        <v>0</v>
      </c>
      <c r="L79" s="309">
        <f>'Budget Form'!L107/new_xrate</f>
        <v>0</v>
      </c>
      <c r="M79" s="309">
        <f>'Budget Form'!M107/new_xrate</f>
        <v>0</v>
      </c>
      <c r="N79" s="309">
        <f>'Budget Form'!N107/new_xrate</f>
        <v>0</v>
      </c>
      <c r="O79" s="309">
        <f>'Budget Form'!O107/new_xrate</f>
        <v>0</v>
      </c>
      <c r="P79" s="306">
        <f t="shared" si="2"/>
        <v>0</v>
      </c>
      <c r="Q79" s="479"/>
      <c r="S79" s="1519"/>
    </row>
    <row r="80" spans="1:19" ht="15" customHeight="1" x14ac:dyDescent="0.3">
      <c r="A80" s="41"/>
      <c r="B80" s="283" t="str">
        <f>'Budget Form'!B108</f>
        <v>Shared Grant Payments</v>
      </c>
      <c r="C80" s="99"/>
      <c r="D80" s="99"/>
      <c r="E80" s="99"/>
      <c r="F80" s="309">
        <f>'Budget Form'!F108/new_xrate</f>
        <v>0</v>
      </c>
      <c r="G80" s="309">
        <f>'Budget Form'!G108/new_xrate</f>
        <v>0</v>
      </c>
      <c r="H80" s="309">
        <f>'Budget Form'!H108/new_xrate</f>
        <v>0</v>
      </c>
      <c r="I80" s="309">
        <f>'Budget Form'!I108/new_xrate</f>
        <v>0</v>
      </c>
      <c r="J80" s="309">
        <f>'Budget Form'!J108/new_xrate</f>
        <v>0</v>
      </c>
      <c r="K80" s="309">
        <f>'Budget Form'!K108/new_xrate</f>
        <v>0</v>
      </c>
      <c r="L80" s="309">
        <f>'Budget Form'!L108/new_xrate</f>
        <v>0</v>
      </c>
      <c r="M80" s="309">
        <f>'Budget Form'!M108/new_xrate</f>
        <v>0</v>
      </c>
      <c r="N80" s="309">
        <f>'Budget Form'!N108/new_xrate</f>
        <v>0</v>
      </c>
      <c r="O80" s="309">
        <f>'Budget Form'!O108/new_xrate</f>
        <v>0</v>
      </c>
      <c r="P80" s="306">
        <f t="shared" si="2"/>
        <v>0</v>
      </c>
      <c r="Q80" s="479"/>
      <c r="S80" s="1519"/>
    </row>
    <row r="81" spans="1:119" ht="15" customHeight="1" x14ac:dyDescent="0.3">
      <c r="A81" s="41"/>
      <c r="B81" s="283" t="str">
        <f>'Budget Form'!B109</f>
        <v>Travel and entertainment</v>
      </c>
      <c r="C81" s="99"/>
      <c r="D81" s="99"/>
      <c r="E81" s="99"/>
      <c r="F81" s="309">
        <f>'Budget Form'!F109/new_xrate</f>
        <v>0</v>
      </c>
      <c r="G81" s="309">
        <f>'Budget Form'!G109/new_xrate</f>
        <v>0</v>
      </c>
      <c r="H81" s="309">
        <f>'Budget Form'!H109/new_xrate</f>
        <v>0</v>
      </c>
      <c r="I81" s="309">
        <f>'Budget Form'!I109/new_xrate</f>
        <v>0</v>
      </c>
      <c r="J81" s="309">
        <f>'Budget Form'!J109/new_xrate</f>
        <v>0</v>
      </c>
      <c r="K81" s="309">
        <f>'Budget Form'!K109/new_xrate</f>
        <v>0</v>
      </c>
      <c r="L81" s="309">
        <f>'Budget Form'!L109/new_xrate</f>
        <v>0</v>
      </c>
      <c r="M81" s="309">
        <f>'Budget Form'!M109/new_xrate</f>
        <v>0</v>
      </c>
      <c r="N81" s="309">
        <f>'Budget Form'!N109/new_xrate</f>
        <v>0</v>
      </c>
      <c r="O81" s="309">
        <f>'Budget Form'!O109/new_xrate</f>
        <v>0</v>
      </c>
      <c r="P81" s="306">
        <f t="shared" si="2"/>
        <v>0</v>
      </c>
      <c r="Q81" s="479"/>
      <c r="S81" s="1519"/>
    </row>
    <row r="82" spans="1:119" s="949" customFormat="1" ht="17.100000000000001" customHeight="1" x14ac:dyDescent="0.3">
      <c r="A82" s="41"/>
      <c r="B82" s="283" t="str">
        <f>'Budget Form'!B110</f>
        <v xml:space="preserve">Contingency </v>
      </c>
      <c r="C82" s="283"/>
      <c r="D82" s="99"/>
      <c r="E82" s="99"/>
      <c r="F82" s="309">
        <f>'Budget Form'!F110/new_xrate</f>
        <v>0</v>
      </c>
      <c r="G82" s="309">
        <f>'Budget Form'!G110/new_xrate</f>
        <v>0</v>
      </c>
      <c r="H82" s="309">
        <f>'Budget Form'!H110/new_xrate</f>
        <v>0</v>
      </c>
      <c r="I82" s="309">
        <f>'Budget Form'!I110/new_xrate</f>
        <v>0</v>
      </c>
      <c r="J82" s="309">
        <f>'Budget Form'!J110/new_xrate</f>
        <v>0</v>
      </c>
      <c r="K82" s="309">
        <f>'Budget Form'!K110/new_xrate</f>
        <v>0</v>
      </c>
      <c r="L82" s="309">
        <f>'Budget Form'!L110/new_xrate</f>
        <v>0</v>
      </c>
      <c r="M82" s="309">
        <f>'Budget Form'!M110/new_xrate</f>
        <v>0</v>
      </c>
      <c r="N82" s="309">
        <f>'Budget Form'!N110/new_xrate</f>
        <v>0</v>
      </c>
      <c r="O82" s="309">
        <f>'Budget Form'!O110/new_xrate</f>
        <v>0</v>
      </c>
      <c r="P82" s="306">
        <f t="shared" si="2"/>
        <v>0</v>
      </c>
      <c r="Q82" s="479"/>
      <c r="R82" s="11"/>
      <c r="S82" s="1519"/>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c r="DG82" s="11"/>
      <c r="DH82" s="11"/>
      <c r="DI82" s="11"/>
      <c r="DJ82" s="11"/>
      <c r="DK82" s="11"/>
      <c r="DL82" s="11"/>
      <c r="DM82" s="11"/>
      <c r="DN82" s="11"/>
      <c r="DO82" s="11"/>
    </row>
    <row r="83" spans="1:119" ht="15.6" customHeight="1" thickBot="1" x14ac:dyDescent="0.35">
      <c r="A83" s="41"/>
      <c r="B83" s="128" t="s">
        <v>251</v>
      </c>
      <c r="C83" s="928"/>
      <c r="D83" s="928"/>
      <c r="E83" s="99"/>
      <c r="F83" s="312">
        <f>'Budget Form'!F111/new_xrate</f>
        <v>0</v>
      </c>
      <c r="G83" s="312">
        <f>'Budget Form'!G111/new_xrate</f>
        <v>0</v>
      </c>
      <c r="H83" s="312">
        <f>'Budget Form'!H111/new_xrate</f>
        <v>0</v>
      </c>
      <c r="I83" s="312">
        <f>'Budget Form'!I111/new_xrate</f>
        <v>0</v>
      </c>
      <c r="J83" s="312">
        <f>'Budget Form'!J111/new_xrate</f>
        <v>0</v>
      </c>
      <c r="K83" s="312">
        <f>'Budget Form'!K111/new_xrate</f>
        <v>0</v>
      </c>
      <c r="L83" s="312">
        <f>'Budget Form'!L111/new_xrate</f>
        <v>0</v>
      </c>
      <c r="M83" s="312">
        <f>'Budget Form'!M111/new_xrate</f>
        <v>0</v>
      </c>
      <c r="N83" s="312">
        <f>'Budget Form'!N111/new_xrate</f>
        <v>0</v>
      </c>
      <c r="O83" s="312">
        <f>'Budget Form'!O111/new_xrate</f>
        <v>0</v>
      </c>
      <c r="P83" s="312">
        <f t="shared" si="2"/>
        <v>0</v>
      </c>
      <c r="Q83" s="479"/>
      <c r="S83" s="1519"/>
    </row>
    <row r="84" spans="1:119" ht="15.6" customHeight="1" thickTop="1" x14ac:dyDescent="0.3">
      <c r="A84" s="41"/>
      <c r="B84" s="128"/>
      <c r="C84" s="928"/>
      <c r="D84" s="928"/>
      <c r="E84" s="99"/>
      <c r="F84" s="100"/>
      <c r="G84" s="100"/>
      <c r="H84" s="100"/>
      <c r="I84" s="100"/>
      <c r="J84" s="100"/>
      <c r="K84" s="100"/>
      <c r="L84" s="100"/>
      <c r="M84" s="100"/>
      <c r="N84" s="100"/>
      <c r="O84" s="100"/>
      <c r="P84" s="99"/>
      <c r="Q84" s="479"/>
      <c r="S84" s="1519"/>
    </row>
    <row r="85" spans="1:119" ht="15.6" hidden="1" customHeight="1" x14ac:dyDescent="0.3">
      <c r="A85" s="41"/>
      <c r="B85" s="128"/>
      <c r="C85" s="928"/>
      <c r="D85" s="928"/>
      <c r="E85" s="99"/>
      <c r="F85" s="100"/>
      <c r="G85" s="100"/>
      <c r="H85" s="100"/>
      <c r="I85" s="100"/>
      <c r="J85" s="100"/>
      <c r="K85" s="100"/>
      <c r="L85" s="100"/>
      <c r="M85" s="100"/>
      <c r="N85" s="100"/>
      <c r="O85" s="100"/>
      <c r="P85" s="99"/>
      <c r="Q85" s="479"/>
      <c r="S85" s="1519"/>
    </row>
    <row r="86" spans="1:119" ht="15.6" customHeight="1" x14ac:dyDescent="0.3">
      <c r="A86" s="127" t="s">
        <v>252</v>
      </c>
      <c r="B86" s="96" t="s">
        <v>253</v>
      </c>
      <c r="C86" s="99"/>
      <c r="D86" s="928"/>
      <c r="E86" s="932"/>
      <c r="F86" s="185" t="str">
        <f>"Year 1" &amp; IF(pStartYear&lt;&gt;""," ("&amp;pStartYear&amp;") ","")</f>
        <v xml:space="preserve">Year 1 (2026) </v>
      </c>
      <c r="G86" s="185" t="str">
        <f>"Year 2" &amp; IF(pStartYear&lt;&gt;"",IF(pStartYear+1&gt;pEndYear,""," ("&amp;pStartYear+1&amp;") "),"")</f>
        <v xml:space="preserve">Year 2 (2027) </v>
      </c>
      <c r="H86" s="185" t="str">
        <f>"Year 3" &amp; IF(pStartYear&lt;&gt;"",IF(pStartYear+2&gt;pEndYear,""," ("&amp;pStartYear+2&amp;") "),"")</f>
        <v xml:space="preserve">Year 3 (2028) </v>
      </c>
      <c r="I86" s="185" t="str">
        <f>"Year 4" &amp; IF(pStartYear&lt;&gt;"",IF(pStartYear+3&gt;pEndYear,""," ("&amp;pStartYear+3&amp;") "),"")</f>
        <v xml:space="preserve">Year 4 (2029) </v>
      </c>
      <c r="J86" s="185" t="str">
        <f>"Year 5" &amp; IF(pStartYear&lt;&gt;"",IF(pStartYear+4&gt;pEndYear,""," ("&amp;pStartYear+4&amp;") "),"")</f>
        <v xml:space="preserve">Year 5 (2030) </v>
      </c>
      <c r="K86" s="185" t="str">
        <f>"Year 6" &amp; IF(pStartYear&lt;&gt;"",IF(pStartYear+5&gt;pEndYear,""," ("&amp;pStartYear+5&amp;") "),"")</f>
        <v>Year 6</v>
      </c>
      <c r="L86" s="185" t="str">
        <f>"Year 7" &amp; IF(pStartYear&lt;&gt;"",IF(pStartYear+6&gt;pEndYear,""," ("&amp;pStartYear+6&amp;") "),"")</f>
        <v>Year 7</v>
      </c>
      <c r="M86" s="185" t="str">
        <f>"Year 8" &amp; IF(pStartYear&lt;&gt;"",IF(pStartYear+7&gt;pEndYear,""," ("&amp;pStartYear+7&amp;") "),"")</f>
        <v>Year 8</v>
      </c>
      <c r="N86" s="185" t="str">
        <f>"Year 9" &amp; IF(pStartYear&lt;&gt;"",IF(pStartYear+8&gt;pEndYear,""," ("&amp;pStartYear+8&amp;") "),"")</f>
        <v>Year 9</v>
      </c>
      <c r="O86" s="185" t="str">
        <f>"Year 10" &amp; IF(pStartYear&lt;&gt;"",IF(pStartYear+9&gt;pEndYear,""," ("&amp;pStartYear+9&amp;") "),"")</f>
        <v>Year 10</v>
      </c>
      <c r="P86" s="184" t="s">
        <v>485</v>
      </c>
      <c r="Q86" s="479"/>
      <c r="S86" s="1519"/>
    </row>
    <row r="87" spans="1:119" ht="15.6" customHeight="1" x14ac:dyDescent="0.3">
      <c r="A87" s="421"/>
      <c r="B87" s="422" t="s">
        <v>254</v>
      </c>
      <c r="C87" s="422"/>
      <c r="D87" s="929"/>
      <c r="E87" s="932"/>
      <c r="F87" s="309">
        <f>'Budget Form'!F115/new_xrate</f>
        <v>0</v>
      </c>
      <c r="G87" s="309">
        <f>'Budget Form'!G115/new_xrate</f>
        <v>0</v>
      </c>
      <c r="H87" s="309">
        <f>'Budget Form'!H115/new_xrate</f>
        <v>0</v>
      </c>
      <c r="I87" s="309">
        <f>'Budget Form'!I115/new_xrate</f>
        <v>0</v>
      </c>
      <c r="J87" s="309">
        <f>'Budget Form'!J115/new_xrate</f>
        <v>0</v>
      </c>
      <c r="K87" s="309">
        <f>'Budget Form'!K115/new_xrate</f>
        <v>0</v>
      </c>
      <c r="L87" s="309">
        <f>'Budget Form'!L115/new_xrate</f>
        <v>0</v>
      </c>
      <c r="M87" s="309">
        <f>'Budget Form'!M115/new_xrate</f>
        <v>0</v>
      </c>
      <c r="N87" s="309">
        <f>'Budget Form'!N115/new_xrate</f>
        <v>0</v>
      </c>
      <c r="O87" s="309">
        <f>'Budget Form'!O115/new_xrate</f>
        <v>0</v>
      </c>
      <c r="P87" s="306">
        <f>SUM($F87:$O87)</f>
        <v>0</v>
      </c>
      <c r="Q87" s="479"/>
      <c r="S87" s="1519"/>
    </row>
    <row r="88" spans="1:119" ht="13.5" customHeight="1" x14ac:dyDescent="0.3">
      <c r="A88" s="41"/>
      <c r="B88" s="128"/>
      <c r="C88" s="928"/>
      <c r="D88" s="928"/>
      <c r="E88" s="99"/>
      <c r="F88" s="100"/>
      <c r="G88" s="100"/>
      <c r="H88" s="100"/>
      <c r="I88" s="100"/>
      <c r="J88" s="100"/>
      <c r="K88" s="100"/>
      <c r="L88" s="100"/>
      <c r="M88" s="100"/>
      <c r="N88" s="100"/>
      <c r="O88" s="100"/>
      <c r="P88" s="99"/>
      <c r="Q88" s="479"/>
      <c r="S88" s="1519"/>
    </row>
    <row r="89" spans="1:119" ht="17.100000000000001" customHeight="1" x14ac:dyDescent="0.3">
      <c r="A89" s="127" t="s">
        <v>255</v>
      </c>
      <c r="B89" s="128" t="s">
        <v>256</v>
      </c>
      <c r="C89" s="99"/>
      <c r="D89" s="99"/>
      <c r="E89" s="99"/>
      <c r="F89" s="185" t="str">
        <f>"Year 1" &amp; IF(pStartYear&lt;&gt;""," ("&amp;pStartYear&amp;") ","")</f>
        <v xml:space="preserve">Year 1 (2026) </v>
      </c>
      <c r="G89" s="185" t="str">
        <f>"Year 2" &amp; IF(pStartYear&lt;&gt;"",IF(pStartYear+1&gt;pEndYear,""," ("&amp;pStartYear+1&amp;") "),"")</f>
        <v xml:space="preserve">Year 2 (2027) </v>
      </c>
      <c r="H89" s="185" t="str">
        <f>"Year 3" &amp; IF(pStartYear&lt;&gt;"",IF(pStartYear+2&gt;pEndYear,""," ("&amp;pStartYear+2&amp;") "),"")</f>
        <v xml:space="preserve">Year 3 (2028) </v>
      </c>
      <c r="I89" s="185" t="str">
        <f>"Year 4" &amp; IF(pStartYear&lt;&gt;"",IF(pStartYear+3&gt;pEndYear,""," ("&amp;pStartYear+3&amp;") "),"")</f>
        <v xml:space="preserve">Year 4 (2029) </v>
      </c>
      <c r="J89" s="185" t="str">
        <f>"Year 5" &amp; IF(pStartYear&lt;&gt;"",IF(pStartYear+4&gt;pEndYear,""," ("&amp;pStartYear+4&amp;") "),"")</f>
        <v xml:space="preserve">Year 5 (2030) </v>
      </c>
      <c r="K89" s="185" t="str">
        <f>"Year 6" &amp; IF(pStartYear&lt;&gt;"",IF(pStartYear+5&gt;pEndYear,""," ("&amp;pStartYear+5&amp;") "),"")</f>
        <v>Year 6</v>
      </c>
      <c r="L89" s="185" t="str">
        <f>"Year 7" &amp; IF(pStartYear&lt;&gt;"",IF(pStartYear+6&gt;pEndYear,""," ("&amp;pStartYear+6&amp;") "),"")</f>
        <v>Year 7</v>
      </c>
      <c r="M89" s="185" t="str">
        <f>"Year 8" &amp; IF(pStartYear&lt;&gt;"",IF(pStartYear+7&gt;pEndYear,""," ("&amp;pStartYear+7&amp;") "),"")</f>
        <v>Year 8</v>
      </c>
      <c r="N89" s="185" t="str">
        <f>"Year 9" &amp; IF(pStartYear&lt;&gt;"",IF(pStartYear+8&gt;pEndYear,""," ("&amp;pStartYear+8&amp;") "),"")</f>
        <v>Year 9</v>
      </c>
      <c r="O89" s="185" t="str">
        <f>"Year 10" &amp; IF(pStartYear&lt;&gt;"",IF(pStartYear+9&gt;pEndYear,""," ("&amp;pStartYear+9&amp;") "),"")</f>
        <v>Year 10</v>
      </c>
      <c r="P89" s="184" t="s">
        <v>485</v>
      </c>
      <c r="Q89" s="479"/>
      <c r="S89" s="1519"/>
    </row>
    <row r="90" spans="1:119" ht="15.75" customHeight="1" thickBot="1" x14ac:dyDescent="0.35">
      <c r="A90" s="41"/>
      <c r="B90" s="128"/>
      <c r="C90" s="99"/>
      <c r="D90" s="99"/>
      <c r="E90" s="99"/>
      <c r="F90" s="312">
        <f>'Budget Form'!F118/new_xrate</f>
        <v>0</v>
      </c>
      <c r="G90" s="312">
        <f>'Budget Form'!G118/new_xrate</f>
        <v>0</v>
      </c>
      <c r="H90" s="312">
        <f>'Budget Form'!H118/new_xrate</f>
        <v>0</v>
      </c>
      <c r="I90" s="312">
        <f>'Budget Form'!I118/new_xrate</f>
        <v>0</v>
      </c>
      <c r="J90" s="312">
        <f>'Budget Form'!J118/new_xrate</f>
        <v>0</v>
      </c>
      <c r="K90" s="312">
        <f>'Budget Form'!K118/new_xrate</f>
        <v>0</v>
      </c>
      <c r="L90" s="312">
        <f>'Budget Form'!L118/new_xrate</f>
        <v>0</v>
      </c>
      <c r="M90" s="312">
        <f>'Budget Form'!M118/new_xrate</f>
        <v>0</v>
      </c>
      <c r="N90" s="312">
        <f>'Budget Form'!N118/new_xrate</f>
        <v>0</v>
      </c>
      <c r="O90" s="312">
        <f>'Budget Form'!O118/new_xrate</f>
        <v>0</v>
      </c>
      <c r="P90" s="312">
        <f>SUM($F90:$O90)</f>
        <v>0</v>
      </c>
      <c r="Q90" s="479"/>
      <c r="S90" s="1519"/>
    </row>
    <row r="91" spans="1:119" ht="15" customHeight="1" thickTop="1" thickBot="1" x14ac:dyDescent="0.35">
      <c r="A91" s="42"/>
      <c r="B91" s="105"/>
      <c r="C91" s="105"/>
      <c r="D91" s="105"/>
      <c r="E91" s="105"/>
      <c r="F91" s="139"/>
      <c r="G91" s="139"/>
      <c r="H91" s="139"/>
      <c r="I91" s="139"/>
      <c r="J91" s="139"/>
      <c r="K91" s="139"/>
      <c r="L91" s="139"/>
      <c r="M91" s="139"/>
      <c r="N91" s="139"/>
      <c r="O91" s="139"/>
      <c r="P91" s="105"/>
      <c r="Q91" s="480"/>
      <c r="S91" s="1520"/>
    </row>
    <row r="92" spans="1:119" ht="25.5" customHeight="1" thickBot="1" x14ac:dyDescent="0.35">
      <c r="A92" s="1463" t="s">
        <v>257</v>
      </c>
      <c r="B92" s="1464"/>
      <c r="C92" s="1464"/>
      <c r="D92" s="1464"/>
      <c r="E92" s="1464"/>
      <c r="F92" s="1464"/>
      <c r="G92" s="1464"/>
      <c r="H92" s="1464"/>
      <c r="I92" s="1464"/>
      <c r="J92" s="1464"/>
      <c r="K92" s="1464"/>
      <c r="L92" s="1464"/>
      <c r="M92" s="1464"/>
      <c r="N92" s="1464"/>
      <c r="O92" s="1464"/>
      <c r="P92" s="1464"/>
      <c r="Q92" s="1465"/>
      <c r="S92" s="918" t="s">
        <v>226</v>
      </c>
    </row>
    <row r="93" spans="1:119" ht="15" customHeight="1" x14ac:dyDescent="0.3">
      <c r="A93" s="67"/>
      <c r="B93" s="141"/>
      <c r="C93" s="141"/>
      <c r="D93" s="141"/>
      <c r="E93" s="141"/>
      <c r="F93" s="141"/>
      <c r="G93" s="95"/>
      <c r="H93" s="95"/>
      <c r="I93" s="95"/>
      <c r="J93" s="95"/>
      <c r="K93" s="95"/>
      <c r="L93" s="95"/>
      <c r="M93" s="95"/>
      <c r="N93" s="95"/>
      <c r="O93" s="95"/>
      <c r="P93" s="142"/>
      <c r="Q93" s="143"/>
      <c r="S93" s="1518"/>
    </row>
    <row r="94" spans="1:119" ht="17.100000000000001" customHeight="1" x14ac:dyDescent="0.3">
      <c r="A94" s="127" t="s">
        <v>260</v>
      </c>
      <c r="B94" s="96" t="s">
        <v>261</v>
      </c>
      <c r="C94" s="99"/>
      <c r="D94" s="99"/>
      <c r="E94" s="23"/>
      <c r="F94" s="185" t="str">
        <f>"Year 1" &amp; IF(pStartYear&lt;&gt;""," ("&amp;pStartYear&amp;") ","")</f>
        <v xml:space="preserve">Year 1 (2026) </v>
      </c>
      <c r="G94" s="185" t="str">
        <f>"Year 2" &amp; IF(pStartYear&lt;&gt;"",IF(pStartYear+1&gt;pEndYear,""," ("&amp;pStartYear+1&amp;") "),"")</f>
        <v xml:space="preserve">Year 2 (2027) </v>
      </c>
      <c r="H94" s="185" t="str">
        <f>"Year 3" &amp; IF(pStartYear&lt;&gt;"",IF(pStartYear+2&gt;pEndYear,""," ("&amp;pStartYear+2&amp;") "),"")</f>
        <v xml:space="preserve">Year 3 (2028) </v>
      </c>
      <c r="I94" s="185" t="str">
        <f>"Year 4" &amp; IF(pStartYear&lt;&gt;"",IF(pStartYear+3&gt;pEndYear,""," ("&amp;pStartYear+3&amp;") "),"")</f>
        <v xml:space="preserve">Year 4 (2029) </v>
      </c>
      <c r="J94" s="185" t="str">
        <f>"Year 5" &amp; IF(pStartYear&lt;&gt;"",IF(pStartYear+4&gt;pEndYear,""," ("&amp;pStartYear+4&amp;") "),"")</f>
        <v xml:space="preserve">Year 5 (2030) </v>
      </c>
      <c r="K94" s="185" t="str">
        <f>"Year 6" &amp; IF(pStartYear&lt;&gt;"",IF(pStartYear+5&gt;pEndYear,""," ("&amp;pStartYear+5&amp;") "),"")</f>
        <v>Year 6</v>
      </c>
      <c r="L94" s="185" t="str">
        <f>"Year 7" &amp; IF(pStartYear&lt;&gt;"",IF(pStartYear+6&gt;pEndYear,""," ("&amp;pStartYear+6&amp;") "),"")</f>
        <v>Year 7</v>
      </c>
      <c r="M94" s="185" t="str">
        <f>"Year 8" &amp; IF(pStartYear&lt;&gt;"",IF(pStartYear+7&gt;pEndYear,""," ("&amp;pStartYear+7&amp;") "),"")</f>
        <v>Year 8</v>
      </c>
      <c r="N94" s="185" t="str">
        <f>"Year 9" &amp; IF(pStartYear&lt;&gt;"",IF(pStartYear+8&gt;pEndYear,""," ("&amp;pStartYear+8&amp;") "),"")</f>
        <v>Year 9</v>
      </c>
      <c r="O94" s="185" t="str">
        <f>"Year 10" &amp; IF(pStartYear&lt;&gt;"",IF(pStartYear+9&gt;pEndYear,""," ("&amp;pStartYear+9&amp;") "),"")</f>
        <v>Year 10</v>
      </c>
      <c r="P94" s="184" t="s">
        <v>485</v>
      </c>
      <c r="Q94" s="145"/>
      <c r="S94" s="1519"/>
    </row>
    <row r="95" spans="1:119" ht="15" customHeight="1" thickBot="1" x14ac:dyDescent="0.35">
      <c r="A95" s="68"/>
      <c r="B95" s="1473" t="s">
        <v>262</v>
      </c>
      <c r="C95" s="1473"/>
      <c r="D95" s="203"/>
      <c r="E95" s="23"/>
      <c r="F95" s="312">
        <f>'Budget Form'!F123/new_xrate</f>
        <v>0</v>
      </c>
      <c r="G95" s="312">
        <f>'Budget Form'!G123/new_xrate</f>
        <v>0</v>
      </c>
      <c r="H95" s="312">
        <f>'Budget Form'!H123/new_xrate</f>
        <v>0</v>
      </c>
      <c r="I95" s="312">
        <f>'Budget Form'!I123/new_xrate</f>
        <v>0</v>
      </c>
      <c r="J95" s="312">
        <f>'Budget Form'!J123/new_xrate</f>
        <v>0</v>
      </c>
      <c r="K95" s="312">
        <f>'Budget Form'!K123/new_xrate</f>
        <v>0</v>
      </c>
      <c r="L95" s="312">
        <f>'Budget Form'!L123/new_xrate</f>
        <v>0</v>
      </c>
      <c r="M95" s="312">
        <f>'Budget Form'!M123/new_xrate</f>
        <v>0</v>
      </c>
      <c r="N95" s="312">
        <f>'Budget Form'!N123/new_xrate</f>
        <v>0</v>
      </c>
      <c r="O95" s="312">
        <f>'Budget Form'!O123/new_xrate</f>
        <v>0</v>
      </c>
      <c r="P95" s="312">
        <f>SUM($F95:$O95)</f>
        <v>0</v>
      </c>
      <c r="Q95" s="145"/>
      <c r="S95" s="1519"/>
    </row>
    <row r="96" spans="1:119" ht="15" customHeight="1" thickTop="1" x14ac:dyDescent="0.3">
      <c r="A96" s="68"/>
      <c r="B96" s="96" t="s">
        <v>263</v>
      </c>
      <c r="C96" s="96"/>
      <c r="D96" s="203"/>
      <c r="E96" s="23"/>
      <c r="F96" s="188">
        <f t="shared" ref="F96:P96" si="3">IFERROR(F$95/F$37,0)</f>
        <v>0</v>
      </c>
      <c r="G96" s="188">
        <f t="shared" si="3"/>
        <v>0</v>
      </c>
      <c r="H96" s="188">
        <f t="shared" si="3"/>
        <v>0</v>
      </c>
      <c r="I96" s="188">
        <f t="shared" si="3"/>
        <v>0</v>
      </c>
      <c r="J96" s="188">
        <f t="shared" si="3"/>
        <v>0</v>
      </c>
      <c r="K96" s="188">
        <f t="shared" si="3"/>
        <v>0</v>
      </c>
      <c r="L96" s="188">
        <f t="shared" si="3"/>
        <v>0</v>
      </c>
      <c r="M96" s="188">
        <f t="shared" si="3"/>
        <v>0</v>
      </c>
      <c r="N96" s="188">
        <f t="shared" si="3"/>
        <v>0</v>
      </c>
      <c r="O96" s="188">
        <f t="shared" si="3"/>
        <v>0</v>
      </c>
      <c r="P96" s="188">
        <f t="shared" si="3"/>
        <v>0</v>
      </c>
      <c r="Q96" s="145"/>
      <c r="S96" s="1519"/>
    </row>
    <row r="97" spans="1:24" ht="5.0999999999999996" customHeight="1" x14ac:dyDescent="0.3">
      <c r="A97" s="68"/>
      <c r="B97" s="144"/>
      <c r="C97" s="144"/>
      <c r="D97" s="144"/>
      <c r="E97" s="146"/>
      <c r="F97" s="147"/>
      <c r="G97" s="147"/>
      <c r="H97" s="147"/>
      <c r="I97" s="147"/>
      <c r="J97" s="147"/>
      <c r="K97" s="147"/>
      <c r="L97" s="147"/>
      <c r="M97" s="147"/>
      <c r="N97" s="147"/>
      <c r="O97" s="147"/>
      <c r="P97" s="23"/>
      <c r="Q97" s="145"/>
      <c r="S97" s="1519"/>
    </row>
    <row r="98" spans="1:24" ht="17.100000000000001" customHeight="1" x14ac:dyDescent="0.3">
      <c r="A98" s="127" t="s">
        <v>264</v>
      </c>
      <c r="B98" s="203" t="s">
        <v>265</v>
      </c>
      <c r="C98" s="203"/>
      <c r="D98" s="203"/>
      <c r="E98" s="148"/>
      <c r="F98" s="149"/>
      <c r="G98" s="147"/>
      <c r="H98" s="147"/>
      <c r="I98" s="147"/>
      <c r="J98" s="147"/>
      <c r="K98" s="147"/>
      <c r="L98" s="147"/>
      <c r="M98" s="147"/>
      <c r="N98" s="147"/>
      <c r="O98" s="147"/>
      <c r="P98" s="23"/>
      <c r="Q98" s="145"/>
      <c r="S98" s="1519"/>
    </row>
    <row r="99" spans="1:24" s="950" customFormat="1" ht="24.6" customHeight="1" x14ac:dyDescent="0.3">
      <c r="A99" s="150"/>
      <c r="B99" s="1474" t="s">
        <v>266</v>
      </c>
      <c r="C99" s="1474"/>
      <c r="D99" s="1474"/>
      <c r="E99" s="1474"/>
      <c r="F99" s="1474"/>
      <c r="G99" s="1474"/>
      <c r="H99" s="1474"/>
      <c r="I99" s="1474"/>
      <c r="J99" s="1474"/>
      <c r="K99" s="1474"/>
      <c r="L99" s="1474"/>
      <c r="M99" s="1474"/>
      <c r="N99" s="1474"/>
      <c r="O99" s="1474"/>
      <c r="P99" s="1474"/>
      <c r="Q99" s="151"/>
      <c r="S99" s="1519"/>
    </row>
    <row r="100" spans="1:24" ht="17.100000000000001" customHeight="1" x14ac:dyDescent="0.3">
      <c r="A100" s="68"/>
      <c r="B100" s="96" t="s">
        <v>267</v>
      </c>
      <c r="C100" s="99"/>
      <c r="D100" s="99"/>
      <c r="E100" s="129" t="s">
        <v>268</v>
      </c>
      <c r="F100" s="185" t="str">
        <f>"Year 1" &amp; IF(pStartYear&lt;&gt;""," ("&amp;pStartYear&amp;") ","")</f>
        <v xml:space="preserve">Year 1 (2026) </v>
      </c>
      <c r="G100" s="185" t="str">
        <f>"Year 2" &amp; IF(pStartYear&lt;&gt;"",IF(pStartYear+1&gt;pEndYear,""," ("&amp;pStartYear+1&amp;") "),"")</f>
        <v xml:space="preserve">Year 2 (2027) </v>
      </c>
      <c r="H100" s="185" t="str">
        <f>"Year 3" &amp; IF(pStartYear&lt;&gt;"",IF(pStartYear+2&gt;pEndYear,""," ("&amp;pStartYear+2&amp;") "),"")</f>
        <v xml:space="preserve">Year 3 (2028) </v>
      </c>
      <c r="I100" s="185" t="str">
        <f>"Year 4" &amp; IF(pStartYear&lt;&gt;"",IF(pStartYear+3&gt;pEndYear,""," ("&amp;pStartYear+3&amp;") "),"")</f>
        <v xml:space="preserve">Year 4 (2029) </v>
      </c>
      <c r="J100" s="185" t="str">
        <f>"Year 5" &amp; IF(pStartYear&lt;&gt;"",IF(pStartYear+4&gt;pEndYear,""," ("&amp;pStartYear+4&amp;") "),"")</f>
        <v xml:space="preserve">Year 5 (2030) </v>
      </c>
      <c r="K100" s="185" t="str">
        <f>"Year 6" &amp; IF(pStartYear&lt;&gt;"",IF(pStartYear+5&gt;pEndYear,""," ("&amp;pStartYear+5&amp;") "),"")</f>
        <v>Year 6</v>
      </c>
      <c r="L100" s="185" t="str">
        <f>"Year 7" &amp; IF(pStartYear&lt;&gt;"",IF(pStartYear+6&gt;pEndYear,""," ("&amp;pStartYear+6&amp;") "),"")</f>
        <v>Year 7</v>
      </c>
      <c r="M100" s="185" t="str">
        <f>"Year 8" &amp; IF(pStartYear&lt;&gt;"",IF(pStartYear+7&gt;pEndYear,""," ("&amp;pStartYear+7&amp;") "),"")</f>
        <v>Year 8</v>
      </c>
      <c r="N100" s="185" t="str">
        <f>"Year 9" &amp; IF(pStartYear&lt;&gt;"",IF(pStartYear+8&gt;pEndYear,""," ("&amp;pStartYear+8&amp;") "),"")</f>
        <v>Year 9</v>
      </c>
      <c r="O100" s="185" t="str">
        <f>"Year 10" &amp; IF(pStartYear&lt;&gt;"",IF(pStartYear+9&gt;pEndYear,""," ("&amp;pStartYear+9&amp;") "),"")</f>
        <v>Year 10</v>
      </c>
      <c r="P100" s="184" t="s">
        <v>485</v>
      </c>
      <c r="Q100" s="152"/>
      <c r="S100" s="1519"/>
    </row>
    <row r="101" spans="1:24" ht="15" customHeight="1" x14ac:dyDescent="0.3">
      <c r="A101" s="68"/>
      <c r="B101" s="1475" t="s">
        <v>12</v>
      </c>
      <c r="C101" s="1475"/>
      <c r="D101" s="284"/>
      <c r="E101" s="307">
        <f>'Budget Form'!E129</f>
        <v>1</v>
      </c>
      <c r="F101" s="309">
        <f>'Budget Form'!F129/new_xrate</f>
        <v>0</v>
      </c>
      <c r="G101" s="309">
        <f>'Budget Form'!G129/new_xrate</f>
        <v>0</v>
      </c>
      <c r="H101" s="309">
        <f>'Budget Form'!H129/new_xrate</f>
        <v>0</v>
      </c>
      <c r="I101" s="309">
        <f>'Budget Form'!I129/new_xrate</f>
        <v>0</v>
      </c>
      <c r="J101" s="309">
        <f>'Budget Form'!J129/new_xrate</f>
        <v>0</v>
      </c>
      <c r="K101" s="309">
        <f>'Budget Form'!K129/new_xrate</f>
        <v>0</v>
      </c>
      <c r="L101" s="309">
        <f>'Budget Form'!L129/new_xrate</f>
        <v>0</v>
      </c>
      <c r="M101" s="309">
        <f>'Budget Form'!M129/new_xrate</f>
        <v>0</v>
      </c>
      <c r="N101" s="309">
        <f>'Budget Form'!N129/new_xrate</f>
        <v>0</v>
      </c>
      <c r="O101" s="309">
        <f>'Budget Form'!O129/new_xrate</f>
        <v>0</v>
      </c>
      <c r="P101" s="306">
        <f t="shared" ref="P101:P106" si="4">SUM($F101:$O101)</f>
        <v>0</v>
      </c>
      <c r="Q101" s="153"/>
      <c r="S101" s="1519"/>
    </row>
    <row r="102" spans="1:24" ht="15" customHeight="1" x14ac:dyDescent="0.3">
      <c r="A102" s="68"/>
      <c r="B102" s="1475" t="s">
        <v>269</v>
      </c>
      <c r="C102" s="1475"/>
      <c r="D102" s="284"/>
      <c r="E102" s="307">
        <f>'Budget Form'!E130</f>
        <v>0</v>
      </c>
      <c r="F102" s="309">
        <f>'Budget Form'!F130/new_xrate</f>
        <v>0</v>
      </c>
      <c r="G102" s="309">
        <f>'Budget Form'!G130/new_xrate</f>
        <v>0</v>
      </c>
      <c r="H102" s="309">
        <f>'Budget Form'!H130/new_xrate</f>
        <v>0</v>
      </c>
      <c r="I102" s="309">
        <f>'Budget Form'!I130/new_xrate</f>
        <v>0</v>
      </c>
      <c r="J102" s="309">
        <f>'Budget Form'!J130/new_xrate</f>
        <v>0</v>
      </c>
      <c r="K102" s="309">
        <f>'Budget Form'!K130/new_xrate</f>
        <v>0</v>
      </c>
      <c r="L102" s="309">
        <f>'Budget Form'!L130/new_xrate</f>
        <v>0</v>
      </c>
      <c r="M102" s="309">
        <f>'Budget Form'!M130/new_xrate</f>
        <v>0</v>
      </c>
      <c r="N102" s="309">
        <f>'Budget Form'!N130/new_xrate</f>
        <v>0</v>
      </c>
      <c r="O102" s="309">
        <f>'Budget Form'!O130/new_xrate</f>
        <v>0</v>
      </c>
      <c r="P102" s="306">
        <f t="shared" si="4"/>
        <v>0</v>
      </c>
      <c r="Q102" s="153"/>
      <c r="S102" s="1519"/>
    </row>
    <row r="103" spans="1:24" ht="15" customHeight="1" x14ac:dyDescent="0.3">
      <c r="A103" s="68"/>
      <c r="B103" s="1475" t="s">
        <v>270</v>
      </c>
      <c r="C103" s="1475"/>
      <c r="D103" s="284"/>
      <c r="E103" s="307">
        <f>'Budget Form'!E131</f>
        <v>0</v>
      </c>
      <c r="F103" s="309">
        <f>'Budget Form'!F131/new_xrate</f>
        <v>0</v>
      </c>
      <c r="G103" s="309">
        <f>'Budget Form'!G131/new_xrate</f>
        <v>0</v>
      </c>
      <c r="H103" s="309">
        <f>'Budget Form'!H131/new_xrate</f>
        <v>0</v>
      </c>
      <c r="I103" s="309">
        <f>'Budget Form'!I131/new_xrate</f>
        <v>0</v>
      </c>
      <c r="J103" s="309">
        <f>'Budget Form'!J131/new_xrate</f>
        <v>0</v>
      </c>
      <c r="K103" s="309">
        <f>'Budget Form'!K131/new_xrate</f>
        <v>0</v>
      </c>
      <c r="L103" s="309">
        <f>'Budget Form'!L131/new_xrate</f>
        <v>0</v>
      </c>
      <c r="M103" s="309">
        <f>'Budget Form'!M131/new_xrate</f>
        <v>0</v>
      </c>
      <c r="N103" s="309">
        <f>'Budget Form'!N131/new_xrate</f>
        <v>0</v>
      </c>
      <c r="O103" s="309">
        <f>'Budget Form'!O131/new_xrate</f>
        <v>0</v>
      </c>
      <c r="P103" s="306">
        <f t="shared" si="4"/>
        <v>0</v>
      </c>
      <c r="Q103" s="153"/>
      <c r="S103" s="1519"/>
    </row>
    <row r="104" spans="1:24" ht="15" customHeight="1" x14ac:dyDescent="0.3">
      <c r="A104" s="68"/>
      <c r="B104" s="1475" t="s">
        <v>271</v>
      </c>
      <c r="C104" s="1475"/>
      <c r="D104" s="284"/>
      <c r="E104" s="307">
        <f>'Budget Form'!E132</f>
        <v>0</v>
      </c>
      <c r="F104" s="309">
        <f>'Budget Form'!F132/new_xrate</f>
        <v>0</v>
      </c>
      <c r="G104" s="309">
        <f>'Budget Form'!G132/new_xrate</f>
        <v>0</v>
      </c>
      <c r="H104" s="309">
        <f>'Budget Form'!H132/new_xrate</f>
        <v>0</v>
      </c>
      <c r="I104" s="309">
        <f>'Budget Form'!I132/new_xrate</f>
        <v>0</v>
      </c>
      <c r="J104" s="309">
        <f>'Budget Form'!J132/new_xrate</f>
        <v>0</v>
      </c>
      <c r="K104" s="309">
        <f>'Budget Form'!K132/new_xrate</f>
        <v>0</v>
      </c>
      <c r="L104" s="309">
        <f>'Budget Form'!L132/new_xrate</f>
        <v>0</v>
      </c>
      <c r="M104" s="309">
        <f>'Budget Form'!M132/new_xrate</f>
        <v>0</v>
      </c>
      <c r="N104" s="309">
        <f>'Budget Form'!N132/new_xrate</f>
        <v>0</v>
      </c>
      <c r="O104" s="309">
        <f>'Budget Form'!O132/new_xrate</f>
        <v>0</v>
      </c>
      <c r="P104" s="306">
        <f t="shared" si="4"/>
        <v>0</v>
      </c>
      <c r="Q104" s="153"/>
      <c r="S104" s="1519"/>
    </row>
    <row r="105" spans="1:24" ht="15" customHeight="1" x14ac:dyDescent="0.3">
      <c r="A105" s="68"/>
      <c r="B105" s="1475" t="s">
        <v>9</v>
      </c>
      <c r="C105" s="1475"/>
      <c r="D105" s="284"/>
      <c r="E105" s="307">
        <f>'Budget Form'!E133</f>
        <v>0</v>
      </c>
      <c r="F105" s="309">
        <f>'Budget Form'!F133/new_xrate</f>
        <v>0</v>
      </c>
      <c r="G105" s="309">
        <f>'Budget Form'!G133/new_xrate</f>
        <v>0</v>
      </c>
      <c r="H105" s="309">
        <f>'Budget Form'!H133/new_xrate</f>
        <v>0</v>
      </c>
      <c r="I105" s="309">
        <f>'Budget Form'!I133/new_xrate</f>
        <v>0</v>
      </c>
      <c r="J105" s="309">
        <f>'Budget Form'!J133/new_xrate</f>
        <v>0</v>
      </c>
      <c r="K105" s="309">
        <f>'Budget Form'!K133/new_xrate</f>
        <v>0</v>
      </c>
      <c r="L105" s="309">
        <f>'Budget Form'!L133/new_xrate</f>
        <v>0</v>
      </c>
      <c r="M105" s="309">
        <f>'Budget Form'!M133/new_xrate</f>
        <v>0</v>
      </c>
      <c r="N105" s="309">
        <f>'Budget Form'!N133/new_xrate</f>
        <v>0</v>
      </c>
      <c r="O105" s="309">
        <f>'Budget Form'!O133/new_xrate</f>
        <v>0</v>
      </c>
      <c r="P105" s="306">
        <f t="shared" si="4"/>
        <v>0</v>
      </c>
      <c r="Q105" s="153"/>
      <c r="S105" s="1519"/>
    </row>
    <row r="106" spans="1:24" ht="17.100000000000001" customHeight="1" thickBot="1" x14ac:dyDescent="0.35">
      <c r="A106" s="68"/>
      <c r="B106" s="128" t="s">
        <v>486</v>
      </c>
      <c r="C106" s="128"/>
      <c r="D106" s="285"/>
      <c r="E106" s="154">
        <f>'Budget Form'!E134</f>
        <v>1</v>
      </c>
      <c r="F106" s="312">
        <f>SUM(F$101:F$105)</f>
        <v>0</v>
      </c>
      <c r="G106" s="312">
        <f t="shared" ref="G106:J106" si="5">SUM(G$101:G$105)</f>
        <v>0</v>
      </c>
      <c r="H106" s="312">
        <f t="shared" si="5"/>
        <v>0</v>
      </c>
      <c r="I106" s="312">
        <f t="shared" si="5"/>
        <v>0</v>
      </c>
      <c r="J106" s="312">
        <f t="shared" si="5"/>
        <v>0</v>
      </c>
      <c r="K106" s="312">
        <f t="shared" ref="K106:O106" si="6">SUM(K$101:K$104)</f>
        <v>0</v>
      </c>
      <c r="L106" s="312">
        <f t="shared" si="6"/>
        <v>0</v>
      </c>
      <c r="M106" s="312">
        <f t="shared" si="6"/>
        <v>0</v>
      </c>
      <c r="N106" s="312">
        <f t="shared" si="6"/>
        <v>0</v>
      </c>
      <c r="O106" s="312">
        <f t="shared" si="6"/>
        <v>0</v>
      </c>
      <c r="P106" s="312">
        <f t="shared" si="4"/>
        <v>0</v>
      </c>
      <c r="Q106" s="70"/>
      <c r="S106" s="1519"/>
    </row>
    <row r="107" spans="1:24" s="950" customFormat="1" ht="19.5" customHeight="1" thickTop="1" thickBot="1" x14ac:dyDescent="0.35">
      <c r="A107" s="150"/>
      <c r="B107" s="206"/>
      <c r="C107" s="206"/>
      <c r="D107" s="206"/>
      <c r="E107" s="207"/>
      <c r="F107" s="208"/>
      <c r="G107" s="208"/>
      <c r="H107" s="208"/>
      <c r="I107" s="208"/>
      <c r="J107" s="208"/>
      <c r="K107" s="208"/>
      <c r="L107" s="208"/>
      <c r="M107" s="208"/>
      <c r="N107" s="208"/>
      <c r="O107" s="208"/>
      <c r="P107" s="942" t="str">
        <f>IF($E$106&lt;&gt;1,"ERROR: Please ensure total allocation in Cell E105 equals 100%.","")</f>
        <v/>
      </c>
      <c r="Q107" s="209"/>
      <c r="S107" s="1520"/>
    </row>
    <row r="108" spans="1:24" ht="25.5" customHeight="1" thickBot="1" x14ac:dyDescent="0.35">
      <c r="A108" s="1463" t="s">
        <v>273</v>
      </c>
      <c r="B108" s="1464"/>
      <c r="C108" s="1464"/>
      <c r="D108" s="1464"/>
      <c r="E108" s="1464"/>
      <c r="F108" s="1464"/>
      <c r="G108" s="1464"/>
      <c r="H108" s="1464"/>
      <c r="I108" s="1464"/>
      <c r="J108" s="1464"/>
      <c r="K108" s="1464"/>
      <c r="L108" s="1464"/>
      <c r="M108" s="1464"/>
      <c r="N108" s="1464"/>
      <c r="O108" s="1464"/>
      <c r="P108" s="1464"/>
      <c r="Q108" s="1465"/>
      <c r="S108" s="918" t="s">
        <v>248</v>
      </c>
    </row>
    <row r="109" spans="1:24" ht="12" customHeight="1" x14ac:dyDescent="0.3">
      <c r="A109" s="67"/>
      <c r="B109" s="71"/>
      <c r="C109" s="71"/>
      <c r="D109" s="71"/>
      <c r="E109" s="72"/>
      <c r="F109" s="73"/>
      <c r="G109" s="73"/>
      <c r="H109" s="73"/>
      <c r="I109" s="73"/>
      <c r="J109" s="73"/>
      <c r="K109" s="73"/>
      <c r="L109" s="73"/>
      <c r="M109" s="73"/>
      <c r="N109" s="73"/>
      <c r="O109" s="73"/>
      <c r="P109" s="73"/>
      <c r="Q109" s="74"/>
      <c r="S109" s="1518">
        <f>'Budget Form'!$S$137</f>
        <v>0</v>
      </c>
    </row>
    <row r="110" spans="1:24" ht="38.25" customHeight="1" x14ac:dyDescent="0.3">
      <c r="A110" s="155" t="s">
        <v>276</v>
      </c>
      <c r="B110" s="1474" t="str">
        <f>'Budget Form'!B138</f>
        <v>Allocation of Indirect Costs is based on distributions in Part H. Note that overheads will be distributed across Faculty, School, Department and CI. This section autopopulates, do not enter % values. The cost recovery is based on the average listed in Column P of Total Allocations in Part G. Please note, the figure calculated is: [indirect costs/(contract value - indirect costs) *100].</v>
      </c>
      <c r="C110" s="1474"/>
      <c r="D110" s="1474"/>
      <c r="E110" s="1474"/>
      <c r="F110" s="1474"/>
      <c r="G110" s="1474"/>
      <c r="H110" s="1474"/>
      <c r="I110" s="1474"/>
      <c r="J110" s="1474"/>
      <c r="K110" s="1474"/>
      <c r="L110" s="1474"/>
      <c r="M110" s="1474"/>
      <c r="N110" s="1474"/>
      <c r="O110" s="1474"/>
      <c r="P110" s="1474"/>
      <c r="Q110" s="157"/>
      <c r="S110" s="1519"/>
    </row>
    <row r="111" spans="1:24" ht="15" customHeight="1" x14ac:dyDescent="0.3">
      <c r="A111" s="68"/>
      <c r="B111" s="96" t="s">
        <v>267</v>
      </c>
      <c r="C111" s="99"/>
      <c r="D111" s="99"/>
      <c r="E111" s="185" t="s">
        <v>278</v>
      </c>
      <c r="F111" s="184" t="s">
        <v>485</v>
      </c>
      <c r="G111" s="185" t="s">
        <v>26</v>
      </c>
      <c r="P111" s="23"/>
      <c r="Q111" s="145"/>
      <c r="S111" s="1519"/>
      <c r="X111" s="951"/>
    </row>
    <row r="112" spans="1:24" ht="15" customHeight="1" x14ac:dyDescent="0.3">
      <c r="A112" s="68"/>
      <c r="B112" s="1486" t="s">
        <v>12</v>
      </c>
      <c r="C112" s="1486"/>
      <c r="D112" s="284"/>
      <c r="E112" s="196">
        <f>'Budget Form'!E140</f>
        <v>0</v>
      </c>
      <c r="F112" s="309">
        <f>'Budget Form'!F140/new_xrate</f>
        <v>0</v>
      </c>
      <c r="G112" s="23"/>
      <c r="P112" s="23"/>
      <c r="Q112" s="145"/>
      <c r="S112" s="1519"/>
    </row>
    <row r="113" spans="1:20" ht="15" customHeight="1" x14ac:dyDescent="0.3">
      <c r="A113" s="68"/>
      <c r="B113" s="1486" t="s">
        <v>269</v>
      </c>
      <c r="C113" s="1486"/>
      <c r="D113" s="284"/>
      <c r="E113" s="196">
        <f>'Budget Form'!E141</f>
        <v>0</v>
      </c>
      <c r="F113" s="309">
        <f>'Budget Form'!F141/new_xrate</f>
        <v>0</v>
      </c>
      <c r="G113" s="23"/>
      <c r="P113" s="23"/>
      <c r="Q113" s="145"/>
      <c r="S113" s="1519"/>
    </row>
    <row r="114" spans="1:20" ht="15" customHeight="1" x14ac:dyDescent="0.3">
      <c r="A114" s="68"/>
      <c r="B114" s="1475" t="s">
        <v>270</v>
      </c>
      <c r="C114" s="1475"/>
      <c r="D114" s="284"/>
      <c r="E114" s="196">
        <f>'Budget Form'!E142</f>
        <v>0</v>
      </c>
      <c r="F114" s="309">
        <f>'Budget Form'!F142/new_xrate</f>
        <v>0</v>
      </c>
      <c r="G114" s="23"/>
      <c r="P114" s="23"/>
      <c r="Q114" s="145"/>
      <c r="S114" s="1519"/>
    </row>
    <row r="115" spans="1:20" ht="15" customHeight="1" x14ac:dyDescent="0.3">
      <c r="A115" s="68"/>
      <c r="B115" s="1486" t="s">
        <v>279</v>
      </c>
      <c r="C115" s="1486"/>
      <c r="D115" s="284"/>
      <c r="E115" s="196">
        <f>'Budget Form'!E143</f>
        <v>0</v>
      </c>
      <c r="F115" s="309">
        <f>'Budget Form'!F143/new_xrate</f>
        <v>0</v>
      </c>
      <c r="G115" s="319">
        <f>'Budget Form'!G143</f>
        <v>0</v>
      </c>
      <c r="P115" s="23"/>
      <c r="Q115" s="145"/>
      <c r="S115" s="1519"/>
    </row>
    <row r="116" spans="1:20" ht="15" customHeight="1" x14ac:dyDescent="0.3">
      <c r="A116" s="68"/>
      <c r="B116" s="1486" t="s">
        <v>9</v>
      </c>
      <c r="C116" s="1486"/>
      <c r="D116" s="284"/>
      <c r="E116" s="196">
        <f>'Budget Form'!E144</f>
        <v>0</v>
      </c>
      <c r="F116" s="309">
        <f>'Budget Form'!F144/new_xrate</f>
        <v>0</v>
      </c>
      <c r="G116" s="319">
        <f>'Budget Form'!G144</f>
        <v>0</v>
      </c>
      <c r="P116" s="23"/>
      <c r="Q116" s="145"/>
      <c r="S116" s="1519"/>
    </row>
    <row r="117" spans="1:20" ht="15" customHeight="1" thickBot="1" x14ac:dyDescent="0.35">
      <c r="A117" s="68"/>
      <c r="B117" s="1487" t="s">
        <v>280</v>
      </c>
      <c r="C117" s="1487"/>
      <c r="D117" s="285"/>
      <c r="E117" s="197">
        <f>SUM(E$112:E$116)</f>
        <v>0</v>
      </c>
      <c r="F117" s="312">
        <f>SUM(F$112:F$116)</f>
        <v>0</v>
      </c>
      <c r="G117" s="23"/>
      <c r="H117" s="23"/>
      <c r="I117" s="23"/>
      <c r="J117" s="23"/>
      <c r="K117" s="23"/>
      <c r="L117" s="23"/>
      <c r="M117" s="23"/>
      <c r="N117" s="23"/>
      <c r="O117" s="23"/>
      <c r="P117" s="23"/>
      <c r="Q117" s="145"/>
      <c r="S117" s="1519"/>
    </row>
    <row r="118" spans="1:20" ht="15" customHeight="1" thickTop="1" x14ac:dyDescent="0.3">
      <c r="A118" s="155"/>
      <c r="B118" s="1488" t="str">
        <f>'Budget Form'!B146</f>
        <v>NOTE: The Total Cost Recovery % is based on Total Contract Value excluding the amounts at Part F - Non Staff Budget</v>
      </c>
      <c r="C118" s="1488"/>
      <c r="D118" s="1488"/>
      <c r="E118" s="1488"/>
      <c r="F118" s="1488"/>
      <c r="G118" s="1488"/>
      <c r="H118" s="1488"/>
      <c r="I118" s="1488"/>
      <c r="J118" s="1488"/>
      <c r="K118" s="1488"/>
      <c r="L118" s="1488"/>
      <c r="M118" s="1488"/>
      <c r="N118" s="1488"/>
      <c r="O118" s="1488"/>
      <c r="P118" s="1488"/>
      <c r="Q118" s="156"/>
      <c r="S118" s="1519"/>
    </row>
    <row r="119" spans="1:20" ht="9" customHeight="1" thickBot="1" x14ac:dyDescent="0.35">
      <c r="A119" s="69"/>
      <c r="B119" s="105"/>
      <c r="C119" s="105"/>
      <c r="D119" s="105"/>
      <c r="E119" s="105"/>
      <c r="F119" s="105"/>
      <c r="G119" s="105"/>
      <c r="H119" s="105"/>
      <c r="I119" s="105"/>
      <c r="J119" s="105"/>
      <c r="K119" s="105"/>
      <c r="L119" s="105"/>
      <c r="M119" s="105"/>
      <c r="N119" s="105"/>
      <c r="O119" s="105"/>
      <c r="P119" s="105"/>
      <c r="Q119" s="106"/>
      <c r="S119" s="1520"/>
    </row>
    <row r="120" spans="1:20" ht="25.5" hidden="1" customHeight="1" thickBot="1" x14ac:dyDescent="0.35">
      <c r="A120" s="1489" t="s">
        <v>487</v>
      </c>
      <c r="B120" s="1490"/>
      <c r="C120" s="1490"/>
      <c r="D120" s="1490"/>
      <c r="E120" s="1490"/>
      <c r="F120" s="1490"/>
      <c r="G120" s="1490"/>
      <c r="H120" s="1490"/>
      <c r="I120" s="1490"/>
      <c r="J120" s="1490"/>
      <c r="K120" s="1490"/>
      <c r="L120" s="1490"/>
      <c r="M120" s="1490"/>
      <c r="N120" s="1490"/>
      <c r="O120" s="1490"/>
      <c r="P120" s="1490"/>
      <c r="Q120" s="1491"/>
      <c r="S120" s="952" t="s">
        <v>259</v>
      </c>
    </row>
    <row r="121" spans="1:20" ht="11.1" hidden="1" customHeight="1" thickBot="1" x14ac:dyDescent="0.35">
      <c r="A121" s="67"/>
      <c r="B121" s="71"/>
      <c r="C121" s="71"/>
      <c r="D121" s="71"/>
      <c r="E121" s="72"/>
      <c r="F121" s="73"/>
      <c r="G121" s="73"/>
      <c r="H121" s="73"/>
      <c r="I121" s="73"/>
      <c r="J121" s="73"/>
      <c r="K121" s="73"/>
      <c r="L121" s="73"/>
      <c r="M121" s="73"/>
      <c r="N121" s="73"/>
      <c r="O121" s="73"/>
      <c r="P121" s="73"/>
      <c r="Q121" s="74"/>
      <c r="S121" s="1518"/>
    </row>
    <row r="122" spans="1:20" ht="15" hidden="1" customHeight="1" thickBot="1" x14ac:dyDescent="0.35">
      <c r="A122" s="68"/>
      <c r="B122" s="81" t="s">
        <v>295</v>
      </c>
      <c r="C122" s="78"/>
      <c r="D122" s="78"/>
      <c r="E122" s="79"/>
      <c r="F122" s="80"/>
      <c r="G122" s="80"/>
      <c r="H122" s="80"/>
      <c r="I122" s="80"/>
      <c r="J122" s="80"/>
      <c r="K122" s="80"/>
      <c r="L122" s="80"/>
      <c r="M122" s="80"/>
      <c r="N122" s="80"/>
      <c r="O122" s="80"/>
      <c r="P122" s="80"/>
      <c r="Q122" s="70"/>
      <c r="S122" s="1519"/>
    </row>
    <row r="123" spans="1:20" s="926" customFormat="1" ht="20.25" hidden="1" customHeight="1" thickBot="1" x14ac:dyDescent="0.35">
      <c r="A123" s="68"/>
      <c r="B123" s="1492" t="s">
        <v>296</v>
      </c>
      <c r="C123" s="1492"/>
      <c r="D123" s="1492"/>
      <c r="E123" s="1492"/>
      <c r="F123" s="1492"/>
      <c r="G123" s="1492"/>
      <c r="H123" s="1492"/>
      <c r="I123" s="1492"/>
      <c r="J123" s="1492"/>
      <c r="K123" s="82"/>
      <c r="L123" s="82"/>
      <c r="M123" s="82"/>
      <c r="N123" s="82"/>
      <c r="O123" s="82"/>
      <c r="P123" s="82"/>
      <c r="Q123" s="43"/>
      <c r="R123" s="11"/>
      <c r="S123" s="1519"/>
      <c r="T123" s="11"/>
    </row>
    <row r="124" spans="1:20" ht="16.5" hidden="1" customHeight="1" thickBot="1" x14ac:dyDescent="0.35">
      <c r="A124" s="68"/>
      <c r="B124" s="184" t="s">
        <v>297</v>
      </c>
      <c r="C124" s="1493" t="s">
        <v>298</v>
      </c>
      <c r="D124" s="1494"/>
      <c r="E124" s="1495"/>
      <c r="F124" s="184" t="s">
        <v>299</v>
      </c>
      <c r="G124" s="184" t="s">
        <v>300</v>
      </c>
      <c r="H124" s="184" t="s">
        <v>301</v>
      </c>
      <c r="I124" s="184" t="s">
        <v>302</v>
      </c>
      <c r="J124" s="184" t="s">
        <v>303</v>
      </c>
      <c r="K124" s="83"/>
      <c r="L124" s="83"/>
      <c r="M124" s="83"/>
      <c r="N124" s="83"/>
      <c r="O124" s="83"/>
      <c r="P124" s="82"/>
      <c r="Q124" s="44"/>
      <c r="S124" s="1519"/>
    </row>
    <row r="125" spans="1:20" ht="110.1" hidden="1" customHeight="1" thickBot="1" x14ac:dyDescent="0.35">
      <c r="A125" s="68"/>
      <c r="B125" s="190"/>
      <c r="C125" s="1496" t="s">
        <v>304</v>
      </c>
      <c r="D125" s="1497"/>
      <c r="E125" s="1498"/>
      <c r="F125" s="189"/>
      <c r="G125" s="189" t="s">
        <v>305</v>
      </c>
      <c r="H125" s="189" t="s">
        <v>306</v>
      </c>
      <c r="I125" s="189" t="s">
        <v>307</v>
      </c>
      <c r="J125" s="189" t="s">
        <v>308</v>
      </c>
      <c r="K125" s="84"/>
      <c r="L125" s="84"/>
      <c r="M125" s="84"/>
      <c r="N125" s="84"/>
      <c r="O125" s="84"/>
      <c r="P125" s="82"/>
      <c r="Q125" s="45"/>
      <c r="S125" s="1519"/>
    </row>
    <row r="126" spans="1:20" ht="15" hidden="1" customHeight="1" thickBot="1" x14ac:dyDescent="0.35">
      <c r="A126" s="68"/>
      <c r="B126" s="190">
        <v>1</v>
      </c>
      <c r="C126" s="1499"/>
      <c r="D126" s="1500"/>
      <c r="E126" s="1501"/>
      <c r="F126" s="320"/>
      <c r="G126" s="308"/>
      <c r="H126" s="321"/>
      <c r="I126" s="320"/>
      <c r="J126" s="320"/>
      <c r="K126" s="85"/>
      <c r="L126" s="85"/>
      <c r="M126" s="85"/>
      <c r="N126" s="85"/>
      <c r="O126" s="85"/>
      <c r="P126" s="82"/>
      <c r="Q126" s="46"/>
      <c r="S126" s="1519"/>
    </row>
    <row r="127" spans="1:20" ht="15" hidden="1" thickBot="1" x14ac:dyDescent="0.35">
      <c r="A127" s="68"/>
      <c r="B127" s="190">
        <v>2</v>
      </c>
      <c r="C127" s="1499"/>
      <c r="D127" s="1500"/>
      <c r="E127" s="1501"/>
      <c r="F127" s="320"/>
      <c r="G127" s="308"/>
      <c r="H127" s="321"/>
      <c r="I127" s="320"/>
      <c r="J127" s="320"/>
      <c r="K127" s="85"/>
      <c r="L127" s="85"/>
      <c r="M127" s="85"/>
      <c r="N127" s="85"/>
      <c r="O127" s="85"/>
      <c r="P127" s="82"/>
      <c r="Q127" s="46"/>
      <c r="S127" s="1519"/>
    </row>
    <row r="128" spans="1:20" ht="15" hidden="1" thickBot="1" x14ac:dyDescent="0.35">
      <c r="A128" s="68"/>
      <c r="B128" s="190">
        <v>3</v>
      </c>
      <c r="C128" s="1499"/>
      <c r="D128" s="1500"/>
      <c r="E128" s="1501"/>
      <c r="F128" s="320"/>
      <c r="G128" s="308"/>
      <c r="H128" s="321"/>
      <c r="I128" s="320"/>
      <c r="J128" s="320"/>
      <c r="K128" s="85"/>
      <c r="L128" s="85"/>
      <c r="M128" s="85"/>
      <c r="N128" s="85"/>
      <c r="O128" s="85"/>
      <c r="P128" s="82"/>
      <c r="Q128" s="46"/>
      <c r="S128" s="1519"/>
    </row>
    <row r="129" spans="1:19" ht="15" hidden="1" thickBot="1" x14ac:dyDescent="0.35">
      <c r="A129" s="68"/>
      <c r="B129" s="190">
        <v>4</v>
      </c>
      <c r="C129" s="1499"/>
      <c r="D129" s="1500"/>
      <c r="E129" s="1501"/>
      <c r="F129" s="320"/>
      <c r="G129" s="308"/>
      <c r="H129" s="321"/>
      <c r="I129" s="320"/>
      <c r="J129" s="320"/>
      <c r="K129" s="85"/>
      <c r="L129" s="85"/>
      <c r="M129" s="85"/>
      <c r="N129" s="85"/>
      <c r="O129" s="85"/>
      <c r="P129" s="82"/>
      <c r="Q129" s="46"/>
      <c r="S129" s="1519"/>
    </row>
    <row r="130" spans="1:19" ht="15" hidden="1" thickBot="1" x14ac:dyDescent="0.35">
      <c r="A130" s="68"/>
      <c r="B130" s="190">
        <v>5</v>
      </c>
      <c r="C130" s="1499"/>
      <c r="D130" s="1500"/>
      <c r="E130" s="1501"/>
      <c r="F130" s="320"/>
      <c r="G130" s="308"/>
      <c r="H130" s="321"/>
      <c r="I130" s="320"/>
      <c r="J130" s="320"/>
      <c r="K130" s="85"/>
      <c r="L130" s="85"/>
      <c r="M130" s="85"/>
      <c r="N130" s="85"/>
      <c r="O130" s="85"/>
      <c r="P130" s="82"/>
      <c r="Q130" s="46"/>
      <c r="S130" s="1519"/>
    </row>
    <row r="131" spans="1:19" ht="15" hidden="1" thickBot="1" x14ac:dyDescent="0.35">
      <c r="A131" s="68"/>
      <c r="B131" s="190">
        <v>6</v>
      </c>
      <c r="C131" s="1499"/>
      <c r="D131" s="1500"/>
      <c r="E131" s="1501"/>
      <c r="F131" s="320"/>
      <c r="G131" s="308"/>
      <c r="H131" s="321"/>
      <c r="I131" s="320"/>
      <c r="J131" s="320"/>
      <c r="K131" s="85"/>
      <c r="L131" s="85"/>
      <c r="M131" s="85"/>
      <c r="N131" s="85"/>
      <c r="O131" s="85"/>
      <c r="P131" s="82"/>
      <c r="Q131" s="46"/>
      <c r="S131" s="1519"/>
    </row>
    <row r="132" spans="1:19" ht="15" hidden="1" thickBot="1" x14ac:dyDescent="0.35">
      <c r="A132" s="68"/>
      <c r="B132" s="190">
        <v>7</v>
      </c>
      <c r="C132" s="1499"/>
      <c r="D132" s="1500"/>
      <c r="E132" s="1501"/>
      <c r="F132" s="320"/>
      <c r="G132" s="308"/>
      <c r="H132" s="321"/>
      <c r="I132" s="320"/>
      <c r="J132" s="320"/>
      <c r="K132" s="85"/>
      <c r="L132" s="85"/>
      <c r="M132" s="85"/>
      <c r="N132" s="85"/>
      <c r="O132" s="85"/>
      <c r="P132" s="82"/>
      <c r="Q132" s="46"/>
      <c r="S132" s="1519"/>
    </row>
    <row r="133" spans="1:19" ht="15" hidden="1" thickBot="1" x14ac:dyDescent="0.35">
      <c r="A133" s="68"/>
      <c r="B133" s="190">
        <v>8</v>
      </c>
      <c r="C133" s="1499"/>
      <c r="D133" s="1500"/>
      <c r="E133" s="1501"/>
      <c r="F133" s="320"/>
      <c r="G133" s="308"/>
      <c r="H133" s="321"/>
      <c r="I133" s="320"/>
      <c r="J133" s="320"/>
      <c r="K133" s="85"/>
      <c r="L133" s="85"/>
      <c r="M133" s="85"/>
      <c r="N133" s="85"/>
      <c r="O133" s="85"/>
      <c r="P133" s="82"/>
      <c r="Q133" s="46"/>
      <c r="S133" s="1519"/>
    </row>
    <row r="134" spans="1:19" ht="15" hidden="1" thickBot="1" x14ac:dyDescent="0.35">
      <c r="A134" s="68"/>
      <c r="B134" s="190">
        <v>9</v>
      </c>
      <c r="C134" s="1499"/>
      <c r="D134" s="1500"/>
      <c r="E134" s="1501"/>
      <c r="F134" s="320"/>
      <c r="G134" s="308"/>
      <c r="H134" s="321"/>
      <c r="I134" s="320"/>
      <c r="J134" s="320"/>
      <c r="K134" s="85"/>
      <c r="L134" s="85"/>
      <c r="M134" s="85"/>
      <c r="N134" s="85"/>
      <c r="O134" s="85"/>
      <c r="P134" s="82"/>
      <c r="Q134" s="46"/>
      <c r="S134" s="1519"/>
    </row>
    <row r="135" spans="1:19" ht="15" hidden="1" thickBot="1" x14ac:dyDescent="0.35">
      <c r="A135" s="68"/>
      <c r="B135" s="190">
        <v>10</v>
      </c>
      <c r="C135" s="1499"/>
      <c r="D135" s="1500"/>
      <c r="E135" s="1501"/>
      <c r="F135" s="320"/>
      <c r="G135" s="308"/>
      <c r="H135" s="321"/>
      <c r="I135" s="320"/>
      <c r="J135" s="320"/>
      <c r="K135" s="85"/>
      <c r="L135" s="85"/>
      <c r="M135" s="85"/>
      <c r="N135" s="85"/>
      <c r="O135" s="85"/>
      <c r="P135" s="82"/>
      <c r="Q135" s="46"/>
      <c r="S135" s="1519"/>
    </row>
    <row r="136" spans="1:19" ht="15" hidden="1" thickBot="1" x14ac:dyDescent="0.35">
      <c r="A136" s="68"/>
      <c r="B136" s="190">
        <v>11</v>
      </c>
      <c r="C136" s="1499"/>
      <c r="D136" s="1500"/>
      <c r="E136" s="1501"/>
      <c r="F136" s="320"/>
      <c r="G136" s="308"/>
      <c r="H136" s="321"/>
      <c r="I136" s="320"/>
      <c r="J136" s="320"/>
      <c r="K136" s="85"/>
      <c r="L136" s="85"/>
      <c r="M136" s="85"/>
      <c r="N136" s="85"/>
      <c r="O136" s="85"/>
      <c r="P136" s="82"/>
      <c r="Q136" s="46"/>
      <c r="S136" s="1519"/>
    </row>
    <row r="137" spans="1:19" ht="15" hidden="1" thickBot="1" x14ac:dyDescent="0.35">
      <c r="A137" s="68"/>
      <c r="B137" s="190">
        <v>12</v>
      </c>
      <c r="C137" s="1499"/>
      <c r="D137" s="1500"/>
      <c r="E137" s="1501"/>
      <c r="F137" s="320"/>
      <c r="G137" s="308"/>
      <c r="H137" s="321"/>
      <c r="I137" s="320"/>
      <c r="J137" s="320"/>
      <c r="K137" s="85"/>
      <c r="L137" s="85"/>
      <c r="M137" s="85"/>
      <c r="N137" s="85"/>
      <c r="O137" s="85"/>
      <c r="P137" s="82"/>
      <c r="Q137" s="46"/>
      <c r="S137" s="1519"/>
    </row>
    <row r="138" spans="1:19" ht="15" hidden="1" thickBot="1" x14ac:dyDescent="0.35">
      <c r="A138" s="68"/>
      <c r="B138" s="190">
        <v>13</v>
      </c>
      <c r="C138" s="1499"/>
      <c r="D138" s="1500"/>
      <c r="E138" s="1501"/>
      <c r="F138" s="320"/>
      <c r="G138" s="308"/>
      <c r="H138" s="321"/>
      <c r="I138" s="320"/>
      <c r="J138" s="320"/>
      <c r="K138" s="85"/>
      <c r="L138" s="85"/>
      <c r="M138" s="85"/>
      <c r="N138" s="85"/>
      <c r="O138" s="85"/>
      <c r="P138" s="82"/>
      <c r="Q138" s="46"/>
      <c r="S138" s="1519"/>
    </row>
    <row r="139" spans="1:19" ht="15" hidden="1" thickBot="1" x14ac:dyDescent="0.35">
      <c r="A139" s="68"/>
      <c r="B139" s="190">
        <v>14</v>
      </c>
      <c r="C139" s="1499"/>
      <c r="D139" s="1500"/>
      <c r="E139" s="1501"/>
      <c r="F139" s="320"/>
      <c r="G139" s="308"/>
      <c r="H139" s="321"/>
      <c r="I139" s="320"/>
      <c r="J139" s="320"/>
      <c r="K139" s="85"/>
      <c r="L139" s="85"/>
      <c r="M139" s="85"/>
      <c r="N139" s="85"/>
      <c r="O139" s="85"/>
      <c r="P139" s="82"/>
      <c r="Q139" s="46"/>
      <c r="S139" s="1519"/>
    </row>
    <row r="140" spans="1:19" ht="15" hidden="1" thickBot="1" x14ac:dyDescent="0.35">
      <c r="A140" s="68"/>
      <c r="B140" s="190">
        <v>15</v>
      </c>
      <c r="C140" s="1499"/>
      <c r="D140" s="1500"/>
      <c r="E140" s="1501"/>
      <c r="F140" s="320"/>
      <c r="G140" s="308"/>
      <c r="H140" s="321"/>
      <c r="I140" s="320"/>
      <c r="J140" s="320"/>
      <c r="K140" s="85"/>
      <c r="L140" s="85"/>
      <c r="M140" s="85"/>
      <c r="N140" s="85"/>
      <c r="O140" s="85"/>
      <c r="P140" s="82"/>
      <c r="Q140" s="46"/>
      <c r="S140" s="1519"/>
    </row>
    <row r="141" spans="1:19" ht="15" hidden="1" thickBot="1" x14ac:dyDescent="0.35">
      <c r="A141" s="68"/>
      <c r="B141" s="190">
        <v>16</v>
      </c>
      <c r="C141" s="1499"/>
      <c r="D141" s="1500"/>
      <c r="E141" s="1501"/>
      <c r="F141" s="320"/>
      <c r="G141" s="308"/>
      <c r="H141" s="321"/>
      <c r="I141" s="320"/>
      <c r="J141" s="320"/>
      <c r="K141" s="85"/>
      <c r="L141" s="85"/>
      <c r="M141" s="85"/>
      <c r="N141" s="85"/>
      <c r="O141" s="85"/>
      <c r="P141" s="82"/>
      <c r="Q141" s="46"/>
      <c r="S141" s="1519"/>
    </row>
    <row r="142" spans="1:19" ht="15" hidden="1" thickBot="1" x14ac:dyDescent="0.35">
      <c r="A142" s="68"/>
      <c r="B142" s="190">
        <v>17</v>
      </c>
      <c r="C142" s="1499"/>
      <c r="D142" s="1500"/>
      <c r="E142" s="1501"/>
      <c r="F142" s="320"/>
      <c r="G142" s="308"/>
      <c r="H142" s="321"/>
      <c r="I142" s="320"/>
      <c r="J142" s="320"/>
      <c r="K142" s="85"/>
      <c r="L142" s="85"/>
      <c r="M142" s="85"/>
      <c r="N142" s="85"/>
      <c r="O142" s="85"/>
      <c r="P142" s="82"/>
      <c r="Q142" s="46"/>
      <c r="S142" s="1519"/>
    </row>
    <row r="143" spans="1:19" ht="15" hidden="1" thickBot="1" x14ac:dyDescent="0.35">
      <c r="A143" s="68"/>
      <c r="B143" s="190">
        <v>18</v>
      </c>
      <c r="C143" s="1499"/>
      <c r="D143" s="1500"/>
      <c r="E143" s="1501"/>
      <c r="F143" s="320"/>
      <c r="G143" s="308"/>
      <c r="H143" s="321"/>
      <c r="I143" s="320"/>
      <c r="J143" s="320"/>
      <c r="K143" s="85"/>
      <c r="L143" s="85"/>
      <c r="M143" s="85"/>
      <c r="N143" s="85"/>
      <c r="O143" s="85"/>
      <c r="P143" s="82"/>
      <c r="Q143" s="46"/>
      <c r="S143" s="1519"/>
    </row>
    <row r="144" spans="1:19" ht="15" hidden="1" thickBot="1" x14ac:dyDescent="0.35">
      <c r="A144" s="68"/>
      <c r="B144" s="190">
        <v>19</v>
      </c>
      <c r="C144" s="1499"/>
      <c r="D144" s="1500"/>
      <c r="E144" s="1501"/>
      <c r="F144" s="320"/>
      <c r="G144" s="308"/>
      <c r="H144" s="321"/>
      <c r="I144" s="320"/>
      <c r="J144" s="320"/>
      <c r="K144" s="85"/>
      <c r="L144" s="85"/>
      <c r="M144" s="85"/>
      <c r="N144" s="85"/>
      <c r="O144" s="85"/>
      <c r="P144" s="82"/>
      <c r="Q144" s="46"/>
      <c r="S144" s="1519"/>
    </row>
    <row r="145" spans="1:19" ht="15" hidden="1" thickBot="1" x14ac:dyDescent="0.35">
      <c r="A145" s="68"/>
      <c r="B145" s="190">
        <v>20</v>
      </c>
      <c r="C145" s="1499"/>
      <c r="D145" s="1500"/>
      <c r="E145" s="1501"/>
      <c r="F145" s="320"/>
      <c r="G145" s="308"/>
      <c r="H145" s="321"/>
      <c r="I145" s="320"/>
      <c r="J145" s="320"/>
      <c r="K145" s="85"/>
      <c r="L145" s="85"/>
      <c r="M145" s="85"/>
      <c r="N145" s="85"/>
      <c r="O145" s="85"/>
      <c r="P145" s="82"/>
      <c r="Q145" s="46"/>
      <c r="S145" s="1519"/>
    </row>
    <row r="146" spans="1:19" ht="12.75" hidden="1" customHeight="1" thickBot="1" x14ac:dyDescent="0.35">
      <c r="A146" s="68"/>
      <c r="B146" s="47" t="s">
        <v>488</v>
      </c>
      <c r="C146" s="48"/>
      <c r="D146" s="48"/>
      <c r="E146" s="48"/>
      <c r="F146" s="48"/>
      <c r="G146" s="48"/>
      <c r="H146" s="48"/>
      <c r="I146" s="48"/>
      <c r="J146" s="48"/>
      <c r="K146" s="86"/>
      <c r="L146" s="86"/>
      <c r="M146" s="86"/>
      <c r="N146" s="86"/>
      <c r="O146" s="86"/>
      <c r="P146" s="86"/>
      <c r="Q146" s="49"/>
      <c r="S146" s="1519"/>
    </row>
    <row r="147" spans="1:19" ht="7.5" hidden="1" customHeight="1" thickBot="1" x14ac:dyDescent="0.35">
      <c r="A147" s="69"/>
      <c r="B147" s="50"/>
      <c r="C147" s="50"/>
      <c r="D147" s="50"/>
      <c r="E147" s="50"/>
      <c r="F147" s="50"/>
      <c r="G147" s="50"/>
      <c r="H147" s="50"/>
      <c r="I147" s="50"/>
      <c r="J147" s="50"/>
      <c r="K147" s="50"/>
      <c r="L147" s="50"/>
      <c r="M147" s="50"/>
      <c r="N147" s="50"/>
      <c r="O147" s="50"/>
      <c r="P147" s="50"/>
      <c r="Q147" s="51"/>
      <c r="S147" s="1520"/>
    </row>
    <row r="148" spans="1:19" ht="25.5" hidden="1" customHeight="1" thickBot="1" x14ac:dyDescent="0.35">
      <c r="A148" s="1489" t="s">
        <v>489</v>
      </c>
      <c r="B148" s="1490"/>
      <c r="C148" s="1490"/>
      <c r="D148" s="1490"/>
      <c r="E148" s="1490"/>
      <c r="F148" s="1490"/>
      <c r="G148" s="1490"/>
      <c r="H148" s="1490"/>
      <c r="I148" s="1490"/>
      <c r="J148" s="1490"/>
      <c r="K148" s="1490"/>
      <c r="L148" s="1490"/>
      <c r="M148" s="1490"/>
      <c r="N148" s="1490"/>
      <c r="O148" s="1490"/>
      <c r="P148" s="1490"/>
      <c r="Q148" s="1491"/>
      <c r="S148" s="952" t="s">
        <v>275</v>
      </c>
    </row>
    <row r="149" spans="1:19" ht="15.75" hidden="1" customHeight="1" thickBot="1" x14ac:dyDescent="0.35">
      <c r="A149" s="66"/>
      <c r="B149" s="1502" t="str">
        <f>CONCATENATE("Financial Position to the University of Melbourne will be ", IF(P47=0,"",IF(P47&gt;0,"a profit of","a loss of")))</f>
        <v xml:space="preserve">Financial Position to the University of Melbourne will be </v>
      </c>
      <c r="C149" s="1502"/>
      <c r="D149" s="1502"/>
      <c r="E149" s="1502"/>
      <c r="F149" s="271">
        <f>IF(P47&gt;0,P47,0-P47)</f>
        <v>0</v>
      </c>
      <c r="G149" s="52"/>
      <c r="H149" s="52"/>
      <c r="I149" s="52"/>
      <c r="J149" s="52"/>
      <c r="K149" s="52"/>
      <c r="L149" s="52"/>
      <c r="M149" s="52"/>
      <c r="N149" s="52"/>
      <c r="O149" s="52"/>
      <c r="P149" s="52"/>
      <c r="Q149" s="53"/>
      <c r="S149" s="1518"/>
    </row>
    <row r="150" spans="1:19" ht="15" hidden="1" customHeight="1" thickBot="1" x14ac:dyDescent="0.35">
      <c r="A150" s="41"/>
      <c r="B150" s="75" t="s">
        <v>208</v>
      </c>
      <c r="C150" s="75"/>
      <c r="D150" s="75"/>
      <c r="E150" s="75"/>
      <c r="F150" s="75"/>
      <c r="G150" s="75"/>
      <c r="H150" s="75"/>
      <c r="I150" s="76"/>
      <c r="J150" s="76"/>
      <c r="K150" s="76"/>
      <c r="L150" s="76"/>
      <c r="M150" s="76"/>
      <c r="N150" s="76"/>
      <c r="O150" s="76"/>
      <c r="P150" s="76"/>
      <c r="Q150" s="54"/>
      <c r="S150" s="1519"/>
    </row>
    <row r="151" spans="1:19" ht="30" hidden="1" customHeight="1" thickBot="1" x14ac:dyDescent="0.35">
      <c r="A151" s="41"/>
      <c r="B151" s="1503" t="s">
        <v>363</v>
      </c>
      <c r="C151" s="1504"/>
      <c r="D151" s="1505"/>
      <c r="E151" s="1506"/>
      <c r="F151" s="1507"/>
      <c r="G151" s="1505"/>
      <c r="H151" s="1506"/>
      <c r="I151" s="1507"/>
      <c r="J151" s="322"/>
      <c r="K151" s="55"/>
      <c r="L151" s="87"/>
      <c r="M151" s="87"/>
      <c r="N151" s="87"/>
      <c r="O151" s="87"/>
      <c r="P151" s="23"/>
      <c r="Q151" s="40"/>
      <c r="S151" s="1519"/>
    </row>
    <row r="152" spans="1:19" ht="15" hidden="1" customHeight="1" thickBot="1" x14ac:dyDescent="0.35">
      <c r="A152" s="41"/>
      <c r="B152" s="192" t="s">
        <v>209</v>
      </c>
      <c r="C152" s="191"/>
      <c r="D152" s="192" t="s">
        <v>210</v>
      </c>
      <c r="E152" s="193"/>
      <c r="F152" s="194"/>
      <c r="G152" s="192" t="s">
        <v>211</v>
      </c>
      <c r="H152" s="193"/>
      <c r="I152" s="194"/>
      <c r="J152" s="195" t="s">
        <v>212</v>
      </c>
      <c r="K152" s="56"/>
      <c r="L152" s="88"/>
      <c r="M152" s="88"/>
      <c r="N152" s="88"/>
      <c r="O152" s="88"/>
      <c r="P152" s="23"/>
      <c r="Q152" s="57"/>
      <c r="S152" s="1519"/>
    </row>
    <row r="153" spans="1:19" ht="5.0999999999999996" hidden="1" customHeight="1" thickBot="1" x14ac:dyDescent="0.35">
      <c r="A153" s="41"/>
      <c r="B153" s="76"/>
      <c r="C153" s="76"/>
      <c r="D153" s="76"/>
      <c r="E153" s="76"/>
      <c r="F153" s="76"/>
      <c r="G153" s="76"/>
      <c r="H153" s="89"/>
      <c r="I153" s="76"/>
      <c r="J153" s="76"/>
      <c r="K153" s="76"/>
      <c r="L153" s="76"/>
      <c r="M153" s="76"/>
      <c r="N153" s="76"/>
      <c r="O153" s="76"/>
      <c r="P153" s="89"/>
      <c r="Q153" s="57"/>
      <c r="S153" s="1519"/>
    </row>
    <row r="154" spans="1:19" ht="15" hidden="1" customHeight="1" thickBot="1" x14ac:dyDescent="0.35">
      <c r="A154" s="41"/>
      <c r="B154" s="75" t="s">
        <v>213</v>
      </c>
      <c r="C154" s="75"/>
      <c r="D154" s="75"/>
      <c r="E154" s="75"/>
      <c r="F154" s="75"/>
      <c r="G154" s="75"/>
      <c r="H154" s="75"/>
      <c r="I154" s="76"/>
      <c r="J154" s="76"/>
      <c r="K154" s="76"/>
      <c r="L154" s="76"/>
      <c r="M154" s="76"/>
      <c r="N154" s="76"/>
      <c r="O154" s="76"/>
      <c r="P154" s="76"/>
      <c r="Q154" s="54"/>
      <c r="S154" s="1519"/>
    </row>
    <row r="155" spans="1:19" ht="30" hidden="1" customHeight="1" thickBot="1" x14ac:dyDescent="0.35">
      <c r="A155" s="41"/>
      <c r="B155" s="1503" t="s">
        <v>363</v>
      </c>
      <c r="C155" s="1508"/>
      <c r="D155" s="1505"/>
      <c r="E155" s="1506"/>
      <c r="F155" s="1507"/>
      <c r="G155" s="1505"/>
      <c r="H155" s="1506"/>
      <c r="I155" s="1507"/>
      <c r="J155" s="322"/>
      <c r="K155" s="55"/>
      <c r="L155" s="87"/>
      <c r="M155" s="87"/>
      <c r="N155" s="87"/>
      <c r="O155" s="87"/>
      <c r="P155" s="23"/>
      <c r="Q155" s="54"/>
      <c r="S155" s="1519"/>
    </row>
    <row r="156" spans="1:19" ht="15" hidden="1" customHeight="1" thickBot="1" x14ac:dyDescent="0.35">
      <c r="A156" s="41"/>
      <c r="B156" s="192" t="s">
        <v>209</v>
      </c>
      <c r="C156" s="191"/>
      <c r="D156" s="192" t="s">
        <v>210</v>
      </c>
      <c r="E156" s="193"/>
      <c r="F156" s="194"/>
      <c r="G156" s="192" t="s">
        <v>211</v>
      </c>
      <c r="H156" s="193"/>
      <c r="I156" s="194"/>
      <c r="J156" s="195" t="s">
        <v>212</v>
      </c>
      <c r="K156" s="56"/>
      <c r="L156" s="88"/>
      <c r="M156" s="88"/>
      <c r="N156" s="88"/>
      <c r="O156" s="88"/>
      <c r="P156" s="23"/>
      <c r="Q156" s="57"/>
      <c r="S156" s="1519"/>
    </row>
    <row r="157" spans="1:19" ht="9.6" hidden="1" customHeight="1" thickBot="1" x14ac:dyDescent="0.35">
      <c r="A157" s="42"/>
      <c r="B157" s="58"/>
      <c r="C157" s="59"/>
      <c r="D157" s="59"/>
      <c r="E157" s="58"/>
      <c r="F157" s="58"/>
      <c r="G157" s="58"/>
      <c r="H157" s="59"/>
      <c r="I157" s="58"/>
      <c r="J157" s="58"/>
      <c r="K157" s="58"/>
      <c r="L157" s="58"/>
      <c r="M157" s="58"/>
      <c r="N157" s="58"/>
      <c r="O157" s="58"/>
      <c r="P157" s="59"/>
      <c r="Q157" s="60"/>
      <c r="S157" s="1520"/>
    </row>
    <row r="158" spans="1:19" ht="25.5" hidden="1" customHeight="1" thickBot="1" x14ac:dyDescent="0.35">
      <c r="A158" s="1489" t="s">
        <v>490</v>
      </c>
      <c r="B158" s="1490"/>
      <c r="C158" s="1490"/>
      <c r="D158" s="1490"/>
      <c r="E158" s="1490"/>
      <c r="F158" s="1490"/>
      <c r="G158" s="1490"/>
      <c r="H158" s="1490"/>
      <c r="I158" s="1490"/>
      <c r="J158" s="1490"/>
      <c r="K158" s="1490"/>
      <c r="L158" s="1490"/>
      <c r="M158" s="1490"/>
      <c r="N158" s="1490"/>
      <c r="O158" s="1490"/>
      <c r="P158" s="1490"/>
      <c r="Q158" s="1491"/>
      <c r="S158" s="952" t="s">
        <v>283</v>
      </c>
    </row>
    <row r="159" spans="1:19" ht="8.1" hidden="1" customHeight="1" thickBot="1" x14ac:dyDescent="0.35">
      <c r="A159" s="66"/>
      <c r="B159" s="52"/>
      <c r="C159" s="52"/>
      <c r="D159" s="52"/>
      <c r="E159" s="52"/>
      <c r="F159" s="52"/>
      <c r="G159" s="52"/>
      <c r="H159" s="52"/>
      <c r="I159" s="52"/>
      <c r="J159" s="52"/>
      <c r="K159" s="52"/>
      <c r="L159" s="52"/>
      <c r="M159" s="52"/>
      <c r="N159" s="52"/>
      <c r="O159" s="52"/>
      <c r="P159" s="52"/>
      <c r="Q159" s="53"/>
      <c r="S159" s="1518" t="s">
        <v>491</v>
      </c>
    </row>
    <row r="160" spans="1:19" ht="26.25" hidden="1" customHeight="1" thickBot="1" x14ac:dyDescent="0.35">
      <c r="A160" s="41"/>
      <c r="B160" s="1474" t="str" cm="1">
        <f t="array" ref="B160">CONCATENATE("Required if indirect cost multiplier in Staff Costs is less than ",Minimum_Cost_Recovery_Multiplier," OR there are in-kind contributions")</f>
        <v>Required if indirect cost multiplier in Staff Costs is less than 2.2 OR there are in-kind contributions</v>
      </c>
      <c r="C160" s="1474"/>
      <c r="D160" s="1474"/>
      <c r="E160" s="1474"/>
      <c r="F160" s="182" t="str">
        <f>CONCATENATE("The cost multiplier specified in Staff Costs is : ",pCRSalaries)</f>
        <v>The cost multiplier specified in Staff Costs is : 2.5</v>
      </c>
      <c r="G160" s="75"/>
      <c r="H160" s="75"/>
      <c r="I160" s="953" t="s">
        <v>217</v>
      </c>
      <c r="J160" s="75"/>
      <c r="K160" s="75"/>
      <c r="L160" s="75"/>
      <c r="M160" s="75"/>
      <c r="N160" s="75"/>
      <c r="O160" s="75"/>
      <c r="P160" s="75"/>
      <c r="Q160" s="54"/>
      <c r="S160" s="1519"/>
    </row>
    <row r="161" spans="1:19" ht="15" hidden="1" customHeight="1" thickBot="1" x14ac:dyDescent="0.35">
      <c r="A161" s="41"/>
      <c r="B161" s="75" t="s">
        <v>218</v>
      </c>
      <c r="C161" s="75"/>
      <c r="D161" s="75"/>
      <c r="E161" s="75"/>
      <c r="F161" s="75"/>
      <c r="G161" s="75"/>
      <c r="H161" s="75"/>
      <c r="I161" s="76"/>
      <c r="J161" s="76"/>
      <c r="K161" s="76"/>
      <c r="L161" s="76"/>
      <c r="M161" s="76"/>
      <c r="N161" s="76"/>
      <c r="O161" s="76"/>
      <c r="P161" s="76"/>
      <c r="Q161" s="54"/>
      <c r="S161" s="1519"/>
    </row>
    <row r="162" spans="1:19" ht="30" hidden="1" customHeight="1" thickBot="1" x14ac:dyDescent="0.35">
      <c r="A162" s="41"/>
      <c r="B162" s="1503" t="s">
        <v>363</v>
      </c>
      <c r="C162" s="1514"/>
      <c r="D162" s="1505"/>
      <c r="E162" s="1506"/>
      <c r="F162" s="1507"/>
      <c r="G162" s="1505"/>
      <c r="H162" s="1506"/>
      <c r="I162" s="1507"/>
      <c r="J162" s="322"/>
      <c r="K162" s="55"/>
      <c r="L162" s="87"/>
      <c r="M162" s="87"/>
      <c r="N162" s="87"/>
      <c r="O162" s="87"/>
      <c r="P162" s="23"/>
      <c r="Q162" s="61"/>
      <c r="S162" s="1519"/>
    </row>
    <row r="163" spans="1:19" ht="15" hidden="1" customHeight="1" thickBot="1" x14ac:dyDescent="0.35">
      <c r="A163" s="41"/>
      <c r="B163" s="192" t="s">
        <v>209</v>
      </c>
      <c r="C163" s="191"/>
      <c r="D163" s="192" t="s">
        <v>210</v>
      </c>
      <c r="E163" s="193"/>
      <c r="F163" s="194"/>
      <c r="G163" s="192" t="s">
        <v>211</v>
      </c>
      <c r="H163" s="193"/>
      <c r="I163" s="194"/>
      <c r="J163" s="195" t="s">
        <v>212</v>
      </c>
      <c r="K163" s="56"/>
      <c r="L163" s="88"/>
      <c r="M163" s="88"/>
      <c r="N163" s="88"/>
      <c r="O163" s="88"/>
      <c r="P163" s="23"/>
      <c r="Q163" s="39"/>
      <c r="S163" s="1519"/>
    </row>
    <row r="164" spans="1:19" ht="5.0999999999999996" hidden="1" customHeight="1" thickBot="1" x14ac:dyDescent="0.35">
      <c r="A164" s="41"/>
      <c r="B164" s="76"/>
      <c r="C164" s="76"/>
      <c r="D164" s="76"/>
      <c r="E164" s="76"/>
      <c r="F164" s="76"/>
      <c r="G164" s="76"/>
      <c r="H164" s="76"/>
      <c r="I164" s="75"/>
      <c r="J164" s="75"/>
      <c r="K164" s="75"/>
      <c r="L164" s="75"/>
      <c r="M164" s="75"/>
      <c r="N164" s="75"/>
      <c r="O164" s="75"/>
      <c r="P164" s="75"/>
      <c r="Q164" s="39"/>
      <c r="S164" s="1519"/>
    </row>
    <row r="165" spans="1:19" ht="15" hidden="1" customHeight="1" thickBot="1" x14ac:dyDescent="0.35">
      <c r="A165" s="41"/>
      <c r="B165" s="75" t="s">
        <v>219</v>
      </c>
      <c r="C165" s="75"/>
      <c r="D165" s="75"/>
      <c r="E165" s="75"/>
      <c r="F165" s="75"/>
      <c r="G165" s="75"/>
      <c r="H165" s="75"/>
      <c r="I165" s="76"/>
      <c r="J165" s="76"/>
      <c r="K165" s="76"/>
      <c r="L165" s="76"/>
      <c r="M165" s="76"/>
      <c r="N165" s="76"/>
      <c r="O165" s="76"/>
      <c r="P165" s="76"/>
      <c r="Q165" s="39"/>
      <c r="S165" s="1519"/>
    </row>
    <row r="166" spans="1:19" ht="30" hidden="1" customHeight="1" thickBot="1" x14ac:dyDescent="0.35">
      <c r="A166" s="41"/>
      <c r="B166" s="1503" t="s">
        <v>363</v>
      </c>
      <c r="C166" s="1514"/>
      <c r="D166" s="1505"/>
      <c r="E166" s="1506"/>
      <c r="F166" s="1507"/>
      <c r="G166" s="1505"/>
      <c r="H166" s="1506"/>
      <c r="I166" s="1507"/>
      <c r="J166" s="322"/>
      <c r="K166" s="55"/>
      <c r="L166" s="87"/>
      <c r="M166" s="87"/>
      <c r="N166" s="87"/>
      <c r="O166" s="87"/>
      <c r="P166" s="23"/>
      <c r="Q166" s="61"/>
      <c r="S166" s="1519"/>
    </row>
    <row r="167" spans="1:19" ht="15" hidden="1" customHeight="1" thickBot="1" x14ac:dyDescent="0.35">
      <c r="A167" s="41"/>
      <c r="B167" s="192" t="s">
        <v>209</v>
      </c>
      <c r="C167" s="191"/>
      <c r="D167" s="192" t="s">
        <v>210</v>
      </c>
      <c r="E167" s="193"/>
      <c r="F167" s="194"/>
      <c r="G167" s="192" t="s">
        <v>211</v>
      </c>
      <c r="H167" s="193"/>
      <c r="I167" s="194"/>
      <c r="J167" s="195" t="s">
        <v>212</v>
      </c>
      <c r="K167" s="56"/>
      <c r="L167" s="88"/>
      <c r="M167" s="88"/>
      <c r="N167" s="88"/>
      <c r="O167" s="88"/>
      <c r="P167" s="23"/>
      <c r="Q167" s="39"/>
      <c r="S167" s="1519"/>
    </row>
    <row r="168" spans="1:19" ht="7.5" hidden="1" customHeight="1" thickBot="1" x14ac:dyDescent="0.35">
      <c r="A168" s="41"/>
      <c r="B168" s="76"/>
      <c r="C168" s="76"/>
      <c r="D168" s="290"/>
      <c r="E168" s="76"/>
      <c r="F168" s="76"/>
      <c r="G168" s="76"/>
      <c r="H168" s="76"/>
      <c r="I168" s="75"/>
      <c r="J168" s="75"/>
      <c r="K168" s="75"/>
      <c r="L168" s="75"/>
      <c r="M168" s="75"/>
      <c r="N168" s="75"/>
      <c r="O168" s="75"/>
      <c r="P168" s="75"/>
      <c r="Q168" s="39"/>
      <c r="S168" s="1519"/>
    </row>
    <row r="169" spans="1:19" ht="15" hidden="1" customHeight="1" thickBot="1" x14ac:dyDescent="0.35">
      <c r="A169" s="41"/>
      <c r="B169" s="292" t="s">
        <v>220</v>
      </c>
      <c r="C169" s="292"/>
      <c r="D169" s="292"/>
      <c r="E169" s="292"/>
      <c r="F169" s="1515"/>
      <c r="G169" s="1515"/>
      <c r="H169" s="1515"/>
      <c r="I169" s="1515"/>
      <c r="J169" s="1515"/>
      <c r="K169" s="75"/>
      <c r="L169" s="75"/>
      <c r="M169" s="75"/>
      <c r="N169" s="75"/>
      <c r="O169" s="75"/>
      <c r="P169" s="75"/>
      <c r="Q169" s="39"/>
      <c r="S169" s="1519"/>
    </row>
    <row r="170" spans="1:19" ht="82.5" hidden="1" customHeight="1" thickBot="1" x14ac:dyDescent="0.35">
      <c r="A170" s="68"/>
      <c r="B170" s="1509" t="s">
        <v>492</v>
      </c>
      <c r="C170" s="1510"/>
      <c r="D170" s="1510"/>
      <c r="E170" s="1510"/>
      <c r="F170" s="1510"/>
      <c r="G170" s="1510"/>
      <c r="H170" s="1510"/>
      <c r="I170" s="1510"/>
      <c r="J170" s="1511"/>
      <c r="K170" s="90"/>
      <c r="L170" s="90"/>
      <c r="M170" s="90"/>
      <c r="N170" s="90"/>
      <c r="O170" s="90"/>
      <c r="P170" s="90"/>
      <c r="Q170" s="62"/>
      <c r="S170" s="1519"/>
    </row>
    <row r="171" spans="1:19" ht="7.5" hidden="1" customHeight="1" thickBot="1" x14ac:dyDescent="0.35">
      <c r="A171" s="68"/>
      <c r="B171" s="323"/>
      <c r="C171" s="324"/>
      <c r="D171" s="324"/>
      <c r="E171" s="324"/>
      <c r="F171" s="324"/>
      <c r="G171" s="324"/>
      <c r="H171" s="324"/>
      <c r="I171" s="324"/>
      <c r="J171" s="324"/>
      <c r="K171" s="90"/>
      <c r="L171" s="90"/>
      <c r="M171" s="90"/>
      <c r="N171" s="90"/>
      <c r="O171" s="90"/>
      <c r="P171" s="90"/>
      <c r="Q171" s="62"/>
      <c r="S171" s="1519"/>
    </row>
    <row r="172" spans="1:19" ht="15" hidden="1" thickBot="1" x14ac:dyDescent="0.35">
      <c r="A172" s="68"/>
      <c r="B172" s="76" t="s">
        <v>222</v>
      </c>
      <c r="C172" s="324"/>
      <c r="D172" s="324"/>
      <c r="E172" s="324"/>
      <c r="F172" s="324"/>
      <c r="G172" s="324"/>
      <c r="H172" s="324"/>
      <c r="I172" s="324"/>
      <c r="J172" s="324"/>
      <c r="K172" s="90"/>
      <c r="L172" s="90"/>
      <c r="M172" s="90"/>
      <c r="N172" s="90"/>
      <c r="O172" s="90"/>
      <c r="P172" s="90"/>
      <c r="Q172" s="62"/>
      <c r="S172" s="1519"/>
    </row>
    <row r="173" spans="1:19" ht="82.5" hidden="1" customHeight="1" thickBot="1" x14ac:dyDescent="0.35">
      <c r="A173" s="68"/>
      <c r="B173" s="1509" t="s">
        <v>223</v>
      </c>
      <c r="C173" s="1510"/>
      <c r="D173" s="1510"/>
      <c r="E173" s="1510"/>
      <c r="F173" s="1510"/>
      <c r="G173" s="1510"/>
      <c r="H173" s="1510"/>
      <c r="I173" s="1510"/>
      <c r="J173" s="1511"/>
      <c r="K173" s="90"/>
      <c r="L173" s="90"/>
      <c r="M173" s="90"/>
      <c r="N173" s="90"/>
      <c r="O173" s="90"/>
      <c r="P173" s="90"/>
      <c r="Q173" s="62"/>
      <c r="S173" s="1519"/>
    </row>
    <row r="174" spans="1:19" ht="15" hidden="1" customHeight="1" thickBot="1" x14ac:dyDescent="0.35">
      <c r="A174" s="69"/>
      <c r="B174" s="63"/>
      <c r="C174" s="63"/>
      <c r="D174" s="63"/>
      <c r="E174" s="64"/>
      <c r="F174" s="64"/>
      <c r="G174" s="64"/>
      <c r="H174" s="64"/>
      <c r="I174" s="64"/>
      <c r="J174" s="64"/>
      <c r="K174" s="64"/>
      <c r="L174" s="64"/>
      <c r="M174" s="64"/>
      <c r="N174" s="64"/>
      <c r="O174" s="64"/>
      <c r="P174" s="64"/>
      <c r="Q174" s="65"/>
      <c r="S174" s="1520"/>
    </row>
    <row r="175" spans="1:19" ht="25.5" customHeight="1" thickBot="1" x14ac:dyDescent="0.35">
      <c r="A175" s="1463" t="s">
        <v>493</v>
      </c>
      <c r="B175" s="1464"/>
      <c r="C175" s="1464"/>
      <c r="D175" s="1464"/>
      <c r="E175" s="1464"/>
      <c r="F175" s="1464"/>
      <c r="G175" s="1464"/>
      <c r="H175" s="1464"/>
      <c r="I175" s="1464"/>
      <c r="J175" s="1464"/>
      <c r="K175" s="1464"/>
      <c r="L175" s="1464"/>
      <c r="M175" s="1464"/>
      <c r="N175" s="1464"/>
      <c r="O175" s="1464"/>
      <c r="P175" s="1464"/>
      <c r="Q175" s="1465"/>
      <c r="S175" s="918" t="s">
        <v>294</v>
      </c>
    </row>
    <row r="176" spans="1:19" ht="30" customHeight="1" x14ac:dyDescent="0.3">
      <c r="A176" s="1516" t="str">
        <f>'Budget Form'!C149</f>
        <v>The cost multiplier specified in in-kind (University investment) Staff Costs is : 2.5</v>
      </c>
      <c r="B176" s="1517"/>
      <c r="C176" s="1517"/>
      <c r="D176" s="1517"/>
      <c r="E176" s="1517"/>
      <c r="F176" s="1517"/>
      <c r="G176" s="1517"/>
      <c r="H176" s="1517"/>
      <c r="I176" s="1517"/>
      <c r="J176" s="1517"/>
      <c r="K176" s="1517"/>
      <c r="L176" s="1517"/>
      <c r="M176" s="1517"/>
      <c r="N176" s="1517"/>
      <c r="O176" s="1517"/>
      <c r="P176" s="1517"/>
      <c r="Q176" s="143"/>
      <c r="S176" s="1521"/>
    </row>
    <row r="177" spans="1:23" ht="18" customHeight="1" x14ac:dyDescent="0.35">
      <c r="A177" s="127" t="s">
        <v>285</v>
      </c>
      <c r="B177" s="128" t="s">
        <v>494</v>
      </c>
      <c r="C177" s="128"/>
      <c r="D177" s="1512"/>
      <c r="E177" s="1513"/>
      <c r="F177" s="273" t="str">
        <f>"Year 1" &amp; IF(pStartYear&lt;&gt;""," ("&amp;pStartYear&amp;") ","")</f>
        <v xml:space="preserve">Year 1 (2026) </v>
      </c>
      <c r="G177" s="185" t="str">
        <f>"Year 2" &amp; IF(pStartYear&lt;&gt;"",IF(pStartYear+1&gt;pEndYear,""," ("&amp;pStartYear+1&amp;") "),"")</f>
        <v xml:space="preserve">Year 2 (2027) </v>
      </c>
      <c r="H177" s="185" t="str">
        <f>"Year 3" &amp; IF(pStartYear&lt;&gt;"",IF(pStartYear+2&gt;pEndYear,""," ("&amp;pStartYear+2&amp;") "),"")</f>
        <v xml:space="preserve">Year 3 (2028) </v>
      </c>
      <c r="I177" s="185" t="str">
        <f>"Year 4" &amp; IF(pStartYear&lt;&gt;"",IF(pStartYear+3&gt;pEndYear,""," ("&amp;pStartYear+3&amp;") "),"")</f>
        <v xml:space="preserve">Year 4 (2029) </v>
      </c>
      <c r="J177" s="185" t="str">
        <f>"Year 5" &amp; IF(pStartYear&lt;&gt;"",IF(pStartYear+4&gt;pEndYear,""," ("&amp;pStartYear+4&amp;") "),"")</f>
        <v xml:space="preserve">Year 5 (2030) </v>
      </c>
      <c r="K177" s="185" t="str">
        <f>"Year 6" &amp; IF(pStartYear&lt;&gt;"",IF(pStartYear+5&gt;pEndYear,""," ("&amp;pStartYear+5&amp;") "),"")</f>
        <v>Year 6</v>
      </c>
      <c r="L177" s="185" t="str">
        <f>"Year 7" &amp; IF(pStartYear&lt;&gt;"",IF(pStartYear+6&gt;pEndYear,""," ("&amp;pStartYear+6&amp;") "),"")</f>
        <v>Year 7</v>
      </c>
      <c r="M177" s="185" t="str">
        <f>"Year 8" &amp; IF(pStartYear&lt;&gt;"",IF(pStartYear+7&gt;pEndYear,""," ("&amp;pStartYear+7&amp;") "),"")</f>
        <v>Year 8</v>
      </c>
      <c r="N177" s="185" t="str">
        <f>"Year 9" &amp; IF(pStartYear&lt;&gt;"",IF(pStartYear+8&gt;pEndYear,""," ("&amp;pStartYear+8&amp;") "),"")</f>
        <v>Year 9</v>
      </c>
      <c r="O177" s="185" t="str">
        <f>"Year 10" &amp; IF(pStartYear&lt;&gt;"",IF(pStartYear+9&gt;pEndYear,""," ("&amp;pStartYear+9&amp;") "),"")</f>
        <v>Year 10</v>
      </c>
      <c r="P177" s="184" t="s">
        <v>485</v>
      </c>
      <c r="Q177" s="130"/>
      <c r="S177" s="1522"/>
      <c r="W177" s="943"/>
    </row>
    <row r="178" spans="1:23" ht="15" customHeight="1" x14ac:dyDescent="0.3">
      <c r="A178" s="41"/>
      <c r="B178" s="284" t="str">
        <f>'Budget Form'!B151</f>
        <v>Academic Continuing</v>
      </c>
      <c r="C178" s="131"/>
      <c r="E178" s="954"/>
      <c r="F178" s="309">
        <f>'Budget Form'!F151/new_xrate</f>
        <v>0</v>
      </c>
      <c r="G178" s="309">
        <f>'Budget Form'!G151/new_xrate</f>
        <v>0</v>
      </c>
      <c r="H178" s="309">
        <f>'Budget Form'!H151/new_xrate</f>
        <v>0</v>
      </c>
      <c r="I178" s="309">
        <f>'Budget Form'!I151/new_xrate</f>
        <v>0</v>
      </c>
      <c r="J178" s="309">
        <f>'Budget Form'!J151/new_xrate</f>
        <v>0</v>
      </c>
      <c r="K178" s="309">
        <f>'Budget Form'!K151/new_xrate</f>
        <v>0</v>
      </c>
      <c r="L178" s="309">
        <f>'Budget Form'!L151/new_xrate</f>
        <v>0</v>
      </c>
      <c r="M178" s="309">
        <f>'Budget Form'!M151/new_xrate</f>
        <v>0</v>
      </c>
      <c r="N178" s="309">
        <f>'Budget Form'!N151/new_xrate</f>
        <v>0</v>
      </c>
      <c r="O178" s="309">
        <f>'Budget Form'!O151/new_xrate</f>
        <v>0</v>
      </c>
      <c r="P178" s="306">
        <f>SUM($F178:$O178)</f>
        <v>0</v>
      </c>
      <c r="Q178" s="132"/>
      <c r="S178" s="1522"/>
    </row>
    <row r="179" spans="1:23" ht="15" customHeight="1" x14ac:dyDescent="0.3">
      <c r="A179" s="41"/>
      <c r="B179" s="284" t="str">
        <f>'Budget Form'!B152</f>
        <v>Academic Fixed-Term</v>
      </c>
      <c r="C179" s="131"/>
      <c r="F179" s="309">
        <f>'Budget Form'!F152/new_xrate</f>
        <v>0</v>
      </c>
      <c r="G179" s="309">
        <f>'Budget Form'!G152/new_xrate</f>
        <v>0</v>
      </c>
      <c r="H179" s="309">
        <f>'Budget Form'!H152/new_xrate</f>
        <v>0</v>
      </c>
      <c r="I179" s="309">
        <f>'Budget Form'!I152/new_xrate</f>
        <v>0</v>
      </c>
      <c r="J179" s="309">
        <f>'Budget Form'!J152/new_xrate</f>
        <v>0</v>
      </c>
      <c r="K179" s="309">
        <f>'Budget Form'!K152/new_xrate</f>
        <v>0</v>
      </c>
      <c r="L179" s="309">
        <f>'Budget Form'!L152/new_xrate</f>
        <v>0</v>
      </c>
      <c r="M179" s="309">
        <f>'Budget Form'!M152/new_xrate</f>
        <v>0</v>
      </c>
      <c r="N179" s="309">
        <f>'Budget Form'!N152/new_xrate</f>
        <v>0</v>
      </c>
      <c r="O179" s="309">
        <f>'Budget Form'!O152/new_xrate</f>
        <v>0</v>
      </c>
      <c r="P179" s="306">
        <f t="shared" ref="P179:P184" si="7">SUM($F179:$O179)</f>
        <v>0</v>
      </c>
      <c r="Q179" s="103"/>
      <c r="S179" s="1522"/>
    </row>
    <row r="180" spans="1:23" ht="15" customHeight="1" x14ac:dyDescent="0.3">
      <c r="A180" s="41"/>
      <c r="B180" s="284" t="str">
        <f>'Budget Form'!B153</f>
        <v>Professional Continuing</v>
      </c>
      <c r="C180" s="131"/>
      <c r="D180" s="131"/>
      <c r="E180" s="99"/>
      <c r="F180" s="309">
        <f>'Budget Form'!F153/new_xrate</f>
        <v>0</v>
      </c>
      <c r="G180" s="309">
        <f>'Budget Form'!G153/new_xrate</f>
        <v>0</v>
      </c>
      <c r="H180" s="309">
        <f>'Budget Form'!H153/new_xrate</f>
        <v>0</v>
      </c>
      <c r="I180" s="309">
        <f>'Budget Form'!I153/new_xrate</f>
        <v>0</v>
      </c>
      <c r="J180" s="309">
        <f>'Budget Form'!J153/new_xrate</f>
        <v>0</v>
      </c>
      <c r="K180" s="309">
        <f>'Budget Form'!K153/new_xrate</f>
        <v>0</v>
      </c>
      <c r="L180" s="309">
        <f>'Budget Form'!L153/new_xrate</f>
        <v>0</v>
      </c>
      <c r="M180" s="309">
        <f>'Budget Form'!M153/new_xrate</f>
        <v>0</v>
      </c>
      <c r="N180" s="309">
        <f>'Budget Form'!N153/new_xrate</f>
        <v>0</v>
      </c>
      <c r="O180" s="309">
        <f>'Budget Form'!O153/new_xrate</f>
        <v>0</v>
      </c>
      <c r="P180" s="306">
        <f t="shared" si="7"/>
        <v>0</v>
      </c>
      <c r="Q180" s="103"/>
      <c r="S180" s="1522"/>
    </row>
    <row r="181" spans="1:23" ht="15" customHeight="1" x14ac:dyDescent="0.3">
      <c r="A181" s="41"/>
      <c r="B181" s="284" t="str">
        <f>'Budget Form'!B154</f>
        <v>Professional Fixed-Term</v>
      </c>
      <c r="C181" s="131"/>
      <c r="D181" s="131"/>
      <c r="E181" s="99"/>
      <c r="F181" s="309">
        <f>'Budget Form'!F154/new_xrate</f>
        <v>0</v>
      </c>
      <c r="G181" s="309">
        <f>'Budget Form'!G154/new_xrate</f>
        <v>0</v>
      </c>
      <c r="H181" s="309">
        <f>'Budget Form'!H154/new_xrate</f>
        <v>0</v>
      </c>
      <c r="I181" s="309">
        <f>'Budget Form'!I154/new_xrate</f>
        <v>0</v>
      </c>
      <c r="J181" s="309">
        <f>'Budget Form'!J154/new_xrate</f>
        <v>0</v>
      </c>
      <c r="K181" s="309">
        <f>'Budget Form'!K154/new_xrate</f>
        <v>0</v>
      </c>
      <c r="L181" s="309">
        <f>'Budget Form'!L154/new_xrate</f>
        <v>0</v>
      </c>
      <c r="M181" s="309">
        <f>'Budget Form'!M154/new_xrate</f>
        <v>0</v>
      </c>
      <c r="N181" s="309">
        <f>'Budget Form'!N154/new_xrate</f>
        <v>0</v>
      </c>
      <c r="O181" s="309">
        <f>'Budget Form'!O154/new_xrate</f>
        <v>0</v>
      </c>
      <c r="P181" s="306">
        <f t="shared" si="7"/>
        <v>0</v>
      </c>
      <c r="Q181" s="103"/>
      <c r="S181" s="1522"/>
    </row>
    <row r="182" spans="1:23" ht="15" customHeight="1" x14ac:dyDescent="0.3">
      <c r="A182" s="41"/>
      <c r="B182" s="284" t="str">
        <f>'Budget Form'!B155</f>
        <v>Academic Casual</v>
      </c>
      <c r="C182" s="131"/>
      <c r="D182" s="131"/>
      <c r="E182" s="99"/>
      <c r="F182" s="309">
        <f>'Budget Form'!F155/new_xrate</f>
        <v>0</v>
      </c>
      <c r="G182" s="309">
        <f>'Budget Form'!G155/new_xrate</f>
        <v>0</v>
      </c>
      <c r="H182" s="309">
        <f>'Budget Form'!H155/new_xrate</f>
        <v>0</v>
      </c>
      <c r="I182" s="309">
        <f>'Budget Form'!I155/new_xrate</f>
        <v>0</v>
      </c>
      <c r="J182" s="309">
        <f>'Budget Form'!J155/new_xrate</f>
        <v>0</v>
      </c>
      <c r="K182" s="309">
        <f>'Budget Form'!K155/new_xrate</f>
        <v>0</v>
      </c>
      <c r="L182" s="309">
        <f>'Budget Form'!L155/new_xrate</f>
        <v>0</v>
      </c>
      <c r="M182" s="309">
        <f>'Budget Form'!M155/new_xrate</f>
        <v>0</v>
      </c>
      <c r="N182" s="309">
        <f>'Budget Form'!N155/new_xrate</f>
        <v>0</v>
      </c>
      <c r="O182" s="309">
        <f>'Budget Form'!O155/new_xrate</f>
        <v>0</v>
      </c>
      <c r="P182" s="306">
        <f t="shared" si="7"/>
        <v>0</v>
      </c>
      <c r="Q182" s="103"/>
      <c r="S182" s="1522"/>
    </row>
    <row r="183" spans="1:23" ht="15" customHeight="1" x14ac:dyDescent="0.3">
      <c r="A183" s="41"/>
      <c r="B183" s="284" t="str">
        <f>'Budget Form'!B156</f>
        <v xml:space="preserve"> Professional Casual</v>
      </c>
      <c r="C183" s="131"/>
      <c r="D183" s="131"/>
      <c r="E183" s="99"/>
      <c r="F183" s="309">
        <f>'Budget Form'!F156/new_xrate</f>
        <v>0</v>
      </c>
      <c r="G183" s="309">
        <f>'Budget Form'!G156/new_xrate</f>
        <v>0</v>
      </c>
      <c r="H183" s="309">
        <f>'Budget Form'!H156/new_xrate</f>
        <v>0</v>
      </c>
      <c r="I183" s="309">
        <f>'Budget Form'!I156/new_xrate</f>
        <v>0</v>
      </c>
      <c r="J183" s="309">
        <f>'Budget Form'!J156/new_xrate</f>
        <v>0</v>
      </c>
      <c r="K183" s="309">
        <f>'Budget Form'!K156/new_xrate</f>
        <v>0</v>
      </c>
      <c r="L183" s="309">
        <f>'Budget Form'!L156/new_xrate</f>
        <v>0</v>
      </c>
      <c r="M183" s="309">
        <f>'Budget Form'!M156/new_xrate</f>
        <v>0</v>
      </c>
      <c r="N183" s="309">
        <f>'Budget Form'!N156/new_xrate</f>
        <v>0</v>
      </c>
      <c r="O183" s="309">
        <f>'Budget Form'!O156/new_xrate</f>
        <v>0</v>
      </c>
      <c r="P183" s="306">
        <f t="shared" si="7"/>
        <v>0</v>
      </c>
      <c r="Q183" s="103"/>
      <c r="S183" s="1522"/>
    </row>
    <row r="184" spans="1:23" ht="17.100000000000001" customHeight="1" thickBot="1" x14ac:dyDescent="0.35">
      <c r="A184" s="41"/>
      <c r="B184" s="285" t="str">
        <f>'Budget Form'!B157</f>
        <v>Total In-kind (University investment)  Staff Costs</v>
      </c>
      <c r="C184" s="128"/>
      <c r="D184" s="128"/>
      <c r="E184" s="99"/>
      <c r="F184" s="312">
        <f>SUM(F$178:F$183)</f>
        <v>0</v>
      </c>
      <c r="G184" s="312">
        <f t="shared" ref="G184:O184" si="8">SUM(G$178:G$183)</f>
        <v>0</v>
      </c>
      <c r="H184" s="312">
        <f t="shared" si="8"/>
        <v>0</v>
      </c>
      <c r="I184" s="312">
        <f t="shared" si="8"/>
        <v>0</v>
      </c>
      <c r="J184" s="312">
        <f t="shared" si="8"/>
        <v>0</v>
      </c>
      <c r="K184" s="312">
        <f t="shared" si="8"/>
        <v>0</v>
      </c>
      <c r="L184" s="312">
        <f t="shared" si="8"/>
        <v>0</v>
      </c>
      <c r="M184" s="312">
        <f t="shared" si="8"/>
        <v>0</v>
      </c>
      <c r="N184" s="312">
        <f t="shared" si="8"/>
        <v>0</v>
      </c>
      <c r="O184" s="312">
        <f t="shared" si="8"/>
        <v>0</v>
      </c>
      <c r="P184" s="312">
        <f t="shared" si="7"/>
        <v>0</v>
      </c>
      <c r="Q184" s="103"/>
      <c r="S184" s="1522"/>
    </row>
    <row r="185" spans="1:23" ht="5.0999999999999996" customHeight="1" thickTop="1" x14ac:dyDescent="0.3">
      <c r="A185" s="41"/>
      <c r="B185" s="99">
        <f>'Budget Form'!B158</f>
        <v>0</v>
      </c>
      <c r="C185" s="99"/>
      <c r="D185" s="99"/>
      <c r="E185" s="99"/>
      <c r="F185" s="133"/>
      <c r="G185" s="134"/>
      <c r="H185" s="134"/>
      <c r="I185" s="134"/>
      <c r="J185" s="134"/>
      <c r="K185" s="134"/>
      <c r="L185" s="134"/>
      <c r="M185" s="134"/>
      <c r="N185" s="134"/>
      <c r="O185" s="134"/>
      <c r="P185" s="99"/>
      <c r="Q185" s="103"/>
      <c r="S185" s="1522"/>
    </row>
    <row r="186" spans="1:23" ht="17.100000000000001" customHeight="1" x14ac:dyDescent="0.3">
      <c r="A186" s="127" t="s">
        <v>289</v>
      </c>
      <c r="B186" s="96" t="str">
        <f>'Budget Form'!B159</f>
        <v>In-kind (University investment) Non-Staff Costs</v>
      </c>
      <c r="C186" s="99"/>
      <c r="D186" s="99"/>
      <c r="E186" s="99"/>
      <c r="F186" s="185" t="str">
        <f>"Year 1" &amp; IF(pStartYear&lt;&gt;""," ("&amp;pStartYear&amp;") ","")</f>
        <v xml:space="preserve">Year 1 (2026) </v>
      </c>
      <c r="G186" s="185" t="str">
        <f>"Year 2" &amp; IF(pStartYear&lt;&gt;"",IF(pStartYear+1&gt;pEndYear,""," ("&amp;pStartYear+1&amp;") "),"")</f>
        <v xml:space="preserve">Year 2 (2027) </v>
      </c>
      <c r="H186" s="185" t="str">
        <f>"Year 3" &amp; IF(pStartYear&lt;&gt;"",IF(pStartYear+2&gt;pEndYear,""," ("&amp;pStartYear+2&amp;") "),"")</f>
        <v xml:space="preserve">Year 3 (2028) </v>
      </c>
      <c r="I186" s="185" t="str">
        <f>"Year 4" &amp; IF(pStartYear&lt;&gt;"",IF(pStartYear+3&gt;pEndYear,""," ("&amp;pStartYear+3&amp;") "),"")</f>
        <v xml:space="preserve">Year 4 (2029) </v>
      </c>
      <c r="J186" s="185" t="str">
        <f>"Year 5" &amp; IF(pStartYear&lt;&gt;"",IF(pStartYear+4&gt;pEndYear,""," ("&amp;pStartYear+4&amp;") "),"")</f>
        <v xml:space="preserve">Year 5 (2030) </v>
      </c>
      <c r="K186" s="185" t="str">
        <f>"Year 6" &amp; IF(pStartYear&lt;&gt;"",IF(pStartYear+5&gt;pEndYear,""," ("&amp;pStartYear+5&amp;") "),"")</f>
        <v>Year 6</v>
      </c>
      <c r="L186" s="185" t="str">
        <f>"Year 7" &amp; IF(pStartYear&lt;&gt;"",IF(pStartYear+6&gt;pEndYear,""," ("&amp;pStartYear+6&amp;") "),"")</f>
        <v>Year 7</v>
      </c>
      <c r="M186" s="185" t="str">
        <f>"Year 8" &amp; IF(pStartYear&lt;&gt;"",IF(pStartYear+7&gt;pEndYear,""," ("&amp;pStartYear+7&amp;") "),"")</f>
        <v>Year 8</v>
      </c>
      <c r="N186" s="185" t="str">
        <f>"Year 9" &amp; IF(pStartYear&lt;&gt;"",IF(pStartYear+8&gt;pEndYear,""," ("&amp;pStartYear+8&amp;") "),"")</f>
        <v>Year 9</v>
      </c>
      <c r="O186" s="185" t="str">
        <f>"Year 10" &amp; IF(pStartYear&lt;&gt;"",IF(pStartYear+9&gt;pEndYear,""," ("&amp;pStartYear+9&amp;") "),"")</f>
        <v>Year 10</v>
      </c>
      <c r="P186" s="184" t="s">
        <v>485</v>
      </c>
      <c r="Q186" s="103"/>
      <c r="S186" s="1522"/>
    </row>
    <row r="187" spans="1:23" ht="15" customHeight="1" x14ac:dyDescent="0.3">
      <c r="A187" s="41"/>
      <c r="B187" s="283" t="str">
        <f>'Budget Form'!B160</f>
        <v>Advertising and marketing</v>
      </c>
      <c r="C187" s="99"/>
      <c r="D187" s="99"/>
      <c r="E187" s="99"/>
      <c r="F187" s="309">
        <f>'Budget Form'!F160/new_xrate</f>
        <v>0</v>
      </c>
      <c r="G187" s="309">
        <f>'Budget Form'!G160/new_xrate</f>
        <v>0</v>
      </c>
      <c r="H187" s="309">
        <f>'Budget Form'!H160/new_xrate</f>
        <v>0</v>
      </c>
      <c r="I187" s="309">
        <f>'Budget Form'!I160/new_xrate</f>
        <v>0</v>
      </c>
      <c r="J187" s="309">
        <f>'Budget Form'!J160/new_xrate</f>
        <v>0</v>
      </c>
      <c r="K187" s="309">
        <f>'Budget Form'!K160/new_xrate</f>
        <v>0</v>
      </c>
      <c r="L187" s="309">
        <f>'Budget Form'!L160/new_xrate</f>
        <v>0</v>
      </c>
      <c r="M187" s="309">
        <f>'Budget Form'!M160/new_xrate</f>
        <v>0</v>
      </c>
      <c r="N187" s="309">
        <f>'Budget Form'!N160/new_xrate</f>
        <v>0</v>
      </c>
      <c r="O187" s="309">
        <f>'Budget Form'!O160/new_xrate</f>
        <v>0</v>
      </c>
      <c r="P187" s="306">
        <f>SUM($F187:$O187)</f>
        <v>0</v>
      </c>
      <c r="Q187" s="103"/>
      <c r="S187" s="1522"/>
    </row>
    <row r="188" spans="1:23" ht="15" customHeight="1" x14ac:dyDescent="0.3">
      <c r="A188" s="41"/>
      <c r="B188" s="283" t="str">
        <f>'Budget Form'!B161</f>
        <v>Consumable Goods and Supplies</v>
      </c>
      <c r="C188" s="99"/>
      <c r="D188" s="99"/>
      <c r="E188" s="99"/>
      <c r="F188" s="309">
        <f>'Budget Form'!F161/new_xrate</f>
        <v>0</v>
      </c>
      <c r="G188" s="309">
        <f>'Budget Form'!G161/new_xrate</f>
        <v>0</v>
      </c>
      <c r="H188" s="309">
        <f>'Budget Form'!H161/new_xrate</f>
        <v>0</v>
      </c>
      <c r="I188" s="309">
        <f>'Budget Form'!I161/new_xrate</f>
        <v>0</v>
      </c>
      <c r="J188" s="309">
        <f>'Budget Form'!J161/new_xrate</f>
        <v>0</v>
      </c>
      <c r="K188" s="309">
        <f>'Budget Form'!K161/new_xrate</f>
        <v>0</v>
      </c>
      <c r="L188" s="309">
        <f>'Budget Form'!L161/new_xrate</f>
        <v>0</v>
      </c>
      <c r="M188" s="309">
        <f>'Budget Form'!M161/new_xrate</f>
        <v>0</v>
      </c>
      <c r="N188" s="309">
        <f>'Budget Form'!N161/new_xrate</f>
        <v>0</v>
      </c>
      <c r="O188" s="309">
        <f>'Budget Form'!O161/new_xrate</f>
        <v>0</v>
      </c>
      <c r="P188" s="306">
        <f t="shared" ref="P188:P193" si="9">SUM($F188:$O188)</f>
        <v>0</v>
      </c>
      <c r="Q188" s="103"/>
      <c r="S188" s="1522"/>
    </row>
    <row r="189" spans="1:23" ht="15" customHeight="1" x14ac:dyDescent="0.3">
      <c r="A189" s="41"/>
      <c r="B189" s="283" t="str">
        <f>'Budget Form'!B162</f>
        <v>Data Management</v>
      </c>
      <c r="C189" s="99"/>
      <c r="D189" s="99"/>
      <c r="E189" s="99"/>
      <c r="F189" s="309">
        <f>'Budget Form'!F162/new_xrate</f>
        <v>0</v>
      </c>
      <c r="G189" s="309">
        <f>'Budget Form'!G162/new_xrate</f>
        <v>0</v>
      </c>
      <c r="H189" s="309">
        <f>'Budget Form'!H162/new_xrate</f>
        <v>0</v>
      </c>
      <c r="I189" s="309">
        <f>'Budget Form'!I162/new_xrate</f>
        <v>0</v>
      </c>
      <c r="J189" s="309">
        <f>'Budget Form'!J162/new_xrate</f>
        <v>0</v>
      </c>
      <c r="K189" s="309">
        <f>'Budget Form'!K162/new_xrate</f>
        <v>0</v>
      </c>
      <c r="L189" s="309">
        <f>'Budget Form'!L162/new_xrate</f>
        <v>0</v>
      </c>
      <c r="M189" s="309">
        <f>'Budget Form'!M162/new_xrate</f>
        <v>0</v>
      </c>
      <c r="N189" s="309">
        <f>'Budget Form'!N162/new_xrate</f>
        <v>0</v>
      </c>
      <c r="O189" s="309">
        <f>'Budget Form'!O162/new_xrate</f>
        <v>0</v>
      </c>
      <c r="P189" s="306">
        <f t="shared" si="9"/>
        <v>0</v>
      </c>
      <c r="Q189" s="103"/>
      <c r="S189" s="1522"/>
    </row>
    <row r="190" spans="1:23" ht="15" customHeight="1" x14ac:dyDescent="0.3">
      <c r="A190" s="41"/>
      <c r="B190" s="283" t="str">
        <f>'Budget Form'!B163</f>
        <v>Equipment and maintenance and utilities</v>
      </c>
      <c r="C190" s="99"/>
      <c r="D190" s="99"/>
      <c r="E190" s="99"/>
      <c r="F190" s="309">
        <f>'Budget Form'!F163/new_xrate</f>
        <v>0</v>
      </c>
      <c r="G190" s="309">
        <f>'Budget Form'!G163/new_xrate</f>
        <v>0</v>
      </c>
      <c r="H190" s="309">
        <f>'Budget Form'!H163/new_xrate</f>
        <v>0</v>
      </c>
      <c r="I190" s="309">
        <f>'Budget Form'!I163/new_xrate</f>
        <v>0</v>
      </c>
      <c r="J190" s="309">
        <f>'Budget Form'!J163/new_xrate</f>
        <v>0</v>
      </c>
      <c r="K190" s="309">
        <f>'Budget Form'!K163/new_xrate</f>
        <v>0</v>
      </c>
      <c r="L190" s="309">
        <f>'Budget Form'!L163/new_xrate</f>
        <v>0</v>
      </c>
      <c r="M190" s="309">
        <f>'Budget Form'!M163/new_xrate</f>
        <v>0</v>
      </c>
      <c r="N190" s="309">
        <f>'Budget Form'!N163/new_xrate</f>
        <v>0</v>
      </c>
      <c r="O190" s="309">
        <f>'Budget Form'!O163/new_xrate</f>
        <v>0</v>
      </c>
      <c r="P190" s="306">
        <f t="shared" si="9"/>
        <v>0</v>
      </c>
      <c r="Q190" s="103"/>
      <c r="S190" s="1522"/>
    </row>
    <row r="191" spans="1:23" ht="15" customHeight="1" x14ac:dyDescent="0.3">
      <c r="A191" s="41"/>
      <c r="B191" s="283" t="str">
        <f>'Budget Form'!B164</f>
        <v>Expert Services and Consultants and Contractors</v>
      </c>
      <c r="C191" s="99"/>
      <c r="D191" s="99"/>
      <c r="E191" s="99"/>
      <c r="F191" s="309">
        <f>'Budget Form'!F164/new_xrate</f>
        <v>0</v>
      </c>
      <c r="G191" s="309">
        <f>'Budget Form'!G164/new_xrate</f>
        <v>0</v>
      </c>
      <c r="H191" s="309">
        <f>'Budget Form'!H164/new_xrate</f>
        <v>0</v>
      </c>
      <c r="I191" s="309">
        <f>'Budget Form'!I164/new_xrate</f>
        <v>0</v>
      </c>
      <c r="J191" s="309">
        <f>'Budget Form'!J164/new_xrate</f>
        <v>0</v>
      </c>
      <c r="K191" s="309">
        <f>'Budget Form'!K164/new_xrate</f>
        <v>0</v>
      </c>
      <c r="L191" s="309">
        <f>'Budget Form'!L164/new_xrate</f>
        <v>0</v>
      </c>
      <c r="M191" s="309">
        <f>'Budget Form'!M164/new_xrate</f>
        <v>0</v>
      </c>
      <c r="N191" s="309">
        <f>'Budget Form'!N164/new_xrate</f>
        <v>0</v>
      </c>
      <c r="O191" s="309">
        <f>'Budget Form'!O164/new_xrate</f>
        <v>0</v>
      </c>
      <c r="P191" s="306">
        <f t="shared" si="9"/>
        <v>0</v>
      </c>
      <c r="Q191" s="103"/>
      <c r="S191" s="1522"/>
    </row>
    <row r="192" spans="1:23" ht="15" customHeight="1" x14ac:dyDescent="0.3">
      <c r="A192" s="41"/>
      <c r="B192" s="283" t="str">
        <f>'Budget Form'!B165</f>
        <v>Other consumable service</v>
      </c>
      <c r="C192" s="99"/>
      <c r="D192" s="99"/>
      <c r="E192" s="99"/>
      <c r="F192" s="309">
        <f>'Budget Form'!F165/new_xrate</f>
        <v>0</v>
      </c>
      <c r="G192" s="309">
        <f>'Budget Form'!G165/new_xrate</f>
        <v>0</v>
      </c>
      <c r="H192" s="309">
        <f>'Budget Form'!H165/new_xrate</f>
        <v>0</v>
      </c>
      <c r="I192" s="309">
        <f>'Budget Form'!I165/new_xrate</f>
        <v>0</v>
      </c>
      <c r="J192" s="309">
        <f>'Budget Form'!J165/new_xrate</f>
        <v>0</v>
      </c>
      <c r="K192" s="309">
        <f>'Budget Form'!K165/new_xrate</f>
        <v>0</v>
      </c>
      <c r="L192" s="309">
        <f>'Budget Form'!L165/new_xrate</f>
        <v>0</v>
      </c>
      <c r="M192" s="309">
        <f>'Budget Form'!M165/new_xrate</f>
        <v>0</v>
      </c>
      <c r="N192" s="309">
        <f>'Budget Form'!N165/new_xrate</f>
        <v>0</v>
      </c>
      <c r="O192" s="309">
        <f>'Budget Form'!O165/new_xrate</f>
        <v>0</v>
      </c>
      <c r="P192" s="306">
        <f t="shared" si="9"/>
        <v>0</v>
      </c>
      <c r="Q192" s="103"/>
      <c r="S192" s="1522"/>
    </row>
    <row r="193" spans="1:19" ht="15" customHeight="1" x14ac:dyDescent="0.3">
      <c r="A193" s="41"/>
      <c r="B193" s="283" t="str">
        <f>'Budget Form'!B166</f>
        <v>PhD Stipends</v>
      </c>
      <c r="C193" s="99"/>
      <c r="D193" s="99"/>
      <c r="E193" s="99"/>
      <c r="F193" s="309">
        <f>'Budget Form'!F166/new_xrate</f>
        <v>0</v>
      </c>
      <c r="G193" s="309">
        <f>'Budget Form'!G166/new_xrate</f>
        <v>0</v>
      </c>
      <c r="H193" s="309">
        <f>'Budget Form'!H166/new_xrate</f>
        <v>0</v>
      </c>
      <c r="I193" s="309">
        <f>'Budget Form'!I166/new_xrate</f>
        <v>0</v>
      </c>
      <c r="J193" s="309">
        <f>'Budget Form'!J166/new_xrate</f>
        <v>0</v>
      </c>
      <c r="K193" s="309">
        <f>'Budget Form'!K166/new_xrate</f>
        <v>0</v>
      </c>
      <c r="L193" s="309">
        <f>'Budget Form'!L166/new_xrate</f>
        <v>0</v>
      </c>
      <c r="M193" s="309">
        <f>'Budget Form'!M166/new_xrate</f>
        <v>0</v>
      </c>
      <c r="N193" s="309">
        <f>'Budget Form'!N166/new_xrate</f>
        <v>0</v>
      </c>
      <c r="O193" s="309">
        <f>'Budget Form'!O166/new_xrate</f>
        <v>0</v>
      </c>
      <c r="P193" s="306">
        <f t="shared" si="9"/>
        <v>0</v>
      </c>
      <c r="Q193" s="103"/>
      <c r="S193" s="1522"/>
    </row>
    <row r="194" spans="1:19" ht="15" customHeight="1" x14ac:dyDescent="0.3">
      <c r="A194" s="41"/>
      <c r="B194" s="283" t="str">
        <f>'Budget Form'!B167</f>
        <v>Shared Grant Payments</v>
      </c>
      <c r="C194" s="99"/>
      <c r="D194" s="99"/>
      <c r="E194" s="99"/>
      <c r="F194" s="309">
        <f>'Budget Form'!F167/new_xrate</f>
        <v>0</v>
      </c>
      <c r="G194" s="309">
        <f>'Budget Form'!G167/new_xrate</f>
        <v>0</v>
      </c>
      <c r="H194" s="309">
        <f>'Budget Form'!H167/new_xrate</f>
        <v>0</v>
      </c>
      <c r="I194" s="309">
        <f>'Budget Form'!I167/new_xrate</f>
        <v>0</v>
      </c>
      <c r="J194" s="309">
        <f>'Budget Form'!J167/new_xrate</f>
        <v>0</v>
      </c>
      <c r="K194" s="309">
        <f>'Budget Form'!K167/new_xrate</f>
        <v>0</v>
      </c>
      <c r="L194" s="309">
        <f>'Budget Form'!L167/new_xrate</f>
        <v>0</v>
      </c>
      <c r="M194" s="309">
        <f>'Budget Form'!M167/new_xrate</f>
        <v>0</v>
      </c>
      <c r="N194" s="309">
        <f>'Budget Form'!N167/new_xrate</f>
        <v>0</v>
      </c>
      <c r="O194" s="309">
        <f>'Budget Form'!O167/new_xrate</f>
        <v>0</v>
      </c>
      <c r="P194" s="306">
        <f>SUM($F194:$O194)</f>
        <v>0</v>
      </c>
      <c r="Q194" s="103"/>
      <c r="S194" s="1522"/>
    </row>
    <row r="195" spans="1:19" ht="15" customHeight="1" x14ac:dyDescent="0.3">
      <c r="A195" s="41"/>
      <c r="B195" s="283" t="str">
        <f>'Budget Form'!B168</f>
        <v>Travel and entertainment</v>
      </c>
      <c r="C195" s="99"/>
      <c r="D195" s="99"/>
      <c r="E195" s="99"/>
      <c r="F195" s="309">
        <f>'Budget Form'!F168/new_xrate</f>
        <v>0</v>
      </c>
      <c r="G195" s="309">
        <f>'Budget Form'!G168/new_xrate</f>
        <v>0</v>
      </c>
      <c r="H195" s="309">
        <f>'Budget Form'!H168/new_xrate</f>
        <v>0</v>
      </c>
      <c r="I195" s="309">
        <f>'Budget Form'!I168/new_xrate</f>
        <v>0</v>
      </c>
      <c r="J195" s="309">
        <f>'Budget Form'!J168/new_xrate</f>
        <v>0</v>
      </c>
      <c r="K195" s="309">
        <f>'Budget Form'!K168/new_xrate</f>
        <v>0</v>
      </c>
      <c r="L195" s="309">
        <f>'Budget Form'!L168/new_xrate</f>
        <v>0</v>
      </c>
      <c r="M195" s="309">
        <f>'Budget Form'!M168/new_xrate</f>
        <v>0</v>
      </c>
      <c r="N195" s="309">
        <f>'Budget Form'!N168/new_xrate</f>
        <v>0</v>
      </c>
      <c r="O195" s="309">
        <f>'Budget Form'!O168/new_xrate</f>
        <v>0</v>
      </c>
      <c r="P195" s="306">
        <f>SUM($F195:$O195)</f>
        <v>0</v>
      </c>
      <c r="Q195" s="103"/>
      <c r="S195" s="1522"/>
    </row>
    <row r="196" spans="1:19" ht="17.100000000000001" customHeight="1" thickBot="1" x14ac:dyDescent="0.35">
      <c r="A196" s="41"/>
      <c r="B196" s="285" t="str">
        <f>'Budget Form'!B169</f>
        <v>Total In-kind (University investment) Non-Staff Costs</v>
      </c>
      <c r="C196" s="128"/>
      <c r="D196" s="128"/>
      <c r="E196" s="99"/>
      <c r="F196" s="312">
        <f t="shared" ref="F196:O196" si="10">SUM(F$187:F$195)</f>
        <v>0</v>
      </c>
      <c r="G196" s="312">
        <f t="shared" si="10"/>
        <v>0</v>
      </c>
      <c r="H196" s="312">
        <f t="shared" si="10"/>
        <v>0</v>
      </c>
      <c r="I196" s="312">
        <f t="shared" si="10"/>
        <v>0</v>
      </c>
      <c r="J196" s="312">
        <f t="shared" si="10"/>
        <v>0</v>
      </c>
      <c r="K196" s="312">
        <f t="shared" si="10"/>
        <v>0</v>
      </c>
      <c r="L196" s="312">
        <f t="shared" si="10"/>
        <v>0</v>
      </c>
      <c r="M196" s="312">
        <f t="shared" si="10"/>
        <v>0</v>
      </c>
      <c r="N196" s="312">
        <f t="shared" si="10"/>
        <v>0</v>
      </c>
      <c r="O196" s="312">
        <f t="shared" si="10"/>
        <v>0</v>
      </c>
      <c r="P196" s="312">
        <f>SUM($F196:$O196)</f>
        <v>0</v>
      </c>
      <c r="Q196" s="103"/>
      <c r="S196" s="1522"/>
    </row>
    <row r="197" spans="1:19" ht="6.75" customHeight="1" thickTop="1" x14ac:dyDescent="0.3">
      <c r="A197" s="41"/>
      <c r="B197" s="99"/>
      <c r="C197" s="99"/>
      <c r="D197" s="99"/>
      <c r="E197" s="99"/>
      <c r="F197" s="100"/>
      <c r="G197" s="100"/>
      <c r="H197" s="100"/>
      <c r="I197" s="100"/>
      <c r="J197" s="100"/>
      <c r="K197" s="100"/>
      <c r="L197" s="100"/>
      <c r="M197" s="100"/>
      <c r="N197" s="100"/>
      <c r="O197" s="100"/>
      <c r="P197" s="99"/>
      <c r="Q197" s="103"/>
      <c r="S197" s="1522"/>
    </row>
    <row r="198" spans="1:19" ht="4.5" customHeight="1" x14ac:dyDescent="0.3">
      <c r="A198" s="41"/>
      <c r="B198" s="99"/>
      <c r="C198" s="99"/>
      <c r="D198" s="99"/>
      <c r="E198" s="99"/>
      <c r="F198" s="100"/>
      <c r="G198" s="100"/>
      <c r="H198" s="100"/>
      <c r="I198" s="100"/>
      <c r="J198" s="100"/>
      <c r="K198" s="100"/>
      <c r="L198" s="100"/>
      <c r="M198" s="100"/>
      <c r="N198" s="100"/>
      <c r="O198" s="100"/>
      <c r="P198" s="99"/>
      <c r="Q198" s="103"/>
      <c r="S198" s="1522"/>
    </row>
    <row r="199" spans="1:19" ht="17.100000000000001" customHeight="1" x14ac:dyDescent="0.3">
      <c r="A199" s="127" t="s">
        <v>291</v>
      </c>
      <c r="B199" s="128" t="s">
        <v>495</v>
      </c>
      <c r="C199" s="99"/>
      <c r="D199" s="99"/>
      <c r="E199" s="99"/>
      <c r="F199" s="185" t="str">
        <f>"Year 1" &amp; IF(pStartYear&lt;&gt;""," ("&amp;pStartYear&amp;") ","")</f>
        <v xml:space="preserve">Year 1 (2026) </v>
      </c>
      <c r="G199" s="185" t="str">
        <f>"Year 2" &amp; IF(pStartYear&lt;&gt;"",IF(pStartYear+1&gt;pEndYear,""," ("&amp;pStartYear+1&amp;") "),"")</f>
        <v xml:space="preserve">Year 2 (2027) </v>
      </c>
      <c r="H199" s="185" t="str">
        <f>"Year 3" &amp; IF(pStartYear&lt;&gt;"",IF(pStartYear+2&gt;pEndYear,""," ("&amp;pStartYear+2&amp;") "),"")</f>
        <v xml:space="preserve">Year 3 (2028) </v>
      </c>
      <c r="I199" s="185" t="str">
        <f>"Year 4" &amp; IF(pStartYear&lt;&gt;"",IF(pStartYear+3&gt;pEndYear,""," ("&amp;pStartYear+3&amp;") "),"")</f>
        <v xml:space="preserve">Year 4 (2029) </v>
      </c>
      <c r="J199" s="185" t="str">
        <f>"Year 5" &amp; IF(pStartYear&lt;&gt;"",IF(pStartYear+4&gt;pEndYear,""," ("&amp;pStartYear+4&amp;") "),"")</f>
        <v xml:space="preserve">Year 5 (2030) </v>
      </c>
      <c r="K199" s="185" t="str">
        <f>"Year 6" &amp; IF(pStartYear&lt;&gt;"",IF(pStartYear+5&gt;pEndYear,""," ("&amp;pStartYear+5&amp;") "),"")</f>
        <v>Year 6</v>
      </c>
      <c r="L199" s="185" t="str">
        <f>"Year 7" &amp; IF(pStartYear&lt;&gt;"",IF(pStartYear+6&gt;pEndYear,""," ("&amp;pStartYear+6&amp;") "),"")</f>
        <v>Year 7</v>
      </c>
      <c r="M199" s="185" t="str">
        <f>"Year 8" &amp; IF(pStartYear&lt;&gt;"",IF(pStartYear+7&gt;pEndYear,""," ("&amp;pStartYear+7&amp;") "),"")</f>
        <v>Year 8</v>
      </c>
      <c r="N199" s="185" t="str">
        <f>"Year 9" &amp; IF(pStartYear&lt;&gt;"",IF(pStartYear+8&gt;pEndYear,""," ("&amp;pStartYear+8&amp;") "),"")</f>
        <v>Year 9</v>
      </c>
      <c r="O199" s="185" t="str">
        <f>"Year 10" &amp; IF(pStartYear&lt;&gt;"",IF(pStartYear+9&gt;pEndYear,""," ("&amp;pStartYear+9&amp;") "),"")</f>
        <v>Year 10</v>
      </c>
      <c r="P199" s="184" t="s">
        <v>485</v>
      </c>
      <c r="Q199" s="103"/>
      <c r="S199" s="1522"/>
    </row>
    <row r="200" spans="1:19" ht="17.100000000000001" customHeight="1" thickBot="1" x14ac:dyDescent="0.35">
      <c r="A200" s="41"/>
      <c r="B200" s="99"/>
      <c r="C200" s="99"/>
      <c r="D200" s="99"/>
      <c r="E200" s="99"/>
      <c r="F200" s="312">
        <f>'Budget Form'!F173/new_xrate</f>
        <v>0</v>
      </c>
      <c r="G200" s="312">
        <f>'Budget Form'!G173/new_xrate</f>
        <v>0</v>
      </c>
      <c r="H200" s="312">
        <f>'Budget Form'!H173/new_xrate</f>
        <v>0</v>
      </c>
      <c r="I200" s="312">
        <f>'Budget Form'!I173/new_xrate</f>
        <v>0</v>
      </c>
      <c r="J200" s="312">
        <f>'Budget Form'!J173/new_xrate</f>
        <v>0</v>
      </c>
      <c r="K200" s="312">
        <f>'Budget Form'!K173/new_xrate</f>
        <v>0</v>
      </c>
      <c r="L200" s="312">
        <f>'Budget Form'!L173/new_xrate</f>
        <v>0</v>
      </c>
      <c r="M200" s="312">
        <f>'Budget Form'!M173/new_xrate</f>
        <v>0</v>
      </c>
      <c r="N200" s="312">
        <f>'Budget Form'!N173/new_xrate</f>
        <v>0</v>
      </c>
      <c r="O200" s="312">
        <f>'Budget Form'!O173/new_xrate</f>
        <v>0</v>
      </c>
      <c r="P200" s="312">
        <f>SUM($F200:$O200)</f>
        <v>0</v>
      </c>
      <c r="Q200" s="103"/>
      <c r="S200" s="1522"/>
    </row>
    <row r="201" spans="1:19" ht="15" customHeight="1" thickTop="1" thickBot="1" x14ac:dyDescent="0.35">
      <c r="A201" s="69"/>
      <c r="B201" s="63"/>
      <c r="C201" s="63"/>
      <c r="D201" s="63"/>
      <c r="E201" s="64"/>
      <c r="F201" s="64"/>
      <c r="G201" s="64"/>
      <c r="H201" s="64"/>
      <c r="I201" s="64"/>
      <c r="J201" s="64"/>
      <c r="K201" s="64"/>
      <c r="L201" s="64"/>
      <c r="M201" s="64"/>
      <c r="N201" s="64"/>
      <c r="O201" s="64"/>
      <c r="P201" s="64"/>
      <c r="Q201" s="65"/>
      <c r="S201" s="1523"/>
    </row>
    <row r="202" spans="1:19" ht="25.5" hidden="1" customHeight="1" thickTop="1" thickBot="1" x14ac:dyDescent="0.35">
      <c r="A202" s="1489" t="s">
        <v>496</v>
      </c>
      <c r="B202" s="1490"/>
      <c r="C202" s="1490"/>
      <c r="D202" s="1490"/>
      <c r="E202" s="1490"/>
      <c r="F202" s="1490"/>
      <c r="G202" s="1490"/>
      <c r="H202" s="1490"/>
      <c r="I202" s="1490"/>
      <c r="J202" s="1490"/>
      <c r="K202" s="1490"/>
      <c r="L202" s="1490"/>
      <c r="M202" s="1490"/>
      <c r="N202" s="1490"/>
      <c r="O202" s="1490"/>
      <c r="P202" s="1490"/>
      <c r="Q202" s="1491"/>
      <c r="S202" s="918" t="s">
        <v>259</v>
      </c>
    </row>
    <row r="203" spans="1:19" ht="10.35" hidden="1" customHeight="1" x14ac:dyDescent="0.3">
      <c r="A203" s="67"/>
      <c r="B203" s="71"/>
      <c r="C203" s="71"/>
      <c r="D203" s="71"/>
      <c r="E203" s="72"/>
      <c r="F203" s="73"/>
      <c r="G203" s="73"/>
      <c r="H203" s="73"/>
      <c r="I203" s="73"/>
      <c r="J203" s="73"/>
      <c r="K203" s="73"/>
      <c r="L203" s="73"/>
      <c r="M203" s="73"/>
      <c r="N203" s="73"/>
      <c r="O203" s="73"/>
      <c r="P203" s="73"/>
      <c r="Q203" s="74"/>
      <c r="S203" s="1518"/>
    </row>
    <row r="204" spans="1:19" hidden="1" x14ac:dyDescent="0.3">
      <c r="A204" s="68"/>
      <c r="B204" s="184" t="s">
        <v>297</v>
      </c>
      <c r="C204" s="1493" t="s">
        <v>298</v>
      </c>
      <c r="D204" s="1494"/>
      <c r="E204" s="1495"/>
      <c r="F204" s="184" t="s">
        <v>299</v>
      </c>
      <c r="G204" s="184" t="s">
        <v>300</v>
      </c>
      <c r="H204" s="184" t="s">
        <v>301</v>
      </c>
      <c r="I204" s="184" t="s">
        <v>302</v>
      </c>
      <c r="J204" s="184" t="s">
        <v>303</v>
      </c>
      <c r="K204" s="83"/>
      <c r="L204" s="83"/>
      <c r="M204" s="83"/>
      <c r="N204" s="83"/>
      <c r="O204" s="83"/>
      <c r="P204" s="82"/>
      <c r="Q204" s="44"/>
      <c r="S204" s="1519"/>
    </row>
    <row r="205" spans="1:19" ht="110.1" hidden="1" customHeight="1" x14ac:dyDescent="0.3">
      <c r="A205" s="68"/>
      <c r="B205" s="190"/>
      <c r="C205" s="1496" t="s">
        <v>304</v>
      </c>
      <c r="D205" s="1497"/>
      <c r="E205" s="1498"/>
      <c r="F205" s="189"/>
      <c r="G205" s="189" t="s">
        <v>305</v>
      </c>
      <c r="H205" s="189" t="s">
        <v>306</v>
      </c>
      <c r="I205" s="189" t="s">
        <v>307</v>
      </c>
      <c r="J205" s="189" t="s">
        <v>308</v>
      </c>
      <c r="K205" s="84"/>
      <c r="L205" s="84"/>
      <c r="M205" s="84"/>
      <c r="N205" s="84"/>
      <c r="O205" s="84"/>
      <c r="P205" s="82"/>
      <c r="Q205" s="45"/>
      <c r="S205" s="1519"/>
    </row>
    <row r="206" spans="1:19" hidden="1" x14ac:dyDescent="0.3">
      <c r="A206" s="68"/>
      <c r="B206" s="190">
        <v>21</v>
      </c>
      <c r="C206" s="1499"/>
      <c r="D206" s="1500"/>
      <c r="E206" s="1501"/>
      <c r="F206" s="320"/>
      <c r="G206" s="308"/>
      <c r="H206" s="321"/>
      <c r="I206" s="320"/>
      <c r="J206" s="320"/>
      <c r="K206" s="85"/>
      <c r="L206" s="85"/>
      <c r="M206" s="85"/>
      <c r="N206" s="85"/>
      <c r="O206" s="85"/>
      <c r="P206" s="82"/>
      <c r="Q206" s="46"/>
      <c r="S206" s="1519"/>
    </row>
    <row r="207" spans="1:19" hidden="1" x14ac:dyDescent="0.3">
      <c r="A207" s="68"/>
      <c r="B207" s="190">
        <v>22</v>
      </c>
      <c r="C207" s="1499"/>
      <c r="D207" s="1500"/>
      <c r="E207" s="1501"/>
      <c r="F207" s="320"/>
      <c r="G207" s="308"/>
      <c r="H207" s="321"/>
      <c r="I207" s="320"/>
      <c r="J207" s="320"/>
      <c r="K207" s="85"/>
      <c r="L207" s="85"/>
      <c r="M207" s="85"/>
      <c r="N207" s="85"/>
      <c r="O207" s="85"/>
      <c r="P207" s="82"/>
      <c r="Q207" s="46"/>
      <c r="S207" s="1519"/>
    </row>
    <row r="208" spans="1:19" hidden="1" x14ac:dyDescent="0.3">
      <c r="A208" s="68"/>
      <c r="B208" s="190">
        <v>23</v>
      </c>
      <c r="C208" s="1499"/>
      <c r="D208" s="1500"/>
      <c r="E208" s="1501"/>
      <c r="F208" s="320"/>
      <c r="G208" s="308"/>
      <c r="H208" s="321"/>
      <c r="I208" s="320"/>
      <c r="J208" s="320"/>
      <c r="K208" s="85"/>
      <c r="L208" s="85"/>
      <c r="M208" s="85"/>
      <c r="N208" s="85"/>
      <c r="O208" s="85"/>
      <c r="P208" s="82"/>
      <c r="Q208" s="46"/>
      <c r="S208" s="1519"/>
    </row>
    <row r="209" spans="1:19" hidden="1" x14ac:dyDescent="0.3">
      <c r="A209" s="68"/>
      <c r="B209" s="190">
        <v>24</v>
      </c>
      <c r="C209" s="1499"/>
      <c r="D209" s="1500"/>
      <c r="E209" s="1501"/>
      <c r="F209" s="320"/>
      <c r="G209" s="308"/>
      <c r="H209" s="321"/>
      <c r="I209" s="320"/>
      <c r="J209" s="320"/>
      <c r="K209" s="85"/>
      <c r="L209" s="85"/>
      <c r="M209" s="85"/>
      <c r="N209" s="85"/>
      <c r="O209" s="85"/>
      <c r="P209" s="82"/>
      <c r="Q209" s="46"/>
      <c r="S209" s="1519"/>
    </row>
    <row r="210" spans="1:19" hidden="1" x14ac:dyDescent="0.3">
      <c r="A210" s="68"/>
      <c r="B210" s="190">
        <v>25</v>
      </c>
      <c r="C210" s="1499"/>
      <c r="D210" s="1500"/>
      <c r="E210" s="1501"/>
      <c r="F210" s="320"/>
      <c r="G210" s="308"/>
      <c r="H210" s="321"/>
      <c r="I210" s="320"/>
      <c r="J210" s="320"/>
      <c r="K210" s="85"/>
      <c r="L210" s="85"/>
      <c r="M210" s="85"/>
      <c r="N210" s="85"/>
      <c r="O210" s="85"/>
      <c r="P210" s="82"/>
      <c r="Q210" s="46"/>
      <c r="S210" s="1519"/>
    </row>
    <row r="211" spans="1:19" hidden="1" x14ac:dyDescent="0.3">
      <c r="A211" s="68"/>
      <c r="B211" s="190">
        <v>26</v>
      </c>
      <c r="C211" s="1499"/>
      <c r="D211" s="1500"/>
      <c r="E211" s="1501"/>
      <c r="F211" s="320"/>
      <c r="G211" s="308"/>
      <c r="H211" s="321"/>
      <c r="I211" s="320"/>
      <c r="J211" s="320"/>
      <c r="K211" s="85"/>
      <c r="L211" s="85"/>
      <c r="M211" s="85"/>
      <c r="N211" s="85"/>
      <c r="O211" s="85"/>
      <c r="P211" s="82"/>
      <c r="Q211" s="46"/>
      <c r="S211" s="1519"/>
    </row>
    <row r="212" spans="1:19" hidden="1" x14ac:dyDescent="0.3">
      <c r="A212" s="68"/>
      <c r="B212" s="190">
        <v>27</v>
      </c>
      <c r="C212" s="1499"/>
      <c r="D212" s="1500"/>
      <c r="E212" s="1501"/>
      <c r="F212" s="320"/>
      <c r="G212" s="308"/>
      <c r="H212" s="321"/>
      <c r="I212" s="320"/>
      <c r="J212" s="320"/>
      <c r="K212" s="85"/>
      <c r="L212" s="85"/>
      <c r="M212" s="85"/>
      <c r="N212" s="85"/>
      <c r="O212" s="85"/>
      <c r="P212" s="82"/>
      <c r="Q212" s="46"/>
      <c r="S212" s="1519"/>
    </row>
    <row r="213" spans="1:19" hidden="1" x14ac:dyDescent="0.3">
      <c r="A213" s="68"/>
      <c r="B213" s="190">
        <v>28</v>
      </c>
      <c r="C213" s="1499"/>
      <c r="D213" s="1500"/>
      <c r="E213" s="1501"/>
      <c r="F213" s="320"/>
      <c r="G213" s="308"/>
      <c r="H213" s="321"/>
      <c r="I213" s="320"/>
      <c r="J213" s="320"/>
      <c r="K213" s="85"/>
      <c r="L213" s="85"/>
      <c r="M213" s="85"/>
      <c r="N213" s="85"/>
      <c r="O213" s="85"/>
      <c r="P213" s="82"/>
      <c r="Q213" s="46"/>
      <c r="S213" s="1519"/>
    </row>
    <row r="214" spans="1:19" hidden="1" x14ac:dyDescent="0.3">
      <c r="A214" s="68"/>
      <c r="B214" s="190">
        <v>29</v>
      </c>
      <c r="C214" s="1499"/>
      <c r="D214" s="1500"/>
      <c r="E214" s="1501"/>
      <c r="F214" s="320"/>
      <c r="G214" s="308"/>
      <c r="H214" s="321"/>
      <c r="I214" s="320"/>
      <c r="J214" s="320"/>
      <c r="K214" s="85"/>
      <c r="L214" s="85"/>
      <c r="M214" s="85"/>
      <c r="N214" s="85"/>
      <c r="O214" s="85"/>
      <c r="P214" s="82"/>
      <c r="Q214" s="46"/>
      <c r="S214" s="1519"/>
    </row>
    <row r="215" spans="1:19" hidden="1" x14ac:dyDescent="0.3">
      <c r="A215" s="68"/>
      <c r="B215" s="190">
        <v>30</v>
      </c>
      <c r="C215" s="1499"/>
      <c r="D215" s="1500"/>
      <c r="E215" s="1501"/>
      <c r="F215" s="320"/>
      <c r="G215" s="308"/>
      <c r="H215" s="321"/>
      <c r="I215" s="320"/>
      <c r="J215" s="320"/>
      <c r="K215" s="85"/>
      <c r="L215" s="85"/>
      <c r="M215" s="85"/>
      <c r="N215" s="85"/>
      <c r="O215" s="85"/>
      <c r="P215" s="82"/>
      <c r="Q215" s="46"/>
      <c r="S215" s="1519"/>
    </row>
    <row r="216" spans="1:19" hidden="1" x14ac:dyDescent="0.3">
      <c r="A216" s="68"/>
      <c r="B216" s="190">
        <v>31</v>
      </c>
      <c r="C216" s="1499"/>
      <c r="D216" s="1500"/>
      <c r="E216" s="1501"/>
      <c r="F216" s="320"/>
      <c r="G216" s="308"/>
      <c r="H216" s="321"/>
      <c r="I216" s="320"/>
      <c r="J216" s="320"/>
      <c r="K216" s="85"/>
      <c r="L216" s="85"/>
      <c r="M216" s="85"/>
      <c r="N216" s="85"/>
      <c r="O216" s="85"/>
      <c r="P216" s="82"/>
      <c r="Q216" s="46"/>
      <c r="S216" s="1519"/>
    </row>
    <row r="217" spans="1:19" hidden="1" x14ac:dyDescent="0.3">
      <c r="A217" s="68"/>
      <c r="B217" s="190">
        <v>32</v>
      </c>
      <c r="C217" s="1499"/>
      <c r="D217" s="1500"/>
      <c r="E217" s="1501"/>
      <c r="F217" s="320"/>
      <c r="G217" s="308"/>
      <c r="H217" s="321"/>
      <c r="I217" s="320"/>
      <c r="J217" s="320"/>
      <c r="K217" s="85"/>
      <c r="L217" s="85"/>
      <c r="M217" s="85"/>
      <c r="N217" s="85"/>
      <c r="O217" s="85"/>
      <c r="P217" s="82"/>
      <c r="Q217" s="46"/>
      <c r="S217" s="1519"/>
    </row>
    <row r="218" spans="1:19" hidden="1" x14ac:dyDescent="0.3">
      <c r="A218" s="68"/>
      <c r="B218" s="190">
        <v>33</v>
      </c>
      <c r="C218" s="1499"/>
      <c r="D218" s="1500"/>
      <c r="E218" s="1501"/>
      <c r="F218" s="320"/>
      <c r="G218" s="308"/>
      <c r="H218" s="321"/>
      <c r="I218" s="320"/>
      <c r="J218" s="320"/>
      <c r="K218" s="85"/>
      <c r="L218" s="85"/>
      <c r="M218" s="85"/>
      <c r="N218" s="85"/>
      <c r="O218" s="85"/>
      <c r="P218" s="82"/>
      <c r="Q218" s="46"/>
      <c r="S218" s="1519"/>
    </row>
    <row r="219" spans="1:19" hidden="1" x14ac:dyDescent="0.3">
      <c r="A219" s="68"/>
      <c r="B219" s="190">
        <v>34</v>
      </c>
      <c r="C219" s="1499"/>
      <c r="D219" s="1500"/>
      <c r="E219" s="1501"/>
      <c r="F219" s="320"/>
      <c r="G219" s="308"/>
      <c r="H219" s="321"/>
      <c r="I219" s="320"/>
      <c r="J219" s="320"/>
      <c r="K219" s="85"/>
      <c r="L219" s="85"/>
      <c r="M219" s="85"/>
      <c r="N219" s="85"/>
      <c r="O219" s="85"/>
      <c r="P219" s="82"/>
      <c r="Q219" s="46"/>
      <c r="S219" s="1519"/>
    </row>
    <row r="220" spans="1:19" hidden="1" x14ac:dyDescent="0.3">
      <c r="A220" s="68"/>
      <c r="B220" s="190">
        <v>35</v>
      </c>
      <c r="C220" s="1499"/>
      <c r="D220" s="1500"/>
      <c r="E220" s="1501"/>
      <c r="F220" s="320"/>
      <c r="G220" s="308"/>
      <c r="H220" s="321"/>
      <c r="I220" s="320"/>
      <c r="J220" s="320"/>
      <c r="K220" s="85"/>
      <c r="L220" s="85"/>
      <c r="M220" s="85"/>
      <c r="N220" s="85"/>
      <c r="O220" s="85"/>
      <c r="P220" s="82"/>
      <c r="Q220" s="46"/>
      <c r="S220" s="1519"/>
    </row>
    <row r="221" spans="1:19" hidden="1" x14ac:dyDescent="0.3">
      <c r="A221" s="68"/>
      <c r="B221" s="190">
        <v>36</v>
      </c>
      <c r="C221" s="1499"/>
      <c r="D221" s="1500"/>
      <c r="E221" s="1501"/>
      <c r="F221" s="320"/>
      <c r="G221" s="308"/>
      <c r="H221" s="321"/>
      <c r="I221" s="320"/>
      <c r="J221" s="320"/>
      <c r="K221" s="85"/>
      <c r="L221" s="85"/>
      <c r="M221" s="85"/>
      <c r="N221" s="85"/>
      <c r="O221" s="85"/>
      <c r="P221" s="82"/>
      <c r="Q221" s="46"/>
      <c r="S221" s="1519"/>
    </row>
    <row r="222" spans="1:19" hidden="1" x14ac:dyDescent="0.3">
      <c r="A222" s="68"/>
      <c r="B222" s="190">
        <v>37</v>
      </c>
      <c r="C222" s="1499"/>
      <c r="D222" s="1500"/>
      <c r="E222" s="1501"/>
      <c r="F222" s="320"/>
      <c r="G222" s="308"/>
      <c r="H222" s="321"/>
      <c r="I222" s="320"/>
      <c r="J222" s="320"/>
      <c r="K222" s="85"/>
      <c r="L222" s="85"/>
      <c r="M222" s="85"/>
      <c r="N222" s="85"/>
      <c r="O222" s="85"/>
      <c r="P222" s="82"/>
      <c r="Q222" s="46"/>
      <c r="S222" s="1519"/>
    </row>
    <row r="223" spans="1:19" hidden="1" x14ac:dyDescent="0.3">
      <c r="A223" s="68"/>
      <c r="B223" s="190">
        <v>38</v>
      </c>
      <c r="C223" s="1499"/>
      <c r="D223" s="1500"/>
      <c r="E223" s="1501"/>
      <c r="F223" s="320"/>
      <c r="G223" s="308"/>
      <c r="H223" s="321"/>
      <c r="I223" s="320"/>
      <c r="J223" s="320"/>
      <c r="K223" s="85"/>
      <c r="L223" s="85"/>
      <c r="M223" s="85"/>
      <c r="N223" s="85"/>
      <c r="O223" s="85"/>
      <c r="P223" s="82"/>
      <c r="Q223" s="46"/>
      <c r="S223" s="1519"/>
    </row>
    <row r="224" spans="1:19" hidden="1" x14ac:dyDescent="0.3">
      <c r="A224" s="68"/>
      <c r="B224" s="190">
        <v>39</v>
      </c>
      <c r="C224" s="1499"/>
      <c r="D224" s="1500"/>
      <c r="E224" s="1501"/>
      <c r="F224" s="320"/>
      <c r="G224" s="308"/>
      <c r="H224" s="321"/>
      <c r="I224" s="320"/>
      <c r="J224" s="320"/>
      <c r="K224" s="85"/>
      <c r="L224" s="85"/>
      <c r="M224" s="85"/>
      <c r="N224" s="85"/>
      <c r="O224" s="85"/>
      <c r="P224" s="82"/>
      <c r="Q224" s="46"/>
      <c r="S224" s="1519"/>
    </row>
    <row r="225" spans="1:19" hidden="1" x14ac:dyDescent="0.3">
      <c r="A225" s="68"/>
      <c r="B225" s="190">
        <v>40</v>
      </c>
      <c r="C225" s="1499"/>
      <c r="D225" s="1500"/>
      <c r="E225" s="1501"/>
      <c r="F225" s="320"/>
      <c r="G225" s="308"/>
      <c r="H225" s="321"/>
      <c r="I225" s="320"/>
      <c r="J225" s="320"/>
      <c r="K225" s="85"/>
      <c r="L225" s="85"/>
      <c r="M225" s="85"/>
      <c r="N225" s="85"/>
      <c r="O225" s="85"/>
      <c r="P225" s="82"/>
      <c r="Q225" s="46"/>
      <c r="S225" s="1519"/>
    </row>
    <row r="226" spans="1:19" hidden="1" x14ac:dyDescent="0.3">
      <c r="A226" s="68"/>
      <c r="B226" s="190">
        <v>41</v>
      </c>
      <c r="C226" s="1499"/>
      <c r="D226" s="1500"/>
      <c r="E226" s="1501"/>
      <c r="F226" s="320"/>
      <c r="G226" s="308"/>
      <c r="H226" s="321"/>
      <c r="I226" s="320"/>
      <c r="J226" s="320"/>
      <c r="K226" s="85"/>
      <c r="L226" s="85"/>
      <c r="M226" s="85"/>
      <c r="N226" s="85"/>
      <c r="O226" s="85"/>
      <c r="P226" s="82"/>
      <c r="Q226" s="46"/>
      <c r="S226" s="1519"/>
    </row>
    <row r="227" spans="1:19" hidden="1" x14ac:dyDescent="0.3">
      <c r="A227" s="68"/>
      <c r="B227" s="190">
        <v>42</v>
      </c>
      <c r="C227" s="1499"/>
      <c r="D227" s="1500"/>
      <c r="E227" s="1501"/>
      <c r="F227" s="320"/>
      <c r="G227" s="308"/>
      <c r="H227" s="321"/>
      <c r="I227" s="320"/>
      <c r="J227" s="320"/>
      <c r="K227" s="85"/>
      <c r="L227" s="85"/>
      <c r="M227" s="85"/>
      <c r="N227" s="85"/>
      <c r="O227" s="85"/>
      <c r="P227" s="82"/>
      <c r="Q227" s="46"/>
      <c r="S227" s="1519"/>
    </row>
    <row r="228" spans="1:19" hidden="1" x14ac:dyDescent="0.3">
      <c r="A228" s="68"/>
      <c r="B228" s="190">
        <v>43</v>
      </c>
      <c r="C228" s="1499"/>
      <c r="D228" s="1500"/>
      <c r="E228" s="1501"/>
      <c r="F228" s="320"/>
      <c r="G228" s="308"/>
      <c r="H228" s="321"/>
      <c r="I228" s="320"/>
      <c r="J228" s="320"/>
      <c r="K228" s="85"/>
      <c r="L228" s="85"/>
      <c r="M228" s="85"/>
      <c r="N228" s="85"/>
      <c r="O228" s="85"/>
      <c r="P228" s="82"/>
      <c r="Q228" s="46"/>
      <c r="S228" s="1519"/>
    </row>
    <row r="229" spans="1:19" hidden="1" x14ac:dyDescent="0.3">
      <c r="A229" s="68"/>
      <c r="B229" s="190">
        <v>44</v>
      </c>
      <c r="C229" s="1499"/>
      <c r="D229" s="1500"/>
      <c r="E229" s="1501"/>
      <c r="F229" s="320"/>
      <c r="G229" s="308"/>
      <c r="H229" s="321"/>
      <c r="I229" s="320"/>
      <c r="J229" s="320"/>
      <c r="K229" s="85"/>
      <c r="L229" s="85"/>
      <c r="M229" s="85"/>
      <c r="N229" s="85"/>
      <c r="O229" s="85"/>
      <c r="P229" s="82"/>
      <c r="Q229" s="46"/>
      <c r="S229" s="1519"/>
    </row>
    <row r="230" spans="1:19" hidden="1" x14ac:dyDescent="0.3">
      <c r="A230" s="68"/>
      <c r="B230" s="190">
        <v>45</v>
      </c>
      <c r="C230" s="1499"/>
      <c r="D230" s="1500"/>
      <c r="E230" s="1501"/>
      <c r="F230" s="320"/>
      <c r="G230" s="308"/>
      <c r="H230" s="321"/>
      <c r="I230" s="320"/>
      <c r="J230" s="320"/>
      <c r="K230" s="85"/>
      <c r="L230" s="85"/>
      <c r="M230" s="85"/>
      <c r="N230" s="85"/>
      <c r="O230" s="85"/>
      <c r="P230" s="82"/>
      <c r="Q230" s="46"/>
      <c r="S230" s="1519"/>
    </row>
    <row r="231" spans="1:19" hidden="1" x14ac:dyDescent="0.3">
      <c r="A231" s="68"/>
      <c r="B231" s="190">
        <v>46</v>
      </c>
      <c r="C231" s="1499"/>
      <c r="D231" s="1500"/>
      <c r="E231" s="1501"/>
      <c r="F231" s="320"/>
      <c r="G231" s="308"/>
      <c r="H231" s="321"/>
      <c r="I231" s="320"/>
      <c r="J231" s="320"/>
      <c r="K231" s="85"/>
      <c r="L231" s="85"/>
      <c r="M231" s="85"/>
      <c r="N231" s="85"/>
      <c r="O231" s="85"/>
      <c r="P231" s="82"/>
      <c r="Q231" s="46"/>
      <c r="S231" s="1519"/>
    </row>
    <row r="232" spans="1:19" hidden="1" x14ac:dyDescent="0.3">
      <c r="A232" s="68"/>
      <c r="B232" s="190">
        <v>47</v>
      </c>
      <c r="C232" s="1499"/>
      <c r="D232" s="1500"/>
      <c r="E232" s="1501"/>
      <c r="F232" s="320"/>
      <c r="G232" s="308"/>
      <c r="H232" s="321"/>
      <c r="I232" s="320"/>
      <c r="J232" s="320"/>
      <c r="K232" s="85"/>
      <c r="L232" s="85"/>
      <c r="M232" s="85"/>
      <c r="N232" s="85"/>
      <c r="O232" s="85"/>
      <c r="P232" s="82"/>
      <c r="Q232" s="46"/>
      <c r="S232" s="1519"/>
    </row>
    <row r="233" spans="1:19" hidden="1" x14ac:dyDescent="0.3">
      <c r="A233" s="68"/>
      <c r="B233" s="190">
        <v>48</v>
      </c>
      <c r="C233" s="1499"/>
      <c r="D233" s="1500"/>
      <c r="E233" s="1501"/>
      <c r="F233" s="320"/>
      <c r="G233" s="308"/>
      <c r="H233" s="321"/>
      <c r="I233" s="320"/>
      <c r="J233" s="320"/>
      <c r="K233" s="85"/>
      <c r="L233" s="85"/>
      <c r="M233" s="85"/>
      <c r="N233" s="85"/>
      <c r="O233" s="85"/>
      <c r="P233" s="82"/>
      <c r="Q233" s="46"/>
      <c r="S233" s="1519"/>
    </row>
    <row r="234" spans="1:19" hidden="1" x14ac:dyDescent="0.3">
      <c r="A234" s="68"/>
      <c r="B234" s="190">
        <v>49</v>
      </c>
      <c r="C234" s="1499"/>
      <c r="D234" s="1500"/>
      <c r="E234" s="1501"/>
      <c r="F234" s="320"/>
      <c r="G234" s="308"/>
      <c r="H234" s="321"/>
      <c r="I234" s="320"/>
      <c r="J234" s="320"/>
      <c r="K234" s="85"/>
      <c r="L234" s="85"/>
      <c r="M234" s="85"/>
      <c r="N234" s="85"/>
      <c r="O234" s="85"/>
      <c r="P234" s="82"/>
      <c r="Q234" s="46"/>
      <c r="S234" s="1519"/>
    </row>
    <row r="235" spans="1:19" hidden="1" x14ac:dyDescent="0.3">
      <c r="A235" s="68"/>
      <c r="B235" s="190">
        <v>50</v>
      </c>
      <c r="C235" s="1499"/>
      <c r="D235" s="1500"/>
      <c r="E235" s="1501"/>
      <c r="F235" s="320"/>
      <c r="G235" s="308"/>
      <c r="H235" s="321"/>
      <c r="I235" s="320"/>
      <c r="J235" s="320"/>
      <c r="K235" s="85"/>
      <c r="L235" s="85"/>
      <c r="M235" s="85"/>
      <c r="N235" s="85"/>
      <c r="O235" s="85"/>
      <c r="P235" s="82"/>
      <c r="Q235" s="46"/>
      <c r="S235" s="1519"/>
    </row>
    <row r="236" spans="1:19" hidden="1" x14ac:dyDescent="0.3">
      <c r="A236" s="68"/>
      <c r="B236" s="190">
        <v>51</v>
      </c>
      <c r="C236" s="1499"/>
      <c r="D236" s="1500"/>
      <c r="E236" s="1501"/>
      <c r="F236" s="320"/>
      <c r="G236" s="308"/>
      <c r="H236" s="321"/>
      <c r="I236" s="320"/>
      <c r="J236" s="320"/>
      <c r="K236" s="85"/>
      <c r="L236" s="85"/>
      <c r="M236" s="85"/>
      <c r="N236" s="85"/>
      <c r="O236" s="85"/>
      <c r="P236" s="82"/>
      <c r="Q236" s="46"/>
      <c r="S236" s="1519"/>
    </row>
    <row r="237" spans="1:19" hidden="1" x14ac:dyDescent="0.3">
      <c r="A237" s="68"/>
      <c r="B237" s="190">
        <v>52</v>
      </c>
      <c r="C237" s="1499"/>
      <c r="D237" s="1500"/>
      <c r="E237" s="1501"/>
      <c r="F237" s="320"/>
      <c r="G237" s="308"/>
      <c r="H237" s="321"/>
      <c r="I237" s="320"/>
      <c r="J237" s="320"/>
      <c r="K237" s="85"/>
      <c r="L237" s="85"/>
      <c r="M237" s="85"/>
      <c r="N237" s="85"/>
      <c r="O237" s="85"/>
      <c r="P237" s="82"/>
      <c r="Q237" s="46"/>
      <c r="S237" s="1519"/>
    </row>
    <row r="238" spans="1:19" hidden="1" x14ac:dyDescent="0.3">
      <c r="A238" s="68"/>
      <c r="B238" s="190">
        <v>53</v>
      </c>
      <c r="C238" s="1499"/>
      <c r="D238" s="1500"/>
      <c r="E238" s="1501"/>
      <c r="F238" s="320"/>
      <c r="G238" s="308"/>
      <c r="H238" s="321"/>
      <c r="I238" s="320"/>
      <c r="J238" s="320"/>
      <c r="K238" s="85"/>
      <c r="L238" s="85"/>
      <c r="M238" s="85"/>
      <c r="N238" s="85"/>
      <c r="O238" s="85"/>
      <c r="P238" s="82"/>
      <c r="Q238" s="46"/>
      <c r="S238" s="1519"/>
    </row>
    <row r="239" spans="1:19" hidden="1" x14ac:dyDescent="0.3">
      <c r="A239" s="68"/>
      <c r="B239" s="190">
        <v>54</v>
      </c>
      <c r="C239" s="1499"/>
      <c r="D239" s="1500"/>
      <c r="E239" s="1501"/>
      <c r="F239" s="320"/>
      <c r="G239" s="308"/>
      <c r="H239" s="321"/>
      <c r="I239" s="320"/>
      <c r="J239" s="320"/>
      <c r="K239" s="85"/>
      <c r="L239" s="85"/>
      <c r="M239" s="85"/>
      <c r="N239" s="85"/>
      <c r="O239" s="85"/>
      <c r="P239" s="82"/>
      <c r="Q239" s="46"/>
      <c r="S239" s="1519"/>
    </row>
    <row r="240" spans="1:19" hidden="1" x14ac:dyDescent="0.3">
      <c r="A240" s="68"/>
      <c r="B240" s="190">
        <v>55</v>
      </c>
      <c r="C240" s="1499"/>
      <c r="D240" s="1500"/>
      <c r="E240" s="1501"/>
      <c r="F240" s="320"/>
      <c r="G240" s="308"/>
      <c r="H240" s="321"/>
      <c r="I240" s="320"/>
      <c r="J240" s="320"/>
      <c r="K240" s="85"/>
      <c r="L240" s="85"/>
      <c r="M240" s="85"/>
      <c r="N240" s="85"/>
      <c r="O240" s="85"/>
      <c r="P240" s="82"/>
      <c r="Q240" s="46"/>
      <c r="S240" s="1519"/>
    </row>
    <row r="241" spans="1:19" hidden="1" x14ac:dyDescent="0.3">
      <c r="A241" s="68"/>
      <c r="B241" s="190">
        <v>56</v>
      </c>
      <c r="C241" s="1499"/>
      <c r="D241" s="1500"/>
      <c r="E241" s="1501"/>
      <c r="F241" s="320"/>
      <c r="G241" s="308"/>
      <c r="H241" s="321"/>
      <c r="I241" s="320"/>
      <c r="J241" s="320"/>
      <c r="K241" s="85"/>
      <c r="L241" s="85"/>
      <c r="M241" s="85"/>
      <c r="N241" s="85"/>
      <c r="O241" s="85"/>
      <c r="P241" s="82"/>
      <c r="Q241" s="46"/>
      <c r="S241" s="1519"/>
    </row>
    <row r="242" spans="1:19" hidden="1" x14ac:dyDescent="0.3">
      <c r="A242" s="68"/>
      <c r="B242" s="190">
        <v>57</v>
      </c>
      <c r="C242" s="1499"/>
      <c r="D242" s="1500"/>
      <c r="E242" s="1501"/>
      <c r="F242" s="320"/>
      <c r="G242" s="308"/>
      <c r="H242" s="321"/>
      <c r="I242" s="320"/>
      <c r="J242" s="320"/>
      <c r="K242" s="85"/>
      <c r="L242" s="85"/>
      <c r="M242" s="85"/>
      <c r="N242" s="85"/>
      <c r="O242" s="85"/>
      <c r="P242" s="82"/>
      <c r="Q242" s="46"/>
      <c r="S242" s="1519"/>
    </row>
    <row r="243" spans="1:19" hidden="1" x14ac:dyDescent="0.3">
      <c r="A243" s="68"/>
      <c r="B243" s="190">
        <v>58</v>
      </c>
      <c r="C243" s="1499"/>
      <c r="D243" s="1500"/>
      <c r="E243" s="1501"/>
      <c r="F243" s="320"/>
      <c r="G243" s="308"/>
      <c r="H243" s="321"/>
      <c r="I243" s="320"/>
      <c r="J243" s="320"/>
      <c r="K243" s="85"/>
      <c r="L243" s="85"/>
      <c r="M243" s="85"/>
      <c r="N243" s="85"/>
      <c r="O243" s="85"/>
      <c r="P243" s="82"/>
      <c r="Q243" s="46"/>
      <c r="S243" s="1519"/>
    </row>
    <row r="244" spans="1:19" hidden="1" x14ac:dyDescent="0.3">
      <c r="A244" s="68"/>
      <c r="B244" s="190">
        <v>59</v>
      </c>
      <c r="C244" s="1499"/>
      <c r="D244" s="1500"/>
      <c r="E244" s="1501"/>
      <c r="F244" s="320"/>
      <c r="G244" s="308"/>
      <c r="H244" s="321"/>
      <c r="I244" s="320"/>
      <c r="J244" s="320"/>
      <c r="K244" s="85"/>
      <c r="L244" s="85"/>
      <c r="M244" s="85"/>
      <c r="N244" s="85"/>
      <c r="O244" s="85"/>
      <c r="P244" s="82"/>
      <c r="Q244" s="46"/>
      <c r="S244" s="1519"/>
    </row>
    <row r="245" spans="1:19" hidden="1" x14ac:dyDescent="0.3">
      <c r="A245" s="68"/>
      <c r="B245" s="190">
        <v>60</v>
      </c>
      <c r="C245" s="1499"/>
      <c r="D245" s="1500"/>
      <c r="E245" s="1501"/>
      <c r="F245" s="320"/>
      <c r="G245" s="308"/>
      <c r="H245" s="321"/>
      <c r="I245" s="320"/>
      <c r="J245" s="320"/>
      <c r="K245" s="85"/>
      <c r="L245" s="85"/>
      <c r="M245" s="85"/>
      <c r="N245" s="85"/>
      <c r="O245" s="85"/>
      <c r="P245" s="82"/>
      <c r="Q245" s="46"/>
      <c r="S245" s="1519"/>
    </row>
    <row r="246" spans="1:19" ht="6.6" hidden="1" customHeight="1" x14ac:dyDescent="0.3">
      <c r="A246" s="69"/>
      <c r="B246" s="50"/>
      <c r="C246" s="50"/>
      <c r="D246" s="50"/>
      <c r="E246" s="50"/>
      <c r="F246" s="50"/>
      <c r="G246" s="50"/>
      <c r="H246" s="50"/>
      <c r="I246" s="50"/>
      <c r="J246" s="50"/>
      <c r="K246" s="50"/>
      <c r="L246" s="50"/>
      <c r="M246" s="50"/>
      <c r="N246" s="50"/>
      <c r="O246" s="50"/>
      <c r="P246" s="50"/>
      <c r="Q246" s="51"/>
      <c r="S246" s="1520"/>
    </row>
    <row r="253" spans="1:19" x14ac:dyDescent="0.3">
      <c r="C253" s="926"/>
      <c r="D253" s="926"/>
    </row>
  </sheetData>
  <sheetProtection sheet="1" objects="1" scenarios="1" selectLockedCells="1"/>
  <mergeCells count="142">
    <mergeCell ref="S93:S107"/>
    <mergeCell ref="S35:S48"/>
    <mergeCell ref="S71:S91"/>
    <mergeCell ref="S50:S69"/>
    <mergeCell ref="S4:S33"/>
    <mergeCell ref="S203:S246"/>
    <mergeCell ref="S176:S201"/>
    <mergeCell ref="S159:S174"/>
    <mergeCell ref="S149:S157"/>
    <mergeCell ref="S121:S147"/>
    <mergeCell ref="S109:S119"/>
    <mergeCell ref="C242:E242"/>
    <mergeCell ref="C243:E243"/>
    <mergeCell ref="C244:E244"/>
    <mergeCell ref="C245:E245"/>
    <mergeCell ref="C236:E236"/>
    <mergeCell ref="C237:E237"/>
    <mergeCell ref="C238:E238"/>
    <mergeCell ref="C239:E239"/>
    <mergeCell ref="C240:E240"/>
    <mergeCell ref="C241:E241"/>
    <mergeCell ref="C230:E230"/>
    <mergeCell ref="C231:E231"/>
    <mergeCell ref="C232:E232"/>
    <mergeCell ref="C233:E233"/>
    <mergeCell ref="C234:E234"/>
    <mergeCell ref="C235:E235"/>
    <mergeCell ref="C224:E224"/>
    <mergeCell ref="C225:E225"/>
    <mergeCell ref="C226:E226"/>
    <mergeCell ref="C227:E227"/>
    <mergeCell ref="C228:E228"/>
    <mergeCell ref="C229:E229"/>
    <mergeCell ref="C218:E218"/>
    <mergeCell ref="C219:E219"/>
    <mergeCell ref="C220:E220"/>
    <mergeCell ref="C221:E221"/>
    <mergeCell ref="C222:E222"/>
    <mergeCell ref="C223:E223"/>
    <mergeCell ref="C212:E212"/>
    <mergeCell ref="C213:E213"/>
    <mergeCell ref="C214:E214"/>
    <mergeCell ref="C215:E215"/>
    <mergeCell ref="C216:E216"/>
    <mergeCell ref="C217:E217"/>
    <mergeCell ref="A202:Q202"/>
    <mergeCell ref="C204:E204"/>
    <mergeCell ref="C205:E205"/>
    <mergeCell ref="C206:E206"/>
    <mergeCell ref="C207:E207"/>
    <mergeCell ref="C208:E208"/>
    <mergeCell ref="C209:E209"/>
    <mergeCell ref="C210:E210"/>
    <mergeCell ref="C211:E211"/>
    <mergeCell ref="B170:J170"/>
    <mergeCell ref="B173:J173"/>
    <mergeCell ref="A175:Q175"/>
    <mergeCell ref="D177:E177"/>
    <mergeCell ref="A158:Q158"/>
    <mergeCell ref="B160:E160"/>
    <mergeCell ref="B162:C162"/>
    <mergeCell ref="D162:F162"/>
    <mergeCell ref="G162:I162"/>
    <mergeCell ref="B166:C166"/>
    <mergeCell ref="D166:F166"/>
    <mergeCell ref="G166:I166"/>
    <mergeCell ref="F169:J169"/>
    <mergeCell ref="A176:P176"/>
    <mergeCell ref="A148:Q148"/>
    <mergeCell ref="B149:E149"/>
    <mergeCell ref="B151:C151"/>
    <mergeCell ref="D151:F151"/>
    <mergeCell ref="G151:I151"/>
    <mergeCell ref="B155:C155"/>
    <mergeCell ref="D155:F155"/>
    <mergeCell ref="G155:I155"/>
    <mergeCell ref="C140:E140"/>
    <mergeCell ref="C141:E141"/>
    <mergeCell ref="C142:E142"/>
    <mergeCell ref="C143:E143"/>
    <mergeCell ref="C144:E144"/>
    <mergeCell ref="C145:E145"/>
    <mergeCell ref="C134:E134"/>
    <mergeCell ref="C135:E135"/>
    <mergeCell ref="C136:E136"/>
    <mergeCell ref="C137:E137"/>
    <mergeCell ref="C138:E138"/>
    <mergeCell ref="C139:E139"/>
    <mergeCell ref="C128:E128"/>
    <mergeCell ref="C129:E129"/>
    <mergeCell ref="C130:E130"/>
    <mergeCell ref="C131:E131"/>
    <mergeCell ref="C132:E132"/>
    <mergeCell ref="C133:E133"/>
    <mergeCell ref="B116:C116"/>
    <mergeCell ref="B117:C117"/>
    <mergeCell ref="B118:P118"/>
    <mergeCell ref="A120:Q120"/>
    <mergeCell ref="B123:J123"/>
    <mergeCell ref="C124:E124"/>
    <mergeCell ref="C125:E125"/>
    <mergeCell ref="C126:E126"/>
    <mergeCell ref="C127:E127"/>
    <mergeCell ref="B103:C103"/>
    <mergeCell ref="B104:C104"/>
    <mergeCell ref="B105:C105"/>
    <mergeCell ref="A108:Q108"/>
    <mergeCell ref="B110:P110"/>
    <mergeCell ref="B112:C112"/>
    <mergeCell ref="B113:C113"/>
    <mergeCell ref="B114:C114"/>
    <mergeCell ref="B115:C115"/>
    <mergeCell ref="A70:Q70"/>
    <mergeCell ref="A34:Q34"/>
    <mergeCell ref="A92:Q92"/>
    <mergeCell ref="B95:C95"/>
    <mergeCell ref="B99:P99"/>
    <mergeCell ref="B101:C101"/>
    <mergeCell ref="B102:C102"/>
    <mergeCell ref="D29:E29"/>
    <mergeCell ref="I29:J29"/>
    <mergeCell ref="I31:J31"/>
    <mergeCell ref="A49:Q49"/>
    <mergeCell ref="G63:P64"/>
    <mergeCell ref="A67:E67"/>
    <mergeCell ref="F67:G67"/>
    <mergeCell ref="A68:D68"/>
    <mergeCell ref="F68:P68"/>
    <mergeCell ref="D17:J17"/>
    <mergeCell ref="D19:J19"/>
    <mergeCell ref="I21:J21"/>
    <mergeCell ref="I23:J23"/>
    <mergeCell ref="I24:J24"/>
    <mergeCell ref="A1:Q1"/>
    <mergeCell ref="A3:Q3"/>
    <mergeCell ref="I5:J5"/>
    <mergeCell ref="D7:J7"/>
    <mergeCell ref="D9:J9"/>
    <mergeCell ref="D11:J11"/>
    <mergeCell ref="D13:J13"/>
    <mergeCell ref="D15:J15"/>
    <mergeCell ref="D21:F21"/>
  </mergeCells>
  <dataValidations disablePrompts="1" count="3">
    <dataValidation type="list" operator="equal" allowBlank="1" showInputMessage="1" showErrorMessage="1" sqref="F169:J169" xr:uid="{22FB83FF-B050-418D-8FA9-6A1F4D556076}">
      <formula1>Justification_Options</formula1>
    </dataValidation>
    <dataValidation type="list" allowBlank="1" showInputMessage="1" showErrorMessage="1" sqref="V22 V9" xr:uid="{BE0262F9-C0B5-487A-A3F0-E79A09693912}">
      <formula1>#REF!</formula1>
    </dataValidation>
    <dataValidation type="list" allowBlank="1" showInputMessage="1" showErrorMessage="1" sqref="F126:F145 F206:F245" xr:uid="{1AC2E642-3601-4897-BFB8-BD6826BAB4F8}">
      <formula1>dDeliverableType</formula1>
    </dataValidation>
  </dataValidations>
  <hyperlinks>
    <hyperlink ref="I160" location="'PART B Staff Costs'!A11" display="Change cost multiplier" xr:uid="{E55C07BA-14F7-4430-9DCC-A34025D7DFDE}"/>
  </hyperlinks>
  <printOptions horizontalCentered="1"/>
  <pageMargins left="0.25" right="0.25" top="0.54" bottom="0.4" header="0.3" footer="0.3"/>
  <pageSetup paperSize="9" scale="69" fitToHeight="0" orientation="portrait" r:id="rId1"/>
  <headerFooter>
    <oddHeader>&amp;C&amp;"Calibri,Bold"&amp;16&amp;K03+000Project Research Budget</oddHeader>
    <oddFooter>&amp;L&amp;F&amp;C&amp;P of &amp;N  pages&amp;RThe University of Melbourne - Research Innovation and Commercialisation</oddFooter>
  </headerFooter>
  <rowBreaks count="2" manualBreakCount="2">
    <brk id="91" max="18" man="1"/>
    <brk id="157" max="18" man="1"/>
  </rowBreak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07DB0-2564-403E-887A-18120A2D819C}">
  <sheetPr codeName="Sheet23">
    <pageSetUpPr autoPageBreaks="0"/>
  </sheetPr>
  <dimension ref="A1:K53"/>
  <sheetViews>
    <sheetView workbookViewId="0">
      <selection activeCell="O31" sqref="O31"/>
    </sheetView>
  </sheetViews>
  <sheetFormatPr defaultRowHeight="14.4" x14ac:dyDescent="0.3"/>
  <cols>
    <col min="1" max="1" width="22.77734375" bestFit="1" customWidth="1"/>
    <col min="2" max="3" width="13.33203125" bestFit="1" customWidth="1"/>
    <col min="6" max="6" width="22.44140625" customWidth="1"/>
    <col min="9" max="9" width="21.5546875" customWidth="1"/>
  </cols>
  <sheetData>
    <row r="1" spans="1:9" ht="15" thickBot="1" x14ac:dyDescent="0.35">
      <c r="A1" s="361" t="s">
        <v>497</v>
      </c>
      <c r="B1" s="361" t="s">
        <v>498</v>
      </c>
      <c r="C1" s="361" t="s">
        <v>499</v>
      </c>
      <c r="H1" s="114" t="s">
        <v>500</v>
      </c>
      <c r="I1" s="113" t="s">
        <v>501</v>
      </c>
    </row>
    <row r="2" spans="1:9" ht="15" hidden="1" thickBot="1" x14ac:dyDescent="0.35">
      <c r="A2" s="357" t="s">
        <v>497</v>
      </c>
      <c r="B2" s="362" t="s">
        <v>498</v>
      </c>
      <c r="C2" s="362" t="s">
        <v>499</v>
      </c>
    </row>
    <row r="3" spans="1:9" ht="15" thickBot="1" x14ac:dyDescent="0.35">
      <c r="A3" s="358" t="s">
        <v>502</v>
      </c>
      <c r="B3" s="360">
        <v>845.35483999999997</v>
      </c>
      <c r="C3" s="360">
        <v>1.183E-3</v>
      </c>
      <c r="H3" s="114" t="s">
        <v>503</v>
      </c>
      <c r="I3" s="363">
        <v>45884.72583333333</v>
      </c>
    </row>
    <row r="4" spans="1:9" ht="15" thickBot="1" x14ac:dyDescent="0.35">
      <c r="A4" s="358" t="s">
        <v>504</v>
      </c>
      <c r="B4" s="360">
        <v>0.244783</v>
      </c>
      <c r="C4" s="360">
        <v>4.0852550000000001</v>
      </c>
      <c r="F4" s="364"/>
    </row>
    <row r="5" spans="1:9" ht="15" thickBot="1" x14ac:dyDescent="0.35">
      <c r="A5" s="358" t="s">
        <v>505</v>
      </c>
      <c r="B5" s="360">
        <v>8.7991200000000003</v>
      </c>
      <c r="C5" s="360">
        <v>0.113648</v>
      </c>
    </row>
    <row r="6" spans="1:9" ht="15" thickBot="1" x14ac:dyDescent="0.35">
      <c r="A6" s="358" t="s">
        <v>506</v>
      </c>
      <c r="B6" s="360">
        <v>3.523145</v>
      </c>
      <c r="C6" s="360">
        <v>0.28383700000000001</v>
      </c>
    </row>
    <row r="7" spans="1:9" ht="15" thickBot="1" x14ac:dyDescent="0.35">
      <c r="A7" s="358" t="s">
        <v>507</v>
      </c>
      <c r="B7" s="360">
        <v>0.83522099999999999</v>
      </c>
      <c r="C7" s="360">
        <v>1.1972879999999999</v>
      </c>
    </row>
    <row r="8" spans="1:9" ht="15" thickBot="1" x14ac:dyDescent="0.35">
      <c r="A8" s="358" t="s">
        <v>508</v>
      </c>
      <c r="B8" s="360">
        <v>1.0904469999999999</v>
      </c>
      <c r="C8" s="360">
        <v>0.91705499999999995</v>
      </c>
    </row>
    <row r="9" spans="1:9" ht="15" thickBot="1" x14ac:dyDescent="0.35">
      <c r="A9" s="358" t="s">
        <v>509</v>
      </c>
      <c r="B9" s="360">
        <v>0.89807199999999998</v>
      </c>
      <c r="C9" s="360">
        <v>1.113497</v>
      </c>
    </row>
    <row r="10" spans="1:9" ht="15" thickBot="1" x14ac:dyDescent="0.35">
      <c r="A10" s="358" t="s">
        <v>510</v>
      </c>
      <c r="B10" s="360">
        <v>628.60134400000004</v>
      </c>
      <c r="C10" s="360">
        <v>1.591E-3</v>
      </c>
    </row>
    <row r="11" spans="1:9" ht="15" thickBot="1" x14ac:dyDescent="0.35">
      <c r="A11" s="358" t="s">
        <v>511</v>
      </c>
      <c r="B11" s="360">
        <v>4.675935</v>
      </c>
      <c r="C11" s="360">
        <v>0.213861</v>
      </c>
    </row>
    <row r="12" spans="1:9" ht="15" thickBot="1" x14ac:dyDescent="0.35">
      <c r="A12" s="358" t="s">
        <v>512</v>
      </c>
      <c r="B12" s="360">
        <v>2637.914115</v>
      </c>
      <c r="C12" s="360">
        <v>3.79E-4</v>
      </c>
    </row>
    <row r="13" spans="1:9" ht="15" thickBot="1" x14ac:dyDescent="0.35">
      <c r="A13" s="358" t="s">
        <v>513</v>
      </c>
      <c r="B13" s="360">
        <v>13.658601000000001</v>
      </c>
      <c r="C13" s="360">
        <v>7.3214000000000001E-2</v>
      </c>
    </row>
    <row r="14" spans="1:9" ht="15" thickBot="1" x14ac:dyDescent="0.35">
      <c r="A14" s="358" t="s">
        <v>514</v>
      </c>
      <c r="B14" s="360">
        <v>4.1612609999999997</v>
      </c>
      <c r="C14" s="360">
        <v>0.240312</v>
      </c>
    </row>
    <row r="15" spans="1:9" ht="15" thickBot="1" x14ac:dyDescent="0.35">
      <c r="A15" s="358" t="s">
        <v>515</v>
      </c>
      <c r="B15" s="360">
        <v>0.55753699999999995</v>
      </c>
      <c r="C15" s="360">
        <v>1.793604</v>
      </c>
    </row>
    <row r="16" spans="1:9" ht="15" thickBot="1" x14ac:dyDescent="0.35">
      <c r="A16" s="358" t="s">
        <v>516</v>
      </c>
      <c r="B16" s="360">
        <v>5.0895210000000004</v>
      </c>
      <c r="C16" s="360">
        <v>0.19648199999999999</v>
      </c>
    </row>
    <row r="17" spans="1:3" ht="15" thickBot="1" x14ac:dyDescent="0.35">
      <c r="A17" s="358" t="s">
        <v>517</v>
      </c>
      <c r="B17" s="360">
        <v>220.18386100000001</v>
      </c>
      <c r="C17" s="360">
        <v>4.542E-3</v>
      </c>
    </row>
    <row r="18" spans="1:3" ht="15" thickBot="1" x14ac:dyDescent="0.35">
      <c r="A18" s="358" t="s">
        <v>518</v>
      </c>
      <c r="B18" s="360">
        <v>79.841091000000006</v>
      </c>
      <c r="C18" s="360">
        <v>1.2525E-2</v>
      </c>
    </row>
    <row r="19" spans="1:3" ht="15" thickBot="1" x14ac:dyDescent="0.35">
      <c r="A19" s="358" t="s">
        <v>519</v>
      </c>
      <c r="B19" s="360">
        <v>56.988697999999999</v>
      </c>
      <c r="C19" s="360">
        <v>1.7547E-2</v>
      </c>
    </row>
    <row r="20" spans="1:3" ht="15" thickBot="1" x14ac:dyDescent="0.35">
      <c r="A20" s="358" t="s">
        <v>520</v>
      </c>
      <c r="B20" s="360">
        <v>10525.049333000001</v>
      </c>
      <c r="C20" s="360">
        <v>9.5000000000000005E-5</v>
      </c>
    </row>
    <row r="21" spans="1:3" ht="15" thickBot="1" x14ac:dyDescent="0.35">
      <c r="A21" s="358" t="s">
        <v>521</v>
      </c>
      <c r="B21" s="360">
        <v>27457.267261000001</v>
      </c>
      <c r="C21" s="360">
        <v>3.6000000000000001E-5</v>
      </c>
    </row>
    <row r="22" spans="1:3" ht="15" thickBot="1" x14ac:dyDescent="0.35">
      <c r="A22" s="358" t="s">
        <v>522</v>
      </c>
      <c r="B22" s="360">
        <v>2.19936</v>
      </c>
      <c r="C22" s="360">
        <v>0.45467800000000003</v>
      </c>
    </row>
    <row r="23" spans="1:3" ht="15" thickBot="1" x14ac:dyDescent="0.35">
      <c r="A23" s="358" t="s">
        <v>523</v>
      </c>
      <c r="B23" s="360">
        <v>95.783024999999995</v>
      </c>
      <c r="C23" s="360">
        <v>1.044E-2</v>
      </c>
    </row>
    <row r="24" spans="1:3" ht="15" thickBot="1" x14ac:dyDescent="0.35">
      <c r="A24" s="358" t="s">
        <v>524</v>
      </c>
      <c r="B24" s="360">
        <v>351.73835500000001</v>
      </c>
      <c r="C24" s="360">
        <v>2.843E-3</v>
      </c>
    </row>
    <row r="25" spans="1:3" ht="15" thickBot="1" x14ac:dyDescent="0.35">
      <c r="A25" s="358" t="s">
        <v>525</v>
      </c>
      <c r="B25" s="360">
        <v>904.14552000000003</v>
      </c>
      <c r="C25" s="360">
        <v>1.106E-3</v>
      </c>
    </row>
    <row r="26" spans="1:3" ht="15" thickBot="1" x14ac:dyDescent="0.35">
      <c r="A26" s="358" t="s">
        <v>526</v>
      </c>
      <c r="B26" s="360">
        <v>0.198907</v>
      </c>
      <c r="C26" s="360">
        <v>5.0274760000000001</v>
      </c>
    </row>
    <row r="27" spans="1:3" ht="15" thickBot="1" x14ac:dyDescent="0.35">
      <c r="A27" s="358" t="s">
        <v>527</v>
      </c>
      <c r="B27" s="360">
        <v>3.534621</v>
      </c>
      <c r="C27" s="360">
        <v>0.282916</v>
      </c>
    </row>
    <row r="28" spans="1:3" ht="15" thickBot="1" x14ac:dyDescent="0.35">
      <c r="A28" s="358" t="s">
        <v>528</v>
      </c>
      <c r="B28" s="360">
        <v>2.7456040000000002</v>
      </c>
      <c r="C28" s="360">
        <v>0.36421900000000001</v>
      </c>
    </row>
    <row r="29" spans="1:3" ht="15" thickBot="1" x14ac:dyDescent="0.35">
      <c r="A29" s="358" t="s">
        <v>529</v>
      </c>
      <c r="B29" s="360">
        <v>29.663573</v>
      </c>
      <c r="C29" s="360">
        <v>3.3710999999999998E-2</v>
      </c>
    </row>
    <row r="30" spans="1:3" ht="15" thickBot="1" x14ac:dyDescent="0.35">
      <c r="A30" s="358" t="s">
        <v>530</v>
      </c>
      <c r="B30" s="360">
        <v>12.216988000000001</v>
      </c>
      <c r="C30" s="360">
        <v>8.1852999999999995E-2</v>
      </c>
    </row>
    <row r="31" spans="1:3" ht="15" thickBot="1" x14ac:dyDescent="0.35">
      <c r="A31" s="358" t="s">
        <v>531</v>
      </c>
      <c r="B31" s="360">
        <v>91.224659000000003</v>
      </c>
      <c r="C31" s="360">
        <v>1.0962E-2</v>
      </c>
    </row>
    <row r="32" spans="1:3" ht="15" thickBot="1" x14ac:dyDescent="0.35">
      <c r="A32" s="358" t="s">
        <v>532</v>
      </c>
      <c r="B32" s="360">
        <v>1.0987290000000001</v>
      </c>
      <c r="C32" s="360">
        <v>0.91014200000000001</v>
      </c>
    </row>
    <row r="33" spans="1:11" ht="15" thickBot="1" x14ac:dyDescent="0.35">
      <c r="A33" s="358" t="s">
        <v>533</v>
      </c>
      <c r="B33" s="360">
        <v>6.6288989999999997</v>
      </c>
      <c r="C33" s="360">
        <v>0.15085499999999999</v>
      </c>
    </row>
    <row r="34" spans="1:11" ht="15" thickBot="1" x14ac:dyDescent="0.35">
      <c r="A34" s="358" t="s">
        <v>534</v>
      </c>
      <c r="B34" s="360">
        <v>0.25045600000000001</v>
      </c>
      <c r="C34" s="360">
        <v>3.992712</v>
      </c>
    </row>
    <row r="35" spans="1:11" ht="15" thickBot="1" x14ac:dyDescent="0.35">
      <c r="A35" s="358" t="s">
        <v>535</v>
      </c>
      <c r="B35" s="360">
        <v>184.42487</v>
      </c>
      <c r="C35" s="360">
        <v>5.4219999999999997E-3</v>
      </c>
    </row>
    <row r="36" spans="1:11" ht="15" thickBot="1" x14ac:dyDescent="0.35">
      <c r="A36" s="358" t="s">
        <v>536</v>
      </c>
      <c r="B36" s="360">
        <v>37.182763999999999</v>
      </c>
      <c r="C36" s="360">
        <v>2.6894000000000001E-2</v>
      </c>
      <c r="K36" s="729"/>
    </row>
    <row r="37" spans="1:11" ht="15" thickBot="1" x14ac:dyDescent="0.35">
      <c r="A37" s="358" t="s">
        <v>537</v>
      </c>
      <c r="B37" s="360">
        <v>2.3749419999999999</v>
      </c>
      <c r="C37" s="360">
        <v>0.42106300000000002</v>
      </c>
    </row>
    <row r="38" spans="1:11" ht="15" thickBot="1" x14ac:dyDescent="0.35">
      <c r="A38" s="358" t="s">
        <v>538</v>
      </c>
      <c r="B38" s="360">
        <v>2.3697050000000002</v>
      </c>
      <c r="C38" s="360">
        <v>0.42199300000000001</v>
      </c>
    </row>
    <row r="39" spans="1:11" ht="15" thickBot="1" x14ac:dyDescent="0.35">
      <c r="A39" s="358" t="s">
        <v>539</v>
      </c>
      <c r="B39" s="360">
        <v>2.8224</v>
      </c>
      <c r="C39" s="360">
        <v>0.35430800000000001</v>
      </c>
    </row>
    <row r="40" spans="1:11" ht="15" thickBot="1" x14ac:dyDescent="0.35">
      <c r="A40" s="358" t="s">
        <v>540</v>
      </c>
      <c r="B40" s="360">
        <v>52.156529999999997</v>
      </c>
      <c r="C40" s="360">
        <v>1.9172999999999999E-2</v>
      </c>
    </row>
    <row r="41" spans="1:11" ht="15" thickBot="1" x14ac:dyDescent="0.35">
      <c r="A41" s="358" t="s">
        <v>541</v>
      </c>
      <c r="B41" s="360">
        <v>2.4413170000000002</v>
      </c>
      <c r="C41" s="360">
        <v>0.40961500000000001</v>
      </c>
    </row>
    <row r="42" spans="1:11" ht="15" thickBot="1" x14ac:dyDescent="0.35">
      <c r="A42" s="358" t="s">
        <v>542</v>
      </c>
      <c r="B42" s="360">
        <v>0.83522099999999999</v>
      </c>
      <c r="C42" s="360">
        <v>1.1972879999999999</v>
      </c>
    </row>
    <row r="43" spans="1:11" ht="15" thickBot="1" x14ac:dyDescent="0.35">
      <c r="A43" s="358" t="s">
        <v>543</v>
      </c>
      <c r="B43" s="360">
        <v>11.426886</v>
      </c>
      <c r="C43" s="360">
        <v>8.7512999999999994E-2</v>
      </c>
    </row>
    <row r="44" spans="1:11" ht="15" thickBot="1" x14ac:dyDescent="0.35">
      <c r="A44" s="358" t="s">
        <v>544</v>
      </c>
      <c r="B44" s="360">
        <v>195.98102900000001</v>
      </c>
      <c r="C44" s="360">
        <v>5.1029999999999999E-3</v>
      </c>
    </row>
    <row r="45" spans="1:11" ht="15" thickBot="1" x14ac:dyDescent="0.35">
      <c r="A45" s="358" t="s">
        <v>545</v>
      </c>
      <c r="B45" s="360">
        <v>6.2220579999999996</v>
      </c>
      <c r="C45" s="360">
        <v>0.160719</v>
      </c>
    </row>
    <row r="46" spans="1:11" ht="15" thickBot="1" x14ac:dyDescent="0.35">
      <c r="A46" s="358" t="s">
        <v>546</v>
      </c>
      <c r="B46" s="360">
        <v>0.52483999999999997</v>
      </c>
      <c r="C46" s="360">
        <v>1.905343</v>
      </c>
    </row>
    <row r="47" spans="1:11" ht="15" thickBot="1" x14ac:dyDescent="0.35">
      <c r="A47" s="358" t="s">
        <v>547</v>
      </c>
      <c r="B47" s="360">
        <v>19.538186</v>
      </c>
      <c r="C47" s="360">
        <v>5.1181999999999998E-2</v>
      </c>
    </row>
    <row r="48" spans="1:11" ht="15" thickBot="1" x14ac:dyDescent="0.35">
      <c r="A48" s="358" t="s">
        <v>548</v>
      </c>
      <c r="B48" s="360">
        <v>21.109622999999999</v>
      </c>
      <c r="C48" s="360">
        <v>4.7371999999999997E-2</v>
      </c>
    </row>
    <row r="49" spans="1:3" ht="15" thickBot="1" x14ac:dyDescent="0.35">
      <c r="A49" s="358" t="s">
        <v>549</v>
      </c>
      <c r="B49" s="360">
        <v>4.4188219999999996</v>
      </c>
      <c r="C49" s="360">
        <v>0.22630500000000001</v>
      </c>
    </row>
    <row r="50" spans="1:3" ht="15" thickBot="1" x14ac:dyDescent="0.35">
      <c r="A50" s="358" t="s">
        <v>550</v>
      </c>
      <c r="B50" s="360">
        <v>26.616351999999999</v>
      </c>
      <c r="C50" s="360">
        <v>3.7571E-2</v>
      </c>
    </row>
    <row r="51" spans="1:3" ht="15" thickBot="1" x14ac:dyDescent="0.35">
      <c r="A51" s="358" t="s">
        <v>551</v>
      </c>
      <c r="B51" s="360">
        <v>2.390863</v>
      </c>
      <c r="C51" s="360">
        <v>0.41825899999999999</v>
      </c>
    </row>
    <row r="52" spans="1:3" ht="15" thickBot="1" x14ac:dyDescent="0.35">
      <c r="A52" s="358" t="s">
        <v>552</v>
      </c>
      <c r="B52" s="360">
        <v>0.48031800000000002</v>
      </c>
      <c r="C52" s="360">
        <v>2.0819540000000001</v>
      </c>
    </row>
    <row r="53" spans="1:3" ht="15" thickBot="1" x14ac:dyDescent="0.35">
      <c r="A53" s="359" t="s">
        <v>553</v>
      </c>
      <c r="B53" s="360">
        <v>0.65101799999999999</v>
      </c>
      <c r="C53" s="360">
        <v>1.5360560000000001</v>
      </c>
    </row>
  </sheetData>
  <hyperlinks>
    <hyperlink ref="I1" r:id="rId1" xr:uid="{DA56C665-3E80-4017-8A9F-72993DD6BF79}"/>
    <hyperlink ref="K36" r:id="rId2" display="https://www.x-rates.com/graph/?from=USD&amp;to=AUD" xr:uid="{E66F598A-5FE9-4474-95F8-355560730638}"/>
    <hyperlink ref="B3" r:id="rId3" display="https://www.x-rates.com/graph/?from=AUD&amp;to=ARS" xr:uid="{CAD19D20-872A-4820-8C53-F2356C2E4EFF}"/>
    <hyperlink ref="C3" r:id="rId4" display="https://www.x-rates.com/graph/?from=ARS&amp;to=AUD" xr:uid="{03F65C19-F48C-4729-9D26-747F598A8235}"/>
    <hyperlink ref="B4" r:id="rId5" display="https://www.x-rates.com/graph/?from=AUD&amp;to=BHD" xr:uid="{E990B13E-2A6C-4C21-AE76-345D10DE29F5}"/>
    <hyperlink ref="C4" r:id="rId6" display="https://www.x-rates.com/graph/?from=BHD&amp;to=AUD" xr:uid="{7AE0A99A-C90D-4178-9E54-81C8E59D84B8}"/>
    <hyperlink ref="B5" r:id="rId7" display="https://www.x-rates.com/graph/?from=AUD&amp;to=BWP" xr:uid="{0290BBBC-20B5-4565-94F1-B89A966D5F97}"/>
    <hyperlink ref="C5" r:id="rId8" display="https://www.x-rates.com/graph/?from=BWP&amp;to=AUD" xr:uid="{8017D584-45B0-4675-A13E-24A4B992DB12}"/>
    <hyperlink ref="B6" r:id="rId9" display="https://www.x-rates.com/graph/?from=AUD&amp;to=BRL" xr:uid="{8D04647B-0899-4C10-80E3-0B1DDB137E68}"/>
    <hyperlink ref="C6" r:id="rId10" display="https://www.x-rates.com/graph/?from=BRL&amp;to=AUD" xr:uid="{6FAA757D-6AAF-4481-A1FB-37A48714C2DF}"/>
    <hyperlink ref="B7" r:id="rId11" display="https://www.x-rates.com/graph/?from=AUD&amp;to=BND" xr:uid="{BB39B81A-D50C-4820-B2E3-99E0236E178F}"/>
    <hyperlink ref="C7" r:id="rId12" display="https://www.x-rates.com/graph/?from=BND&amp;to=AUD" xr:uid="{6BCC021B-D2E6-4F7C-BE4D-39FD17800729}"/>
    <hyperlink ref="B8" r:id="rId13" display="https://www.x-rates.com/graph/?from=AUD&amp;to=BGN" xr:uid="{712CA880-2220-4956-A143-2375B31094B3}"/>
    <hyperlink ref="C8" r:id="rId14" display="https://www.x-rates.com/graph/?from=BGN&amp;to=AUD" xr:uid="{8D9D9F33-A8E0-4ADA-8165-6ECCB698AF91}"/>
    <hyperlink ref="B9" r:id="rId15" display="https://www.x-rates.com/graph/?from=AUD&amp;to=CAD" xr:uid="{E9A9C6BA-6622-4B5F-9438-3C267F2AD40F}"/>
    <hyperlink ref="C9" r:id="rId16" display="https://www.x-rates.com/graph/?from=CAD&amp;to=AUD" xr:uid="{217749D6-5367-499F-9218-42DE4558F498}"/>
    <hyperlink ref="B10" r:id="rId17" display="https://www.x-rates.com/graph/?from=AUD&amp;to=CLP" xr:uid="{AC73DCE0-240F-42CE-B40D-3E3461D3FF87}"/>
    <hyperlink ref="C10" r:id="rId18" display="https://www.x-rates.com/graph/?from=CLP&amp;to=AUD" xr:uid="{8F4BA40A-1A0A-4C6A-809A-041B2BC8607A}"/>
    <hyperlink ref="B11" r:id="rId19" display="https://www.x-rates.com/graph/?from=AUD&amp;to=CNY" xr:uid="{18A64488-D959-4976-A1AA-77CDE38BC77B}"/>
    <hyperlink ref="C11" r:id="rId20" display="https://www.x-rates.com/graph/?from=CNY&amp;to=AUD" xr:uid="{8814877E-DAAC-4ADB-91C7-0AE5A00E5A25}"/>
    <hyperlink ref="B12" r:id="rId21" display="https://www.x-rates.com/graph/?from=AUD&amp;to=COP" xr:uid="{159A1B27-3C14-4859-AD70-E012827CEA3C}"/>
    <hyperlink ref="C12" r:id="rId22" display="https://www.x-rates.com/graph/?from=COP&amp;to=AUD" xr:uid="{6E916A50-9C28-4418-B9AF-CB0527554191}"/>
    <hyperlink ref="B13" r:id="rId23" display="https://www.x-rates.com/graph/?from=AUD&amp;to=CZK" xr:uid="{135899DC-1D93-4CF1-A1AD-ABA42B11AD4D}"/>
    <hyperlink ref="C13" r:id="rId24" display="https://www.x-rates.com/graph/?from=CZK&amp;to=AUD" xr:uid="{86356D9B-0162-4466-AC24-9D5BE4422E89}"/>
    <hyperlink ref="B14" r:id="rId25" display="https://www.x-rates.com/graph/?from=AUD&amp;to=DKK" xr:uid="{97761A2B-6557-440A-8C3E-75AE16B91EA0}"/>
    <hyperlink ref="C14" r:id="rId26" display="https://www.x-rates.com/graph/?from=DKK&amp;to=AUD" xr:uid="{A2D7F824-631A-4A65-A694-E7014BE9B2CA}"/>
    <hyperlink ref="B15" r:id="rId27" display="https://www.x-rates.com/graph/?from=AUD&amp;to=EUR" xr:uid="{FA642C55-C885-41B0-9C86-DC703F5DA16A}"/>
    <hyperlink ref="C15" r:id="rId28" display="https://www.x-rates.com/graph/?from=EUR&amp;to=AUD" xr:uid="{FE3509EB-E76B-4D58-882C-565B705CE45A}"/>
    <hyperlink ref="B16" r:id="rId29" display="https://www.x-rates.com/graph/?from=AUD&amp;to=HKD" xr:uid="{EB670A8A-A18D-4801-B0DC-D4185DEA6199}"/>
    <hyperlink ref="C16" r:id="rId30" display="https://www.x-rates.com/graph/?from=HKD&amp;to=AUD" xr:uid="{957B4CBE-D8AA-4404-8CE6-89AB3CEC56E4}"/>
    <hyperlink ref="B17" r:id="rId31" display="https://www.x-rates.com/graph/?from=AUD&amp;to=HUF" xr:uid="{357AE07B-DD9A-46BE-9BA4-CB57E047272E}"/>
    <hyperlink ref="C17" r:id="rId32" display="https://www.x-rates.com/graph/?from=HUF&amp;to=AUD" xr:uid="{57CBF6DC-7CDD-48D1-AEA5-046811C63F15}"/>
    <hyperlink ref="B18" r:id="rId33" display="https://www.x-rates.com/graph/?from=AUD&amp;to=ISK" xr:uid="{EDB80BFD-06FF-4AC1-BD6B-54B3BAE7CB9D}"/>
    <hyperlink ref="C18" r:id="rId34" display="https://www.x-rates.com/graph/?from=ISK&amp;to=AUD" xr:uid="{C3606138-E3A1-40AB-8354-17B3B979AE66}"/>
    <hyperlink ref="B19" r:id="rId35" display="https://www.x-rates.com/graph/?from=AUD&amp;to=INR" xr:uid="{02B38647-840A-43D6-AF1D-369A4E430496}"/>
    <hyperlink ref="C19" r:id="rId36" display="https://www.x-rates.com/graph/?from=INR&amp;to=AUD" xr:uid="{1A0E6B78-CC96-4784-B202-C870DFE5F43D}"/>
    <hyperlink ref="B20" r:id="rId37" display="https://www.x-rates.com/graph/?from=AUD&amp;to=IDR" xr:uid="{D0999D90-A720-441F-B50A-1FF9404814BF}"/>
    <hyperlink ref="C20" r:id="rId38" display="https://www.x-rates.com/graph/?from=IDR&amp;to=AUD" xr:uid="{45A577AA-700F-4E20-B1CC-41AFBB36ADC2}"/>
    <hyperlink ref="B21" r:id="rId39" display="https://www.x-rates.com/graph/?from=AUD&amp;to=IRR" xr:uid="{A79A9A23-F43E-44E4-BAC2-EE42D29DF083}"/>
    <hyperlink ref="C21" r:id="rId40" display="https://www.x-rates.com/graph/?from=IRR&amp;to=AUD" xr:uid="{99072DC4-3305-4A21-973D-EC6ED0760B04}"/>
    <hyperlink ref="B22" r:id="rId41" display="https://www.x-rates.com/graph/?from=AUD&amp;to=ILS" xr:uid="{93EA3C0D-0657-442D-B788-E47ED0C83F70}"/>
    <hyperlink ref="C22" r:id="rId42" display="https://www.x-rates.com/graph/?from=ILS&amp;to=AUD" xr:uid="{ABEBDB03-1108-474F-A171-DE15A27F488E}"/>
    <hyperlink ref="B23" r:id="rId43" display="https://www.x-rates.com/graph/?from=AUD&amp;to=JPY" xr:uid="{26E9427F-1BF0-478F-8B13-B38861649C6A}"/>
    <hyperlink ref="C23" r:id="rId44" display="https://www.x-rates.com/graph/?from=JPY&amp;to=AUD" xr:uid="{1845AE02-AFBF-48E1-8778-CE3D2CB376FE}"/>
    <hyperlink ref="B24" r:id="rId45" display="https://www.x-rates.com/graph/?from=AUD&amp;to=KZT" xr:uid="{CBC64E8B-CA22-456D-B5F1-FBA83D953315}"/>
    <hyperlink ref="C24" r:id="rId46" display="https://www.x-rates.com/graph/?from=KZT&amp;to=AUD" xr:uid="{CFACE370-E650-4CCA-B5F0-6407F73EF18E}"/>
    <hyperlink ref="B25" r:id="rId47" display="https://www.x-rates.com/graph/?from=AUD&amp;to=KRW" xr:uid="{5613B06C-4FC7-4B90-B644-18B499280FD7}"/>
    <hyperlink ref="C25" r:id="rId48" display="https://www.x-rates.com/graph/?from=KRW&amp;to=AUD" xr:uid="{5B7ADBB7-525B-40F8-82F8-58D8176D11D7}"/>
    <hyperlink ref="B26" r:id="rId49" display="https://www.x-rates.com/graph/?from=AUD&amp;to=KWD" xr:uid="{F2CF9E2E-54F3-4DB4-A34B-8B21CFA30292}"/>
    <hyperlink ref="C26" r:id="rId50" display="https://www.x-rates.com/graph/?from=KWD&amp;to=AUD" xr:uid="{01070D14-6268-4F07-A970-E706C92E48E5}"/>
    <hyperlink ref="B27" r:id="rId51" display="https://www.x-rates.com/graph/?from=AUD&amp;to=LYD" xr:uid="{F0AC8E58-D4D5-46BB-B9BC-CDC31CE40FFF}"/>
    <hyperlink ref="C27" r:id="rId52" display="https://www.x-rates.com/graph/?from=LYD&amp;to=AUD" xr:uid="{BFDCE96E-8868-4F81-B1CD-3C56755309D4}"/>
    <hyperlink ref="B28" r:id="rId53" display="https://www.x-rates.com/graph/?from=AUD&amp;to=MYR" xr:uid="{6D475604-A6EE-4C05-872B-1AF13E2A318A}"/>
    <hyperlink ref="C28" r:id="rId54" display="https://www.x-rates.com/graph/?from=MYR&amp;to=AUD" xr:uid="{56E4D9F3-844F-4A51-9036-BF3FD031D8B0}"/>
    <hyperlink ref="B29" r:id="rId55" display="https://www.x-rates.com/graph/?from=AUD&amp;to=MUR" xr:uid="{8A32BF3A-8D1C-4D6E-8057-47858F99D4A3}"/>
    <hyperlink ref="C29" r:id="rId56" display="https://www.x-rates.com/graph/?from=MUR&amp;to=AUD" xr:uid="{080AAC8D-112D-4365-B1E5-20102ED27048}"/>
    <hyperlink ref="B30" r:id="rId57" display="https://www.x-rates.com/graph/?from=AUD&amp;to=MXN" xr:uid="{EF172C4B-8255-41D6-8951-252B571D989C}"/>
    <hyperlink ref="C30" r:id="rId58" display="https://www.x-rates.com/graph/?from=MXN&amp;to=AUD" xr:uid="{3A747DED-293B-49FC-9128-8503129D123E}"/>
    <hyperlink ref="B31" r:id="rId59" display="https://www.x-rates.com/graph/?from=AUD&amp;to=NPR" xr:uid="{9ED603C0-ABFD-4123-888E-C313B0353D13}"/>
    <hyperlink ref="C31" r:id="rId60" display="https://www.x-rates.com/graph/?from=NPR&amp;to=AUD" xr:uid="{2B693A3B-7727-44C2-A1A0-794C5426EC63}"/>
    <hyperlink ref="B32" r:id="rId61" display="https://www.x-rates.com/graph/?from=AUD&amp;to=NZD" xr:uid="{0EC42BDC-C834-46AD-8685-A36E164733C3}"/>
    <hyperlink ref="C32" r:id="rId62" display="https://www.x-rates.com/graph/?from=NZD&amp;to=AUD" xr:uid="{D5283384-0547-49F5-8AB4-F95B20EB309E}"/>
    <hyperlink ref="B33" r:id="rId63" display="https://www.x-rates.com/graph/?from=AUD&amp;to=NOK" xr:uid="{1B2692B1-CCF7-415F-8906-5A9FB5062BCA}"/>
    <hyperlink ref="C33" r:id="rId64" display="https://www.x-rates.com/graph/?from=NOK&amp;to=AUD" xr:uid="{1539EFCB-D204-4E32-B428-A54DF0AB3ABD}"/>
    <hyperlink ref="B34" r:id="rId65" display="https://www.x-rates.com/graph/?from=AUD&amp;to=OMR" xr:uid="{3F273BDB-D157-49B8-8B6E-E02F01EF116F}"/>
    <hyperlink ref="C34" r:id="rId66" display="https://www.x-rates.com/graph/?from=OMR&amp;to=AUD" xr:uid="{4E5D4BD1-40E0-40F1-AFCF-3C15057D4F01}"/>
    <hyperlink ref="B35" r:id="rId67" display="https://www.x-rates.com/graph/?from=AUD&amp;to=PKR" xr:uid="{220D5044-524B-4633-BC50-7034F699AAF8}"/>
    <hyperlink ref="C35" r:id="rId68" display="https://www.x-rates.com/graph/?from=PKR&amp;to=AUD" xr:uid="{564FCEF6-8AED-4837-B97C-16C307BD3127}"/>
    <hyperlink ref="B36" r:id="rId69" display="https://www.x-rates.com/graph/?from=AUD&amp;to=PHP" xr:uid="{B0A47ACE-3118-4192-B30A-B0C62717037C}"/>
    <hyperlink ref="C36" r:id="rId70" display="https://www.x-rates.com/graph/?from=PHP&amp;to=AUD" xr:uid="{E8F30763-BE85-498E-9F74-6D7401F145FB}"/>
    <hyperlink ref="B37" r:id="rId71" display="https://www.x-rates.com/graph/?from=AUD&amp;to=PLN" xr:uid="{41B4CCC0-210A-473A-8FEC-DE1653BCF6C7}"/>
    <hyperlink ref="C37" r:id="rId72" display="https://www.x-rates.com/graph/?from=PLN&amp;to=AUD" xr:uid="{F8297241-A2FF-4953-AC43-375053CEA958}"/>
    <hyperlink ref="B38" r:id="rId73" display="https://www.x-rates.com/graph/?from=AUD&amp;to=QAR" xr:uid="{85DECB29-D161-49EB-8B4B-78AFC659CE67}"/>
    <hyperlink ref="C38" r:id="rId74" display="https://www.x-rates.com/graph/?from=QAR&amp;to=AUD" xr:uid="{B5B4CFEA-9620-40F1-BF9F-37B58E12693C}"/>
    <hyperlink ref="B39" r:id="rId75" display="https://www.x-rates.com/graph/?from=AUD&amp;to=RON" xr:uid="{7AFD64CE-8B1F-4D54-92FB-9BCABA860B63}"/>
    <hyperlink ref="C39" r:id="rId76" display="https://www.x-rates.com/graph/?from=RON&amp;to=AUD" xr:uid="{3D9D1F22-DC77-4F1C-A660-F3BA28F34654}"/>
    <hyperlink ref="B40" r:id="rId77" display="https://www.x-rates.com/graph/?from=AUD&amp;to=RUB" xr:uid="{EEE8E067-0D55-4B0D-BC7E-D0CA10DFFF13}"/>
    <hyperlink ref="C40" r:id="rId78" display="https://www.x-rates.com/graph/?from=RUB&amp;to=AUD" xr:uid="{6352B524-050C-4251-B275-74B6542D1D71}"/>
    <hyperlink ref="B41" r:id="rId79" display="https://www.x-rates.com/graph/?from=AUD&amp;to=SAR" xr:uid="{A4FCCF4C-4158-4F50-B101-EA52CEAF2101}"/>
    <hyperlink ref="C41" r:id="rId80" display="https://www.x-rates.com/graph/?from=SAR&amp;to=AUD" xr:uid="{A3F29C5C-9564-450C-B187-2EA1F4762541}"/>
    <hyperlink ref="B42" r:id="rId81" display="https://www.x-rates.com/graph/?from=AUD&amp;to=SGD" xr:uid="{AB0A4632-7EA9-4D29-B765-6AFCE959A5A5}"/>
    <hyperlink ref="C42" r:id="rId82" display="https://www.x-rates.com/graph/?from=SGD&amp;to=AUD" xr:uid="{240D46E0-257C-4BF9-8C08-7BA74F8CCC3D}"/>
    <hyperlink ref="B43" r:id="rId83" display="https://www.x-rates.com/graph/?from=AUD&amp;to=ZAR" xr:uid="{1FB20DC8-6CE8-43BD-8681-42AF7BC2DAE1}"/>
    <hyperlink ref="C43" r:id="rId84" display="https://www.x-rates.com/graph/?from=ZAR&amp;to=AUD" xr:uid="{4C9FED73-C23E-48AE-88F0-2EEE89F7BC57}"/>
    <hyperlink ref="B44" r:id="rId85" display="https://www.x-rates.com/graph/?from=AUD&amp;to=LKR" xr:uid="{F3F23278-BC29-42DB-BF59-9AC8EB46BB11}"/>
    <hyperlink ref="C44" r:id="rId86" display="https://www.x-rates.com/graph/?from=LKR&amp;to=AUD" xr:uid="{BA8D8153-7C5B-4D52-8635-A0839FD0F687}"/>
    <hyperlink ref="B45" r:id="rId87" display="https://www.x-rates.com/graph/?from=AUD&amp;to=SEK" xr:uid="{37753F50-E2C6-4C40-9880-671839411E33}"/>
    <hyperlink ref="C45" r:id="rId88" display="https://www.x-rates.com/graph/?from=SEK&amp;to=AUD" xr:uid="{DC3F8CE0-D0B9-4E03-B67D-B0DBD60DB4FA}"/>
    <hyperlink ref="B46" r:id="rId89" display="https://www.x-rates.com/graph/?from=AUD&amp;to=CHF" xr:uid="{D8B074F9-7B8D-4828-B2DF-02734C37724C}"/>
    <hyperlink ref="C46" r:id="rId90" display="https://www.x-rates.com/graph/?from=CHF&amp;to=AUD" xr:uid="{50DE41DE-6450-4B16-9B00-94B4CACA50E4}"/>
    <hyperlink ref="B47" r:id="rId91" display="https://www.x-rates.com/graph/?from=AUD&amp;to=TWD" xr:uid="{ED463D1A-7AD7-4070-921C-74C2400C3066}"/>
    <hyperlink ref="C47" r:id="rId92" display="https://www.x-rates.com/graph/?from=TWD&amp;to=AUD" xr:uid="{992E573C-4BDE-4CE3-851C-6AEC8B483471}"/>
    <hyperlink ref="B48" r:id="rId93" display="https://www.x-rates.com/graph/?from=AUD&amp;to=THB" xr:uid="{3F8A04B0-220D-40E0-B044-16C7B558BB62}"/>
    <hyperlink ref="C48" r:id="rId94" display="https://www.x-rates.com/graph/?from=THB&amp;to=AUD" xr:uid="{04900FCD-AB3C-4876-9EE6-BBE321C03F5C}"/>
    <hyperlink ref="B49" r:id="rId95" display="https://www.x-rates.com/graph/?from=AUD&amp;to=TTD" xr:uid="{BEDEB992-4898-45F3-B942-D743CA427B2D}"/>
    <hyperlink ref="C49" r:id="rId96" display="https://www.x-rates.com/graph/?from=TTD&amp;to=AUD" xr:uid="{114C7507-7B45-470D-B5CE-3E457BAE4F23}"/>
    <hyperlink ref="B50" r:id="rId97" display="https://www.x-rates.com/graph/?from=AUD&amp;to=TRY" xr:uid="{AB9D5CE3-3DCC-46AF-914A-FE97F74763D6}"/>
    <hyperlink ref="C50" r:id="rId98" display="https://www.x-rates.com/graph/?from=TRY&amp;to=AUD" xr:uid="{FEA58363-6DE8-4604-A869-561F6F25AEEC}"/>
    <hyperlink ref="B51" r:id="rId99" display="https://www.x-rates.com/graph/?from=AUD&amp;to=AED" xr:uid="{B1DE6C3A-56E6-454E-AC7A-99A352DE4A7A}"/>
    <hyperlink ref="C51" r:id="rId100" display="https://www.x-rates.com/graph/?from=AED&amp;to=AUD" xr:uid="{C39043D1-989C-46EE-AB6B-BAD21E26161D}"/>
    <hyperlink ref="B52" r:id="rId101" display="https://www.x-rates.com/graph/?from=AUD&amp;to=GBP" xr:uid="{7292A42E-503A-42C8-8A65-E5447D858970}"/>
    <hyperlink ref="C52" r:id="rId102" display="https://www.x-rates.com/graph/?from=GBP&amp;to=AUD" xr:uid="{CAB86E07-5982-4D42-893F-9FA45789659D}"/>
    <hyperlink ref="B53" r:id="rId103" display="https://www.x-rates.com/graph/?from=AUD&amp;to=USD" xr:uid="{E528615F-4DDA-4D6B-9087-A96D5AD2B2E8}"/>
    <hyperlink ref="C53" r:id="rId104" display="https://www.x-rates.com/graph/?from=USD&amp;to=AUD" xr:uid="{6AC35869-CD54-4973-8243-044CD26F77D8}"/>
  </hyperlinks>
  <pageMargins left="0.7" right="0.7" top="0.75" bottom="0.75" header="0.3" footer="0.3"/>
  <pageSetup paperSize="9" orientation="portrait" horizontalDpi="4294967293" r:id="rId105"/>
  <drawing r:id="rId106"/>
  <legacyDrawing r:id="rId107"/>
  <mc:AlternateContent xmlns:mc="http://schemas.openxmlformats.org/markup-compatibility/2006">
    <mc:Choice Requires="x14">
      <controls>
        <mc:AlternateContent xmlns:mc="http://schemas.openxmlformats.org/markup-compatibility/2006">
          <mc:Choice Requires="x14">
            <control shapeId="46083" r:id="rId108" name="Button 3">
              <controlPr defaultSize="0" print="0" autoFill="0" autoPict="0" macro="[0]!new_currency_refresh">
                <anchor moveWithCells="1" sizeWithCells="1">
                  <from>
                    <xdr:col>3</xdr:col>
                    <xdr:colOff>601980</xdr:colOff>
                    <xdr:row>2</xdr:row>
                    <xdr:rowOff>22860</xdr:rowOff>
                  </from>
                  <to>
                    <xdr:col>5</xdr:col>
                    <xdr:colOff>1249680</xdr:colOff>
                    <xdr:row>4</xdr:row>
                    <xdr:rowOff>175260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9844-CAAE-43BA-987D-3D4F8FB3CBFD}">
  <sheetPr codeName="Sheet16">
    <tabColor theme="7"/>
    <pageSetUpPr autoPageBreaks="0"/>
  </sheetPr>
  <dimension ref="A1:AQ600"/>
  <sheetViews>
    <sheetView showGridLines="0" zoomScale="85" zoomScaleNormal="85" workbookViewId="0">
      <pane xSplit="1" topLeftCell="B1" activePane="topRight" state="frozen"/>
      <selection pane="topRight" activeCell="A12" sqref="A12"/>
    </sheetView>
  </sheetViews>
  <sheetFormatPr defaultColWidth="9.44140625" defaultRowHeight="14.4" x14ac:dyDescent="0.3"/>
  <cols>
    <col min="1" max="1" width="28.33203125" style="11" customWidth="1"/>
    <col min="2" max="2" width="38.5546875" style="11" customWidth="1"/>
    <col min="3" max="3" width="12.5546875" style="11" customWidth="1"/>
    <col min="4" max="4" width="15.5546875" style="11" customWidth="1"/>
    <col min="5" max="5" width="14" style="11" customWidth="1"/>
    <col min="6" max="6" width="16.5546875" style="11" customWidth="1"/>
    <col min="7" max="7" width="4.33203125" style="11" customWidth="1"/>
    <col min="8" max="8" width="33.5546875" style="11" customWidth="1"/>
    <col min="9" max="9" width="18.44140625" style="11" customWidth="1"/>
    <col min="10" max="10" width="22.44140625" style="11" customWidth="1"/>
    <col min="11" max="11" width="15.5546875" style="11" customWidth="1"/>
    <col min="12" max="12" width="13.5546875" style="11" customWidth="1"/>
    <col min="13" max="13" width="19.88671875" style="11" customWidth="1"/>
    <col min="14" max="14" width="12.44140625" style="11" customWidth="1"/>
    <col min="15" max="15" width="38.5546875" style="11" customWidth="1"/>
    <col min="16" max="16" width="17.44140625" style="11" customWidth="1"/>
    <col min="17" max="17" width="18.109375" style="11" customWidth="1"/>
    <col min="18" max="19" width="27.44140625" style="11" customWidth="1"/>
    <col min="20" max="20" width="4.44140625" style="11" customWidth="1"/>
    <col min="21" max="21" width="17.5546875" style="11" customWidth="1"/>
    <col min="22" max="22" width="16.44140625" style="11" customWidth="1"/>
    <col min="23" max="23" width="21.5546875" style="11" customWidth="1"/>
    <col min="24" max="24" width="14.5546875" style="11" customWidth="1"/>
    <col min="25" max="25" width="13.5546875" style="11" customWidth="1"/>
    <col min="26" max="26" width="9.44140625" style="11"/>
    <col min="27" max="27" width="9.5546875" style="11" bestFit="1" customWidth="1"/>
    <col min="28" max="28" width="9.44140625" style="11"/>
    <col min="29" max="29" width="46.5546875" style="11" bestFit="1" customWidth="1"/>
    <col min="30" max="30" width="12.44140625" style="11" customWidth="1"/>
    <col min="31" max="31" width="12.5546875" style="11" bestFit="1" customWidth="1"/>
    <col min="32" max="32" width="31.44140625" style="11" bestFit="1" customWidth="1"/>
    <col min="33" max="34" width="9.44140625" style="11"/>
    <col min="35" max="36" width="11.44140625" style="11" customWidth="1"/>
    <col min="37" max="37" width="20.5546875" style="11" customWidth="1"/>
    <col min="38" max="39" width="9.44140625" style="11"/>
    <col min="40" max="40" width="18.109375" style="11" customWidth="1"/>
    <col min="41" max="41" width="29.33203125" style="11" customWidth="1"/>
    <col min="42" max="42" width="30" style="11" customWidth="1"/>
    <col min="43" max="43" width="36.44140625" style="11" customWidth="1"/>
    <col min="44" max="44" width="35.5546875" style="11" customWidth="1"/>
    <col min="45" max="16384" width="9.44140625" style="11"/>
  </cols>
  <sheetData>
    <row r="1" spans="1:43" ht="90.6" customHeight="1" x14ac:dyDescent="0.4">
      <c r="A1" s="298"/>
      <c r="B1" s="701" t="str">
        <f>tool_name_and_version</f>
        <v>Research Costing and Pricing tool v4.3.1</v>
      </c>
      <c r="C1" s="1083"/>
      <c r="D1" s="1083"/>
      <c r="E1" s="1083"/>
      <c r="F1" s="1083"/>
      <c r="G1" s="1083"/>
      <c r="H1" s="1083"/>
      <c r="I1" s="1079"/>
      <c r="J1" s="1068"/>
      <c r="K1" s="1084"/>
      <c r="L1" s="1084"/>
      <c r="M1" s="1084"/>
      <c r="N1" s="1067"/>
      <c r="O1" s="1067"/>
      <c r="P1" s="298"/>
      <c r="Q1" s="298"/>
      <c r="R1" s="298"/>
      <c r="S1" s="298"/>
      <c r="T1" s="298"/>
      <c r="U1" s="298"/>
      <c r="V1" s="298"/>
      <c r="W1" s="298"/>
      <c r="X1" s="298"/>
      <c r="Y1" s="298"/>
      <c r="Z1" s="298"/>
      <c r="AA1" s="298"/>
      <c r="AB1" s="298"/>
      <c r="AC1" s="298"/>
      <c r="AD1" s="298"/>
      <c r="AE1" s="298"/>
      <c r="AF1" s="298"/>
      <c r="AG1" s="298"/>
      <c r="AH1" s="298"/>
      <c r="AI1" s="298"/>
      <c r="AJ1" s="298"/>
      <c r="AK1" s="298"/>
      <c r="AL1" s="298"/>
      <c r="AM1" s="298"/>
      <c r="AN1" s="298"/>
      <c r="AO1" s="298"/>
      <c r="AP1" s="298"/>
      <c r="AQ1" s="298"/>
    </row>
    <row r="2" spans="1:43" ht="15.6" x14ac:dyDescent="0.3">
      <c r="B2" s="232" t="s">
        <v>554</v>
      </c>
      <c r="F2" s="233">
        <v>45778</v>
      </c>
      <c r="G2" s="11" t="s">
        <v>555</v>
      </c>
      <c r="H2" s="232" t="s">
        <v>556</v>
      </c>
      <c r="L2" s="232" t="s">
        <v>557</v>
      </c>
      <c r="O2" s="232" t="s">
        <v>558</v>
      </c>
      <c r="R2" s="232" t="s">
        <v>559</v>
      </c>
      <c r="S2" s="232"/>
      <c r="U2" s="232"/>
      <c r="V2" s="232"/>
      <c r="W2" s="249"/>
      <c r="Z2" s="11" t="s">
        <v>555</v>
      </c>
      <c r="AA2" s="11" t="s">
        <v>555</v>
      </c>
      <c r="AB2" s="11" t="s">
        <v>555</v>
      </c>
      <c r="AC2" s="232" t="s">
        <v>1415</v>
      </c>
      <c r="AD2" s="232"/>
      <c r="AE2" s="232"/>
      <c r="AF2" s="232"/>
      <c r="AG2" s="232"/>
      <c r="AH2" s="11" t="s">
        <v>555</v>
      </c>
      <c r="AI2" s="11" t="s">
        <v>555</v>
      </c>
      <c r="AJ2" s="1524" t="s">
        <v>560</v>
      </c>
      <c r="AK2" s="1524"/>
      <c r="AL2" s="11" t="s">
        <v>555</v>
      </c>
      <c r="AM2" s="11" t="s">
        <v>555</v>
      </c>
      <c r="AN2" s="1066" t="s">
        <v>561</v>
      </c>
      <c r="AO2" s="11" t="s">
        <v>555</v>
      </c>
    </row>
    <row r="3" spans="1:43" ht="25.5" customHeight="1" x14ac:dyDescent="0.3">
      <c r="B3" s="234" t="s">
        <v>562</v>
      </c>
      <c r="C3" s="234" t="s">
        <v>563</v>
      </c>
      <c r="D3" s="234" t="s">
        <v>48</v>
      </c>
      <c r="E3" s="234" t="s">
        <v>49</v>
      </c>
      <c r="F3" s="234" t="s">
        <v>564</v>
      </c>
      <c r="G3" s="11" t="s">
        <v>555</v>
      </c>
      <c r="H3" s="235" t="s">
        <v>565</v>
      </c>
      <c r="I3" s="235" t="s">
        <v>556</v>
      </c>
      <c r="J3" s="235" t="s">
        <v>40</v>
      </c>
      <c r="K3" s="11" t="s">
        <v>555</v>
      </c>
      <c r="L3" s="235" t="s">
        <v>50</v>
      </c>
      <c r="M3" s="235" t="s">
        <v>566</v>
      </c>
      <c r="O3" s="235" t="s">
        <v>58</v>
      </c>
      <c r="P3" s="235" t="s">
        <v>567</v>
      </c>
      <c r="R3" s="235" t="s">
        <v>299</v>
      </c>
      <c r="S3" s="378"/>
      <c r="T3" s="11" t="s">
        <v>555</v>
      </c>
      <c r="U3" s="232"/>
      <c r="V3" s="232"/>
      <c r="W3" s="249"/>
      <c r="Z3" s="11" t="s">
        <v>555</v>
      </c>
      <c r="AA3" s="11" t="s">
        <v>555</v>
      </c>
      <c r="AB3" s="11" t="s">
        <v>555</v>
      </c>
      <c r="AC3" s="495" t="s">
        <v>270</v>
      </c>
      <c r="AD3" s="495" t="s">
        <v>570</v>
      </c>
      <c r="AE3" s="495" t="s">
        <v>269</v>
      </c>
      <c r="AF3" s="495" t="s">
        <v>571</v>
      </c>
      <c r="AG3" s="495" t="s">
        <v>572</v>
      </c>
      <c r="AH3" s="495" t="s">
        <v>12</v>
      </c>
      <c r="AI3" s="11" t="s">
        <v>555</v>
      </c>
      <c r="AJ3" s="365" t="s">
        <v>573</v>
      </c>
      <c r="AK3" s="366" t="s">
        <v>574</v>
      </c>
      <c r="AL3" s="11" t="s">
        <v>555</v>
      </c>
      <c r="AN3" s="495" t="s">
        <v>389</v>
      </c>
      <c r="AO3" s="495" t="s">
        <v>298</v>
      </c>
      <c r="AP3" s="495" t="s">
        <v>575</v>
      </c>
    </row>
    <row r="4" spans="1:43" ht="15.6" x14ac:dyDescent="0.3">
      <c r="B4" s="238" t="str">
        <f t="shared" ref="B4:B67" si="0">CONCATENATE(C4,D4,E4)</f>
        <v>FortnightAcademicRA Grade 1.1</v>
      </c>
      <c r="C4" s="238" t="s">
        <v>576</v>
      </c>
      <c r="D4" s="238" t="s">
        <v>577</v>
      </c>
      <c r="E4" s="238" t="s">
        <v>578</v>
      </c>
      <c r="F4" s="212">
        <v>78115</v>
      </c>
      <c r="G4" s="11" t="s">
        <v>555</v>
      </c>
      <c r="H4" s="237">
        <v>2025</v>
      </c>
      <c r="I4" s="240"/>
      <c r="J4" s="241">
        <v>1</v>
      </c>
      <c r="K4" s="11" t="s">
        <v>555</v>
      </c>
      <c r="L4" s="236" t="s">
        <v>579</v>
      </c>
      <c r="M4" s="270">
        <v>1</v>
      </c>
      <c r="O4" s="238" t="s">
        <v>30</v>
      </c>
      <c r="P4" s="237" t="s">
        <v>580</v>
      </c>
      <c r="R4" s="238"/>
      <c r="S4" s="249"/>
      <c r="T4" s="11" t="s">
        <v>555</v>
      </c>
      <c r="U4" s="232"/>
      <c r="V4" s="232"/>
      <c r="W4" s="249"/>
      <c r="Z4" s="11" t="s">
        <v>555</v>
      </c>
      <c r="AA4" s="11" t="s">
        <v>555</v>
      </c>
      <c r="AB4" s="11" t="s">
        <v>555</v>
      </c>
      <c r="AC4" s="496" t="s">
        <v>1167</v>
      </c>
      <c r="AD4" s="496" t="s">
        <v>582</v>
      </c>
      <c r="AE4" s="496" t="s">
        <v>583</v>
      </c>
      <c r="AF4" s="496" t="s">
        <v>584</v>
      </c>
      <c r="AG4" s="496" t="s">
        <v>585</v>
      </c>
      <c r="AH4" s="496" t="s">
        <v>586</v>
      </c>
      <c r="AI4" s="11" t="s">
        <v>555</v>
      </c>
      <c r="AJ4" s="367" t="str">
        <f>AD4</f>
        <v>CCH_H1_5_01</v>
      </c>
      <c r="AK4" s="11" t="s">
        <v>555</v>
      </c>
      <c r="AL4" s="11" t="s">
        <v>555</v>
      </c>
      <c r="AN4" s="496" t="s">
        <v>587</v>
      </c>
      <c r="AO4" s="496" t="s">
        <v>587</v>
      </c>
      <c r="AP4" s="496">
        <v>4003</v>
      </c>
    </row>
    <row r="5" spans="1:43" ht="15.6" x14ac:dyDescent="0.3">
      <c r="B5" s="238" t="str">
        <f t="shared" si="0"/>
        <v>FortnightAcademicRA Grade 1.2</v>
      </c>
      <c r="C5" s="238" t="s">
        <v>576</v>
      </c>
      <c r="D5" s="238" t="s">
        <v>577</v>
      </c>
      <c r="E5" s="238" t="s">
        <v>588</v>
      </c>
      <c r="F5" s="212">
        <v>80661</v>
      </c>
      <c r="G5" s="11" t="s">
        <v>555</v>
      </c>
      <c r="H5" s="237">
        <f t="shared" ref="H5:H22" si="1">H4+1</f>
        <v>2026</v>
      </c>
      <c r="I5" s="240">
        <v>0.03</v>
      </c>
      <c r="J5" s="241">
        <f t="shared" ref="J5:J22" si="2">J4*(1+I5)</f>
        <v>1.03</v>
      </c>
      <c r="K5" s="11" t="s">
        <v>555</v>
      </c>
      <c r="L5" s="238" t="s">
        <v>589</v>
      </c>
      <c r="M5" s="242">
        <f>1/220</f>
        <v>4.5454545454545452E-3</v>
      </c>
      <c r="O5" s="238" t="s">
        <v>590</v>
      </c>
      <c r="P5" s="237" t="s">
        <v>591</v>
      </c>
      <c r="R5" s="238" t="s">
        <v>592</v>
      </c>
      <c r="S5" s="249"/>
      <c r="T5" s="11" t="s">
        <v>555</v>
      </c>
      <c r="U5" s="232"/>
      <c r="V5" s="232"/>
      <c r="W5" s="249"/>
      <c r="Z5" s="11" t="s">
        <v>555</v>
      </c>
      <c r="AA5" s="11" t="s">
        <v>555</v>
      </c>
      <c r="AB5" s="11" t="s">
        <v>555</v>
      </c>
      <c r="AC5" s="496" t="s">
        <v>1174</v>
      </c>
      <c r="AD5" s="496" t="s">
        <v>602</v>
      </c>
      <c r="AE5" s="496" t="s">
        <v>583</v>
      </c>
      <c r="AF5" s="496" t="s">
        <v>584</v>
      </c>
      <c r="AG5" s="496" t="s">
        <v>585</v>
      </c>
      <c r="AH5" s="496" t="s">
        <v>586</v>
      </c>
      <c r="AI5" s="11" t="s">
        <v>555</v>
      </c>
      <c r="AJ5" s="367" t="str">
        <f t="shared" ref="AJ5:AJ68" si="3">AD5</f>
        <v>CCH_H1_5_02</v>
      </c>
      <c r="AK5" s="11" t="s">
        <v>555</v>
      </c>
      <c r="AL5" s="11" t="s">
        <v>555</v>
      </c>
      <c r="AN5" s="496" t="s">
        <v>597</v>
      </c>
      <c r="AO5" s="496" t="s">
        <v>597</v>
      </c>
      <c r="AP5" s="496">
        <v>4004</v>
      </c>
    </row>
    <row r="6" spans="1:43" ht="15.6" x14ac:dyDescent="0.3">
      <c r="B6" s="238" t="str">
        <f t="shared" si="0"/>
        <v>FortnightAcademicRA Grade 1.3</v>
      </c>
      <c r="C6" s="238" t="s">
        <v>576</v>
      </c>
      <c r="D6" s="238" t="s">
        <v>577</v>
      </c>
      <c r="E6" s="238" t="s">
        <v>598</v>
      </c>
      <c r="F6" s="212">
        <v>85555</v>
      </c>
      <c r="G6" s="11" t="s">
        <v>555</v>
      </c>
      <c r="H6" s="237">
        <f t="shared" si="1"/>
        <v>2027</v>
      </c>
      <c r="I6" s="240">
        <v>0.03</v>
      </c>
      <c r="J6" s="241">
        <f t="shared" si="2"/>
        <v>1.0609</v>
      </c>
      <c r="K6" s="11" t="s">
        <v>555</v>
      </c>
      <c r="L6" s="244" t="s">
        <v>599</v>
      </c>
      <c r="M6" s="245">
        <v>1</v>
      </c>
      <c r="O6" s="238"/>
      <c r="P6" s="237"/>
      <c r="R6" s="238" t="s">
        <v>600</v>
      </c>
      <c r="S6" s="249"/>
      <c r="T6" s="11" t="s">
        <v>555</v>
      </c>
      <c r="U6" s="232"/>
      <c r="V6" s="232"/>
      <c r="W6" s="249"/>
      <c r="Z6" s="11" t="s">
        <v>555</v>
      </c>
      <c r="AB6" s="11" t="s">
        <v>555</v>
      </c>
      <c r="AC6" s="496" t="s">
        <v>1169</v>
      </c>
      <c r="AD6" s="496" t="s">
        <v>606</v>
      </c>
      <c r="AE6" s="496" t="s">
        <v>605</v>
      </c>
      <c r="AF6" s="496" t="s">
        <v>607</v>
      </c>
      <c r="AG6" s="496" t="s">
        <v>585</v>
      </c>
      <c r="AH6" s="496" t="s">
        <v>586</v>
      </c>
      <c r="AI6" s="11" t="s">
        <v>555</v>
      </c>
      <c r="AJ6" s="367" t="str">
        <f t="shared" si="3"/>
        <v>CCH_H1_5_03</v>
      </c>
      <c r="AK6" s="11" t="s">
        <v>555</v>
      </c>
      <c r="AL6" s="11" t="s">
        <v>555</v>
      </c>
      <c r="AN6" s="496" t="s">
        <v>9</v>
      </c>
      <c r="AO6" s="496" t="s">
        <v>391</v>
      </c>
      <c r="AP6" s="496">
        <v>4020</v>
      </c>
    </row>
    <row r="7" spans="1:43" ht="15.6" x14ac:dyDescent="0.3">
      <c r="B7" s="238" t="str">
        <f t="shared" si="0"/>
        <v>FortnightAcademicLevel A.1</v>
      </c>
      <c r="C7" s="238" t="s">
        <v>576</v>
      </c>
      <c r="D7" s="238" t="s">
        <v>577</v>
      </c>
      <c r="E7" s="238" t="s">
        <v>603</v>
      </c>
      <c r="F7" s="212">
        <v>85555</v>
      </c>
      <c r="G7" s="11" t="s">
        <v>555</v>
      </c>
      <c r="H7" s="237">
        <f t="shared" si="1"/>
        <v>2028</v>
      </c>
      <c r="I7" s="240">
        <v>0.03</v>
      </c>
      <c r="J7" s="241">
        <f t="shared" si="2"/>
        <v>1.092727</v>
      </c>
      <c r="K7" s="11" t="s">
        <v>555</v>
      </c>
      <c r="O7" s="244"/>
      <c r="P7" s="247"/>
      <c r="R7" s="244" t="s">
        <v>604</v>
      </c>
      <c r="S7" s="249"/>
      <c r="T7" s="11" t="s">
        <v>555</v>
      </c>
      <c r="U7" s="232"/>
      <c r="V7" s="232"/>
      <c r="W7" s="249"/>
      <c r="Z7" s="11" t="s">
        <v>555</v>
      </c>
      <c r="AA7" s="248"/>
      <c r="AB7" s="11" t="s">
        <v>555</v>
      </c>
      <c r="AC7" s="496" t="s">
        <v>1176</v>
      </c>
      <c r="AD7" s="496" t="s">
        <v>634</v>
      </c>
      <c r="AE7" s="496" t="s">
        <v>635</v>
      </c>
      <c r="AF7" s="496" t="s">
        <v>636</v>
      </c>
      <c r="AG7" s="496" t="s">
        <v>585</v>
      </c>
      <c r="AH7" s="496" t="s">
        <v>586</v>
      </c>
      <c r="AI7" s="11" t="s">
        <v>555</v>
      </c>
      <c r="AJ7" s="367" t="str">
        <f t="shared" si="3"/>
        <v>CCH_H1_5_04</v>
      </c>
      <c r="AK7" s="11" t="s">
        <v>555</v>
      </c>
      <c r="AL7" s="11" t="s">
        <v>555</v>
      </c>
      <c r="AN7" s="496" t="s">
        <v>9</v>
      </c>
      <c r="AO7" s="496" t="s">
        <v>608</v>
      </c>
      <c r="AP7" s="496">
        <v>4040</v>
      </c>
    </row>
    <row r="8" spans="1:43" ht="15.6" x14ac:dyDescent="0.3">
      <c r="B8" s="238" t="str">
        <f t="shared" si="0"/>
        <v>FortnightAcademicLevel A.2</v>
      </c>
      <c r="C8" s="238" t="s">
        <v>576</v>
      </c>
      <c r="D8" s="238" t="s">
        <v>577</v>
      </c>
      <c r="E8" s="238" t="s">
        <v>609</v>
      </c>
      <c r="F8" s="212">
        <v>90434</v>
      </c>
      <c r="G8" s="11" t="s">
        <v>555</v>
      </c>
      <c r="H8" s="237">
        <f t="shared" si="1"/>
        <v>2029</v>
      </c>
      <c r="I8" s="240">
        <v>0.03</v>
      </c>
      <c r="J8" s="241">
        <f t="shared" si="2"/>
        <v>1.1255088100000001</v>
      </c>
      <c r="K8" s="11" t="s">
        <v>555</v>
      </c>
      <c r="L8" s="232" t="s">
        <v>610</v>
      </c>
      <c r="R8" s="249"/>
      <c r="S8" s="249"/>
      <c r="T8" s="11" t="s">
        <v>555</v>
      </c>
      <c r="U8" s="232"/>
      <c r="V8" s="232"/>
      <c r="W8" s="249"/>
      <c r="Z8" s="11" t="s">
        <v>555</v>
      </c>
      <c r="AA8" s="11" t="s">
        <v>555</v>
      </c>
      <c r="AB8" s="11" t="s">
        <v>555</v>
      </c>
      <c r="AC8" s="496" t="s">
        <v>1168</v>
      </c>
      <c r="AD8" s="496" t="s">
        <v>594</v>
      </c>
      <c r="AE8" s="496" t="s">
        <v>595</v>
      </c>
      <c r="AF8" s="496" t="s">
        <v>596</v>
      </c>
      <c r="AG8" s="496" t="s">
        <v>585</v>
      </c>
      <c r="AH8" s="496" t="s">
        <v>586</v>
      </c>
      <c r="AI8" s="11" t="s">
        <v>555</v>
      </c>
      <c r="AJ8" s="367" t="str">
        <f t="shared" si="3"/>
        <v>CCH_H1_5_05</v>
      </c>
      <c r="AK8" s="11" t="s">
        <v>555</v>
      </c>
      <c r="AL8" s="11" t="s">
        <v>555</v>
      </c>
      <c r="AN8" s="496" t="s">
        <v>9</v>
      </c>
      <c r="AO8" s="496" t="s">
        <v>614</v>
      </c>
      <c r="AP8" s="496">
        <v>4041</v>
      </c>
    </row>
    <row r="9" spans="1:43" ht="15.6" x14ac:dyDescent="0.3">
      <c r="B9" s="238" t="str">
        <f t="shared" si="0"/>
        <v>FortnightAcademicLevel A.3</v>
      </c>
      <c r="C9" s="238" t="s">
        <v>576</v>
      </c>
      <c r="D9" s="238" t="s">
        <v>577</v>
      </c>
      <c r="E9" s="238" t="s">
        <v>615</v>
      </c>
      <c r="F9" s="212">
        <v>95327</v>
      </c>
      <c r="G9" s="11" t="s">
        <v>555</v>
      </c>
      <c r="H9" s="237">
        <f t="shared" si="1"/>
        <v>2030</v>
      </c>
      <c r="I9" s="240">
        <v>0.03</v>
      </c>
      <c r="J9" s="241">
        <f t="shared" si="2"/>
        <v>1.1592740743000001</v>
      </c>
      <c r="K9" s="11" t="s">
        <v>555</v>
      </c>
      <c r="L9" s="235" t="s">
        <v>49</v>
      </c>
      <c r="M9" s="235" t="s">
        <v>616</v>
      </c>
      <c r="O9" s="232" t="s">
        <v>617</v>
      </c>
      <c r="R9" s="232" t="s">
        <v>618</v>
      </c>
      <c r="S9" s="232"/>
      <c r="T9" s="11" t="s">
        <v>555</v>
      </c>
      <c r="U9" s="232"/>
      <c r="V9" s="232"/>
      <c r="W9" s="249"/>
      <c r="Z9" s="11" t="s">
        <v>555</v>
      </c>
      <c r="AA9" s="11" t="s">
        <v>555</v>
      </c>
      <c r="AB9" s="11" t="s">
        <v>555</v>
      </c>
      <c r="AC9" s="496" t="s">
        <v>1173</v>
      </c>
      <c r="AD9" s="496" t="s">
        <v>619</v>
      </c>
      <c r="AE9" s="496" t="s">
        <v>620</v>
      </c>
      <c r="AF9" s="496" t="s">
        <v>621</v>
      </c>
      <c r="AG9" s="496" t="s">
        <v>585</v>
      </c>
      <c r="AH9" s="496" t="s">
        <v>586</v>
      </c>
      <c r="AI9" s="11" t="s">
        <v>555</v>
      </c>
      <c r="AJ9" s="367" t="str">
        <f t="shared" si="3"/>
        <v>CCH_H1_5_06</v>
      </c>
      <c r="AK9" s="11" t="s">
        <v>555</v>
      </c>
      <c r="AL9" s="11" t="s">
        <v>555</v>
      </c>
      <c r="AN9" s="496" t="s">
        <v>9</v>
      </c>
      <c r="AO9" s="496" t="s">
        <v>622</v>
      </c>
      <c r="AP9" s="496">
        <v>4042</v>
      </c>
    </row>
    <row r="10" spans="1:43" ht="18" x14ac:dyDescent="0.3">
      <c r="A10" s="707" t="s">
        <v>623</v>
      </c>
      <c r="B10" s="238" t="str">
        <f t="shared" si="0"/>
        <v>FortnightAcademicLevel A.4</v>
      </c>
      <c r="C10" s="238" t="s">
        <v>576</v>
      </c>
      <c r="D10" s="238" t="s">
        <v>577</v>
      </c>
      <c r="E10" s="238" t="s">
        <v>624</v>
      </c>
      <c r="F10" s="212">
        <v>100214</v>
      </c>
      <c r="G10" s="11" t="s">
        <v>555</v>
      </c>
      <c r="H10" s="237">
        <f t="shared" si="1"/>
        <v>2031</v>
      </c>
      <c r="I10" s="240">
        <v>0.03</v>
      </c>
      <c r="J10" s="241">
        <f t="shared" si="2"/>
        <v>1.1940522965290001</v>
      </c>
      <c r="K10" s="11" t="s">
        <v>555</v>
      </c>
      <c r="L10" s="236" t="s">
        <v>625</v>
      </c>
      <c r="M10" s="250">
        <v>8</v>
      </c>
      <c r="O10" s="235" t="s">
        <v>58</v>
      </c>
      <c r="P10" s="235" t="s">
        <v>28</v>
      </c>
      <c r="R10" s="235" t="s">
        <v>626</v>
      </c>
      <c r="S10" s="378"/>
      <c r="T10" s="11" t="s">
        <v>555</v>
      </c>
      <c r="U10" s="232"/>
      <c r="V10" s="232"/>
      <c r="W10" s="249"/>
      <c r="Z10" s="11" t="s">
        <v>555</v>
      </c>
      <c r="AA10" s="11" t="s">
        <v>555</v>
      </c>
      <c r="AB10" s="11" t="s">
        <v>555</v>
      </c>
      <c r="AC10" s="496" t="s">
        <v>1170</v>
      </c>
      <c r="AD10" s="496" t="s">
        <v>611</v>
      </c>
      <c r="AE10" s="496" t="s">
        <v>612</v>
      </c>
      <c r="AF10" s="496" t="s">
        <v>613</v>
      </c>
      <c r="AG10" s="496" t="s">
        <v>585</v>
      </c>
      <c r="AH10" s="496" t="s">
        <v>586</v>
      </c>
      <c r="AI10" s="11" t="s">
        <v>555</v>
      </c>
      <c r="AJ10" s="367" t="str">
        <f t="shared" si="3"/>
        <v>CCH_H1_5_07</v>
      </c>
      <c r="AK10" s="11" t="s">
        <v>555</v>
      </c>
      <c r="AL10" s="11" t="s">
        <v>555</v>
      </c>
      <c r="AN10" s="496" t="s">
        <v>9</v>
      </c>
      <c r="AO10" s="496" t="s">
        <v>630</v>
      </c>
      <c r="AP10" s="496">
        <v>4060</v>
      </c>
    </row>
    <row r="11" spans="1:43" ht="15.6" x14ac:dyDescent="0.3">
      <c r="A11" s="706"/>
      <c r="B11" s="238" t="str">
        <f t="shared" si="0"/>
        <v>FortnightAcademicLevel A.5</v>
      </c>
      <c r="C11" s="238" t="s">
        <v>576</v>
      </c>
      <c r="D11" s="238" t="s">
        <v>577</v>
      </c>
      <c r="E11" s="238" t="s">
        <v>631</v>
      </c>
      <c r="F11" s="212">
        <v>104189</v>
      </c>
      <c r="G11" s="11" t="s">
        <v>555</v>
      </c>
      <c r="H11" s="237">
        <f t="shared" si="1"/>
        <v>2032</v>
      </c>
      <c r="I11" s="240">
        <v>0.03</v>
      </c>
      <c r="J11" s="241">
        <f t="shared" si="2"/>
        <v>1.2298738654248702</v>
      </c>
      <c r="K11" s="11" t="s">
        <v>555</v>
      </c>
      <c r="L11" s="238" t="s">
        <v>632</v>
      </c>
      <c r="M11" s="251">
        <v>6</v>
      </c>
      <c r="O11" s="236" t="s">
        <v>31</v>
      </c>
      <c r="P11" s="252" t="s">
        <v>633</v>
      </c>
      <c r="R11" s="236" t="s">
        <v>23</v>
      </c>
      <c r="S11" s="249"/>
      <c r="T11" s="11" t="s">
        <v>555</v>
      </c>
      <c r="U11" s="232"/>
      <c r="V11" s="232"/>
      <c r="W11" s="249"/>
      <c r="Z11" s="11" t="s">
        <v>555</v>
      </c>
      <c r="AA11" s="11" t="s">
        <v>555</v>
      </c>
      <c r="AB11" s="11" t="s">
        <v>555</v>
      </c>
      <c r="AC11" s="496" t="s">
        <v>1175</v>
      </c>
      <c r="AD11" s="496" t="s">
        <v>627</v>
      </c>
      <c r="AE11" s="496" t="s">
        <v>628</v>
      </c>
      <c r="AF11" s="496" t="s">
        <v>629</v>
      </c>
      <c r="AG11" s="496" t="s">
        <v>585</v>
      </c>
      <c r="AH11" s="496" t="s">
        <v>586</v>
      </c>
      <c r="AI11" s="11" t="s">
        <v>555</v>
      </c>
      <c r="AJ11" s="367" t="str">
        <f t="shared" si="3"/>
        <v>CCH_H1_5_08</v>
      </c>
      <c r="AK11" s="11" t="s">
        <v>555</v>
      </c>
      <c r="AL11" s="11" t="s">
        <v>555</v>
      </c>
    </row>
    <row r="12" spans="1:43" ht="15.6" x14ac:dyDescent="0.3">
      <c r="A12" s="1082" t="s">
        <v>558</v>
      </c>
      <c r="B12" s="238" t="str">
        <f t="shared" si="0"/>
        <v>FortnightAcademicLevel A.6</v>
      </c>
      <c r="C12" s="238" t="s">
        <v>576</v>
      </c>
      <c r="D12" s="238" t="s">
        <v>577</v>
      </c>
      <c r="E12" s="238" t="s">
        <v>637</v>
      </c>
      <c r="F12" s="212">
        <v>108156</v>
      </c>
      <c r="G12" s="11" t="s">
        <v>555</v>
      </c>
      <c r="H12" s="237">
        <f t="shared" si="1"/>
        <v>2033</v>
      </c>
      <c r="I12" s="240">
        <v>0.03</v>
      </c>
      <c r="J12" s="241">
        <f t="shared" si="2"/>
        <v>1.2667700813876164</v>
      </c>
      <c r="K12" s="11" t="s">
        <v>555</v>
      </c>
      <c r="L12" s="238" t="s">
        <v>638</v>
      </c>
      <c r="M12" s="251">
        <v>6</v>
      </c>
      <c r="O12" s="238" t="s">
        <v>639</v>
      </c>
      <c r="P12" s="237" t="s">
        <v>640</v>
      </c>
      <c r="R12" s="238" t="s">
        <v>641</v>
      </c>
      <c r="S12" s="249"/>
      <c r="T12" s="11" t="s">
        <v>555</v>
      </c>
      <c r="U12" s="232"/>
      <c r="V12" s="232"/>
      <c r="W12" s="249"/>
      <c r="Z12" s="11" t="s">
        <v>555</v>
      </c>
      <c r="AB12" s="11" t="s">
        <v>555</v>
      </c>
      <c r="AC12" s="496" t="s">
        <v>1177</v>
      </c>
      <c r="AD12" s="496" t="s">
        <v>1178</v>
      </c>
      <c r="AE12" s="496" t="s">
        <v>605</v>
      </c>
      <c r="AF12" s="496" t="s">
        <v>607</v>
      </c>
      <c r="AG12" s="496" t="s">
        <v>585</v>
      </c>
      <c r="AH12" s="496" t="s">
        <v>586</v>
      </c>
      <c r="AI12" s="11" t="s">
        <v>555</v>
      </c>
      <c r="AJ12" s="367" t="str">
        <f t="shared" si="3"/>
        <v>CCH_H1_5_199</v>
      </c>
      <c r="AK12" s="11" t="s">
        <v>555</v>
      </c>
      <c r="AL12" s="11" t="s">
        <v>555</v>
      </c>
    </row>
    <row r="13" spans="1:43" ht="15.6" x14ac:dyDescent="0.3">
      <c r="A13" s="1073"/>
      <c r="B13" s="238" t="str">
        <f t="shared" si="0"/>
        <v>FortnightAcademicLevel A.7</v>
      </c>
      <c r="C13" s="238" t="s">
        <v>576</v>
      </c>
      <c r="D13" s="238" t="s">
        <v>577</v>
      </c>
      <c r="E13" s="238" t="s">
        <v>648</v>
      </c>
      <c r="F13" s="212">
        <v>112124</v>
      </c>
      <c r="G13" s="11" t="s">
        <v>555</v>
      </c>
      <c r="H13" s="237">
        <f t="shared" si="1"/>
        <v>2034</v>
      </c>
      <c r="I13" s="240">
        <v>0.03</v>
      </c>
      <c r="J13" s="241">
        <f t="shared" si="2"/>
        <v>1.3047731838292449</v>
      </c>
      <c r="K13" s="11" t="s">
        <v>555</v>
      </c>
      <c r="L13" s="238" t="s">
        <v>649</v>
      </c>
      <c r="M13" s="251">
        <v>4</v>
      </c>
      <c r="O13" s="238" t="s">
        <v>650</v>
      </c>
      <c r="P13" s="237" t="s">
        <v>651</v>
      </c>
      <c r="R13" s="238" t="s">
        <v>652</v>
      </c>
      <c r="S13" s="249"/>
      <c r="T13" s="11" t="s">
        <v>555</v>
      </c>
      <c r="U13" s="232"/>
      <c r="V13" s="232"/>
      <c r="W13" s="249"/>
      <c r="Z13" s="11" t="s">
        <v>555</v>
      </c>
      <c r="AA13" s="11" t="s">
        <v>555</v>
      </c>
      <c r="AB13" s="11" t="s">
        <v>555</v>
      </c>
      <c r="AC13" s="496" t="s">
        <v>1171</v>
      </c>
      <c r="AD13" s="496" t="s">
        <v>1172</v>
      </c>
      <c r="AE13" s="496" t="s">
        <v>612</v>
      </c>
      <c r="AF13" s="496" t="s">
        <v>613</v>
      </c>
      <c r="AG13" s="496" t="s">
        <v>585</v>
      </c>
      <c r="AH13" s="496" t="s">
        <v>586</v>
      </c>
      <c r="AI13" s="11" t="s">
        <v>555</v>
      </c>
      <c r="AJ13" s="367" t="str">
        <f t="shared" si="3"/>
        <v>CCH_H1_5_200</v>
      </c>
      <c r="AK13" s="11" t="s">
        <v>555</v>
      </c>
      <c r="AL13" s="11" t="s">
        <v>555</v>
      </c>
    </row>
    <row r="14" spans="1:43" ht="15.6" x14ac:dyDescent="0.3">
      <c r="A14" s="1072" t="s">
        <v>653</v>
      </c>
      <c r="B14" s="238" t="str">
        <f t="shared" si="0"/>
        <v>FortnightAcademicLevel A.8</v>
      </c>
      <c r="C14" s="238" t="s">
        <v>576</v>
      </c>
      <c r="D14" s="238" t="s">
        <v>577</v>
      </c>
      <c r="E14" s="238" t="s">
        <v>654</v>
      </c>
      <c r="F14" s="212">
        <v>116094</v>
      </c>
      <c r="G14" s="11" t="s">
        <v>555</v>
      </c>
      <c r="H14" s="237">
        <f t="shared" si="1"/>
        <v>2035</v>
      </c>
      <c r="I14" s="240">
        <v>0.03</v>
      </c>
      <c r="J14" s="241">
        <f t="shared" si="2"/>
        <v>1.3439163793441222</v>
      </c>
      <c r="K14" s="11" t="s">
        <v>555</v>
      </c>
      <c r="L14" s="238" t="s">
        <v>655</v>
      </c>
      <c r="M14" s="251">
        <v>1</v>
      </c>
      <c r="O14" s="238" t="s">
        <v>656</v>
      </c>
      <c r="P14" s="237" t="s">
        <v>657</v>
      </c>
      <c r="R14" s="238" t="s">
        <v>658</v>
      </c>
      <c r="S14" s="249"/>
      <c r="T14" s="11" t="s">
        <v>555</v>
      </c>
      <c r="U14" s="232"/>
      <c r="V14" s="232"/>
      <c r="W14" s="249"/>
      <c r="Z14" s="11" t="s">
        <v>555</v>
      </c>
      <c r="AA14" s="11" t="s">
        <v>555</v>
      </c>
      <c r="AB14" s="11" t="s">
        <v>555</v>
      </c>
      <c r="AC14" s="496" t="s">
        <v>1191</v>
      </c>
      <c r="AD14" s="496" t="s">
        <v>1192</v>
      </c>
      <c r="AE14" s="496" t="s">
        <v>628</v>
      </c>
      <c r="AF14" s="496" t="s">
        <v>629</v>
      </c>
      <c r="AG14" s="496" t="s">
        <v>585</v>
      </c>
      <c r="AH14" s="496" t="s">
        <v>586</v>
      </c>
      <c r="AI14" s="11" t="s">
        <v>555</v>
      </c>
      <c r="AJ14" s="367" t="str">
        <f t="shared" si="3"/>
        <v>CCH_H1_5_201</v>
      </c>
      <c r="AK14" s="11" t="s">
        <v>555</v>
      </c>
      <c r="AL14" s="11" t="s">
        <v>555</v>
      </c>
    </row>
    <row r="15" spans="1:43" ht="15.6" x14ac:dyDescent="0.3">
      <c r="A15" s="1073"/>
      <c r="B15" s="238" t="str">
        <f t="shared" si="0"/>
        <v>FortnightAcademicLevel B.1</v>
      </c>
      <c r="C15" s="238" t="s">
        <v>576</v>
      </c>
      <c r="D15" s="238" t="s">
        <v>577</v>
      </c>
      <c r="E15" s="238" t="s">
        <v>659</v>
      </c>
      <c r="F15" s="212">
        <v>122212</v>
      </c>
      <c r="G15" s="11" t="s">
        <v>555</v>
      </c>
      <c r="H15" s="237">
        <f t="shared" si="1"/>
        <v>2036</v>
      </c>
      <c r="I15" s="240">
        <v>0.03</v>
      </c>
      <c r="J15" s="241">
        <f t="shared" si="2"/>
        <v>1.3842338707244459</v>
      </c>
      <c r="K15" s="11" t="s">
        <v>555</v>
      </c>
      <c r="L15" s="238" t="s">
        <v>660</v>
      </c>
      <c r="M15" s="251">
        <v>3</v>
      </c>
      <c r="O15" s="238" t="s">
        <v>661</v>
      </c>
      <c r="P15" s="237" t="s">
        <v>662</v>
      </c>
      <c r="R15" s="238" t="s">
        <v>663</v>
      </c>
      <c r="S15" s="249"/>
      <c r="T15" s="11" t="s">
        <v>555</v>
      </c>
      <c r="U15" s="232"/>
      <c r="V15" s="232"/>
      <c r="W15" s="249"/>
      <c r="Z15" s="11" t="s">
        <v>555</v>
      </c>
      <c r="AA15" s="11" t="s">
        <v>555</v>
      </c>
      <c r="AB15" s="11" t="s">
        <v>555</v>
      </c>
      <c r="AC15" s="496" t="s">
        <v>642</v>
      </c>
      <c r="AD15" s="496" t="s">
        <v>643</v>
      </c>
      <c r="AE15" s="496" t="s">
        <v>644</v>
      </c>
      <c r="AF15" s="496" t="s">
        <v>645</v>
      </c>
      <c r="AG15" s="496" t="s">
        <v>646</v>
      </c>
      <c r="AH15" s="496" t="s">
        <v>647</v>
      </c>
      <c r="AI15" s="11" t="s">
        <v>555</v>
      </c>
      <c r="AJ15" s="367" t="str">
        <f t="shared" si="3"/>
        <v>CCH_H1_5_09</v>
      </c>
      <c r="AK15" s="11" t="s">
        <v>555</v>
      </c>
      <c r="AL15" s="11" t="s">
        <v>555</v>
      </c>
    </row>
    <row r="16" spans="1:43" ht="15.6" x14ac:dyDescent="0.3">
      <c r="A16" s="1072" t="s">
        <v>664</v>
      </c>
      <c r="B16" s="238" t="str">
        <f t="shared" si="0"/>
        <v>FortnightAcademicLevel B.2</v>
      </c>
      <c r="C16" s="238" t="s">
        <v>576</v>
      </c>
      <c r="D16" s="238" t="s">
        <v>577</v>
      </c>
      <c r="E16" s="238" t="s">
        <v>665</v>
      </c>
      <c r="F16" s="212">
        <v>126791</v>
      </c>
      <c r="G16" s="11" t="s">
        <v>555</v>
      </c>
      <c r="H16" s="237">
        <f t="shared" si="1"/>
        <v>2037</v>
      </c>
      <c r="I16" s="240">
        <v>0.03</v>
      </c>
      <c r="J16" s="241">
        <f t="shared" si="2"/>
        <v>1.4257608868461793</v>
      </c>
      <c r="K16" s="11" t="s">
        <v>555</v>
      </c>
      <c r="L16" s="238" t="s">
        <v>666</v>
      </c>
      <c r="M16" s="251">
        <v>3</v>
      </c>
      <c r="O16" s="238" t="s">
        <v>667</v>
      </c>
      <c r="P16" s="237" t="s">
        <v>668</v>
      </c>
      <c r="R16" s="238" t="s">
        <v>669</v>
      </c>
      <c r="S16" s="249"/>
      <c r="T16" s="11" t="s">
        <v>555</v>
      </c>
      <c r="U16" s="232"/>
      <c r="V16" s="232"/>
      <c r="W16" s="249"/>
      <c r="Z16" s="11" t="s">
        <v>555</v>
      </c>
      <c r="AA16" s="11" t="s">
        <v>555</v>
      </c>
      <c r="AB16" s="11" t="s">
        <v>555</v>
      </c>
      <c r="AC16" s="496" t="s">
        <v>1179</v>
      </c>
      <c r="AD16" s="496" t="s">
        <v>1180</v>
      </c>
      <c r="AE16" s="496" t="s">
        <v>644</v>
      </c>
      <c r="AF16" s="496" t="s">
        <v>645</v>
      </c>
      <c r="AG16" s="496" t="s">
        <v>646</v>
      </c>
      <c r="AH16" s="496" t="s">
        <v>647</v>
      </c>
      <c r="AI16" s="11" t="s">
        <v>555</v>
      </c>
      <c r="AJ16" s="367" t="str">
        <f t="shared" si="3"/>
        <v>CCH_H1_5_204</v>
      </c>
      <c r="AK16" s="11" t="s">
        <v>555</v>
      </c>
      <c r="AL16" s="11" t="s">
        <v>555</v>
      </c>
    </row>
    <row r="17" spans="1:42" ht="15.6" x14ac:dyDescent="0.3">
      <c r="A17" s="1073"/>
      <c r="B17" s="238" t="str">
        <f t="shared" si="0"/>
        <v>FortnightAcademicLevel B.3</v>
      </c>
      <c r="C17" s="238" t="s">
        <v>576</v>
      </c>
      <c r="D17" s="238" t="s">
        <v>577</v>
      </c>
      <c r="E17" s="238" t="s">
        <v>670</v>
      </c>
      <c r="F17" s="212">
        <v>131373</v>
      </c>
      <c r="G17" s="11" t="s">
        <v>555</v>
      </c>
      <c r="H17" s="237">
        <f t="shared" si="1"/>
        <v>2038</v>
      </c>
      <c r="I17" s="240">
        <v>0.03</v>
      </c>
      <c r="J17" s="241">
        <f t="shared" si="2"/>
        <v>1.4685337134515648</v>
      </c>
      <c r="K17" s="11" t="s">
        <v>555</v>
      </c>
      <c r="L17" s="238" t="s">
        <v>671</v>
      </c>
      <c r="M17" s="251">
        <v>3</v>
      </c>
      <c r="O17" s="238" t="s">
        <v>672</v>
      </c>
      <c r="P17" s="237" t="s">
        <v>673</v>
      </c>
      <c r="R17" s="238" t="s">
        <v>674</v>
      </c>
      <c r="S17" s="249"/>
      <c r="T17" s="11" t="s">
        <v>555</v>
      </c>
      <c r="U17" s="232"/>
      <c r="V17" s="232"/>
      <c r="W17" s="249"/>
      <c r="Z17" s="11" t="s">
        <v>555</v>
      </c>
      <c r="AA17" s="11" t="s">
        <v>555</v>
      </c>
      <c r="AB17" s="11" t="s">
        <v>555</v>
      </c>
      <c r="AC17" s="496" t="s">
        <v>1181</v>
      </c>
      <c r="AD17" s="496" t="s">
        <v>1182</v>
      </c>
      <c r="AE17" s="496" t="s">
        <v>644</v>
      </c>
      <c r="AF17" s="496" t="s">
        <v>645</v>
      </c>
      <c r="AG17" s="496" t="s">
        <v>646</v>
      </c>
      <c r="AH17" s="496" t="s">
        <v>647</v>
      </c>
      <c r="AI17" s="11" t="s">
        <v>555</v>
      </c>
      <c r="AJ17" s="367" t="str">
        <f t="shared" si="3"/>
        <v>CCH_H1_5_205</v>
      </c>
      <c r="AK17" s="11" t="s">
        <v>555</v>
      </c>
      <c r="AL17" s="11" t="s">
        <v>555</v>
      </c>
    </row>
    <row r="18" spans="1:42" ht="15.6" x14ac:dyDescent="0.3">
      <c r="A18" s="1072" t="s">
        <v>556</v>
      </c>
      <c r="B18" s="238" t="str">
        <f t="shared" si="0"/>
        <v>FortnightAcademicLevel B.4</v>
      </c>
      <c r="C18" s="238" t="s">
        <v>576</v>
      </c>
      <c r="D18" s="238" t="s">
        <v>577</v>
      </c>
      <c r="E18" s="238" t="s">
        <v>675</v>
      </c>
      <c r="F18" s="212">
        <v>135954</v>
      </c>
      <c r="G18" s="11" t="s">
        <v>555</v>
      </c>
      <c r="H18" s="237">
        <f t="shared" si="1"/>
        <v>2039</v>
      </c>
      <c r="I18" s="240">
        <v>0.03</v>
      </c>
      <c r="J18" s="241">
        <f t="shared" si="2"/>
        <v>1.5125897248551119</v>
      </c>
      <c r="K18" s="11" t="s">
        <v>555</v>
      </c>
      <c r="L18" s="238" t="s">
        <v>676</v>
      </c>
      <c r="M18" s="251">
        <v>6</v>
      </c>
      <c r="O18" s="238" t="s">
        <v>677</v>
      </c>
      <c r="P18" s="237" t="s">
        <v>678</v>
      </c>
      <c r="R18" s="238" t="s">
        <v>679</v>
      </c>
      <c r="S18" s="249"/>
      <c r="T18" s="11" t="s">
        <v>555</v>
      </c>
      <c r="U18" s="232"/>
      <c r="V18" s="232"/>
      <c r="W18" s="249"/>
      <c r="Z18" s="11" t="s">
        <v>555</v>
      </c>
      <c r="AA18" s="11" t="s">
        <v>555</v>
      </c>
      <c r="AB18" s="11" t="s">
        <v>555</v>
      </c>
      <c r="AC18" s="496" t="s">
        <v>1193</v>
      </c>
      <c r="AD18" s="496" t="s">
        <v>1194</v>
      </c>
      <c r="AE18" s="496" t="s">
        <v>644</v>
      </c>
      <c r="AF18" s="496" t="s">
        <v>645</v>
      </c>
      <c r="AG18" s="496" t="s">
        <v>646</v>
      </c>
      <c r="AH18" s="496" t="s">
        <v>647</v>
      </c>
      <c r="AI18" s="11" t="s">
        <v>555</v>
      </c>
      <c r="AJ18" s="367" t="str">
        <f t="shared" si="3"/>
        <v>CCH_H1_5_206</v>
      </c>
      <c r="AK18" s="11" t="s">
        <v>555</v>
      </c>
      <c r="AL18" s="11" t="s">
        <v>555</v>
      </c>
      <c r="AM18" s="11" t="s">
        <v>555</v>
      </c>
      <c r="AN18" s="11" t="s">
        <v>555</v>
      </c>
      <c r="AO18" s="11" t="s">
        <v>555</v>
      </c>
      <c r="AP18" s="516"/>
    </row>
    <row r="19" spans="1:42" ht="15.6" x14ac:dyDescent="0.3">
      <c r="A19" s="1073"/>
      <c r="B19" s="238" t="str">
        <f t="shared" si="0"/>
        <v>FortnightAcademicLevel B.5</v>
      </c>
      <c r="C19" s="238" t="s">
        <v>576</v>
      </c>
      <c r="D19" s="238" t="s">
        <v>577</v>
      </c>
      <c r="E19" s="238" t="s">
        <v>680</v>
      </c>
      <c r="F19" s="212">
        <v>140541</v>
      </c>
      <c r="G19" s="11" t="s">
        <v>555</v>
      </c>
      <c r="H19" s="237">
        <f t="shared" si="1"/>
        <v>2040</v>
      </c>
      <c r="I19" s="240">
        <v>0.03</v>
      </c>
      <c r="J19" s="241">
        <f t="shared" si="2"/>
        <v>1.5579674166007653</v>
      </c>
      <c r="K19" s="11" t="s">
        <v>555</v>
      </c>
      <c r="L19" s="238" t="s">
        <v>681</v>
      </c>
      <c r="M19" s="251">
        <v>4</v>
      </c>
      <c r="O19" s="238" t="s">
        <v>682</v>
      </c>
      <c r="P19" s="237" t="s">
        <v>683</v>
      </c>
      <c r="R19" s="238" t="s">
        <v>684</v>
      </c>
      <c r="S19" s="249"/>
      <c r="T19" s="11" t="s">
        <v>555</v>
      </c>
      <c r="U19" s="232"/>
      <c r="V19" s="232"/>
      <c r="W19" s="249"/>
      <c r="Z19" s="11" t="s">
        <v>555</v>
      </c>
      <c r="AA19" s="11" t="s">
        <v>555</v>
      </c>
      <c r="AB19" s="11" t="s">
        <v>555</v>
      </c>
      <c r="AC19" s="496" t="s">
        <v>1195</v>
      </c>
      <c r="AD19" s="496" t="s">
        <v>1196</v>
      </c>
      <c r="AE19" s="496" t="s">
        <v>644</v>
      </c>
      <c r="AF19" s="496" t="s">
        <v>645</v>
      </c>
      <c r="AG19" s="496" t="s">
        <v>646</v>
      </c>
      <c r="AH19" s="496" t="s">
        <v>647</v>
      </c>
      <c r="AI19" s="11" t="s">
        <v>555</v>
      </c>
      <c r="AJ19" s="367" t="str">
        <f t="shared" si="3"/>
        <v>CCH_H1_5_207</v>
      </c>
      <c r="AK19" s="11" t="s">
        <v>555</v>
      </c>
      <c r="AL19" s="11" t="s">
        <v>555</v>
      </c>
      <c r="AM19" s="11" t="s">
        <v>555</v>
      </c>
      <c r="AN19" s="11" t="s">
        <v>555</v>
      </c>
      <c r="AO19" s="11" t="s">
        <v>555</v>
      </c>
      <c r="AP19" s="516"/>
    </row>
    <row r="20" spans="1:42" ht="15.6" x14ac:dyDescent="0.3">
      <c r="A20" s="1072" t="s">
        <v>685</v>
      </c>
      <c r="B20" s="238" t="str">
        <f t="shared" si="0"/>
        <v>FortnightAcademicLevel B.6</v>
      </c>
      <c r="C20" s="238" t="s">
        <v>576</v>
      </c>
      <c r="D20" s="238" t="s">
        <v>577</v>
      </c>
      <c r="E20" s="238" t="s">
        <v>686</v>
      </c>
      <c r="F20" s="212">
        <v>145121</v>
      </c>
      <c r="G20" s="11" t="s">
        <v>555</v>
      </c>
      <c r="H20" s="237">
        <f t="shared" si="1"/>
        <v>2041</v>
      </c>
      <c r="I20" s="240">
        <v>0.03</v>
      </c>
      <c r="J20" s="241">
        <f t="shared" si="2"/>
        <v>1.6047064390987884</v>
      </c>
      <c r="K20" s="11" t="s">
        <v>555</v>
      </c>
      <c r="L20" s="238" t="s">
        <v>687</v>
      </c>
      <c r="M20" s="251">
        <v>8</v>
      </c>
      <c r="O20" s="238" t="s">
        <v>688</v>
      </c>
      <c r="P20" s="237" t="s">
        <v>689</v>
      </c>
      <c r="R20" s="238" t="s">
        <v>690</v>
      </c>
      <c r="S20" s="249"/>
      <c r="T20" s="11" t="s">
        <v>555</v>
      </c>
      <c r="U20" s="232"/>
      <c r="V20" s="232"/>
      <c r="W20" s="249"/>
      <c r="Z20" s="11" t="s">
        <v>555</v>
      </c>
      <c r="AA20" s="11" t="s">
        <v>555</v>
      </c>
      <c r="AB20" s="11" t="s">
        <v>555</v>
      </c>
      <c r="AC20" s="496" t="s">
        <v>886</v>
      </c>
      <c r="AD20" s="496" t="s">
        <v>887</v>
      </c>
      <c r="AE20" s="496" t="s">
        <v>888</v>
      </c>
      <c r="AF20" s="496" t="s">
        <v>889</v>
      </c>
      <c r="AG20" s="496" t="s">
        <v>646</v>
      </c>
      <c r="AH20" s="496" t="s">
        <v>647</v>
      </c>
      <c r="AI20" s="11" t="s">
        <v>555</v>
      </c>
      <c r="AJ20" s="367" t="str">
        <f t="shared" si="3"/>
        <v>CCH_H1_5_48</v>
      </c>
      <c r="AK20" s="11" t="s">
        <v>555</v>
      </c>
      <c r="AL20" s="11" t="s">
        <v>555</v>
      </c>
      <c r="AM20" s="11" t="s">
        <v>555</v>
      </c>
      <c r="AN20" s="11" t="s">
        <v>555</v>
      </c>
      <c r="AO20" s="11" t="s">
        <v>555</v>
      </c>
      <c r="AP20" s="516"/>
    </row>
    <row r="21" spans="1:42" ht="15.6" x14ac:dyDescent="0.3">
      <c r="A21" s="1073"/>
      <c r="B21" s="238" t="str">
        <f t="shared" si="0"/>
        <v>FortnightAcademicLevel C.1</v>
      </c>
      <c r="C21" s="238" t="s">
        <v>576</v>
      </c>
      <c r="D21" s="238" t="s">
        <v>577</v>
      </c>
      <c r="E21" s="238" t="s">
        <v>691</v>
      </c>
      <c r="F21" s="212">
        <v>149701</v>
      </c>
      <c r="G21" s="11" t="s">
        <v>555</v>
      </c>
      <c r="H21" s="237">
        <f t="shared" si="1"/>
        <v>2042</v>
      </c>
      <c r="I21" s="240">
        <v>0.03</v>
      </c>
      <c r="J21" s="241">
        <f t="shared" si="2"/>
        <v>1.652847632271752</v>
      </c>
      <c r="K21" s="11" t="s">
        <v>555</v>
      </c>
      <c r="L21" s="238" t="s">
        <v>692</v>
      </c>
      <c r="M21" s="251">
        <v>5</v>
      </c>
      <c r="O21" s="238" t="s">
        <v>693</v>
      </c>
      <c r="P21" s="237" t="s">
        <v>694</v>
      </c>
      <c r="R21" s="238" t="s">
        <v>695</v>
      </c>
      <c r="S21" s="249"/>
      <c r="T21" s="11" t="s">
        <v>555</v>
      </c>
      <c r="U21" s="232"/>
      <c r="V21" s="232"/>
      <c r="W21" s="249"/>
      <c r="Z21" s="11" t="s">
        <v>555</v>
      </c>
      <c r="AA21" s="11" t="s">
        <v>555</v>
      </c>
      <c r="AB21" s="11" t="s">
        <v>555</v>
      </c>
      <c r="AC21" s="496" t="s">
        <v>897</v>
      </c>
      <c r="AD21" s="496" t="s">
        <v>898</v>
      </c>
      <c r="AE21" s="496" t="s">
        <v>644</v>
      </c>
      <c r="AF21" s="496" t="s">
        <v>645</v>
      </c>
      <c r="AG21" s="496" t="s">
        <v>646</v>
      </c>
      <c r="AH21" s="496" t="s">
        <v>647</v>
      </c>
      <c r="AI21" s="11" t="s">
        <v>555</v>
      </c>
      <c r="AJ21" s="367" t="str">
        <f t="shared" si="3"/>
        <v>CCH_H1_5_49</v>
      </c>
      <c r="AK21" s="11" t="s">
        <v>555</v>
      </c>
      <c r="AL21" s="11" t="s">
        <v>555</v>
      </c>
      <c r="AM21" s="11" t="s">
        <v>555</v>
      </c>
      <c r="AN21" s="11" t="s">
        <v>555</v>
      </c>
      <c r="AO21" s="11" t="s">
        <v>555</v>
      </c>
      <c r="AP21" s="516"/>
    </row>
    <row r="22" spans="1:42" ht="15.6" x14ac:dyDescent="0.3">
      <c r="A22" s="1072" t="s">
        <v>696</v>
      </c>
      <c r="B22" s="238" t="str">
        <f t="shared" si="0"/>
        <v>FortnightAcademicLevel C.2</v>
      </c>
      <c r="C22" s="238" t="s">
        <v>576</v>
      </c>
      <c r="D22" s="238" t="s">
        <v>577</v>
      </c>
      <c r="E22" s="238" t="s">
        <v>697</v>
      </c>
      <c r="F22" s="212">
        <v>154293</v>
      </c>
      <c r="G22" s="11" t="s">
        <v>555</v>
      </c>
      <c r="H22" s="247">
        <f t="shared" si="1"/>
        <v>2043</v>
      </c>
      <c r="I22" s="482">
        <v>0.03</v>
      </c>
      <c r="J22" s="253">
        <f t="shared" si="2"/>
        <v>1.7024330612399046</v>
      </c>
      <c r="K22" s="11" t="s">
        <v>555</v>
      </c>
      <c r="L22" s="238" t="s">
        <v>698</v>
      </c>
      <c r="M22" s="251">
        <v>5</v>
      </c>
      <c r="O22" s="238" t="s">
        <v>699</v>
      </c>
      <c r="P22" s="237" t="s">
        <v>700</v>
      </c>
      <c r="R22" s="238" t="s">
        <v>701</v>
      </c>
      <c r="S22" s="249"/>
      <c r="T22" s="11" t="s">
        <v>555</v>
      </c>
      <c r="U22" s="232"/>
      <c r="V22" s="232"/>
      <c r="W22" s="249"/>
      <c r="Z22" s="11" t="s">
        <v>555</v>
      </c>
      <c r="AA22" s="11" t="s">
        <v>555</v>
      </c>
      <c r="AB22" s="11" t="s">
        <v>555</v>
      </c>
      <c r="AC22" s="496" t="s">
        <v>903</v>
      </c>
      <c r="AD22" s="496" t="s">
        <v>904</v>
      </c>
      <c r="AE22" s="496" t="s">
        <v>644</v>
      </c>
      <c r="AF22" s="496" t="s">
        <v>645</v>
      </c>
      <c r="AG22" s="496" t="s">
        <v>646</v>
      </c>
      <c r="AH22" s="496" t="s">
        <v>647</v>
      </c>
      <c r="AI22" s="11" t="s">
        <v>555</v>
      </c>
      <c r="AJ22" s="367" t="str">
        <f t="shared" si="3"/>
        <v>CCH_H1_5_50</v>
      </c>
      <c r="AK22" s="11" t="s">
        <v>555</v>
      </c>
      <c r="AL22" s="11" t="s">
        <v>555</v>
      </c>
      <c r="AM22" s="11" t="s">
        <v>555</v>
      </c>
      <c r="AN22" s="11" t="s">
        <v>555</v>
      </c>
      <c r="AO22" s="11" t="s">
        <v>555</v>
      </c>
      <c r="AP22" s="516"/>
    </row>
    <row r="23" spans="1:42" ht="15.6" x14ac:dyDescent="0.3">
      <c r="A23" s="1073"/>
      <c r="B23" s="238" t="str">
        <f t="shared" si="0"/>
        <v>FortnightAcademicLevel C.3</v>
      </c>
      <c r="C23" s="238" t="s">
        <v>576</v>
      </c>
      <c r="D23" s="238" t="s">
        <v>577</v>
      </c>
      <c r="E23" s="238" t="s">
        <v>702</v>
      </c>
      <c r="F23" s="212">
        <v>158868</v>
      </c>
      <c r="G23" s="11" t="s">
        <v>555</v>
      </c>
      <c r="H23" s="11" t="s">
        <v>555</v>
      </c>
      <c r="I23" s="11" t="s">
        <v>555</v>
      </c>
      <c r="J23" s="11" t="s">
        <v>555</v>
      </c>
      <c r="K23" s="11" t="s">
        <v>555</v>
      </c>
      <c r="L23" s="238" t="s">
        <v>703</v>
      </c>
      <c r="M23" s="251">
        <v>5</v>
      </c>
      <c r="O23" s="238" t="s">
        <v>704</v>
      </c>
      <c r="P23" s="237" t="s">
        <v>705</v>
      </c>
      <c r="R23" s="238" t="s">
        <v>706</v>
      </c>
      <c r="S23" s="249"/>
      <c r="T23" s="11" t="s">
        <v>555</v>
      </c>
      <c r="U23" s="232"/>
      <c r="V23" s="232"/>
      <c r="W23" s="249"/>
      <c r="Z23" s="11" t="s">
        <v>555</v>
      </c>
      <c r="AA23" s="11" t="s">
        <v>555</v>
      </c>
      <c r="AB23" s="11" t="s">
        <v>555</v>
      </c>
      <c r="AC23" s="496" t="s">
        <v>910</v>
      </c>
      <c r="AD23" s="496" t="s">
        <v>911</v>
      </c>
      <c r="AE23" s="496" t="s">
        <v>644</v>
      </c>
      <c r="AF23" s="496" t="s">
        <v>645</v>
      </c>
      <c r="AG23" s="496" t="s">
        <v>646</v>
      </c>
      <c r="AH23" s="496" t="s">
        <v>647</v>
      </c>
      <c r="AI23" s="11" t="s">
        <v>555</v>
      </c>
      <c r="AJ23" s="367" t="str">
        <f t="shared" si="3"/>
        <v>CCH_H1_5_51</v>
      </c>
      <c r="AK23" s="11" t="s">
        <v>555</v>
      </c>
      <c r="AL23" s="11" t="s">
        <v>555</v>
      </c>
      <c r="AM23" s="11" t="s">
        <v>555</v>
      </c>
      <c r="AN23" s="11" t="s">
        <v>555</v>
      </c>
      <c r="AO23" s="11" t="s">
        <v>555</v>
      </c>
      <c r="AP23" s="516"/>
    </row>
    <row r="24" spans="1:42" ht="15.6" x14ac:dyDescent="0.3">
      <c r="A24" s="1072" t="s">
        <v>707</v>
      </c>
      <c r="B24" s="238" t="str">
        <f t="shared" si="0"/>
        <v>FortnightAcademicLevel C.4</v>
      </c>
      <c r="C24" s="238" t="s">
        <v>576</v>
      </c>
      <c r="D24" s="238" t="s">
        <v>577</v>
      </c>
      <c r="E24" s="238" t="s">
        <v>708</v>
      </c>
      <c r="F24" s="212">
        <v>163444</v>
      </c>
      <c r="G24" s="11" t="s">
        <v>555</v>
      </c>
      <c r="H24" s="11" t="s">
        <v>555</v>
      </c>
      <c r="I24" s="254"/>
      <c r="J24" s="11" t="s">
        <v>555</v>
      </c>
      <c r="K24" s="11" t="s">
        <v>555</v>
      </c>
      <c r="L24" s="238" t="s">
        <v>709</v>
      </c>
      <c r="M24" s="251">
        <v>3</v>
      </c>
      <c r="O24" s="238" t="s">
        <v>710</v>
      </c>
      <c r="P24" s="237" t="s">
        <v>711</v>
      </c>
      <c r="R24" s="238" t="s">
        <v>712</v>
      </c>
      <c r="S24" s="249"/>
      <c r="T24" s="11" t="s">
        <v>555</v>
      </c>
      <c r="U24" s="232"/>
      <c r="V24" s="232"/>
      <c r="W24" s="249"/>
      <c r="Z24" s="11" t="s">
        <v>555</v>
      </c>
      <c r="AA24" s="11" t="s">
        <v>555</v>
      </c>
      <c r="AB24" s="11" t="s">
        <v>555</v>
      </c>
      <c r="AC24" s="496" t="s">
        <v>917</v>
      </c>
      <c r="AD24" s="496" t="s">
        <v>918</v>
      </c>
      <c r="AE24" s="496" t="s">
        <v>644</v>
      </c>
      <c r="AF24" s="496" t="s">
        <v>645</v>
      </c>
      <c r="AG24" s="496" t="s">
        <v>646</v>
      </c>
      <c r="AH24" s="496" t="s">
        <v>647</v>
      </c>
      <c r="AI24" s="11" t="s">
        <v>555</v>
      </c>
      <c r="AJ24" s="367" t="str">
        <f t="shared" si="3"/>
        <v>CCH_H1_5_52</v>
      </c>
      <c r="AK24" s="11" t="s">
        <v>555</v>
      </c>
      <c r="AL24" s="11" t="s">
        <v>555</v>
      </c>
      <c r="AM24" s="11" t="s">
        <v>555</v>
      </c>
      <c r="AN24" s="11" t="s">
        <v>555</v>
      </c>
      <c r="AO24" s="11" t="s">
        <v>555</v>
      </c>
      <c r="AP24" s="516"/>
    </row>
    <row r="25" spans="1:42" ht="15" customHeight="1" x14ac:dyDescent="0.3">
      <c r="A25" s="1073"/>
      <c r="B25" s="238" t="str">
        <f t="shared" si="0"/>
        <v>FortnightAcademicLevel C.5</v>
      </c>
      <c r="C25" s="238" t="s">
        <v>576</v>
      </c>
      <c r="D25" s="238" t="s">
        <v>577</v>
      </c>
      <c r="E25" s="238" t="s">
        <v>713</v>
      </c>
      <c r="F25" s="212">
        <v>168025</v>
      </c>
      <c r="G25" s="11" t="s">
        <v>555</v>
      </c>
      <c r="H25" s="409" t="s">
        <v>714</v>
      </c>
      <c r="I25" s="298"/>
      <c r="J25" s="256"/>
      <c r="K25" s="11" t="s">
        <v>555</v>
      </c>
      <c r="L25" s="244" t="s">
        <v>715</v>
      </c>
      <c r="M25" s="255">
        <v>1</v>
      </c>
      <c r="O25" s="238" t="s">
        <v>716</v>
      </c>
      <c r="P25" s="237" t="s">
        <v>717</v>
      </c>
      <c r="R25" s="244" t="s">
        <v>718</v>
      </c>
      <c r="S25" s="249"/>
      <c r="T25" s="11" t="s">
        <v>555</v>
      </c>
      <c r="U25" s="1526"/>
      <c r="V25" s="1527"/>
      <c r="W25" s="1527"/>
      <c r="X25" s="1527"/>
      <c r="Z25" s="11" t="s">
        <v>555</v>
      </c>
      <c r="AA25" s="11" t="s">
        <v>555</v>
      </c>
      <c r="AB25" s="11" t="s">
        <v>555</v>
      </c>
      <c r="AC25" s="496" t="s">
        <v>923</v>
      </c>
      <c r="AD25" s="496" t="s">
        <v>924</v>
      </c>
      <c r="AE25" s="496" t="s">
        <v>644</v>
      </c>
      <c r="AF25" s="496" t="s">
        <v>645</v>
      </c>
      <c r="AG25" s="496" t="s">
        <v>646</v>
      </c>
      <c r="AH25" s="496" t="s">
        <v>647</v>
      </c>
      <c r="AI25" s="11" t="s">
        <v>555</v>
      </c>
      <c r="AJ25" s="367" t="str">
        <f t="shared" si="3"/>
        <v>CCH_H1_5_53</v>
      </c>
      <c r="AK25" s="11" t="s">
        <v>555</v>
      </c>
      <c r="AL25" s="11" t="s">
        <v>555</v>
      </c>
      <c r="AM25" s="11" t="s">
        <v>555</v>
      </c>
      <c r="AN25" s="11" t="s">
        <v>555</v>
      </c>
      <c r="AO25" s="11" t="s">
        <v>555</v>
      </c>
      <c r="AP25" s="516"/>
    </row>
    <row r="26" spans="1:42" x14ac:dyDescent="0.3">
      <c r="A26" s="1072" t="s">
        <v>725</v>
      </c>
      <c r="B26" s="238" t="str">
        <f t="shared" si="0"/>
        <v>FortnightAcademicLevel C.6</v>
      </c>
      <c r="C26" s="238" t="s">
        <v>576</v>
      </c>
      <c r="D26" s="238" t="s">
        <v>577</v>
      </c>
      <c r="E26" s="238" t="s">
        <v>726</v>
      </c>
      <c r="F26" s="212">
        <v>172613</v>
      </c>
      <c r="G26" s="11" t="s">
        <v>555</v>
      </c>
      <c r="H26" s="235" t="s">
        <v>727</v>
      </c>
      <c r="I26" s="298"/>
      <c r="J26" s="256"/>
      <c r="K26" s="11" t="s">
        <v>555</v>
      </c>
      <c r="O26" s="238" t="s">
        <v>728</v>
      </c>
      <c r="P26" s="237" t="s">
        <v>729</v>
      </c>
      <c r="R26" s="11" t="s">
        <v>555</v>
      </c>
      <c r="T26" s="11" t="s">
        <v>555</v>
      </c>
      <c r="U26" s="1528"/>
      <c r="V26" s="1528"/>
      <c r="W26" s="1528"/>
      <c r="X26" s="1528"/>
      <c r="Z26" s="11" t="s">
        <v>555</v>
      </c>
      <c r="AA26" s="11" t="s">
        <v>555</v>
      </c>
      <c r="AB26" s="11" t="s">
        <v>555</v>
      </c>
      <c r="AC26" s="496" t="s">
        <v>928</v>
      </c>
      <c r="AD26" s="496" t="s">
        <v>929</v>
      </c>
      <c r="AE26" s="496" t="s">
        <v>644</v>
      </c>
      <c r="AF26" s="496" t="s">
        <v>645</v>
      </c>
      <c r="AG26" s="496" t="s">
        <v>646</v>
      </c>
      <c r="AH26" s="496" t="s">
        <v>647</v>
      </c>
      <c r="AI26" s="11" t="s">
        <v>555</v>
      </c>
      <c r="AJ26" s="367" t="str">
        <f t="shared" si="3"/>
        <v>CCH_H1_5_54</v>
      </c>
      <c r="AK26" s="11" t="s">
        <v>555</v>
      </c>
      <c r="AL26" s="11" t="s">
        <v>555</v>
      </c>
      <c r="AM26" s="11" t="s">
        <v>555</v>
      </c>
      <c r="AN26" s="11" t="s">
        <v>555</v>
      </c>
      <c r="AO26" s="11" t="s">
        <v>555</v>
      </c>
      <c r="AP26" s="516"/>
    </row>
    <row r="27" spans="1:42" ht="21" customHeight="1" x14ac:dyDescent="0.5">
      <c r="A27" s="1073"/>
      <c r="B27" s="238" t="str">
        <f t="shared" si="0"/>
        <v>FortnightAcademicLevel D.1</v>
      </c>
      <c r="C27" s="238" t="s">
        <v>576</v>
      </c>
      <c r="D27" s="238" t="s">
        <v>577</v>
      </c>
      <c r="E27" s="238" t="s">
        <v>732</v>
      </c>
      <c r="F27" s="212">
        <v>180254</v>
      </c>
      <c r="G27" s="11" t="s">
        <v>555</v>
      </c>
      <c r="H27" s="439">
        <v>0</v>
      </c>
      <c r="I27" s="298"/>
      <c r="J27" s="256"/>
      <c r="K27" s="11" t="s">
        <v>555</v>
      </c>
      <c r="L27" s="232" t="s">
        <v>733</v>
      </c>
      <c r="O27" s="238" t="s">
        <v>734</v>
      </c>
      <c r="P27" s="237" t="s">
        <v>735</v>
      </c>
      <c r="T27" s="11" t="s">
        <v>555</v>
      </c>
      <c r="U27" s="232" t="s">
        <v>736</v>
      </c>
      <c r="V27" s="11" t="s">
        <v>555</v>
      </c>
      <c r="W27" s="11" t="s">
        <v>555</v>
      </c>
      <c r="X27" s="11" t="s">
        <v>555</v>
      </c>
      <c r="Y27" s="11" t="s">
        <v>555</v>
      </c>
      <c r="Z27" s="11" t="s">
        <v>555</v>
      </c>
      <c r="AA27" s="11" t="s">
        <v>555</v>
      </c>
      <c r="AB27" s="11" t="s">
        <v>555</v>
      </c>
      <c r="AC27" s="496" t="s">
        <v>934</v>
      </c>
      <c r="AD27" s="496" t="s">
        <v>935</v>
      </c>
      <c r="AE27" s="496" t="s">
        <v>644</v>
      </c>
      <c r="AF27" s="496" t="s">
        <v>645</v>
      </c>
      <c r="AG27" s="496" t="s">
        <v>646</v>
      </c>
      <c r="AH27" s="496" t="s">
        <v>647</v>
      </c>
      <c r="AI27" s="11" t="s">
        <v>555</v>
      </c>
      <c r="AJ27" s="367" t="str">
        <f t="shared" si="3"/>
        <v>CCH_H1_5_55</v>
      </c>
      <c r="AK27" s="11" t="s">
        <v>555</v>
      </c>
      <c r="AL27" s="11" t="s">
        <v>555</v>
      </c>
      <c r="AM27" s="11" t="s">
        <v>555</v>
      </c>
      <c r="AN27" s="11" t="s">
        <v>555</v>
      </c>
      <c r="AO27" s="11" t="s">
        <v>555</v>
      </c>
      <c r="AP27" s="516"/>
    </row>
    <row r="28" spans="1:42" ht="16.2" customHeight="1" x14ac:dyDescent="0.3">
      <c r="A28" s="1072" t="s">
        <v>557</v>
      </c>
      <c r="B28" s="238" t="str">
        <f t="shared" si="0"/>
        <v>FortnightAcademicLevel D.2</v>
      </c>
      <c r="C28" s="238" t="s">
        <v>576</v>
      </c>
      <c r="D28" s="238" t="s">
        <v>577</v>
      </c>
      <c r="E28" s="238" t="s">
        <v>741</v>
      </c>
      <c r="F28" s="212">
        <v>186361</v>
      </c>
      <c r="G28" s="11" t="s">
        <v>555</v>
      </c>
      <c r="H28" s="232" t="s">
        <v>742</v>
      </c>
      <c r="I28" s="1188"/>
      <c r="J28" s="1187" t="s">
        <v>769</v>
      </c>
      <c r="K28" s="11" t="s">
        <v>555</v>
      </c>
      <c r="L28" s="257" t="s">
        <v>565</v>
      </c>
      <c r="M28" s="257" t="s">
        <v>733</v>
      </c>
      <c r="O28" s="238" t="s">
        <v>743</v>
      </c>
      <c r="P28" s="237" t="s">
        <v>744</v>
      </c>
      <c r="T28" s="11" t="s">
        <v>555</v>
      </c>
      <c r="U28" s="235" t="s">
        <v>568</v>
      </c>
      <c r="V28" s="235" t="s">
        <v>569</v>
      </c>
      <c r="W28" s="11" t="s">
        <v>555</v>
      </c>
      <c r="X28" s="11" t="s">
        <v>555</v>
      </c>
      <c r="Y28" s="11" t="s">
        <v>555</v>
      </c>
      <c r="Z28" s="11" t="s">
        <v>555</v>
      </c>
      <c r="AA28" s="11" t="s">
        <v>555</v>
      </c>
      <c r="AB28" s="11" t="s">
        <v>555</v>
      </c>
      <c r="AC28" s="496" t="s">
        <v>940</v>
      </c>
      <c r="AD28" s="496" t="s">
        <v>941</v>
      </c>
      <c r="AE28" s="496" t="s">
        <v>644</v>
      </c>
      <c r="AF28" s="496" t="s">
        <v>645</v>
      </c>
      <c r="AG28" s="496" t="s">
        <v>646</v>
      </c>
      <c r="AH28" s="496" t="s">
        <v>647</v>
      </c>
      <c r="AI28" s="11" t="s">
        <v>555</v>
      </c>
      <c r="AJ28" s="367" t="str">
        <f t="shared" si="3"/>
        <v>CCH_H1_5_56</v>
      </c>
      <c r="AK28" s="11" t="s">
        <v>555</v>
      </c>
      <c r="AL28" s="11" t="s">
        <v>555</v>
      </c>
      <c r="AM28" s="11" t="s">
        <v>555</v>
      </c>
      <c r="AN28" s="11" t="s">
        <v>555</v>
      </c>
      <c r="AO28" s="11" t="s">
        <v>555</v>
      </c>
      <c r="AP28" s="516"/>
    </row>
    <row r="29" spans="1:42" ht="15" customHeight="1" x14ac:dyDescent="0.3">
      <c r="A29" s="1073"/>
      <c r="B29" s="238" t="str">
        <f t="shared" si="0"/>
        <v>FortnightAcademicLevel D.3</v>
      </c>
      <c r="C29" s="238" t="s">
        <v>576</v>
      </c>
      <c r="D29" s="238" t="s">
        <v>577</v>
      </c>
      <c r="E29" s="238" t="s">
        <v>745</v>
      </c>
      <c r="F29" s="212">
        <v>192466</v>
      </c>
      <c r="G29" s="11" t="s">
        <v>555</v>
      </c>
      <c r="H29" s="257" t="s">
        <v>565</v>
      </c>
      <c r="I29" s="257" t="s">
        <v>1420</v>
      </c>
      <c r="J29" s="257" t="s">
        <v>1421</v>
      </c>
      <c r="K29" s="11" t="s">
        <v>555</v>
      </c>
      <c r="L29" s="236">
        <v>2024</v>
      </c>
      <c r="M29" s="1126">
        <v>2.2000000000000002</v>
      </c>
      <c r="O29" s="238" t="s">
        <v>746</v>
      </c>
      <c r="P29" s="237" t="s">
        <v>747</v>
      </c>
      <c r="T29" s="11" t="s">
        <v>555</v>
      </c>
      <c r="U29" s="236" t="s">
        <v>581</v>
      </c>
      <c r="V29" s="239">
        <f>X22</f>
        <v>0</v>
      </c>
      <c r="W29" s="11" t="s">
        <v>555</v>
      </c>
      <c r="X29" s="11" t="s">
        <v>555</v>
      </c>
      <c r="Y29" s="11" t="s">
        <v>555</v>
      </c>
      <c r="Z29" s="11" t="s">
        <v>555</v>
      </c>
      <c r="AA29" s="11" t="s">
        <v>555</v>
      </c>
      <c r="AB29" s="11" t="s">
        <v>555</v>
      </c>
      <c r="AC29" s="496" t="s">
        <v>946</v>
      </c>
      <c r="AD29" s="496" t="s">
        <v>947</v>
      </c>
      <c r="AE29" s="496" t="s">
        <v>644</v>
      </c>
      <c r="AF29" s="496" t="s">
        <v>645</v>
      </c>
      <c r="AG29" s="496" t="s">
        <v>646</v>
      </c>
      <c r="AH29" s="496" t="s">
        <v>647</v>
      </c>
      <c r="AI29" s="11" t="s">
        <v>555</v>
      </c>
      <c r="AJ29" s="367" t="str">
        <f t="shared" si="3"/>
        <v>CCH_H1_5_57</v>
      </c>
      <c r="AK29" s="11" t="s">
        <v>555</v>
      </c>
      <c r="AL29" s="11" t="s">
        <v>555</v>
      </c>
      <c r="AM29" s="11" t="s">
        <v>555</v>
      </c>
      <c r="AN29" s="11" t="s">
        <v>555</v>
      </c>
      <c r="AO29" s="11" t="s">
        <v>555</v>
      </c>
      <c r="AP29" s="516"/>
    </row>
    <row r="30" spans="1:42" x14ac:dyDescent="0.3">
      <c r="A30" s="1072" t="s">
        <v>554</v>
      </c>
      <c r="B30" s="238" t="str">
        <f t="shared" si="0"/>
        <v>FortnightAcademicLevel D.4</v>
      </c>
      <c r="C30" s="238" t="s">
        <v>576</v>
      </c>
      <c r="D30" s="238" t="s">
        <v>577</v>
      </c>
      <c r="E30" s="238" t="s">
        <v>754</v>
      </c>
      <c r="F30" s="212">
        <v>198584</v>
      </c>
      <c r="G30" s="11" t="s">
        <v>555</v>
      </c>
      <c r="H30" s="1192">
        <v>2024</v>
      </c>
      <c r="I30" s="368">
        <v>37000</v>
      </c>
      <c r="J30" s="1193"/>
      <c r="K30" s="11" t="s">
        <v>555</v>
      </c>
      <c r="L30" s="236">
        <v>2025</v>
      </c>
      <c r="M30" s="1126">
        <v>2.2000000000000002</v>
      </c>
      <c r="O30" s="238" t="s">
        <v>755</v>
      </c>
      <c r="P30" s="237" t="s">
        <v>756</v>
      </c>
      <c r="T30" s="11" t="s">
        <v>555</v>
      </c>
      <c r="U30" s="238" t="s">
        <v>593</v>
      </c>
      <c r="V30" s="243">
        <f>X23</f>
        <v>0</v>
      </c>
      <c r="W30" s="11" t="s">
        <v>555</v>
      </c>
      <c r="X30" s="11" t="s">
        <v>555</v>
      </c>
      <c r="Y30" s="11" t="s">
        <v>555</v>
      </c>
      <c r="Z30" s="11" t="s">
        <v>555</v>
      </c>
      <c r="AA30" s="11" t="s">
        <v>555</v>
      </c>
      <c r="AB30" s="11" t="s">
        <v>555</v>
      </c>
      <c r="AC30" s="496" t="s">
        <v>956</v>
      </c>
      <c r="AD30" s="496" t="s">
        <v>957</v>
      </c>
      <c r="AE30" s="496" t="s">
        <v>644</v>
      </c>
      <c r="AF30" s="496" t="s">
        <v>645</v>
      </c>
      <c r="AG30" s="496" t="s">
        <v>646</v>
      </c>
      <c r="AH30" s="496" t="s">
        <v>647</v>
      </c>
      <c r="AI30" s="11" t="s">
        <v>555</v>
      </c>
      <c r="AJ30" s="367" t="str">
        <f t="shared" si="3"/>
        <v>CCH_H1_5_60</v>
      </c>
      <c r="AK30" s="11" t="s">
        <v>555</v>
      </c>
      <c r="AL30" s="11" t="s">
        <v>555</v>
      </c>
      <c r="AM30" s="11" t="s">
        <v>555</v>
      </c>
      <c r="AN30" s="11" t="s">
        <v>555</v>
      </c>
      <c r="AO30" s="11" t="s">
        <v>555</v>
      </c>
      <c r="AP30" s="516"/>
    </row>
    <row r="31" spans="1:42" x14ac:dyDescent="0.3">
      <c r="A31" s="1073"/>
      <c r="B31" s="238" t="str">
        <f t="shared" si="0"/>
        <v>FortnightAcademicLevel E.1</v>
      </c>
      <c r="C31" s="238" t="s">
        <v>576</v>
      </c>
      <c r="D31" s="238" t="s">
        <v>577</v>
      </c>
      <c r="E31" s="238" t="s">
        <v>759</v>
      </c>
      <c r="F31" s="212">
        <v>232180</v>
      </c>
      <c r="G31" s="11" t="s">
        <v>555</v>
      </c>
      <c r="H31" s="1189">
        <v>2025</v>
      </c>
      <c r="I31" s="1190">
        <v>38500</v>
      </c>
      <c r="J31" s="1191"/>
      <c r="K31" s="11" t="s">
        <v>555</v>
      </c>
      <c r="L31" s="236">
        <v>2026</v>
      </c>
      <c r="M31" s="1126">
        <v>2.2000000000000002</v>
      </c>
      <c r="O31" s="238" t="s">
        <v>760</v>
      </c>
      <c r="P31" s="237" t="s">
        <v>761</v>
      </c>
      <c r="T31" s="11" t="s">
        <v>555</v>
      </c>
      <c r="U31" s="244" t="s">
        <v>601</v>
      </c>
      <c r="V31" s="246">
        <f>X24</f>
        <v>0</v>
      </c>
      <c r="W31" s="11" t="s">
        <v>555</v>
      </c>
      <c r="X31" s="11" t="s">
        <v>555</v>
      </c>
      <c r="Y31" s="11" t="s">
        <v>555</v>
      </c>
      <c r="Z31" s="11" t="s">
        <v>555</v>
      </c>
      <c r="AA31" s="11" t="s">
        <v>555</v>
      </c>
      <c r="AB31" s="11" t="s">
        <v>555</v>
      </c>
      <c r="AC31" s="496" t="s">
        <v>963</v>
      </c>
      <c r="AD31" s="496" t="s">
        <v>964</v>
      </c>
      <c r="AE31" s="496" t="s">
        <v>644</v>
      </c>
      <c r="AF31" s="496" t="s">
        <v>645</v>
      </c>
      <c r="AG31" s="496" t="s">
        <v>646</v>
      </c>
      <c r="AH31" s="496" t="s">
        <v>647</v>
      </c>
      <c r="AI31" s="11" t="s">
        <v>555</v>
      </c>
      <c r="AJ31" s="367" t="str">
        <f t="shared" si="3"/>
        <v>CCH_H1_5_61</v>
      </c>
      <c r="AK31" s="11" t="s">
        <v>555</v>
      </c>
      <c r="AL31" s="11" t="s">
        <v>555</v>
      </c>
      <c r="AM31" s="11" t="s">
        <v>555</v>
      </c>
      <c r="AN31" s="11" t="s">
        <v>555</v>
      </c>
      <c r="AO31" s="11" t="s">
        <v>555</v>
      </c>
      <c r="AP31" s="516"/>
    </row>
    <row r="32" spans="1:42" x14ac:dyDescent="0.3">
      <c r="A32" s="1072" t="s">
        <v>766</v>
      </c>
      <c r="B32" s="238" t="str">
        <f t="shared" si="0"/>
        <v>FortnightProfessionalUOM 1.1</v>
      </c>
      <c r="C32" s="238" t="s">
        <v>576</v>
      </c>
      <c r="D32" s="238" t="s">
        <v>767</v>
      </c>
      <c r="E32" s="238" t="s">
        <v>768</v>
      </c>
      <c r="F32" s="212">
        <v>60073</v>
      </c>
      <c r="G32" s="11" t="s">
        <v>555</v>
      </c>
      <c r="H32" s="1197">
        <v>2026</v>
      </c>
      <c r="I32" s="1198">
        <v>39500</v>
      </c>
      <c r="J32" s="1199">
        <v>53650</v>
      </c>
      <c r="K32" s="11" t="s">
        <v>555</v>
      </c>
      <c r="L32" s="236">
        <v>2027</v>
      </c>
      <c r="M32" s="1126">
        <v>2.2000000000000002</v>
      </c>
      <c r="O32" s="238" t="s">
        <v>770</v>
      </c>
      <c r="P32" s="237" t="s">
        <v>771</v>
      </c>
      <c r="T32" s="11" t="s">
        <v>555</v>
      </c>
      <c r="X32" s="11" t="s">
        <v>555</v>
      </c>
      <c r="Y32" s="11" t="s">
        <v>555</v>
      </c>
      <c r="Z32" s="11" t="s">
        <v>555</v>
      </c>
      <c r="AA32" s="11" t="s">
        <v>555</v>
      </c>
      <c r="AB32" s="11" t="s">
        <v>555</v>
      </c>
      <c r="AC32" s="496" t="s">
        <v>1183</v>
      </c>
      <c r="AD32" s="496" t="s">
        <v>968</v>
      </c>
      <c r="AE32" s="496" t="s">
        <v>644</v>
      </c>
      <c r="AF32" s="496" t="s">
        <v>645</v>
      </c>
      <c r="AG32" s="496" t="s">
        <v>646</v>
      </c>
      <c r="AH32" s="496" t="s">
        <v>647</v>
      </c>
      <c r="AI32" s="11" t="s">
        <v>555</v>
      </c>
      <c r="AJ32" s="367" t="str">
        <f t="shared" si="3"/>
        <v>CCH_H1_5_62</v>
      </c>
      <c r="AK32" s="11" t="s">
        <v>555</v>
      </c>
      <c r="AL32" s="11" t="s">
        <v>555</v>
      </c>
      <c r="AM32" s="11" t="s">
        <v>555</v>
      </c>
      <c r="AN32" s="11" t="s">
        <v>555</v>
      </c>
      <c r="AO32" s="11" t="s">
        <v>555</v>
      </c>
      <c r="AP32" s="516"/>
    </row>
    <row r="33" spans="1:42" x14ac:dyDescent="0.3">
      <c r="A33" s="1073"/>
      <c r="B33" s="238" t="str">
        <f t="shared" si="0"/>
        <v>FortnightProfessionalUOM 1.2</v>
      </c>
      <c r="C33" s="238" t="s">
        <v>576</v>
      </c>
      <c r="D33" s="238" t="s">
        <v>767</v>
      </c>
      <c r="E33" s="238" t="s">
        <v>774</v>
      </c>
      <c r="F33" s="212">
        <v>61284</v>
      </c>
      <c r="G33" s="11" t="s">
        <v>555</v>
      </c>
      <c r="H33" s="1192">
        <v>2027</v>
      </c>
      <c r="I33" s="368">
        <f>I32+0.03*I32</f>
        <v>40685</v>
      </c>
      <c r="J33" s="1193">
        <f>J32+0.03*J32</f>
        <v>55259.5</v>
      </c>
      <c r="K33" s="11" t="s">
        <v>555</v>
      </c>
      <c r="L33" s="236">
        <v>2028</v>
      </c>
      <c r="M33" s="1126">
        <v>2.2000000000000002</v>
      </c>
      <c r="O33" s="238" t="s">
        <v>775</v>
      </c>
      <c r="P33" s="237" t="s">
        <v>776</v>
      </c>
      <c r="T33" s="11" t="s">
        <v>555</v>
      </c>
      <c r="U33" s="11" t="s">
        <v>555</v>
      </c>
      <c r="V33" s="11" t="s">
        <v>555</v>
      </c>
      <c r="W33" s="11" t="s">
        <v>555</v>
      </c>
      <c r="X33" s="11" t="s">
        <v>555</v>
      </c>
      <c r="Y33" s="11" t="s">
        <v>555</v>
      </c>
      <c r="Z33" s="11" t="s">
        <v>555</v>
      </c>
      <c r="AA33" s="11" t="s">
        <v>555</v>
      </c>
      <c r="AB33" s="11" t="s">
        <v>555</v>
      </c>
      <c r="AC33" s="496" t="s">
        <v>972</v>
      </c>
      <c r="AD33" s="496" t="s">
        <v>973</v>
      </c>
      <c r="AE33" s="496" t="s">
        <v>644</v>
      </c>
      <c r="AF33" s="496" t="s">
        <v>645</v>
      </c>
      <c r="AG33" s="496" t="s">
        <v>646</v>
      </c>
      <c r="AH33" s="496" t="s">
        <v>647</v>
      </c>
      <c r="AI33" s="11" t="s">
        <v>555</v>
      </c>
      <c r="AJ33" s="367" t="str">
        <f t="shared" si="3"/>
        <v>CCH_H1_5_63</v>
      </c>
      <c r="AK33" s="11" t="s">
        <v>555</v>
      </c>
      <c r="AL33" s="11" t="s">
        <v>555</v>
      </c>
      <c r="AM33" s="11" t="s">
        <v>555</v>
      </c>
      <c r="AN33" s="11" t="s">
        <v>555</v>
      </c>
      <c r="AO33" s="11" t="s">
        <v>555</v>
      </c>
      <c r="AP33" s="516"/>
    </row>
    <row r="34" spans="1:42" ht="15.6" x14ac:dyDescent="0.3">
      <c r="A34" s="1072" t="s">
        <v>779</v>
      </c>
      <c r="B34" s="238" t="str">
        <f t="shared" si="0"/>
        <v>FortnightProfessionalUOM 1.3</v>
      </c>
      <c r="C34" s="238" t="s">
        <v>576</v>
      </c>
      <c r="D34" s="238" t="s">
        <v>767</v>
      </c>
      <c r="E34" s="238" t="s">
        <v>780</v>
      </c>
      <c r="F34" s="212">
        <v>62501</v>
      </c>
      <c r="G34" s="11" t="s">
        <v>555</v>
      </c>
      <c r="H34" s="1192">
        <v>2028</v>
      </c>
      <c r="I34" s="368">
        <f t="shared" ref="I34:J38" si="4">I33+0.03*I33</f>
        <v>41905.550000000003</v>
      </c>
      <c r="J34" s="1193">
        <f t="shared" si="4"/>
        <v>56917.285000000003</v>
      </c>
      <c r="K34" s="11" t="s">
        <v>555</v>
      </c>
      <c r="L34" s="236">
        <v>2029</v>
      </c>
      <c r="M34" s="1126">
        <v>2.2000000000000002</v>
      </c>
      <c r="O34" s="238" t="s">
        <v>781</v>
      </c>
      <c r="P34" s="237" t="s">
        <v>782</v>
      </c>
      <c r="T34" s="11" t="s">
        <v>555</v>
      </c>
      <c r="U34" s="258" t="s">
        <v>653</v>
      </c>
      <c r="V34" s="11" t="s">
        <v>555</v>
      </c>
      <c r="W34" s="11" t="s">
        <v>555</v>
      </c>
      <c r="X34" s="11" t="s">
        <v>555</v>
      </c>
      <c r="Y34" s="11" t="s">
        <v>555</v>
      </c>
      <c r="Z34" s="11" t="s">
        <v>555</v>
      </c>
      <c r="AA34" s="11" t="s">
        <v>555</v>
      </c>
      <c r="AB34" s="11" t="s">
        <v>555</v>
      </c>
      <c r="AC34" s="496" t="s">
        <v>978</v>
      </c>
      <c r="AD34" s="496" t="s">
        <v>979</v>
      </c>
      <c r="AE34" s="496" t="s">
        <v>980</v>
      </c>
      <c r="AF34" s="496" t="s">
        <v>981</v>
      </c>
      <c r="AG34" s="496" t="s">
        <v>646</v>
      </c>
      <c r="AH34" s="496" t="s">
        <v>647</v>
      </c>
      <c r="AI34" s="11" t="s">
        <v>555</v>
      </c>
      <c r="AJ34" s="367" t="str">
        <f t="shared" si="3"/>
        <v>CCH_H1_5_65</v>
      </c>
      <c r="AK34" s="11" t="s">
        <v>555</v>
      </c>
      <c r="AL34" s="11" t="s">
        <v>555</v>
      </c>
      <c r="AM34" s="11" t="s">
        <v>555</v>
      </c>
      <c r="AN34" s="11" t="s">
        <v>555</v>
      </c>
      <c r="AO34" s="11" t="s">
        <v>555</v>
      </c>
      <c r="AP34" s="516"/>
    </row>
    <row r="35" spans="1:42" x14ac:dyDescent="0.3">
      <c r="B35" s="238" t="str">
        <f t="shared" si="0"/>
        <v>FortnightProfessionalUOM 2.1</v>
      </c>
      <c r="C35" s="238" t="s">
        <v>576</v>
      </c>
      <c r="D35" s="238" t="s">
        <v>767</v>
      </c>
      <c r="E35" s="238" t="s">
        <v>785</v>
      </c>
      <c r="F35" s="212">
        <v>65189</v>
      </c>
      <c r="G35" s="11" t="s">
        <v>555</v>
      </c>
      <c r="H35" s="1192">
        <v>2029</v>
      </c>
      <c r="I35" s="368">
        <f t="shared" si="4"/>
        <v>43162.716500000002</v>
      </c>
      <c r="J35" s="1193">
        <f t="shared" si="4"/>
        <v>58624.803550000004</v>
      </c>
      <c r="K35" s="11" t="s">
        <v>555</v>
      </c>
      <c r="L35" s="481">
        <v>2030</v>
      </c>
      <c r="M35" s="1127">
        <v>2.2000000000000002</v>
      </c>
      <c r="O35" s="238" t="s">
        <v>786</v>
      </c>
      <c r="P35" s="237" t="s">
        <v>787</v>
      </c>
      <c r="T35" s="11" t="s">
        <v>555</v>
      </c>
      <c r="U35" s="235" t="s">
        <v>788</v>
      </c>
      <c r="V35" s="235" t="s">
        <v>789</v>
      </c>
      <c r="W35" s="235" t="s">
        <v>790</v>
      </c>
      <c r="X35" s="235" t="s">
        <v>791</v>
      </c>
      <c r="Y35" s="235" t="s">
        <v>792</v>
      </c>
      <c r="Z35" s="11" t="s">
        <v>555</v>
      </c>
      <c r="AA35" s="11" t="s">
        <v>555</v>
      </c>
      <c r="AB35" s="11" t="s">
        <v>555</v>
      </c>
      <c r="AC35" s="496" t="s">
        <v>984</v>
      </c>
      <c r="AD35" s="496" t="s">
        <v>985</v>
      </c>
      <c r="AE35" s="496" t="s">
        <v>986</v>
      </c>
      <c r="AF35" s="496" t="s">
        <v>987</v>
      </c>
      <c r="AG35" s="496" t="s">
        <v>646</v>
      </c>
      <c r="AH35" s="496" t="s">
        <v>647</v>
      </c>
      <c r="AI35" s="11" t="s">
        <v>555</v>
      </c>
      <c r="AJ35" s="367" t="str">
        <f t="shared" si="3"/>
        <v>CCH_H1_5_66</v>
      </c>
      <c r="AK35" s="11" t="s">
        <v>555</v>
      </c>
      <c r="AL35" s="11" t="s">
        <v>555</v>
      </c>
      <c r="AM35" s="11" t="s">
        <v>555</v>
      </c>
      <c r="AN35" s="11" t="s">
        <v>555</v>
      </c>
      <c r="AO35" s="11" t="s">
        <v>555</v>
      </c>
      <c r="AP35" s="516"/>
    </row>
    <row r="36" spans="1:42" x14ac:dyDescent="0.3">
      <c r="B36" s="238" t="str">
        <f t="shared" si="0"/>
        <v>FortnightProfessionalUOM 2.2</v>
      </c>
      <c r="C36" s="238" t="s">
        <v>576</v>
      </c>
      <c r="D36" s="238" t="s">
        <v>767</v>
      </c>
      <c r="E36" s="238" t="s">
        <v>795</v>
      </c>
      <c r="F36" s="212">
        <v>66494</v>
      </c>
      <c r="G36" s="11" t="s">
        <v>555</v>
      </c>
      <c r="H36" s="1192">
        <v>2030</v>
      </c>
      <c r="I36" s="368">
        <f t="shared" si="4"/>
        <v>44457.597995000004</v>
      </c>
      <c r="J36" s="1193">
        <f t="shared" si="4"/>
        <v>60383.547656500006</v>
      </c>
      <c r="K36" s="11" t="s">
        <v>555</v>
      </c>
      <c r="O36" s="238" t="s">
        <v>796</v>
      </c>
      <c r="P36" s="237" t="s">
        <v>797</v>
      </c>
      <c r="T36" s="11" t="s">
        <v>555</v>
      </c>
      <c r="U36" s="236" t="s">
        <v>23</v>
      </c>
      <c r="V36" s="259" t="s">
        <v>474</v>
      </c>
      <c r="W36" s="260" t="s">
        <v>497</v>
      </c>
      <c r="X36" s="236">
        <v>1</v>
      </c>
      <c r="Y36" s="236">
        <v>1</v>
      </c>
      <c r="Z36" s="11" t="s">
        <v>555</v>
      </c>
      <c r="AA36" s="11" t="s">
        <v>555</v>
      </c>
      <c r="AB36" s="11" t="s">
        <v>555</v>
      </c>
      <c r="AC36" s="496" t="s">
        <v>995</v>
      </c>
      <c r="AD36" s="496" t="s">
        <v>996</v>
      </c>
      <c r="AE36" s="496" t="s">
        <v>986</v>
      </c>
      <c r="AF36" s="496" t="s">
        <v>987</v>
      </c>
      <c r="AG36" s="496" t="s">
        <v>646</v>
      </c>
      <c r="AH36" s="496" t="s">
        <v>647</v>
      </c>
      <c r="AI36" s="11" t="s">
        <v>555</v>
      </c>
      <c r="AJ36" s="367" t="str">
        <f t="shared" si="3"/>
        <v>CCH_H1_5_69</v>
      </c>
      <c r="AK36" s="11" t="s">
        <v>555</v>
      </c>
      <c r="AL36" s="11" t="s">
        <v>555</v>
      </c>
      <c r="AM36" s="11" t="s">
        <v>555</v>
      </c>
      <c r="AN36" s="11" t="s">
        <v>555</v>
      </c>
      <c r="AO36" s="11" t="s">
        <v>555</v>
      </c>
      <c r="AP36" s="516"/>
    </row>
    <row r="37" spans="1:42" ht="15.6" x14ac:dyDescent="0.3">
      <c r="A37" s="706"/>
      <c r="B37" s="238" t="str">
        <f t="shared" si="0"/>
        <v>FortnightProfessionalUOM 2.3</v>
      </c>
      <c r="C37" s="238" t="s">
        <v>576</v>
      </c>
      <c r="D37" s="238" t="s">
        <v>767</v>
      </c>
      <c r="E37" s="238" t="s">
        <v>798</v>
      </c>
      <c r="F37" s="263">
        <v>67825</v>
      </c>
      <c r="G37" s="11" t="s">
        <v>555</v>
      </c>
      <c r="H37" s="1192">
        <v>2031</v>
      </c>
      <c r="I37" s="368">
        <f t="shared" si="4"/>
        <v>45791.325934850007</v>
      </c>
      <c r="J37" s="1193">
        <f t="shared" si="4"/>
        <v>62195.054086195007</v>
      </c>
      <c r="K37" s="11" t="s">
        <v>555</v>
      </c>
      <c r="L37" s="232" t="s">
        <v>733</v>
      </c>
      <c r="O37" s="238" t="s">
        <v>799</v>
      </c>
      <c r="P37" s="237" t="s">
        <v>800</v>
      </c>
      <c r="T37" s="11" t="s">
        <v>555</v>
      </c>
      <c r="U37" s="238" t="s">
        <v>801</v>
      </c>
      <c r="V37" s="261" t="s">
        <v>802</v>
      </c>
      <c r="W37" s="262" t="s">
        <v>504</v>
      </c>
      <c r="X37" s="238">
        <f>VLOOKUP(W37,'Currency Rates'!A:C,2,FALSE)</f>
        <v>0.244783</v>
      </c>
      <c r="Y37" s="238">
        <f>VLOOKUP(W37,'Currency Rates'!A:C,3,FALSE)</f>
        <v>4.0852550000000001</v>
      </c>
      <c r="Z37" s="11" t="s">
        <v>555</v>
      </c>
      <c r="AA37" s="11" t="s">
        <v>555</v>
      </c>
      <c r="AB37" s="11" t="s">
        <v>555</v>
      </c>
      <c r="AC37" s="496" t="s">
        <v>999</v>
      </c>
      <c r="AD37" s="496" t="s">
        <v>1000</v>
      </c>
      <c r="AE37" s="496" t="s">
        <v>986</v>
      </c>
      <c r="AF37" s="496" t="s">
        <v>987</v>
      </c>
      <c r="AG37" s="496" t="s">
        <v>646</v>
      </c>
      <c r="AH37" s="496" t="s">
        <v>647</v>
      </c>
      <c r="AI37" s="11" t="s">
        <v>555</v>
      </c>
      <c r="AJ37" s="367" t="str">
        <f t="shared" si="3"/>
        <v>CCH_H1_5_70</v>
      </c>
      <c r="AK37" s="11" t="s">
        <v>555</v>
      </c>
      <c r="AL37" s="11" t="s">
        <v>555</v>
      </c>
      <c r="AM37" s="11" t="s">
        <v>555</v>
      </c>
      <c r="AN37" s="11" t="s">
        <v>555</v>
      </c>
      <c r="AO37" s="11" t="s">
        <v>555</v>
      </c>
      <c r="AP37" s="516"/>
    </row>
    <row r="38" spans="1:42" x14ac:dyDescent="0.3">
      <c r="A38" s="706"/>
      <c r="B38" s="238" t="str">
        <f t="shared" si="0"/>
        <v>FortnightProfessionalUOM 3.1</v>
      </c>
      <c r="C38" s="238" t="s">
        <v>576</v>
      </c>
      <c r="D38" s="238" t="s">
        <v>767</v>
      </c>
      <c r="E38" s="238" t="s">
        <v>803</v>
      </c>
      <c r="F38" s="212">
        <v>68190</v>
      </c>
      <c r="G38" s="11" t="s">
        <v>555</v>
      </c>
      <c r="H38" s="1194">
        <v>2032</v>
      </c>
      <c r="I38" s="1195">
        <f t="shared" si="4"/>
        <v>47165.065712895506</v>
      </c>
      <c r="J38" s="1196">
        <f t="shared" si="4"/>
        <v>64060.905708780854</v>
      </c>
      <c r="K38" s="11" t="s">
        <v>555</v>
      </c>
      <c r="L38" s="1529"/>
      <c r="M38" s="1530"/>
      <c r="O38" s="238" t="s">
        <v>804</v>
      </c>
      <c r="P38" s="237" t="s">
        <v>805</v>
      </c>
      <c r="T38" s="11" t="s">
        <v>555</v>
      </c>
      <c r="U38" s="238" t="s">
        <v>806</v>
      </c>
      <c r="V38" s="261" t="s">
        <v>473</v>
      </c>
      <c r="W38" s="262" t="s">
        <v>509</v>
      </c>
      <c r="X38" s="238">
        <f>VLOOKUP(W38,'Currency Rates'!A:C,2,FALSE)</f>
        <v>0.89807199999999998</v>
      </c>
      <c r="Y38" s="238">
        <f>VLOOKUP(W38,'Currency Rates'!A:C,3,FALSE)</f>
        <v>1.113497</v>
      </c>
      <c r="Z38" s="11" t="s">
        <v>555</v>
      </c>
      <c r="AA38" s="11" t="s">
        <v>555</v>
      </c>
      <c r="AB38" s="11" t="s">
        <v>555</v>
      </c>
      <c r="AC38" s="496" t="s">
        <v>1002</v>
      </c>
      <c r="AD38" s="496" t="s">
        <v>1003</v>
      </c>
      <c r="AE38" s="496" t="s">
        <v>986</v>
      </c>
      <c r="AF38" s="496" t="s">
        <v>987</v>
      </c>
      <c r="AG38" s="496" t="s">
        <v>646</v>
      </c>
      <c r="AH38" s="496" t="s">
        <v>647</v>
      </c>
      <c r="AI38" s="11" t="s">
        <v>555</v>
      </c>
      <c r="AJ38" s="367" t="str">
        <f t="shared" si="3"/>
        <v>CCH_H1_5_71</v>
      </c>
      <c r="AK38" s="11" t="s">
        <v>555</v>
      </c>
      <c r="AL38" s="11" t="s">
        <v>555</v>
      </c>
      <c r="AM38" s="11" t="s">
        <v>555</v>
      </c>
      <c r="AN38" s="11" t="s">
        <v>555</v>
      </c>
      <c r="AO38" s="11" t="s">
        <v>555</v>
      </c>
      <c r="AP38" s="516"/>
    </row>
    <row r="39" spans="1:42" x14ac:dyDescent="0.3">
      <c r="B39" s="238" t="str">
        <f t="shared" si="0"/>
        <v>FortnightProfessionalUOM 3.2</v>
      </c>
      <c r="C39" s="238" t="s">
        <v>576</v>
      </c>
      <c r="D39" s="238" t="s">
        <v>767</v>
      </c>
      <c r="E39" s="238" t="s">
        <v>813</v>
      </c>
      <c r="F39" s="212">
        <v>69557</v>
      </c>
      <c r="G39" s="11" t="s">
        <v>555</v>
      </c>
      <c r="H39" s="11" t="s">
        <v>555</v>
      </c>
      <c r="I39" s="11" t="s">
        <v>555</v>
      </c>
      <c r="J39" s="11" t="s">
        <v>555</v>
      </c>
      <c r="K39" s="11" t="s">
        <v>555</v>
      </c>
      <c r="L39" s="1525">
        <f>_xlfn.IFNA(VLOOKUP('PART A Project Details'!C24,'MASTER Lookup Tables'!L29:M35,2,FALSE),'MASTER Lookup Tables'!M35)</f>
        <v>2.2000000000000002</v>
      </c>
      <c r="M39" s="1525"/>
      <c r="O39" s="238" t="s">
        <v>814</v>
      </c>
      <c r="P39" s="237" t="s">
        <v>815</v>
      </c>
      <c r="T39" s="11" t="s">
        <v>555</v>
      </c>
      <c r="U39" s="238" t="s">
        <v>658</v>
      </c>
      <c r="V39" s="261" t="s">
        <v>816</v>
      </c>
      <c r="W39" s="262" t="s">
        <v>546</v>
      </c>
      <c r="X39" s="238">
        <f>VLOOKUP(W39,'Currency Rates'!A:C,2,FALSE)</f>
        <v>0.52483999999999997</v>
      </c>
      <c r="Y39" s="238">
        <f>VLOOKUP(W39,'Currency Rates'!A:C,3,FALSE)</f>
        <v>1.905343</v>
      </c>
      <c r="Z39" s="11" t="s">
        <v>555</v>
      </c>
      <c r="AA39" s="11" t="s">
        <v>555</v>
      </c>
      <c r="AB39" s="11" t="s">
        <v>555</v>
      </c>
      <c r="AC39" s="496" t="s">
        <v>1184</v>
      </c>
      <c r="AD39" s="496" t="s">
        <v>1005</v>
      </c>
      <c r="AE39" s="496" t="s">
        <v>986</v>
      </c>
      <c r="AF39" s="496" t="s">
        <v>987</v>
      </c>
      <c r="AG39" s="496" t="s">
        <v>646</v>
      </c>
      <c r="AH39" s="496" t="s">
        <v>647</v>
      </c>
      <c r="AI39" s="11" t="s">
        <v>555</v>
      </c>
      <c r="AJ39" s="367" t="str">
        <f t="shared" si="3"/>
        <v>CCH_H1_5_72</v>
      </c>
      <c r="AK39" s="11" t="s">
        <v>555</v>
      </c>
      <c r="AL39" s="11" t="s">
        <v>555</v>
      </c>
      <c r="AM39" s="11" t="s">
        <v>555</v>
      </c>
      <c r="AN39" s="11" t="s">
        <v>555</v>
      </c>
      <c r="AO39" s="11" t="s">
        <v>555</v>
      </c>
      <c r="AP39" s="516"/>
    </row>
    <row r="40" spans="1:42" x14ac:dyDescent="0.3">
      <c r="B40" s="238" t="str">
        <f t="shared" si="0"/>
        <v>FortnightProfessionalUOM 3.3</v>
      </c>
      <c r="C40" s="238" t="s">
        <v>576</v>
      </c>
      <c r="D40" s="238" t="s">
        <v>767</v>
      </c>
      <c r="E40" s="238" t="s">
        <v>819</v>
      </c>
      <c r="F40" s="212">
        <v>70943</v>
      </c>
      <c r="G40" s="298" t="s">
        <v>555</v>
      </c>
      <c r="H40" s="389"/>
      <c r="I40" s="390"/>
      <c r="J40" s="386"/>
      <c r="K40" s="298" t="s">
        <v>555</v>
      </c>
      <c r="L40" s="298" t="s">
        <v>555</v>
      </c>
      <c r="M40" s="298" t="s">
        <v>555</v>
      </c>
      <c r="O40" s="238" t="s">
        <v>820</v>
      </c>
      <c r="P40" s="237" t="s">
        <v>821</v>
      </c>
      <c r="T40" s="11" t="s">
        <v>555</v>
      </c>
      <c r="U40" s="238" t="s">
        <v>663</v>
      </c>
      <c r="V40" s="261" t="s">
        <v>822</v>
      </c>
      <c r="W40" s="262" t="s">
        <v>511</v>
      </c>
      <c r="X40" s="238">
        <f>VLOOKUP(W40,'Currency Rates'!A:C,2,FALSE)</f>
        <v>4.675935</v>
      </c>
      <c r="Y40" s="238">
        <f>VLOOKUP(W40,'Currency Rates'!A:C,3,FALSE)</f>
        <v>0.213861</v>
      </c>
      <c r="Z40" s="11" t="s">
        <v>555</v>
      </c>
      <c r="AA40" s="11" t="s">
        <v>555</v>
      </c>
      <c r="AB40" s="11" t="s">
        <v>555</v>
      </c>
      <c r="AC40" s="496" t="s">
        <v>1006</v>
      </c>
      <c r="AD40" s="496" t="s">
        <v>1007</v>
      </c>
      <c r="AE40" s="496" t="s">
        <v>986</v>
      </c>
      <c r="AF40" s="496" t="s">
        <v>987</v>
      </c>
      <c r="AG40" s="496" t="s">
        <v>646</v>
      </c>
      <c r="AH40" s="496" t="s">
        <v>647</v>
      </c>
      <c r="AI40" s="11" t="s">
        <v>555</v>
      </c>
      <c r="AJ40" s="367" t="str">
        <f t="shared" si="3"/>
        <v>CCH_H1_5_73</v>
      </c>
      <c r="AK40" s="11" t="s">
        <v>555</v>
      </c>
      <c r="AL40" s="11" t="s">
        <v>555</v>
      </c>
      <c r="AM40" s="11" t="s">
        <v>555</v>
      </c>
      <c r="AN40" s="11" t="s">
        <v>555</v>
      </c>
      <c r="AO40" s="11" t="s">
        <v>555</v>
      </c>
      <c r="AP40" s="516"/>
    </row>
    <row r="41" spans="1:42" ht="15.6" x14ac:dyDescent="0.3">
      <c r="B41" s="238" t="str">
        <f t="shared" si="0"/>
        <v>FortnightProfessionalUOM 3.4</v>
      </c>
      <c r="C41" s="238" t="s">
        <v>576</v>
      </c>
      <c r="D41" s="238" t="s">
        <v>767</v>
      </c>
      <c r="E41" s="238" t="s">
        <v>827</v>
      </c>
      <c r="F41" s="212">
        <v>72363</v>
      </c>
      <c r="G41" s="298" t="s">
        <v>555</v>
      </c>
      <c r="H41" s="408" t="s">
        <v>828</v>
      </c>
      <c r="I41" s="390"/>
      <c r="J41" s="386"/>
      <c r="K41" s="298" t="s">
        <v>555</v>
      </c>
      <c r="L41" s="298" t="s">
        <v>555</v>
      </c>
      <c r="M41" s="298" t="s">
        <v>555</v>
      </c>
      <c r="O41" s="238"/>
      <c r="P41" s="237"/>
      <c r="R41" s="249"/>
      <c r="S41" s="249"/>
      <c r="T41" s="11" t="s">
        <v>555</v>
      </c>
      <c r="U41" s="238" t="s">
        <v>829</v>
      </c>
      <c r="V41" s="261" t="s">
        <v>830</v>
      </c>
      <c r="W41" s="262" t="s">
        <v>514</v>
      </c>
      <c r="X41" s="238">
        <f>VLOOKUP(W41,'Currency Rates'!A:C,2,FALSE)</f>
        <v>4.1612609999999997</v>
      </c>
      <c r="Y41" s="238">
        <f>VLOOKUP(W41,'Currency Rates'!A:C,3,FALSE)</f>
        <v>0.240312</v>
      </c>
      <c r="Z41" s="11" t="s">
        <v>555</v>
      </c>
      <c r="AA41" s="11" t="s">
        <v>555</v>
      </c>
      <c r="AB41" s="11" t="s">
        <v>555</v>
      </c>
      <c r="AC41" s="496" t="s">
        <v>1008</v>
      </c>
      <c r="AD41" s="496" t="s">
        <v>1009</v>
      </c>
      <c r="AE41" s="496" t="s">
        <v>986</v>
      </c>
      <c r="AF41" s="496" t="s">
        <v>987</v>
      </c>
      <c r="AG41" s="496" t="s">
        <v>646</v>
      </c>
      <c r="AH41" s="496" t="s">
        <v>647</v>
      </c>
      <c r="AI41" s="11" t="s">
        <v>555</v>
      </c>
      <c r="AJ41" s="367" t="str">
        <f t="shared" si="3"/>
        <v>CCH_H1_5_74</v>
      </c>
      <c r="AK41" s="11" t="s">
        <v>555</v>
      </c>
      <c r="AL41" s="11" t="s">
        <v>555</v>
      </c>
      <c r="AM41" s="11" t="s">
        <v>555</v>
      </c>
      <c r="AN41" s="11" t="s">
        <v>555</v>
      </c>
      <c r="AO41" s="11" t="s">
        <v>555</v>
      </c>
      <c r="AP41" s="516"/>
    </row>
    <row r="42" spans="1:42" x14ac:dyDescent="0.3">
      <c r="B42" s="238" t="str">
        <f t="shared" si="0"/>
        <v>FortnightProfessionalUOM 3.5</v>
      </c>
      <c r="C42" s="238" t="s">
        <v>576</v>
      </c>
      <c r="D42" s="238" t="s">
        <v>767</v>
      </c>
      <c r="E42" s="238" t="s">
        <v>833</v>
      </c>
      <c r="F42" s="212">
        <v>73814</v>
      </c>
      <c r="G42" s="298" t="s">
        <v>555</v>
      </c>
      <c r="H42" s="235" t="s">
        <v>834</v>
      </c>
      <c r="I42" s="295" t="s">
        <v>314</v>
      </c>
      <c r="J42" s="386"/>
      <c r="K42" s="298" t="s">
        <v>555</v>
      </c>
      <c r="L42" s="298" t="s">
        <v>555</v>
      </c>
      <c r="M42" s="298" t="s">
        <v>555</v>
      </c>
      <c r="O42" s="238"/>
      <c r="P42" s="237"/>
      <c r="R42" s="11" t="s">
        <v>555</v>
      </c>
      <c r="T42" s="11" t="s">
        <v>555</v>
      </c>
      <c r="U42" s="238" t="s">
        <v>669</v>
      </c>
      <c r="V42" s="261" t="s">
        <v>835</v>
      </c>
      <c r="W42" s="262" t="s">
        <v>515</v>
      </c>
      <c r="X42" s="238">
        <f>VLOOKUP(W42,'Currency Rates'!A:C,2,FALSE)</f>
        <v>0.55753699999999995</v>
      </c>
      <c r="Y42" s="238">
        <f>VLOOKUP(W42,'Currency Rates'!A:C,3,FALSE)</f>
        <v>1.793604</v>
      </c>
      <c r="Z42" s="11" t="s">
        <v>555</v>
      </c>
      <c r="AA42" s="11" t="s">
        <v>555</v>
      </c>
      <c r="AB42" s="11" t="s">
        <v>555</v>
      </c>
      <c r="AC42" s="496" t="s">
        <v>1010</v>
      </c>
      <c r="AD42" s="496" t="s">
        <v>1011</v>
      </c>
      <c r="AE42" s="496" t="s">
        <v>986</v>
      </c>
      <c r="AF42" s="496" t="s">
        <v>987</v>
      </c>
      <c r="AG42" s="496" t="s">
        <v>646</v>
      </c>
      <c r="AH42" s="496" t="s">
        <v>647</v>
      </c>
      <c r="AI42" s="11" t="s">
        <v>555</v>
      </c>
      <c r="AJ42" s="367" t="str">
        <f t="shared" si="3"/>
        <v>CCH_H1_5_75</v>
      </c>
      <c r="AK42" s="11" t="s">
        <v>555</v>
      </c>
      <c r="AL42" s="11" t="s">
        <v>555</v>
      </c>
      <c r="AM42" s="11" t="s">
        <v>555</v>
      </c>
      <c r="AN42" s="11" t="s">
        <v>555</v>
      </c>
      <c r="AO42" s="11" t="s">
        <v>555</v>
      </c>
      <c r="AP42" s="516"/>
    </row>
    <row r="43" spans="1:42" ht="15.6" x14ac:dyDescent="0.3">
      <c r="B43" s="238" t="str">
        <f t="shared" si="0"/>
        <v>FortnightProfessionalUOM 3.6</v>
      </c>
      <c r="C43" s="238" t="s">
        <v>576</v>
      </c>
      <c r="D43" s="238" t="s">
        <v>767</v>
      </c>
      <c r="E43" s="238" t="s">
        <v>840</v>
      </c>
      <c r="F43" s="212">
        <v>75289</v>
      </c>
      <c r="G43" s="298"/>
      <c r="H43" s="385" t="s">
        <v>581</v>
      </c>
      <c r="I43" s="423">
        <v>0.17</v>
      </c>
      <c r="J43" s="386"/>
      <c r="K43" s="298" t="s">
        <v>555</v>
      </c>
      <c r="L43" s="298" t="s">
        <v>555</v>
      </c>
      <c r="M43" s="298" t="s">
        <v>555</v>
      </c>
      <c r="O43" s="238"/>
      <c r="P43" s="237"/>
      <c r="R43" s="232" t="s">
        <v>841</v>
      </c>
      <c r="S43" s="232"/>
      <c r="T43" s="11" t="s">
        <v>555</v>
      </c>
      <c r="U43" s="238" t="s">
        <v>674</v>
      </c>
      <c r="V43" s="261" t="s">
        <v>842</v>
      </c>
      <c r="W43" s="262" t="s">
        <v>552</v>
      </c>
      <c r="X43" s="238">
        <f>VLOOKUP(W43,'Currency Rates'!A:C,2,FALSE)</f>
        <v>0.48031800000000002</v>
      </c>
      <c r="Y43" s="238">
        <f>VLOOKUP(W43,'Currency Rates'!A:C,3,FALSE)</f>
        <v>2.0819540000000001</v>
      </c>
      <c r="Z43" s="11" t="s">
        <v>555</v>
      </c>
      <c r="AA43" s="11" t="s">
        <v>555</v>
      </c>
      <c r="AB43" s="11" t="s">
        <v>555</v>
      </c>
      <c r="AC43" s="496" t="s">
        <v>1141</v>
      </c>
      <c r="AD43" s="496" t="s">
        <v>1012</v>
      </c>
      <c r="AE43" s="496" t="s">
        <v>986</v>
      </c>
      <c r="AF43" s="496" t="s">
        <v>987</v>
      </c>
      <c r="AG43" s="496" t="s">
        <v>646</v>
      </c>
      <c r="AH43" s="496" t="s">
        <v>647</v>
      </c>
      <c r="AI43" s="11" t="s">
        <v>555</v>
      </c>
      <c r="AJ43" s="367" t="str">
        <f t="shared" si="3"/>
        <v>CCH_H1_5_76</v>
      </c>
      <c r="AK43" s="11" t="s">
        <v>555</v>
      </c>
      <c r="AL43" s="11" t="s">
        <v>555</v>
      </c>
      <c r="AM43" s="11" t="s">
        <v>555</v>
      </c>
      <c r="AN43" s="11" t="s">
        <v>555</v>
      </c>
      <c r="AO43" s="11" t="s">
        <v>555</v>
      </c>
      <c r="AP43" s="516"/>
    </row>
    <row r="44" spans="1:42" x14ac:dyDescent="0.3">
      <c r="B44" s="238" t="str">
        <f t="shared" si="0"/>
        <v>FortnightProfessionalUOM 4.1</v>
      </c>
      <c r="C44" s="238" t="s">
        <v>576</v>
      </c>
      <c r="D44" s="238" t="s">
        <v>767</v>
      </c>
      <c r="E44" s="238" t="s">
        <v>847</v>
      </c>
      <c r="F44" s="212">
        <v>78824</v>
      </c>
      <c r="G44" s="298"/>
      <c r="H44" s="387" t="s">
        <v>593</v>
      </c>
      <c r="I44" s="424">
        <v>0.17</v>
      </c>
      <c r="J44" s="386"/>
      <c r="K44" s="298" t="s">
        <v>555</v>
      </c>
      <c r="L44" s="298" t="s">
        <v>555</v>
      </c>
      <c r="M44" s="298" t="s">
        <v>555</v>
      </c>
      <c r="O44" s="238"/>
      <c r="P44" s="237"/>
      <c r="R44" s="235" t="s">
        <v>848</v>
      </c>
      <c r="S44" s="378"/>
      <c r="T44" s="11" t="s">
        <v>555</v>
      </c>
      <c r="U44" s="238" t="s">
        <v>679</v>
      </c>
      <c r="V44" s="261" t="s">
        <v>849</v>
      </c>
      <c r="W44" s="262" t="s">
        <v>516</v>
      </c>
      <c r="X44" s="238">
        <f>VLOOKUP(W44,'Currency Rates'!A:C,2,FALSE)</f>
        <v>5.0895210000000004</v>
      </c>
      <c r="Y44" s="238">
        <f>VLOOKUP(W44,'Currency Rates'!A:C,3,FALSE)</f>
        <v>0.19648199999999999</v>
      </c>
      <c r="Z44" s="11" t="s">
        <v>555</v>
      </c>
      <c r="AA44" s="11" t="s">
        <v>555</v>
      </c>
      <c r="AB44" s="11" t="s">
        <v>555</v>
      </c>
      <c r="AC44" s="496" t="s">
        <v>1013</v>
      </c>
      <c r="AD44" s="496" t="s">
        <v>1014</v>
      </c>
      <c r="AE44" s="496" t="s">
        <v>986</v>
      </c>
      <c r="AF44" s="496" t="s">
        <v>987</v>
      </c>
      <c r="AG44" s="496" t="s">
        <v>646</v>
      </c>
      <c r="AH44" s="496" t="s">
        <v>647</v>
      </c>
      <c r="AI44" s="11" t="s">
        <v>555</v>
      </c>
      <c r="AJ44" s="367" t="str">
        <f t="shared" si="3"/>
        <v>CCH_H1_5_77</v>
      </c>
      <c r="AK44" s="11" t="s">
        <v>555</v>
      </c>
      <c r="AL44" s="11" t="s">
        <v>555</v>
      </c>
      <c r="AM44" s="11" t="s">
        <v>555</v>
      </c>
      <c r="AN44" s="11" t="s">
        <v>555</v>
      </c>
      <c r="AO44" s="11" t="s">
        <v>555</v>
      </c>
      <c r="AP44" s="516"/>
    </row>
    <row r="45" spans="1:42" x14ac:dyDescent="0.3">
      <c r="B45" s="238" t="str">
        <f t="shared" si="0"/>
        <v>FortnightProfessionalUOM 4.2</v>
      </c>
      <c r="C45" s="238" t="s">
        <v>576</v>
      </c>
      <c r="D45" s="238" t="s">
        <v>767</v>
      </c>
      <c r="E45" s="238" t="s">
        <v>852</v>
      </c>
      <c r="F45" s="212">
        <v>80403</v>
      </c>
      <c r="G45" s="298"/>
      <c r="H45" s="388" t="s">
        <v>601</v>
      </c>
      <c r="I45" s="424">
        <v>0.12</v>
      </c>
      <c r="J45" s="386"/>
      <c r="K45" s="298" t="s">
        <v>555</v>
      </c>
      <c r="L45" s="298"/>
      <c r="M45" s="298"/>
      <c r="O45" s="238"/>
      <c r="P45" s="237"/>
      <c r="R45" s="238"/>
      <c r="S45" s="249"/>
      <c r="T45" s="11" t="s">
        <v>555</v>
      </c>
      <c r="U45" s="238" t="s">
        <v>684</v>
      </c>
      <c r="V45" s="261" t="s">
        <v>853</v>
      </c>
      <c r="W45" s="262" t="s">
        <v>520</v>
      </c>
      <c r="X45" s="238">
        <f>VLOOKUP(W45,'Currency Rates'!A:C,2,FALSE)</f>
        <v>10525.049333000001</v>
      </c>
      <c r="Y45" s="238">
        <f>VLOOKUP(W45,'Currency Rates'!A:C,3,FALSE)</f>
        <v>9.5000000000000005E-5</v>
      </c>
      <c r="Z45" s="11" t="s">
        <v>555</v>
      </c>
      <c r="AA45" s="11" t="s">
        <v>555</v>
      </c>
      <c r="AB45" s="11" t="s">
        <v>555</v>
      </c>
      <c r="AC45" s="496" t="s">
        <v>1015</v>
      </c>
      <c r="AD45" s="496" t="s">
        <v>1016</v>
      </c>
      <c r="AE45" s="496" t="s">
        <v>986</v>
      </c>
      <c r="AF45" s="496" t="s">
        <v>987</v>
      </c>
      <c r="AG45" s="496" t="s">
        <v>646</v>
      </c>
      <c r="AH45" s="496" t="s">
        <v>647</v>
      </c>
      <c r="AI45" s="11" t="s">
        <v>555</v>
      </c>
      <c r="AJ45" s="367" t="str">
        <f t="shared" si="3"/>
        <v>CCH_H1_5_78</v>
      </c>
      <c r="AK45" s="11" t="s">
        <v>555</v>
      </c>
      <c r="AL45" s="11" t="s">
        <v>555</v>
      </c>
      <c r="AM45" s="11" t="s">
        <v>555</v>
      </c>
      <c r="AN45" s="11" t="s">
        <v>555</v>
      </c>
      <c r="AO45" s="11" t="s">
        <v>555</v>
      </c>
      <c r="AP45" s="516"/>
    </row>
    <row r="46" spans="1:42" x14ac:dyDescent="0.3">
      <c r="B46" s="238" t="str">
        <f t="shared" si="0"/>
        <v>FortnightProfessionalUOM 4.3</v>
      </c>
      <c r="C46" s="238" t="s">
        <v>576</v>
      </c>
      <c r="D46" s="238" t="s">
        <v>767</v>
      </c>
      <c r="E46" s="238" t="s">
        <v>856</v>
      </c>
      <c r="F46" s="212">
        <v>82012</v>
      </c>
      <c r="G46" s="298"/>
      <c r="H46" s="389"/>
      <c r="I46" s="390"/>
      <c r="J46" s="386"/>
      <c r="K46" s="298" t="s">
        <v>555</v>
      </c>
      <c r="L46" s="298"/>
      <c r="M46" s="298"/>
      <c r="O46" s="238"/>
      <c r="P46" s="237"/>
      <c r="R46" s="238"/>
      <c r="S46" s="249"/>
      <c r="T46" s="11" t="s">
        <v>555</v>
      </c>
      <c r="U46" s="238" t="s">
        <v>690</v>
      </c>
      <c r="V46" s="261" t="s">
        <v>857</v>
      </c>
      <c r="W46" s="262" t="s">
        <v>519</v>
      </c>
      <c r="X46" s="238">
        <f>VLOOKUP(W46,'Currency Rates'!A:C,2,FALSE)</f>
        <v>56.988697999999999</v>
      </c>
      <c r="Y46" s="238">
        <f>VLOOKUP(W46,'Currency Rates'!A:C,3,FALSE)</f>
        <v>1.7547E-2</v>
      </c>
      <c r="Z46" s="11" t="s">
        <v>555</v>
      </c>
      <c r="AA46" s="11" t="s">
        <v>555</v>
      </c>
      <c r="AB46" s="11" t="s">
        <v>555</v>
      </c>
      <c r="AC46" s="496" t="s">
        <v>1017</v>
      </c>
      <c r="AD46" s="496" t="s">
        <v>1018</v>
      </c>
      <c r="AE46" s="496" t="s">
        <v>986</v>
      </c>
      <c r="AF46" s="496" t="s">
        <v>987</v>
      </c>
      <c r="AG46" s="496" t="s">
        <v>646</v>
      </c>
      <c r="AH46" s="496" t="s">
        <v>647</v>
      </c>
      <c r="AI46" s="11" t="s">
        <v>555</v>
      </c>
      <c r="AJ46" s="367" t="str">
        <f t="shared" si="3"/>
        <v>CCH_H1_5_79</v>
      </c>
      <c r="AK46" s="11" t="s">
        <v>555</v>
      </c>
      <c r="AL46" s="11" t="s">
        <v>555</v>
      </c>
      <c r="AM46" s="11" t="s">
        <v>555</v>
      </c>
      <c r="AN46" s="11" t="s">
        <v>555</v>
      </c>
      <c r="AO46" s="11" t="s">
        <v>555</v>
      </c>
      <c r="AP46" s="516"/>
    </row>
    <row r="47" spans="1:42" x14ac:dyDescent="0.3">
      <c r="B47" s="238" t="str">
        <f t="shared" si="0"/>
        <v>FortnightProfessionalUOM 4.4</v>
      </c>
      <c r="C47" s="238" t="s">
        <v>576</v>
      </c>
      <c r="D47" s="238" t="s">
        <v>767</v>
      </c>
      <c r="E47" s="238" t="s">
        <v>860</v>
      </c>
      <c r="F47" s="212">
        <v>83655</v>
      </c>
      <c r="G47" s="298"/>
      <c r="H47" s="389"/>
      <c r="I47" s="390"/>
      <c r="J47" s="386"/>
      <c r="K47" s="298" t="s">
        <v>555</v>
      </c>
      <c r="L47" s="298"/>
      <c r="M47" s="298"/>
      <c r="O47" s="244"/>
      <c r="P47" s="247"/>
      <c r="R47" s="238"/>
      <c r="S47" s="249"/>
      <c r="T47" s="11" t="s">
        <v>555</v>
      </c>
      <c r="U47" s="238" t="s">
        <v>695</v>
      </c>
      <c r="V47" s="261" t="s">
        <v>861</v>
      </c>
      <c r="W47" s="262" t="s">
        <v>523</v>
      </c>
      <c r="X47" s="238">
        <f>VLOOKUP(W47,'Currency Rates'!A:C,2,FALSE)</f>
        <v>95.783024999999995</v>
      </c>
      <c r="Y47" s="238">
        <f>VLOOKUP(W47,'Currency Rates'!A:C,3,FALSE)</f>
        <v>1.044E-2</v>
      </c>
      <c r="Z47" s="11" t="s">
        <v>555</v>
      </c>
      <c r="AA47" s="11" t="s">
        <v>555</v>
      </c>
      <c r="AB47" s="11" t="s">
        <v>555</v>
      </c>
      <c r="AC47" s="496" t="s">
        <v>1019</v>
      </c>
      <c r="AD47" s="496" t="s">
        <v>1020</v>
      </c>
      <c r="AE47" s="496" t="s">
        <v>986</v>
      </c>
      <c r="AF47" s="496" t="s">
        <v>987</v>
      </c>
      <c r="AG47" s="496" t="s">
        <v>646</v>
      </c>
      <c r="AH47" s="496" t="s">
        <v>647</v>
      </c>
      <c r="AI47" s="11" t="s">
        <v>555</v>
      </c>
      <c r="AJ47" s="367" t="str">
        <f t="shared" si="3"/>
        <v>CCH_H1_5_80</v>
      </c>
      <c r="AK47" s="11" t="s">
        <v>555</v>
      </c>
      <c r="AL47" s="11" t="s">
        <v>555</v>
      </c>
      <c r="AM47" s="11" t="s">
        <v>555</v>
      </c>
      <c r="AN47" s="11" t="s">
        <v>555</v>
      </c>
      <c r="AO47" s="11" t="s">
        <v>555</v>
      </c>
      <c r="AP47" s="516"/>
    </row>
    <row r="48" spans="1:42" x14ac:dyDescent="0.3">
      <c r="B48" s="238" t="str">
        <f t="shared" si="0"/>
        <v>FortnightProfessionalUOM 5.1</v>
      </c>
      <c r="C48" s="238" t="s">
        <v>576</v>
      </c>
      <c r="D48" s="238" t="s">
        <v>767</v>
      </c>
      <c r="E48" s="238" t="s">
        <v>868</v>
      </c>
      <c r="F48" s="212">
        <v>85238</v>
      </c>
      <c r="G48" s="298"/>
      <c r="H48" s="389"/>
      <c r="I48" s="390"/>
      <c r="J48" s="386"/>
      <c r="K48" s="298" t="s">
        <v>555</v>
      </c>
      <c r="L48" s="298"/>
      <c r="M48" s="298"/>
      <c r="R48" s="244"/>
      <c r="S48" s="249"/>
      <c r="T48" s="11" t="s">
        <v>555</v>
      </c>
      <c r="U48" s="238" t="s">
        <v>869</v>
      </c>
      <c r="V48" s="261" t="s">
        <v>870</v>
      </c>
      <c r="W48" s="262" t="s">
        <v>525</v>
      </c>
      <c r="X48" s="238">
        <f>VLOOKUP(W48,'Currency Rates'!A:C,2,FALSE)</f>
        <v>904.14552000000003</v>
      </c>
      <c r="Y48" s="238">
        <f>VLOOKUP(W48,'Currency Rates'!A:C,3,FALSE)</f>
        <v>1.106E-3</v>
      </c>
      <c r="Z48" s="11" t="s">
        <v>555</v>
      </c>
      <c r="AA48" s="11" t="s">
        <v>555</v>
      </c>
      <c r="AB48" s="11" t="s">
        <v>555</v>
      </c>
      <c r="AC48" s="496" t="s">
        <v>1021</v>
      </c>
      <c r="AD48" s="496" t="s">
        <v>1022</v>
      </c>
      <c r="AE48" s="496" t="s">
        <v>986</v>
      </c>
      <c r="AF48" s="496" t="s">
        <v>987</v>
      </c>
      <c r="AG48" s="496" t="s">
        <v>646</v>
      </c>
      <c r="AH48" s="496" t="s">
        <v>647</v>
      </c>
      <c r="AI48" s="11" t="s">
        <v>555</v>
      </c>
      <c r="AJ48" s="367" t="str">
        <f t="shared" si="3"/>
        <v>CCH_H1_5_81</v>
      </c>
      <c r="AK48" s="11" t="s">
        <v>555</v>
      </c>
      <c r="AL48" s="11" t="s">
        <v>555</v>
      </c>
      <c r="AM48" s="11" t="s">
        <v>555</v>
      </c>
      <c r="AN48" s="11" t="s">
        <v>555</v>
      </c>
      <c r="AO48" s="11" t="s">
        <v>555</v>
      </c>
      <c r="AP48" s="516"/>
    </row>
    <row r="49" spans="2:42" ht="15.6" x14ac:dyDescent="0.3">
      <c r="B49" s="238" t="str">
        <f t="shared" si="0"/>
        <v>FortnightProfessionalUOM 5.2</v>
      </c>
      <c r="C49" s="238" t="s">
        <v>576</v>
      </c>
      <c r="D49" s="238" t="s">
        <v>767</v>
      </c>
      <c r="E49" s="238" t="s">
        <v>871</v>
      </c>
      <c r="F49" s="212">
        <v>86939</v>
      </c>
      <c r="G49" s="412"/>
      <c r="H49" s="389"/>
      <c r="I49" s="390"/>
      <c r="J49" s="386"/>
      <c r="K49" s="298" t="s">
        <v>555</v>
      </c>
      <c r="L49" s="298"/>
      <c r="M49" s="298"/>
      <c r="O49" s="232" t="s">
        <v>872</v>
      </c>
      <c r="T49" s="11" t="s">
        <v>555</v>
      </c>
      <c r="U49" s="238" t="s">
        <v>701</v>
      </c>
      <c r="V49" s="261" t="s">
        <v>873</v>
      </c>
      <c r="W49" s="262" t="s">
        <v>528</v>
      </c>
      <c r="X49" s="238">
        <f>VLOOKUP(W49,'Currency Rates'!A:C,2,FALSE)</f>
        <v>2.7456040000000002</v>
      </c>
      <c r="Y49" s="238">
        <f>VLOOKUP(W49,'Currency Rates'!A:C,3,FALSE)</f>
        <v>0.36421900000000001</v>
      </c>
      <c r="Z49" s="11" t="s">
        <v>555</v>
      </c>
      <c r="AA49" s="11" t="s">
        <v>555</v>
      </c>
      <c r="AB49" s="11" t="s">
        <v>555</v>
      </c>
      <c r="AC49" s="496" t="s">
        <v>1021</v>
      </c>
      <c r="AD49" s="496" t="s">
        <v>1022</v>
      </c>
      <c r="AE49" s="496" t="s">
        <v>986</v>
      </c>
      <c r="AF49" s="496">
        <v>10340</v>
      </c>
      <c r="AG49" s="496" t="s">
        <v>646</v>
      </c>
      <c r="AH49" s="496" t="s">
        <v>647</v>
      </c>
      <c r="AI49" s="11" t="s">
        <v>555</v>
      </c>
      <c r="AJ49" s="367" t="str">
        <f t="shared" si="3"/>
        <v>CCH_H1_5_81</v>
      </c>
      <c r="AK49" s="11" t="s">
        <v>555</v>
      </c>
      <c r="AL49" s="11" t="s">
        <v>555</v>
      </c>
      <c r="AM49" s="11" t="s">
        <v>555</v>
      </c>
      <c r="AN49" s="11" t="s">
        <v>555</v>
      </c>
      <c r="AO49" s="11" t="s">
        <v>555</v>
      </c>
      <c r="AP49" s="516"/>
    </row>
    <row r="50" spans="2:42" x14ac:dyDescent="0.3">
      <c r="B50" s="238" t="str">
        <f t="shared" si="0"/>
        <v>FortnightProfessionalUOM 5.3</v>
      </c>
      <c r="C50" s="238" t="s">
        <v>576</v>
      </c>
      <c r="D50" s="238" t="s">
        <v>767</v>
      </c>
      <c r="E50" s="238" t="s">
        <v>878</v>
      </c>
      <c r="F50" s="212">
        <v>88675</v>
      </c>
      <c r="G50" s="298"/>
      <c r="H50" s="389"/>
      <c r="I50" s="390"/>
      <c r="J50" s="386"/>
      <c r="K50" s="298" t="s">
        <v>555</v>
      </c>
      <c r="L50" s="298"/>
      <c r="M50" s="298"/>
      <c r="O50" s="235" t="s">
        <v>299</v>
      </c>
      <c r="P50" s="235" t="s">
        <v>58</v>
      </c>
      <c r="R50" s="11" t="s">
        <v>555</v>
      </c>
      <c r="T50" s="11" t="s">
        <v>555</v>
      </c>
      <c r="U50" s="238" t="s">
        <v>652</v>
      </c>
      <c r="V50" s="261" t="s">
        <v>879</v>
      </c>
      <c r="W50" s="262" t="s">
        <v>533</v>
      </c>
      <c r="X50" s="238">
        <f>VLOOKUP(W50,'Currency Rates'!A:C,2,FALSE)</f>
        <v>6.6288989999999997</v>
      </c>
      <c r="Y50" s="238">
        <f>VLOOKUP(W50,'Currency Rates'!A:C,3,FALSE)</f>
        <v>0.15085499999999999</v>
      </c>
      <c r="Z50" s="11" t="s">
        <v>555</v>
      </c>
      <c r="AA50" s="11" t="s">
        <v>555</v>
      </c>
      <c r="AB50" s="11" t="s">
        <v>555</v>
      </c>
      <c r="AC50" s="496" t="s">
        <v>1023</v>
      </c>
      <c r="AD50" s="496" t="s">
        <v>1024</v>
      </c>
      <c r="AE50" s="496" t="s">
        <v>1025</v>
      </c>
      <c r="AF50" s="496" t="s">
        <v>1026</v>
      </c>
      <c r="AG50" s="496" t="s">
        <v>646</v>
      </c>
      <c r="AH50" s="496" t="s">
        <v>647</v>
      </c>
      <c r="AI50" s="11" t="s">
        <v>555</v>
      </c>
      <c r="AJ50" s="367" t="str">
        <f t="shared" si="3"/>
        <v>CCH_H1_5_82</v>
      </c>
      <c r="AK50" s="11" t="s">
        <v>555</v>
      </c>
      <c r="AL50" s="11" t="s">
        <v>555</v>
      </c>
      <c r="AM50" s="11" t="s">
        <v>555</v>
      </c>
      <c r="AN50" s="11" t="s">
        <v>555</v>
      </c>
      <c r="AO50" s="11" t="s">
        <v>555</v>
      </c>
      <c r="AP50" s="516"/>
    </row>
    <row r="51" spans="2:42" ht="15.6" x14ac:dyDescent="0.3">
      <c r="B51" s="238" t="str">
        <f t="shared" si="0"/>
        <v>FortnightProfessionalUOM 5.4</v>
      </c>
      <c r="C51" s="238" t="s">
        <v>576</v>
      </c>
      <c r="D51" s="238" t="s">
        <v>767</v>
      </c>
      <c r="E51" s="238" t="s">
        <v>882</v>
      </c>
      <c r="F51" s="212">
        <v>90450</v>
      </c>
      <c r="G51" s="298"/>
      <c r="H51" s="391" t="s">
        <v>314</v>
      </c>
      <c r="I51" s="392"/>
      <c r="J51" s="392"/>
      <c r="K51" s="298" t="s">
        <v>555</v>
      </c>
      <c r="L51" s="298"/>
      <c r="M51" s="298"/>
      <c r="O51" s="252" t="s">
        <v>883</v>
      </c>
      <c r="P51" s="236" t="s">
        <v>884</v>
      </c>
      <c r="R51" s="11" t="s">
        <v>555</v>
      </c>
      <c r="T51" s="11" t="s">
        <v>555</v>
      </c>
      <c r="U51" s="238" t="s">
        <v>706</v>
      </c>
      <c r="V51" s="261" t="s">
        <v>885</v>
      </c>
      <c r="W51" s="262" t="s">
        <v>532</v>
      </c>
      <c r="X51" s="238">
        <f>VLOOKUP(W51,'Currency Rates'!A:C,2,FALSE)</f>
        <v>1.0987290000000001</v>
      </c>
      <c r="Y51" s="238">
        <f>VLOOKUP(W51,'Currency Rates'!A:C,3,FALSE)</f>
        <v>0.91014200000000001</v>
      </c>
      <c r="Z51" s="11" t="s">
        <v>555</v>
      </c>
      <c r="AA51" s="11" t="s">
        <v>555</v>
      </c>
      <c r="AB51" s="11" t="s">
        <v>555</v>
      </c>
      <c r="AC51" s="496" t="s">
        <v>1028</v>
      </c>
      <c r="AD51" s="496" t="s">
        <v>1029</v>
      </c>
      <c r="AE51" s="496" t="s">
        <v>1025</v>
      </c>
      <c r="AF51" s="496" t="s">
        <v>1026</v>
      </c>
      <c r="AG51" s="496" t="s">
        <v>646</v>
      </c>
      <c r="AH51" s="496" t="s">
        <v>647</v>
      </c>
      <c r="AI51" s="11" t="s">
        <v>555</v>
      </c>
      <c r="AJ51" s="367" t="str">
        <f t="shared" si="3"/>
        <v>CCH_H1_5_83</v>
      </c>
      <c r="AK51" s="11" t="s">
        <v>555</v>
      </c>
      <c r="AL51" s="11" t="s">
        <v>555</v>
      </c>
      <c r="AM51" s="11" t="s">
        <v>555</v>
      </c>
      <c r="AN51" s="11" t="s">
        <v>555</v>
      </c>
      <c r="AO51" s="11" t="s">
        <v>555</v>
      </c>
      <c r="AP51" s="516"/>
    </row>
    <row r="52" spans="2:42" ht="15.6" x14ac:dyDescent="0.3">
      <c r="B52" s="238" t="str">
        <f t="shared" si="0"/>
        <v>FortnightProfessionalUOM 5.5</v>
      </c>
      <c r="C52" s="238" t="s">
        <v>576</v>
      </c>
      <c r="D52" s="238" t="s">
        <v>767</v>
      </c>
      <c r="E52" s="238" t="s">
        <v>890</v>
      </c>
      <c r="F52" s="212">
        <v>92257</v>
      </c>
      <c r="G52" s="298"/>
      <c r="H52" s="235" t="s">
        <v>891</v>
      </c>
      <c r="I52" s="235" t="s">
        <v>565</v>
      </c>
      <c r="J52" s="235" t="s">
        <v>834</v>
      </c>
      <c r="K52" s="295" t="s">
        <v>314</v>
      </c>
      <c r="L52" s="298"/>
      <c r="M52" s="298"/>
      <c r="O52" s="237" t="s">
        <v>892</v>
      </c>
      <c r="P52" s="238" t="s">
        <v>893</v>
      </c>
      <c r="R52" s="232" t="s">
        <v>894</v>
      </c>
      <c r="S52" s="232"/>
      <c r="T52" s="11" t="s">
        <v>555</v>
      </c>
      <c r="U52" s="238" t="s">
        <v>895</v>
      </c>
      <c r="V52" s="261" t="s">
        <v>896</v>
      </c>
      <c r="W52" s="262" t="s">
        <v>545</v>
      </c>
      <c r="X52" s="238">
        <f>VLOOKUP(W52,'Currency Rates'!A:C,2,FALSE)</f>
        <v>6.2220579999999996</v>
      </c>
      <c r="Y52" s="238">
        <f>VLOOKUP(W52,'Currency Rates'!A:C,3,FALSE)</f>
        <v>0.160719</v>
      </c>
      <c r="Z52" s="11" t="s">
        <v>555</v>
      </c>
      <c r="AA52" s="11" t="s">
        <v>555</v>
      </c>
      <c r="AB52" s="11" t="s">
        <v>555</v>
      </c>
      <c r="AC52" s="496" t="s">
        <v>1030</v>
      </c>
      <c r="AD52" s="496" t="s">
        <v>1031</v>
      </c>
      <c r="AE52" s="496" t="s">
        <v>1025</v>
      </c>
      <c r="AF52" s="496" t="s">
        <v>1026</v>
      </c>
      <c r="AG52" s="496" t="s">
        <v>646</v>
      </c>
      <c r="AH52" s="496" t="s">
        <v>647</v>
      </c>
      <c r="AI52" s="11" t="s">
        <v>555</v>
      </c>
      <c r="AJ52" s="367" t="str">
        <f t="shared" si="3"/>
        <v>CCH_H1_5_84</v>
      </c>
      <c r="AK52" s="11" t="s">
        <v>555</v>
      </c>
      <c r="AL52" s="11" t="s">
        <v>555</v>
      </c>
      <c r="AM52" s="11" t="s">
        <v>555</v>
      </c>
      <c r="AN52" s="11" t="s">
        <v>555</v>
      </c>
      <c r="AO52" s="11" t="s">
        <v>555</v>
      </c>
      <c r="AP52" s="516"/>
    </row>
    <row r="53" spans="2:42" x14ac:dyDescent="0.3">
      <c r="B53" s="238" t="str">
        <f t="shared" si="0"/>
        <v>FortnightProfessionalUOM 5.6</v>
      </c>
      <c r="C53" s="238" t="s">
        <v>576</v>
      </c>
      <c r="D53" s="238" t="s">
        <v>767</v>
      </c>
      <c r="E53" s="238" t="s">
        <v>899</v>
      </c>
      <c r="F53" s="212">
        <v>94110</v>
      </c>
      <c r="G53" s="298"/>
      <c r="H53" s="393" t="str">
        <f t="shared" ref="H53:H67" si="5">CONCATENATE(I53,J53)</f>
        <v>2021Continuing</v>
      </c>
      <c r="I53" s="394">
        <v>2021</v>
      </c>
      <c r="J53" s="385" t="s">
        <v>581</v>
      </c>
      <c r="K53" s="425">
        <v>0.17</v>
      </c>
      <c r="L53" s="298"/>
      <c r="M53" s="298"/>
      <c r="O53" s="237" t="s">
        <v>900</v>
      </c>
      <c r="P53" s="238" t="s">
        <v>901</v>
      </c>
      <c r="R53" s="235" t="s">
        <v>566</v>
      </c>
      <c r="S53" s="378"/>
      <c r="T53" s="11" t="s">
        <v>555</v>
      </c>
      <c r="U53" s="238" t="s">
        <v>712</v>
      </c>
      <c r="V53" s="261" t="s">
        <v>902</v>
      </c>
      <c r="W53" s="262" t="s">
        <v>542</v>
      </c>
      <c r="X53" s="238">
        <f>VLOOKUP(W53,'Currency Rates'!A:C,2,FALSE)</f>
        <v>0.83522099999999999</v>
      </c>
      <c r="Y53" s="238">
        <f>VLOOKUP(W53,'Currency Rates'!A:C,3,FALSE)</f>
        <v>1.1972879999999999</v>
      </c>
      <c r="Z53" s="11" t="s">
        <v>555</v>
      </c>
      <c r="AA53" s="11" t="s">
        <v>555</v>
      </c>
      <c r="AB53" s="11" t="s">
        <v>555</v>
      </c>
      <c r="AC53" s="496" t="s">
        <v>1032</v>
      </c>
      <c r="AD53" s="496" t="s">
        <v>1033</v>
      </c>
      <c r="AE53" s="496" t="s">
        <v>1025</v>
      </c>
      <c r="AF53" s="496" t="s">
        <v>1026</v>
      </c>
      <c r="AG53" s="496" t="s">
        <v>646</v>
      </c>
      <c r="AH53" s="496" t="s">
        <v>647</v>
      </c>
      <c r="AI53" s="11" t="s">
        <v>555</v>
      </c>
      <c r="AJ53" s="367" t="str">
        <f t="shared" si="3"/>
        <v>CCH_H1_5_85</v>
      </c>
      <c r="AK53" s="11" t="s">
        <v>555</v>
      </c>
      <c r="AL53" s="11" t="s">
        <v>555</v>
      </c>
      <c r="AM53" s="11" t="s">
        <v>555</v>
      </c>
      <c r="AN53" s="11" t="s">
        <v>555</v>
      </c>
      <c r="AO53" s="11" t="s">
        <v>555</v>
      </c>
      <c r="AP53" s="516"/>
    </row>
    <row r="54" spans="2:42" x14ac:dyDescent="0.3">
      <c r="B54" s="238" t="str">
        <f t="shared" si="0"/>
        <v>FortnightProfessionalUOM 5.7</v>
      </c>
      <c r="C54" s="238" t="s">
        <v>576</v>
      </c>
      <c r="D54" s="238" t="s">
        <v>767</v>
      </c>
      <c r="E54" s="238" t="s">
        <v>905</v>
      </c>
      <c r="F54" s="212">
        <v>95985</v>
      </c>
      <c r="G54" s="298"/>
      <c r="H54" s="395" t="str">
        <f t="shared" si="5"/>
        <v>2021Fixed-Term</v>
      </c>
      <c r="I54" s="396">
        <v>2021</v>
      </c>
      <c r="J54" s="387" t="s">
        <v>593</v>
      </c>
      <c r="K54" s="426">
        <v>0.17</v>
      </c>
      <c r="L54" s="298"/>
      <c r="M54" s="298"/>
      <c r="O54" s="237" t="s">
        <v>906</v>
      </c>
      <c r="P54" s="238" t="s">
        <v>907</v>
      </c>
      <c r="R54" s="296">
        <v>2.5</v>
      </c>
      <c r="S54" s="379"/>
      <c r="T54" s="11" t="s">
        <v>555</v>
      </c>
      <c r="U54" s="238" t="s">
        <v>908</v>
      </c>
      <c r="V54" s="261" t="s">
        <v>909</v>
      </c>
      <c r="W54" s="264" t="s">
        <v>548</v>
      </c>
      <c r="X54" s="238">
        <f>VLOOKUP(W54,'Currency Rates'!A:C,2,FALSE)</f>
        <v>21.109622999999999</v>
      </c>
      <c r="Y54" s="238">
        <f>VLOOKUP(W54,'Currency Rates'!A:C,3,FALSE)</f>
        <v>4.7371999999999997E-2</v>
      </c>
      <c r="Z54" s="11" t="s">
        <v>555</v>
      </c>
      <c r="AA54" s="11" t="s">
        <v>555</v>
      </c>
      <c r="AB54" s="11" t="s">
        <v>555</v>
      </c>
      <c r="AC54" s="496" t="s">
        <v>1034</v>
      </c>
      <c r="AD54" s="496" t="s">
        <v>1035</v>
      </c>
      <c r="AE54" s="496" t="s">
        <v>1025</v>
      </c>
      <c r="AF54" s="496" t="s">
        <v>1026</v>
      </c>
      <c r="AG54" s="496" t="s">
        <v>646</v>
      </c>
      <c r="AH54" s="496" t="s">
        <v>647</v>
      </c>
      <c r="AI54" s="11" t="s">
        <v>555</v>
      </c>
      <c r="AJ54" s="367" t="str">
        <f t="shared" si="3"/>
        <v>CCH_H1_5_86</v>
      </c>
      <c r="AK54" s="11" t="s">
        <v>555</v>
      </c>
      <c r="AL54" s="11" t="s">
        <v>555</v>
      </c>
      <c r="AM54" s="11" t="s">
        <v>555</v>
      </c>
      <c r="AN54" s="11" t="s">
        <v>555</v>
      </c>
      <c r="AO54" s="11" t="s">
        <v>555</v>
      </c>
      <c r="AP54" s="516"/>
    </row>
    <row r="55" spans="2:42" x14ac:dyDescent="0.3">
      <c r="B55" s="238" t="str">
        <f t="shared" si="0"/>
        <v>FortnightProfessionalUOM 5.8</v>
      </c>
      <c r="C55" s="238" t="s">
        <v>576</v>
      </c>
      <c r="D55" s="238" t="s">
        <v>767</v>
      </c>
      <c r="E55" s="238" t="s">
        <v>912</v>
      </c>
      <c r="F55" s="212">
        <v>97906</v>
      </c>
      <c r="G55" s="298"/>
      <c r="H55" s="395" t="str">
        <f t="shared" si="5"/>
        <v>2021Casual</v>
      </c>
      <c r="I55" s="396">
        <v>2021</v>
      </c>
      <c r="J55" s="388" t="s">
        <v>601</v>
      </c>
      <c r="K55" s="426">
        <v>9.5000000000000001E-2</v>
      </c>
      <c r="L55" s="298"/>
      <c r="M55" s="298"/>
      <c r="O55" s="237" t="s">
        <v>913</v>
      </c>
      <c r="P55" s="238" t="s">
        <v>914</v>
      </c>
      <c r="T55" s="11" t="s">
        <v>555</v>
      </c>
      <c r="U55" s="238" t="s">
        <v>915</v>
      </c>
      <c r="V55" s="261" t="s">
        <v>916</v>
      </c>
      <c r="W55" s="262" t="s">
        <v>547</v>
      </c>
      <c r="X55" s="238">
        <f>VLOOKUP(W55,'Currency Rates'!A:C,2,FALSE)</f>
        <v>19.538186</v>
      </c>
      <c r="Y55" s="238">
        <f>VLOOKUP(W55,'Currency Rates'!A:C,3,FALSE)</f>
        <v>5.1181999999999998E-2</v>
      </c>
      <c r="Z55" s="11" t="s">
        <v>555</v>
      </c>
      <c r="AA55" s="11" t="s">
        <v>555</v>
      </c>
      <c r="AB55" s="11" t="s">
        <v>555</v>
      </c>
      <c r="AC55" s="496" t="s">
        <v>1036</v>
      </c>
      <c r="AD55" s="496" t="s">
        <v>1037</v>
      </c>
      <c r="AE55" s="496" t="s">
        <v>1025</v>
      </c>
      <c r="AF55" s="496" t="s">
        <v>1026</v>
      </c>
      <c r="AG55" s="496" t="s">
        <v>646</v>
      </c>
      <c r="AH55" s="496" t="s">
        <v>647</v>
      </c>
      <c r="AI55" s="11" t="s">
        <v>555</v>
      </c>
      <c r="AJ55" s="367" t="str">
        <f t="shared" si="3"/>
        <v>CCH_H1_5_87</v>
      </c>
      <c r="AK55" s="11" t="s">
        <v>555</v>
      </c>
      <c r="AL55" s="11" t="s">
        <v>555</v>
      </c>
      <c r="AM55" s="11" t="s">
        <v>555</v>
      </c>
      <c r="AN55" s="11" t="s">
        <v>555</v>
      </c>
      <c r="AO55" s="11" t="s">
        <v>555</v>
      </c>
      <c r="AP55" s="516"/>
    </row>
    <row r="56" spans="2:42" x14ac:dyDescent="0.3">
      <c r="B56" s="238" t="str">
        <f t="shared" si="0"/>
        <v>FortnightProfessionalUOM 6.1</v>
      </c>
      <c r="C56" s="238" t="s">
        <v>576</v>
      </c>
      <c r="D56" s="238" t="s">
        <v>767</v>
      </c>
      <c r="E56" s="238" t="s">
        <v>919</v>
      </c>
      <c r="F56" s="212">
        <v>98870</v>
      </c>
      <c r="G56" s="298"/>
      <c r="H56" s="395" t="str">
        <f t="shared" si="5"/>
        <v>2022Continuing</v>
      </c>
      <c r="I56" s="396">
        <v>2022</v>
      </c>
      <c r="J56" s="397" t="s">
        <v>581</v>
      </c>
      <c r="K56" s="426">
        <v>0.17</v>
      </c>
      <c r="L56" s="298"/>
      <c r="M56" s="298"/>
      <c r="O56" s="237" t="s">
        <v>920</v>
      </c>
      <c r="P56" s="238" t="s">
        <v>921</v>
      </c>
      <c r="T56" s="11" t="s">
        <v>555</v>
      </c>
      <c r="U56" s="244" t="s">
        <v>718</v>
      </c>
      <c r="V56" s="265" t="s">
        <v>922</v>
      </c>
      <c r="W56" s="266" t="s">
        <v>553</v>
      </c>
      <c r="X56" s="238">
        <f>VLOOKUP(W56,'Currency Rates'!A:C,2,FALSE)</f>
        <v>0.65101799999999999</v>
      </c>
      <c r="Y56" s="238">
        <f>VLOOKUP(W56,'Currency Rates'!A:C,3,FALSE)</f>
        <v>1.5360560000000001</v>
      </c>
      <c r="Z56" s="11" t="s">
        <v>555</v>
      </c>
      <c r="AA56" s="11" t="s">
        <v>555</v>
      </c>
      <c r="AB56" s="11" t="s">
        <v>555</v>
      </c>
      <c r="AC56" s="496" t="s">
        <v>1038</v>
      </c>
      <c r="AD56" s="496" t="s">
        <v>1039</v>
      </c>
      <c r="AE56" s="496" t="s">
        <v>1040</v>
      </c>
      <c r="AF56" s="496" t="s">
        <v>1041</v>
      </c>
      <c r="AG56" s="496" t="s">
        <v>646</v>
      </c>
      <c r="AH56" s="496" t="s">
        <v>647</v>
      </c>
      <c r="AI56" s="11" t="s">
        <v>555</v>
      </c>
      <c r="AJ56" s="367" t="str">
        <f t="shared" si="3"/>
        <v>CCH_H1_5_88</v>
      </c>
      <c r="AK56" s="11" t="s">
        <v>555</v>
      </c>
      <c r="AL56" s="11" t="s">
        <v>555</v>
      </c>
      <c r="AM56" s="11" t="s">
        <v>555</v>
      </c>
      <c r="AN56" s="11" t="s">
        <v>555</v>
      </c>
      <c r="AO56" s="11" t="s">
        <v>555</v>
      </c>
      <c r="AP56" s="516"/>
    </row>
    <row r="57" spans="2:42" x14ac:dyDescent="0.3">
      <c r="B57" s="238" t="str">
        <f t="shared" si="0"/>
        <v>FortnightProfessionalUOM 6.2</v>
      </c>
      <c r="C57" s="238" t="s">
        <v>576</v>
      </c>
      <c r="D57" s="238" t="s">
        <v>767</v>
      </c>
      <c r="E57" s="238" t="s">
        <v>925</v>
      </c>
      <c r="F57" s="212">
        <v>100852</v>
      </c>
      <c r="G57" s="298"/>
      <c r="H57" s="395" t="str">
        <f t="shared" si="5"/>
        <v>2022Fixed-Term</v>
      </c>
      <c r="I57" s="396">
        <v>2022</v>
      </c>
      <c r="J57" s="387" t="s">
        <v>593</v>
      </c>
      <c r="K57" s="426">
        <v>0.17</v>
      </c>
      <c r="L57" s="298"/>
      <c r="M57" s="298"/>
      <c r="O57" s="237" t="s">
        <v>926</v>
      </c>
      <c r="P57" s="238" t="s">
        <v>927</v>
      </c>
      <c r="T57" s="11" t="s">
        <v>555</v>
      </c>
      <c r="Z57" s="11" t="s">
        <v>555</v>
      </c>
      <c r="AA57" s="11" t="s">
        <v>555</v>
      </c>
      <c r="AB57" s="11" t="s">
        <v>555</v>
      </c>
      <c r="AC57" s="496" t="s">
        <v>1043</v>
      </c>
      <c r="AD57" s="496" t="s">
        <v>1044</v>
      </c>
      <c r="AE57" s="496" t="s">
        <v>1040</v>
      </c>
      <c r="AF57" s="496" t="s">
        <v>1041</v>
      </c>
      <c r="AG57" s="496" t="s">
        <v>646</v>
      </c>
      <c r="AH57" s="496" t="s">
        <v>647</v>
      </c>
      <c r="AI57" s="11" t="s">
        <v>555</v>
      </c>
      <c r="AJ57" s="367" t="str">
        <f t="shared" si="3"/>
        <v>CCH_H1_5_89</v>
      </c>
      <c r="AK57" s="11" t="s">
        <v>555</v>
      </c>
      <c r="AL57" s="11" t="s">
        <v>555</v>
      </c>
      <c r="AM57" s="11" t="s">
        <v>555</v>
      </c>
      <c r="AN57" s="11" t="s">
        <v>555</v>
      </c>
      <c r="AO57" s="11" t="s">
        <v>555</v>
      </c>
      <c r="AP57" s="516"/>
    </row>
    <row r="58" spans="2:42" ht="15.6" x14ac:dyDescent="0.3">
      <c r="B58" s="238" t="str">
        <f t="shared" si="0"/>
        <v>FortnightProfessionalUOM 6.3</v>
      </c>
      <c r="C58" s="238" t="s">
        <v>576</v>
      </c>
      <c r="D58" s="238" t="s">
        <v>767</v>
      </c>
      <c r="E58" s="238" t="s">
        <v>930</v>
      </c>
      <c r="F58" s="212">
        <v>102860</v>
      </c>
      <c r="G58" s="298"/>
      <c r="H58" s="395" t="str">
        <f t="shared" si="5"/>
        <v>2022Casual</v>
      </c>
      <c r="I58" s="396">
        <v>2022</v>
      </c>
      <c r="J58" s="388" t="s">
        <v>601</v>
      </c>
      <c r="K58" s="426">
        <v>0.1</v>
      </c>
      <c r="L58" s="298"/>
      <c r="M58" s="298"/>
      <c r="O58" s="237" t="s">
        <v>931</v>
      </c>
      <c r="P58" s="238" t="s">
        <v>932</v>
      </c>
      <c r="R58" s="232" t="s">
        <v>933</v>
      </c>
      <c r="S58" s="232"/>
      <c r="T58" s="11" t="s">
        <v>555</v>
      </c>
      <c r="Z58" s="11" t="s">
        <v>555</v>
      </c>
      <c r="AA58" s="11" t="s">
        <v>555</v>
      </c>
      <c r="AB58" s="11" t="s">
        <v>555</v>
      </c>
      <c r="AC58" s="496" t="s">
        <v>1046</v>
      </c>
      <c r="AD58" s="496" t="s">
        <v>1047</v>
      </c>
      <c r="AE58" s="496" t="s">
        <v>1048</v>
      </c>
      <c r="AF58" s="496" t="s">
        <v>1049</v>
      </c>
      <c r="AG58" s="496" t="s">
        <v>646</v>
      </c>
      <c r="AH58" s="496" t="s">
        <v>647</v>
      </c>
      <c r="AI58" s="11" t="s">
        <v>555</v>
      </c>
      <c r="AJ58" s="367" t="str">
        <f t="shared" si="3"/>
        <v>CCH_H1_5_90</v>
      </c>
      <c r="AK58" s="11" t="s">
        <v>555</v>
      </c>
      <c r="AL58" s="11" t="s">
        <v>555</v>
      </c>
      <c r="AM58" s="11" t="s">
        <v>555</v>
      </c>
      <c r="AN58" s="11" t="s">
        <v>555</v>
      </c>
      <c r="AO58" s="11" t="s">
        <v>555</v>
      </c>
      <c r="AP58" s="516"/>
    </row>
    <row r="59" spans="2:42" x14ac:dyDescent="0.3">
      <c r="B59" s="238" t="str">
        <f t="shared" si="0"/>
        <v>FortnightProfessionalUOM 6.4</v>
      </c>
      <c r="C59" s="238" t="s">
        <v>576</v>
      </c>
      <c r="D59" s="238" t="s">
        <v>767</v>
      </c>
      <c r="E59" s="238" t="s">
        <v>936</v>
      </c>
      <c r="F59" s="212">
        <v>104921</v>
      </c>
      <c r="G59" s="298"/>
      <c r="H59" s="395" t="str">
        <f t="shared" si="5"/>
        <v>2023Continuing</v>
      </c>
      <c r="I59" s="396">
        <v>2023</v>
      </c>
      <c r="J59" s="397" t="s">
        <v>581</v>
      </c>
      <c r="K59" s="426">
        <v>0.17</v>
      </c>
      <c r="L59" s="298"/>
      <c r="M59" s="298"/>
      <c r="O59" s="237" t="s">
        <v>937</v>
      </c>
      <c r="P59" s="238" t="s">
        <v>938</v>
      </c>
      <c r="R59" s="235" t="s">
        <v>939</v>
      </c>
      <c r="S59" s="378"/>
      <c r="T59" s="11" t="s">
        <v>555</v>
      </c>
      <c r="Z59" s="11" t="s">
        <v>555</v>
      </c>
      <c r="AA59" s="11" t="s">
        <v>555</v>
      </c>
      <c r="AB59" s="11" t="s">
        <v>555</v>
      </c>
      <c r="AC59" s="496" t="s">
        <v>1050</v>
      </c>
      <c r="AD59" s="496" t="s">
        <v>1051</v>
      </c>
      <c r="AE59" s="496" t="s">
        <v>1048</v>
      </c>
      <c r="AF59" s="496" t="s">
        <v>1049</v>
      </c>
      <c r="AG59" s="496" t="s">
        <v>646</v>
      </c>
      <c r="AH59" s="496" t="s">
        <v>647</v>
      </c>
      <c r="AI59" s="11" t="s">
        <v>555</v>
      </c>
      <c r="AJ59" s="367" t="str">
        <f t="shared" si="3"/>
        <v>CCH_H1_5_91</v>
      </c>
      <c r="AK59" s="11" t="s">
        <v>555</v>
      </c>
      <c r="AL59" s="11" t="s">
        <v>555</v>
      </c>
      <c r="AM59" s="11" t="s">
        <v>555</v>
      </c>
      <c r="AN59" s="11" t="s">
        <v>555</v>
      </c>
      <c r="AO59" s="11" t="s">
        <v>555</v>
      </c>
      <c r="AP59" s="516"/>
    </row>
    <row r="60" spans="2:42" x14ac:dyDescent="0.3">
      <c r="B60" s="238" t="str">
        <f t="shared" si="0"/>
        <v>FortnightProfessionalUOM 6.5</v>
      </c>
      <c r="C60" s="238" t="s">
        <v>576</v>
      </c>
      <c r="D60" s="238" t="s">
        <v>767</v>
      </c>
      <c r="E60" s="238" t="s">
        <v>942</v>
      </c>
      <c r="F60" s="212">
        <v>107023</v>
      </c>
      <c r="G60" s="298"/>
      <c r="H60" s="395" t="str">
        <f t="shared" si="5"/>
        <v>2023Fixed-Term</v>
      </c>
      <c r="I60" s="396">
        <v>2023</v>
      </c>
      <c r="J60" s="387" t="s">
        <v>593</v>
      </c>
      <c r="K60" s="426">
        <v>0.17</v>
      </c>
      <c r="L60" s="298"/>
      <c r="M60" s="298"/>
      <c r="O60" s="247" t="s">
        <v>943</v>
      </c>
      <c r="P60" s="244" t="s">
        <v>944</v>
      </c>
      <c r="R60" s="238"/>
      <c r="S60" s="249"/>
      <c r="T60" s="11" t="s">
        <v>555</v>
      </c>
      <c r="Z60" s="11" t="s">
        <v>555</v>
      </c>
      <c r="AA60" s="11" t="s">
        <v>555</v>
      </c>
      <c r="AB60" s="11" t="s">
        <v>555</v>
      </c>
      <c r="AC60" s="496" t="s">
        <v>1052</v>
      </c>
      <c r="AD60" s="496" t="s">
        <v>1053</v>
      </c>
      <c r="AE60" s="496" t="s">
        <v>1054</v>
      </c>
      <c r="AF60" s="496" t="s">
        <v>1055</v>
      </c>
      <c r="AG60" s="496" t="s">
        <v>646</v>
      </c>
      <c r="AH60" s="496" t="s">
        <v>647</v>
      </c>
      <c r="AI60" s="11" t="s">
        <v>555</v>
      </c>
      <c r="AJ60" s="367" t="str">
        <f t="shared" si="3"/>
        <v>CCH_H1_5_92</v>
      </c>
      <c r="AK60" s="11" t="s">
        <v>555</v>
      </c>
      <c r="AL60" s="11" t="s">
        <v>555</v>
      </c>
      <c r="AM60" s="11" t="s">
        <v>555</v>
      </c>
      <c r="AN60" s="11" t="s">
        <v>555</v>
      </c>
      <c r="AO60" s="11" t="s">
        <v>555</v>
      </c>
      <c r="AP60" s="516"/>
    </row>
    <row r="61" spans="2:42" x14ac:dyDescent="0.3">
      <c r="B61" s="238" t="str">
        <f t="shared" si="0"/>
        <v>FortnightProfessionalUOM 7.1</v>
      </c>
      <c r="C61" s="238" t="s">
        <v>576</v>
      </c>
      <c r="D61" s="238" t="s">
        <v>767</v>
      </c>
      <c r="E61" s="238" t="s">
        <v>948</v>
      </c>
      <c r="F61" s="212">
        <v>109093</v>
      </c>
      <c r="G61" s="298"/>
      <c r="H61" s="395" t="str">
        <f t="shared" si="5"/>
        <v>2023Casual</v>
      </c>
      <c r="I61" s="396">
        <v>2023</v>
      </c>
      <c r="J61" s="388" t="s">
        <v>601</v>
      </c>
      <c r="K61" s="426">
        <v>0.105</v>
      </c>
      <c r="L61" s="298"/>
      <c r="M61" s="298"/>
      <c r="R61" s="238" t="s">
        <v>945</v>
      </c>
      <c r="S61" s="249"/>
      <c r="T61" s="11" t="s">
        <v>555</v>
      </c>
      <c r="Z61" s="11" t="s">
        <v>555</v>
      </c>
      <c r="AA61" s="11" t="s">
        <v>555</v>
      </c>
      <c r="AB61" s="11" t="s">
        <v>555</v>
      </c>
      <c r="AC61" s="496" t="s">
        <v>1056</v>
      </c>
      <c r="AD61" s="496" t="s">
        <v>1057</v>
      </c>
      <c r="AE61" s="496" t="s">
        <v>1054</v>
      </c>
      <c r="AF61" s="496" t="s">
        <v>1055</v>
      </c>
      <c r="AG61" s="496" t="s">
        <v>646</v>
      </c>
      <c r="AH61" s="496" t="s">
        <v>647</v>
      </c>
      <c r="AI61" s="11" t="s">
        <v>555</v>
      </c>
      <c r="AJ61" s="367" t="str">
        <f t="shared" si="3"/>
        <v>CCH_H1_5_93</v>
      </c>
      <c r="AK61" s="11" t="s">
        <v>555</v>
      </c>
      <c r="AL61" s="11" t="s">
        <v>555</v>
      </c>
      <c r="AM61" s="11" t="s">
        <v>555</v>
      </c>
      <c r="AN61" s="11" t="s">
        <v>555</v>
      </c>
      <c r="AO61" s="11" t="s">
        <v>555</v>
      </c>
      <c r="AP61" s="516"/>
    </row>
    <row r="62" spans="2:42" x14ac:dyDescent="0.3">
      <c r="B62" s="238" t="str">
        <f t="shared" si="0"/>
        <v>FortnightProfessionalUOM 7.2</v>
      </c>
      <c r="C62" s="238" t="s">
        <v>576</v>
      </c>
      <c r="D62" s="238" t="s">
        <v>767</v>
      </c>
      <c r="E62" s="238" t="s">
        <v>950</v>
      </c>
      <c r="F62" s="212">
        <v>111280</v>
      </c>
      <c r="G62" s="298"/>
      <c r="H62" s="395" t="str">
        <f t="shared" si="5"/>
        <v>2024Continuing</v>
      </c>
      <c r="I62" s="396">
        <v>2024</v>
      </c>
      <c r="J62" s="397" t="s">
        <v>581</v>
      </c>
      <c r="K62" s="426">
        <v>0.17</v>
      </c>
      <c r="L62" s="298"/>
      <c r="M62" s="298"/>
      <c r="R62" s="238" t="s">
        <v>949</v>
      </c>
      <c r="S62" s="249"/>
      <c r="T62" s="11" t="s">
        <v>555</v>
      </c>
      <c r="Z62" s="11" t="s">
        <v>555</v>
      </c>
      <c r="AA62" s="11" t="s">
        <v>555</v>
      </c>
      <c r="AB62" s="11" t="s">
        <v>555</v>
      </c>
      <c r="AC62" s="496" t="s">
        <v>1058</v>
      </c>
      <c r="AD62" s="496" t="s">
        <v>1059</v>
      </c>
      <c r="AE62" s="496" t="s">
        <v>1054</v>
      </c>
      <c r="AF62" s="496" t="s">
        <v>1055</v>
      </c>
      <c r="AG62" s="496" t="s">
        <v>646</v>
      </c>
      <c r="AH62" s="496" t="s">
        <v>647</v>
      </c>
      <c r="AI62" s="11" t="s">
        <v>555</v>
      </c>
      <c r="AJ62" s="367" t="str">
        <f t="shared" si="3"/>
        <v>CCH_H1_5_94</v>
      </c>
      <c r="AK62" s="11" t="s">
        <v>555</v>
      </c>
      <c r="AL62" s="11" t="s">
        <v>555</v>
      </c>
      <c r="AM62" s="11" t="s">
        <v>555</v>
      </c>
      <c r="AN62" s="11" t="s">
        <v>555</v>
      </c>
      <c r="AO62" s="11" t="s">
        <v>555</v>
      </c>
      <c r="AP62" s="516"/>
    </row>
    <row r="63" spans="2:42" ht="15.6" x14ac:dyDescent="0.3">
      <c r="B63" s="238" t="str">
        <f t="shared" si="0"/>
        <v>FortnightProfessionalUOM 7.3</v>
      </c>
      <c r="C63" s="238" t="s">
        <v>576</v>
      </c>
      <c r="D63" s="238" t="s">
        <v>767</v>
      </c>
      <c r="E63" s="238" t="s">
        <v>952</v>
      </c>
      <c r="F63" s="212">
        <v>113502</v>
      </c>
      <c r="G63" s="298"/>
      <c r="H63" s="395" t="str">
        <f t="shared" si="5"/>
        <v>2024Fixed-Term</v>
      </c>
      <c r="I63" s="396">
        <v>2024</v>
      </c>
      <c r="J63" s="387" t="s">
        <v>593</v>
      </c>
      <c r="K63" s="426">
        <v>0.17</v>
      </c>
      <c r="L63" s="298"/>
      <c r="M63" s="298"/>
      <c r="O63" s="232" t="s">
        <v>953</v>
      </c>
      <c r="R63" s="238" t="s">
        <v>951</v>
      </c>
      <c r="S63" s="249"/>
      <c r="T63" s="11" t="s">
        <v>555</v>
      </c>
      <c r="U63" s="232" t="s">
        <v>955</v>
      </c>
      <c r="V63" s="232"/>
      <c r="Z63" s="11" t="s">
        <v>555</v>
      </c>
      <c r="AA63" s="11" t="s">
        <v>555</v>
      </c>
      <c r="AB63" s="11" t="s">
        <v>555</v>
      </c>
      <c r="AC63" s="496" t="s">
        <v>1060</v>
      </c>
      <c r="AD63" s="496" t="s">
        <v>1061</v>
      </c>
      <c r="AE63" s="496" t="s">
        <v>1054</v>
      </c>
      <c r="AF63" s="496" t="s">
        <v>1055</v>
      </c>
      <c r="AG63" s="496" t="s">
        <v>646</v>
      </c>
      <c r="AH63" s="496" t="s">
        <v>647</v>
      </c>
      <c r="AI63" s="11" t="s">
        <v>555</v>
      </c>
      <c r="AJ63" s="367" t="str">
        <f t="shared" si="3"/>
        <v>CCH_H1_5_95</v>
      </c>
      <c r="AK63" s="11" t="s">
        <v>555</v>
      </c>
      <c r="AL63" s="11" t="s">
        <v>555</v>
      </c>
      <c r="AM63" s="11" t="s">
        <v>555</v>
      </c>
      <c r="AN63" s="11" t="s">
        <v>555</v>
      </c>
      <c r="AO63" s="11" t="s">
        <v>555</v>
      </c>
      <c r="AP63" s="516"/>
    </row>
    <row r="64" spans="2:42" x14ac:dyDescent="0.3">
      <c r="B64" s="238" t="str">
        <f t="shared" si="0"/>
        <v>FortnightProfessionalUOM 7.4</v>
      </c>
      <c r="C64" s="238" t="s">
        <v>576</v>
      </c>
      <c r="D64" s="238" t="s">
        <v>767</v>
      </c>
      <c r="E64" s="238" t="s">
        <v>958</v>
      </c>
      <c r="F64" s="212">
        <v>115771</v>
      </c>
      <c r="G64" s="298"/>
      <c r="H64" s="395" t="str">
        <f t="shared" si="5"/>
        <v>2024Casual</v>
      </c>
      <c r="I64" s="396">
        <v>2024</v>
      </c>
      <c r="J64" s="388" t="s">
        <v>601</v>
      </c>
      <c r="K64" s="426">
        <v>0.11</v>
      </c>
      <c r="L64" s="298"/>
      <c r="M64" s="298"/>
      <c r="O64" s="235"/>
      <c r="P64" s="235" t="s">
        <v>58</v>
      </c>
      <c r="R64" s="238" t="s">
        <v>954</v>
      </c>
      <c r="S64" s="249"/>
      <c r="T64" s="11" t="s">
        <v>555</v>
      </c>
      <c r="U64" s="235" t="s">
        <v>960</v>
      </c>
      <c r="V64" s="235" t="s">
        <v>961</v>
      </c>
      <c r="W64" s="235" t="s">
        <v>962</v>
      </c>
      <c r="Z64" s="11" t="s">
        <v>555</v>
      </c>
      <c r="AA64" s="11" t="s">
        <v>555</v>
      </c>
      <c r="AB64" s="11" t="s">
        <v>555</v>
      </c>
      <c r="AC64" s="496" t="s">
        <v>1197</v>
      </c>
      <c r="AD64" s="496" t="s">
        <v>1198</v>
      </c>
      <c r="AE64" s="496" t="s">
        <v>1199</v>
      </c>
      <c r="AF64" s="496" t="s">
        <v>1200</v>
      </c>
      <c r="AG64" s="496" t="s">
        <v>1201</v>
      </c>
      <c r="AH64" s="496" t="s">
        <v>1202</v>
      </c>
      <c r="AI64" s="11" t="s">
        <v>555</v>
      </c>
      <c r="AJ64" s="367" t="str">
        <f t="shared" si="3"/>
        <v>CCH_H1_5_10</v>
      </c>
      <c r="AK64" s="11" t="s">
        <v>555</v>
      </c>
      <c r="AL64" s="11" t="s">
        <v>555</v>
      </c>
      <c r="AM64" s="11" t="s">
        <v>555</v>
      </c>
      <c r="AN64" s="11" t="s">
        <v>555</v>
      </c>
      <c r="AO64" s="11" t="s">
        <v>555</v>
      </c>
    </row>
    <row r="65" spans="2:41" x14ac:dyDescent="0.3">
      <c r="B65" s="238" t="str">
        <f t="shared" si="0"/>
        <v>FortnightProfessionalUOM 7.5</v>
      </c>
      <c r="C65" s="238" t="s">
        <v>576</v>
      </c>
      <c r="D65" s="238" t="s">
        <v>767</v>
      </c>
      <c r="E65" s="238" t="s">
        <v>965</v>
      </c>
      <c r="F65" s="212">
        <v>118091</v>
      </c>
      <c r="G65" s="413"/>
      <c r="H65" s="395" t="str">
        <f t="shared" si="5"/>
        <v>2025Continuing</v>
      </c>
      <c r="I65" s="396">
        <v>2025</v>
      </c>
      <c r="J65" s="397" t="s">
        <v>581</v>
      </c>
      <c r="K65" s="426">
        <v>0.17</v>
      </c>
      <c r="L65" s="298"/>
      <c r="M65" s="298"/>
      <c r="O65" s="252"/>
      <c r="P65" s="236" t="s">
        <v>966</v>
      </c>
      <c r="R65" s="238" t="s">
        <v>959</v>
      </c>
      <c r="S65" s="249"/>
      <c r="T65" s="11" t="s">
        <v>555</v>
      </c>
      <c r="U65" s="519" t="s">
        <v>20</v>
      </c>
      <c r="V65" s="519">
        <v>1</v>
      </c>
      <c r="W65" s="519" t="str">
        <f>CONCATENATE(TEXT(V65,"00"),"_",UPPER(LEFT(U65,3)))</f>
        <v>01_JAN</v>
      </c>
      <c r="Z65" s="11" t="s">
        <v>555</v>
      </c>
      <c r="AA65" s="11" t="s">
        <v>555</v>
      </c>
      <c r="AB65" s="11" t="s">
        <v>555</v>
      </c>
      <c r="AC65" s="496" t="s">
        <v>1203</v>
      </c>
      <c r="AD65" s="496" t="s">
        <v>1204</v>
      </c>
      <c r="AE65" s="496" t="s">
        <v>1199</v>
      </c>
      <c r="AF65" s="496" t="s">
        <v>1200</v>
      </c>
      <c r="AG65" s="496" t="s">
        <v>1201</v>
      </c>
      <c r="AH65" s="496" t="s">
        <v>1202</v>
      </c>
      <c r="AI65" s="11" t="s">
        <v>555</v>
      </c>
      <c r="AJ65" s="367" t="str">
        <f t="shared" si="3"/>
        <v>CCH_H1_5_11</v>
      </c>
      <c r="AK65" s="11" t="s">
        <v>555</v>
      </c>
      <c r="AL65" s="11" t="s">
        <v>555</v>
      </c>
      <c r="AM65" s="11" t="s">
        <v>555</v>
      </c>
      <c r="AN65" s="11" t="s">
        <v>555</v>
      </c>
      <c r="AO65" s="11" t="s">
        <v>555</v>
      </c>
    </row>
    <row r="66" spans="2:41" x14ac:dyDescent="0.3">
      <c r="B66" s="238" t="str">
        <f t="shared" si="0"/>
        <v>FortnightProfessionalUOM 8.1</v>
      </c>
      <c r="C66" s="238" t="s">
        <v>576</v>
      </c>
      <c r="D66" s="238" t="s">
        <v>767</v>
      </c>
      <c r="E66" s="238" t="s">
        <v>969</v>
      </c>
      <c r="F66" s="212">
        <v>122736</v>
      </c>
      <c r="G66" s="413"/>
      <c r="H66" s="395" t="str">
        <f t="shared" si="5"/>
        <v>2025Fixed-Term</v>
      </c>
      <c r="I66" s="396">
        <v>2025</v>
      </c>
      <c r="J66" s="387" t="s">
        <v>593</v>
      </c>
      <c r="K66" s="426">
        <v>0.17</v>
      </c>
      <c r="L66" s="298"/>
      <c r="M66" s="298"/>
      <c r="O66" s="247"/>
      <c r="P66" s="244" t="s">
        <v>970</v>
      </c>
      <c r="R66" s="238" t="s">
        <v>967</v>
      </c>
      <c r="S66" s="249"/>
      <c r="T66" s="11" t="s">
        <v>555</v>
      </c>
      <c r="U66" s="238" t="s">
        <v>971</v>
      </c>
      <c r="V66" s="519">
        <v>2</v>
      </c>
      <c r="W66" s="519" t="str">
        <f t="shared" ref="W66:W76" si="6">CONCATENATE(TEXT(V66,"00"),"_",UPPER(LEFT(U66,3)))</f>
        <v>02_FEB</v>
      </c>
      <c r="Z66" s="11" t="s">
        <v>555</v>
      </c>
      <c r="AA66" s="11" t="s">
        <v>555</v>
      </c>
      <c r="AB66" s="11" t="s">
        <v>555</v>
      </c>
      <c r="AC66" s="496" t="s">
        <v>1205</v>
      </c>
      <c r="AD66" s="496" t="s">
        <v>1206</v>
      </c>
      <c r="AE66" s="496" t="s">
        <v>1199</v>
      </c>
      <c r="AF66" s="496" t="s">
        <v>1200</v>
      </c>
      <c r="AG66" s="496" t="s">
        <v>1201</v>
      </c>
      <c r="AH66" s="496" t="s">
        <v>1202</v>
      </c>
      <c r="AI66" s="11" t="s">
        <v>555</v>
      </c>
      <c r="AJ66" s="367" t="str">
        <f t="shared" si="3"/>
        <v>CCH_H1_5_12</v>
      </c>
      <c r="AK66" s="11" t="s">
        <v>555</v>
      </c>
      <c r="AL66" s="11" t="s">
        <v>555</v>
      </c>
      <c r="AM66" s="11" t="s">
        <v>555</v>
      </c>
      <c r="AN66" s="11" t="s">
        <v>555</v>
      </c>
      <c r="AO66" s="11" t="s">
        <v>555</v>
      </c>
    </row>
    <row r="67" spans="2:41" x14ac:dyDescent="0.3">
      <c r="B67" s="238" t="str">
        <f t="shared" si="0"/>
        <v>FortnightProfessionalUOM 8.2</v>
      </c>
      <c r="C67" s="238" t="s">
        <v>576</v>
      </c>
      <c r="D67" s="238" t="s">
        <v>767</v>
      </c>
      <c r="E67" s="238" t="s">
        <v>974</v>
      </c>
      <c r="F67" s="212">
        <v>125187</v>
      </c>
      <c r="G67" s="298"/>
      <c r="H67" s="398" t="str">
        <f t="shared" si="5"/>
        <v>2025Casual</v>
      </c>
      <c r="I67" s="399">
        <v>2025</v>
      </c>
      <c r="J67" s="400" t="s">
        <v>601</v>
      </c>
      <c r="K67" s="427">
        <v>0.115</v>
      </c>
      <c r="L67" s="298"/>
      <c r="M67" s="298"/>
      <c r="R67" s="238"/>
      <c r="S67" s="249"/>
      <c r="T67" s="11" t="s">
        <v>555</v>
      </c>
      <c r="U67" s="238" t="s">
        <v>975</v>
      </c>
      <c r="V67" s="519">
        <v>3</v>
      </c>
      <c r="W67" s="519" t="str">
        <f t="shared" si="6"/>
        <v>03_MAR</v>
      </c>
      <c r="X67" s="11" t="s">
        <v>555</v>
      </c>
      <c r="Y67" s="11" t="s">
        <v>555</v>
      </c>
      <c r="Z67" s="11" t="s">
        <v>555</v>
      </c>
      <c r="AA67" s="11" t="s">
        <v>555</v>
      </c>
      <c r="AB67" s="11" t="s">
        <v>555</v>
      </c>
      <c r="AC67" s="496" t="s">
        <v>1207</v>
      </c>
      <c r="AD67" s="496" t="s">
        <v>1208</v>
      </c>
      <c r="AE67" s="496" t="s">
        <v>1209</v>
      </c>
      <c r="AF67" s="496" t="s">
        <v>1210</v>
      </c>
      <c r="AG67" s="496" t="s">
        <v>1201</v>
      </c>
      <c r="AH67" s="496" t="s">
        <v>1202</v>
      </c>
      <c r="AI67" s="11" t="s">
        <v>555</v>
      </c>
      <c r="AJ67" s="367" t="str">
        <f t="shared" si="3"/>
        <v>CCH_H1_5_121</v>
      </c>
      <c r="AK67" s="11" t="s">
        <v>555</v>
      </c>
      <c r="AL67" s="11" t="s">
        <v>555</v>
      </c>
      <c r="AM67" s="11" t="s">
        <v>555</v>
      </c>
      <c r="AN67" s="11" t="s">
        <v>555</v>
      </c>
      <c r="AO67" s="11" t="s">
        <v>555</v>
      </c>
    </row>
    <row r="68" spans="2:41" x14ac:dyDescent="0.3">
      <c r="B68" s="238" t="str">
        <f t="shared" ref="B68:B131" si="7">CONCATENATE(C68,D68,E68)</f>
        <v>FortnightProfessionalUOM 8.3</v>
      </c>
      <c r="C68" s="238" t="s">
        <v>576</v>
      </c>
      <c r="D68" s="238" t="s">
        <v>767</v>
      </c>
      <c r="E68" s="238" t="s">
        <v>976</v>
      </c>
      <c r="F68" s="212">
        <v>127688</v>
      </c>
      <c r="G68" s="298"/>
      <c r="H68" s="389"/>
      <c r="I68" s="390"/>
      <c r="J68" s="386"/>
      <c r="K68" s="298" t="s">
        <v>555</v>
      </c>
      <c r="L68" s="298"/>
      <c r="M68" s="298"/>
      <c r="R68" s="238"/>
      <c r="S68" s="249"/>
      <c r="T68" s="11" t="s">
        <v>555</v>
      </c>
      <c r="U68" s="238" t="s">
        <v>977</v>
      </c>
      <c r="V68" s="519">
        <v>4</v>
      </c>
      <c r="W68" s="519" t="str">
        <f t="shared" si="6"/>
        <v>04_APR</v>
      </c>
      <c r="X68" s="11" t="s">
        <v>555</v>
      </c>
      <c r="Y68" s="11" t="s">
        <v>555</v>
      </c>
      <c r="Z68" s="11" t="s">
        <v>555</v>
      </c>
      <c r="AA68" s="11" t="s">
        <v>555</v>
      </c>
      <c r="AB68" s="11" t="s">
        <v>555</v>
      </c>
      <c r="AC68" s="496" t="s">
        <v>1211</v>
      </c>
      <c r="AD68" s="496" t="s">
        <v>1212</v>
      </c>
      <c r="AE68" s="496" t="s">
        <v>1209</v>
      </c>
      <c r="AF68" s="496" t="s">
        <v>1210</v>
      </c>
      <c r="AG68" s="496" t="s">
        <v>1201</v>
      </c>
      <c r="AH68" s="496" t="s">
        <v>1202</v>
      </c>
      <c r="AI68" s="11" t="s">
        <v>555</v>
      </c>
      <c r="AJ68" s="367" t="str">
        <f t="shared" si="3"/>
        <v>CCH_H1_5_122</v>
      </c>
      <c r="AK68" s="11" t="s">
        <v>555</v>
      </c>
      <c r="AL68" s="11" t="s">
        <v>555</v>
      </c>
      <c r="AM68" s="11" t="s">
        <v>555</v>
      </c>
      <c r="AN68" s="11" t="s">
        <v>555</v>
      </c>
      <c r="AO68" s="11" t="s">
        <v>555</v>
      </c>
    </row>
    <row r="69" spans="2:41" x14ac:dyDescent="0.3">
      <c r="B69" s="238" t="str">
        <f t="shared" si="7"/>
        <v>FortnightProfessionalUOM 8.4</v>
      </c>
      <c r="C69" s="238" t="s">
        <v>576</v>
      </c>
      <c r="D69" s="238" t="s">
        <v>767</v>
      </c>
      <c r="E69" s="238" t="s">
        <v>982</v>
      </c>
      <c r="F69" s="212">
        <v>130244</v>
      </c>
      <c r="G69" s="298"/>
      <c r="H69" s="389"/>
      <c r="I69" s="390"/>
      <c r="J69" s="386"/>
      <c r="K69" s="298" t="s">
        <v>555</v>
      </c>
      <c r="L69" s="298"/>
      <c r="M69" s="298"/>
      <c r="R69" s="238"/>
      <c r="S69" s="249"/>
      <c r="T69" s="11" t="s">
        <v>555</v>
      </c>
      <c r="U69" s="238" t="s">
        <v>983</v>
      </c>
      <c r="V69" s="519">
        <v>5</v>
      </c>
      <c r="W69" s="519" t="str">
        <f t="shared" si="6"/>
        <v>05_MAY</v>
      </c>
      <c r="X69" s="11" t="s">
        <v>555</v>
      </c>
      <c r="Y69" s="11" t="s">
        <v>555</v>
      </c>
      <c r="Z69" s="11" t="s">
        <v>555</v>
      </c>
      <c r="AA69" s="11" t="s">
        <v>555</v>
      </c>
      <c r="AB69" s="11" t="s">
        <v>555</v>
      </c>
      <c r="AC69" s="496" t="s">
        <v>1213</v>
      </c>
      <c r="AD69" s="496" t="s">
        <v>1214</v>
      </c>
      <c r="AE69" s="496" t="s">
        <v>1209</v>
      </c>
      <c r="AF69" s="496" t="s">
        <v>1210</v>
      </c>
      <c r="AG69" s="496" t="s">
        <v>1201</v>
      </c>
      <c r="AH69" s="496" t="s">
        <v>1202</v>
      </c>
      <c r="AI69" s="11" t="s">
        <v>555</v>
      </c>
      <c r="AJ69" s="367" t="str">
        <f t="shared" ref="AJ69:AJ132" si="8">AD69</f>
        <v>CCH_H1_5_123</v>
      </c>
      <c r="AK69" s="11" t="s">
        <v>555</v>
      </c>
      <c r="AL69" s="11" t="s">
        <v>555</v>
      </c>
      <c r="AM69" s="11" t="s">
        <v>555</v>
      </c>
      <c r="AN69" s="11" t="s">
        <v>555</v>
      </c>
      <c r="AO69" s="11" t="s">
        <v>555</v>
      </c>
    </row>
    <row r="70" spans="2:41" x14ac:dyDescent="0.3">
      <c r="B70" s="238" t="str">
        <f t="shared" si="7"/>
        <v>FortnightProfessionalUOM 8.5</v>
      </c>
      <c r="C70" s="238" t="s">
        <v>576</v>
      </c>
      <c r="D70" s="238" t="s">
        <v>767</v>
      </c>
      <c r="E70" s="238" t="s">
        <v>988</v>
      </c>
      <c r="F70" s="212">
        <v>132847</v>
      </c>
      <c r="G70" s="298"/>
      <c r="H70" s="389"/>
      <c r="I70" s="390"/>
      <c r="J70" s="386"/>
      <c r="K70" s="298" t="s">
        <v>555</v>
      </c>
      <c r="L70" s="298"/>
      <c r="M70" s="298"/>
      <c r="R70" s="238"/>
      <c r="S70" s="249"/>
      <c r="T70" s="11" t="s">
        <v>555</v>
      </c>
      <c r="U70" s="238" t="s">
        <v>989</v>
      </c>
      <c r="V70" s="519">
        <v>6</v>
      </c>
      <c r="W70" s="519" t="str">
        <f t="shared" si="6"/>
        <v>06_JUN</v>
      </c>
      <c r="X70" s="11" t="s">
        <v>555</v>
      </c>
      <c r="Y70" s="11" t="s">
        <v>555</v>
      </c>
      <c r="Z70" s="11" t="s">
        <v>555</v>
      </c>
      <c r="AA70" s="11" t="s">
        <v>555</v>
      </c>
      <c r="AB70" s="11" t="s">
        <v>555</v>
      </c>
      <c r="AC70" s="496" t="s">
        <v>1215</v>
      </c>
      <c r="AD70" s="496" t="s">
        <v>1216</v>
      </c>
      <c r="AE70" s="496" t="s">
        <v>1217</v>
      </c>
      <c r="AF70" s="496" t="s">
        <v>1218</v>
      </c>
      <c r="AG70" s="496" t="s">
        <v>1201</v>
      </c>
      <c r="AH70" s="496" t="s">
        <v>1202</v>
      </c>
      <c r="AI70" s="11" t="s">
        <v>555</v>
      </c>
      <c r="AJ70" s="367" t="str">
        <f t="shared" si="8"/>
        <v>CCH_H1_5_124</v>
      </c>
      <c r="AK70" s="11" t="s">
        <v>555</v>
      </c>
      <c r="AL70" s="11" t="s">
        <v>555</v>
      </c>
      <c r="AM70" s="11" t="s">
        <v>555</v>
      </c>
      <c r="AN70" s="11" t="s">
        <v>555</v>
      </c>
      <c r="AO70" s="11" t="s">
        <v>555</v>
      </c>
    </row>
    <row r="71" spans="2:41" x14ac:dyDescent="0.3">
      <c r="B71" s="238" t="str">
        <f t="shared" si="7"/>
        <v>FortnightProfessionalUOM 9.1</v>
      </c>
      <c r="C71" s="238" t="s">
        <v>576</v>
      </c>
      <c r="D71" s="238" t="s">
        <v>767</v>
      </c>
      <c r="E71" s="238" t="s">
        <v>990</v>
      </c>
      <c r="F71" s="212">
        <v>143185</v>
      </c>
      <c r="G71" s="298"/>
      <c r="H71" s="389"/>
      <c r="I71" s="390"/>
      <c r="J71" s="386"/>
      <c r="K71" s="298" t="s">
        <v>555</v>
      </c>
      <c r="L71" s="298"/>
      <c r="M71" s="298"/>
      <c r="S71" s="249"/>
      <c r="T71" s="11" t="s">
        <v>555</v>
      </c>
      <c r="U71" s="238" t="s">
        <v>991</v>
      </c>
      <c r="V71" s="519">
        <v>7</v>
      </c>
      <c r="W71" s="519" t="str">
        <f t="shared" si="6"/>
        <v>07_JUL</v>
      </c>
      <c r="X71" s="11" t="s">
        <v>555</v>
      </c>
      <c r="Y71" s="11" t="s">
        <v>555</v>
      </c>
      <c r="Z71" s="11" t="s">
        <v>555</v>
      </c>
      <c r="AA71" s="11" t="s">
        <v>555</v>
      </c>
      <c r="AB71" s="11" t="s">
        <v>555</v>
      </c>
      <c r="AC71" s="496" t="s">
        <v>1219</v>
      </c>
      <c r="AD71" s="496" t="s">
        <v>1220</v>
      </c>
      <c r="AE71" s="496" t="s">
        <v>1217</v>
      </c>
      <c r="AF71" s="496" t="s">
        <v>1218</v>
      </c>
      <c r="AG71" s="496" t="s">
        <v>1201</v>
      </c>
      <c r="AH71" s="496" t="s">
        <v>1202</v>
      </c>
      <c r="AI71" s="11" t="s">
        <v>555</v>
      </c>
      <c r="AJ71" s="367" t="str">
        <f t="shared" si="8"/>
        <v>CCH_H1_5_125</v>
      </c>
      <c r="AK71" s="11" t="s">
        <v>555</v>
      </c>
      <c r="AL71" s="11" t="s">
        <v>555</v>
      </c>
      <c r="AM71" s="11" t="s">
        <v>555</v>
      </c>
      <c r="AN71" s="11" t="s">
        <v>555</v>
      </c>
      <c r="AO71" s="11" t="s">
        <v>555</v>
      </c>
    </row>
    <row r="72" spans="2:41" ht="15.6" x14ac:dyDescent="0.3">
      <c r="B72" s="238" t="str">
        <f t="shared" si="7"/>
        <v>FortnightProfessionalUOM 9.2</v>
      </c>
      <c r="C72" s="238" t="s">
        <v>576</v>
      </c>
      <c r="D72" s="238" t="s">
        <v>767</v>
      </c>
      <c r="E72" s="238" t="s">
        <v>992</v>
      </c>
      <c r="F72" s="212">
        <v>146043</v>
      </c>
      <c r="G72" s="298"/>
      <c r="H72" s="391" t="s">
        <v>993</v>
      </c>
      <c r="I72" s="390"/>
      <c r="J72" s="386"/>
      <c r="K72" s="298" t="s">
        <v>555</v>
      </c>
      <c r="L72" s="298"/>
      <c r="M72" s="298"/>
      <c r="R72" s="244"/>
      <c r="T72" s="11" t="s">
        <v>555</v>
      </c>
      <c r="U72" s="238" t="s">
        <v>994</v>
      </c>
      <c r="V72" s="519">
        <v>8</v>
      </c>
      <c r="W72" s="519" t="str">
        <f t="shared" si="6"/>
        <v>08_AUG</v>
      </c>
      <c r="X72" s="11" t="s">
        <v>555</v>
      </c>
      <c r="Y72" s="11" t="s">
        <v>555</v>
      </c>
      <c r="Z72" s="11" t="s">
        <v>555</v>
      </c>
      <c r="AA72" s="11" t="s">
        <v>555</v>
      </c>
      <c r="AB72" s="11" t="s">
        <v>555</v>
      </c>
      <c r="AC72" s="496" t="s">
        <v>1221</v>
      </c>
      <c r="AD72" s="496" t="s">
        <v>1222</v>
      </c>
      <c r="AE72" s="496" t="s">
        <v>1217</v>
      </c>
      <c r="AF72" s="496" t="s">
        <v>1218</v>
      </c>
      <c r="AG72" s="496" t="s">
        <v>1201</v>
      </c>
      <c r="AH72" s="496" t="s">
        <v>1202</v>
      </c>
      <c r="AI72" s="11" t="s">
        <v>555</v>
      </c>
      <c r="AJ72" s="367" t="str">
        <f t="shared" si="8"/>
        <v>CCH_H1_5_126</v>
      </c>
      <c r="AK72" s="11" t="s">
        <v>555</v>
      </c>
      <c r="AL72" s="11" t="s">
        <v>555</v>
      </c>
      <c r="AM72" s="11" t="s">
        <v>555</v>
      </c>
      <c r="AN72" s="11" t="s">
        <v>555</v>
      </c>
      <c r="AO72" s="11" t="s">
        <v>555</v>
      </c>
    </row>
    <row r="73" spans="2:41" x14ac:dyDescent="0.3">
      <c r="B73" s="238" t="str">
        <f t="shared" si="7"/>
        <v>FortnightProfessionalUOM 9.3</v>
      </c>
      <c r="C73" s="238" t="s">
        <v>576</v>
      </c>
      <c r="D73" s="238" t="s">
        <v>767</v>
      </c>
      <c r="E73" s="238" t="s">
        <v>997</v>
      </c>
      <c r="F73" s="212">
        <v>148972</v>
      </c>
      <c r="G73" s="298"/>
      <c r="H73" s="235" t="s">
        <v>834</v>
      </c>
      <c r="I73" s="295" t="s">
        <v>993</v>
      </c>
      <c r="J73" s="386"/>
      <c r="K73" s="298" t="s">
        <v>555</v>
      </c>
      <c r="L73" s="298"/>
      <c r="M73" s="298"/>
      <c r="T73" s="11" t="s">
        <v>555</v>
      </c>
      <c r="U73" s="238" t="s">
        <v>998</v>
      </c>
      <c r="V73" s="519">
        <v>9</v>
      </c>
      <c r="W73" s="519" t="str">
        <f t="shared" si="6"/>
        <v>09_SEP</v>
      </c>
      <c r="X73" s="11" t="s">
        <v>555</v>
      </c>
      <c r="Y73" s="11" t="s">
        <v>555</v>
      </c>
      <c r="Z73" s="11" t="s">
        <v>555</v>
      </c>
      <c r="AA73" s="11" t="s">
        <v>555</v>
      </c>
      <c r="AB73" s="11" t="s">
        <v>555</v>
      </c>
      <c r="AC73" s="496" t="s">
        <v>1223</v>
      </c>
      <c r="AD73" s="496" t="s">
        <v>1224</v>
      </c>
      <c r="AE73" s="496" t="s">
        <v>1217</v>
      </c>
      <c r="AF73" s="496" t="s">
        <v>1218</v>
      </c>
      <c r="AG73" s="496" t="s">
        <v>1201</v>
      </c>
      <c r="AH73" s="496" t="s">
        <v>1202</v>
      </c>
      <c r="AI73" s="11" t="s">
        <v>555</v>
      </c>
      <c r="AJ73" s="367" t="str">
        <f t="shared" si="8"/>
        <v>CCH_H1_5_127</v>
      </c>
      <c r="AK73" s="11" t="s">
        <v>555</v>
      </c>
      <c r="AL73" s="11" t="s">
        <v>555</v>
      </c>
      <c r="AM73" s="11" t="s">
        <v>555</v>
      </c>
      <c r="AN73" s="11" t="s">
        <v>555</v>
      </c>
      <c r="AO73" s="11" t="s">
        <v>555</v>
      </c>
    </row>
    <row r="74" spans="2:41" x14ac:dyDescent="0.3">
      <c r="B74" s="238" t="str">
        <f t="shared" si="7"/>
        <v>FortnightProfessionalUOM 10</v>
      </c>
      <c r="C74" s="238" t="s">
        <v>576</v>
      </c>
      <c r="D74" s="238" t="s">
        <v>767</v>
      </c>
      <c r="E74" s="238" t="s">
        <v>715</v>
      </c>
      <c r="F74" s="212">
        <v>153412</v>
      </c>
      <c r="G74" s="298"/>
      <c r="H74" s="401" t="s">
        <v>581</v>
      </c>
      <c r="I74" s="428">
        <v>1.34E-2</v>
      </c>
      <c r="J74" s="386"/>
      <c r="K74" s="298" t="s">
        <v>555</v>
      </c>
      <c r="L74" s="298"/>
      <c r="M74" s="298"/>
      <c r="T74" s="11" t="s">
        <v>555</v>
      </c>
      <c r="U74" s="238" t="s">
        <v>1001</v>
      </c>
      <c r="V74" s="519">
        <v>10</v>
      </c>
      <c r="W74" s="519" t="str">
        <f t="shared" si="6"/>
        <v>10_OCT</v>
      </c>
      <c r="X74" s="11" t="s">
        <v>555</v>
      </c>
      <c r="Y74" s="11" t="s">
        <v>555</v>
      </c>
      <c r="Z74" s="11" t="s">
        <v>555</v>
      </c>
      <c r="AA74" s="11" t="s">
        <v>555</v>
      </c>
      <c r="AB74" s="11" t="s">
        <v>555</v>
      </c>
      <c r="AC74" s="496" t="s">
        <v>1225</v>
      </c>
      <c r="AD74" s="496" t="s">
        <v>1226</v>
      </c>
      <c r="AE74" s="496" t="s">
        <v>1217</v>
      </c>
      <c r="AF74" s="496" t="s">
        <v>1218</v>
      </c>
      <c r="AG74" s="496" t="s">
        <v>1201</v>
      </c>
      <c r="AH74" s="496" t="s">
        <v>1202</v>
      </c>
      <c r="AI74" s="11" t="s">
        <v>555</v>
      </c>
      <c r="AJ74" s="367" t="str">
        <f t="shared" si="8"/>
        <v>CCH_H1_5_128</v>
      </c>
      <c r="AK74" s="11" t="s">
        <v>555</v>
      </c>
      <c r="AL74" s="11" t="s">
        <v>555</v>
      </c>
      <c r="AM74" s="11" t="s">
        <v>555</v>
      </c>
      <c r="AN74" s="11" t="s">
        <v>555</v>
      </c>
      <c r="AO74" s="11" t="s">
        <v>555</v>
      </c>
    </row>
    <row r="75" spans="2:41" x14ac:dyDescent="0.3">
      <c r="B75" s="238" t="str">
        <f t="shared" si="7"/>
        <v>CasualProfessionalUOM 1.1</v>
      </c>
      <c r="C75" s="238" t="s">
        <v>601</v>
      </c>
      <c r="D75" s="238" t="s">
        <v>767</v>
      </c>
      <c r="E75" s="238" t="s">
        <v>768</v>
      </c>
      <c r="F75" s="212">
        <v>39.04</v>
      </c>
      <c r="G75" s="298"/>
      <c r="H75" s="402" t="s">
        <v>593</v>
      </c>
      <c r="I75" s="429">
        <v>1.34E-2</v>
      </c>
      <c r="J75" s="386"/>
      <c r="K75" s="298" t="s">
        <v>555</v>
      </c>
      <c r="L75" s="298"/>
      <c r="M75" s="298"/>
      <c r="T75" s="11" t="s">
        <v>555</v>
      </c>
      <c r="U75" s="238" t="s">
        <v>1004</v>
      </c>
      <c r="V75" s="519">
        <v>11</v>
      </c>
      <c r="W75" s="519" t="str">
        <f t="shared" si="6"/>
        <v>11_NOV</v>
      </c>
      <c r="X75" s="11" t="s">
        <v>555</v>
      </c>
      <c r="Y75" s="11" t="s">
        <v>555</v>
      </c>
      <c r="Z75" s="11" t="s">
        <v>555</v>
      </c>
      <c r="AA75" s="11" t="s">
        <v>555</v>
      </c>
      <c r="AB75" s="11" t="s">
        <v>555</v>
      </c>
      <c r="AC75" s="496" t="s">
        <v>1227</v>
      </c>
      <c r="AD75" s="496" t="s">
        <v>1228</v>
      </c>
      <c r="AE75" s="496" t="s">
        <v>1229</v>
      </c>
      <c r="AF75" s="496" t="s">
        <v>1230</v>
      </c>
      <c r="AG75" s="496" t="s">
        <v>1201</v>
      </c>
      <c r="AH75" s="496" t="s">
        <v>1202</v>
      </c>
      <c r="AI75" s="11" t="s">
        <v>555</v>
      </c>
      <c r="AJ75" s="367" t="str">
        <f t="shared" si="8"/>
        <v>CCH_H1_5_129</v>
      </c>
      <c r="AK75" s="11" t="s">
        <v>555</v>
      </c>
      <c r="AL75" s="11" t="s">
        <v>555</v>
      </c>
      <c r="AM75" s="11" t="s">
        <v>555</v>
      </c>
      <c r="AN75" s="11" t="s">
        <v>555</v>
      </c>
      <c r="AO75" s="11" t="s">
        <v>555</v>
      </c>
    </row>
    <row r="76" spans="2:41" x14ac:dyDescent="0.3">
      <c r="B76" s="238" t="str">
        <f t="shared" si="7"/>
        <v>CasualProfessionalUOM 1.2</v>
      </c>
      <c r="C76" s="238" t="s">
        <v>601</v>
      </c>
      <c r="D76" s="238" t="s">
        <v>767</v>
      </c>
      <c r="E76" s="238" t="s">
        <v>774</v>
      </c>
      <c r="F76" s="212">
        <v>39.83</v>
      </c>
      <c r="G76" s="298"/>
      <c r="H76" s="403" t="s">
        <v>601</v>
      </c>
      <c r="I76" s="404">
        <v>0</v>
      </c>
      <c r="J76" s="386"/>
      <c r="K76" s="298" t="s">
        <v>555</v>
      </c>
      <c r="L76" s="298"/>
      <c r="M76" s="298"/>
      <c r="T76" s="11" t="s">
        <v>555</v>
      </c>
      <c r="U76" s="244" t="s">
        <v>21</v>
      </c>
      <c r="V76" s="519">
        <v>12</v>
      </c>
      <c r="W76" s="519" t="str">
        <f t="shared" si="6"/>
        <v>12_DEC</v>
      </c>
      <c r="X76" s="11" t="s">
        <v>555</v>
      </c>
      <c r="Y76" s="11" t="s">
        <v>555</v>
      </c>
      <c r="Z76" s="11" t="s">
        <v>555</v>
      </c>
      <c r="AA76" s="11" t="s">
        <v>555</v>
      </c>
      <c r="AB76" s="11" t="s">
        <v>555</v>
      </c>
      <c r="AC76" s="496" t="s">
        <v>1231</v>
      </c>
      <c r="AD76" s="496" t="s">
        <v>1232</v>
      </c>
      <c r="AE76" s="496" t="s">
        <v>1199</v>
      </c>
      <c r="AF76" s="496" t="s">
        <v>1200</v>
      </c>
      <c r="AG76" s="496" t="s">
        <v>1201</v>
      </c>
      <c r="AH76" s="496" t="s">
        <v>1202</v>
      </c>
      <c r="AI76" s="11" t="s">
        <v>555</v>
      </c>
      <c r="AJ76" s="367" t="str">
        <f t="shared" si="8"/>
        <v>CCH_H1_5_13</v>
      </c>
      <c r="AK76" s="11" t="s">
        <v>555</v>
      </c>
      <c r="AL76" s="11" t="s">
        <v>555</v>
      </c>
      <c r="AM76" s="11" t="s">
        <v>555</v>
      </c>
      <c r="AN76" s="11" t="s">
        <v>555</v>
      </c>
      <c r="AO76" s="11" t="s">
        <v>555</v>
      </c>
    </row>
    <row r="77" spans="2:41" x14ac:dyDescent="0.3">
      <c r="B77" s="238" t="str">
        <f t="shared" si="7"/>
        <v>CasualProfessionalUOM 1.3</v>
      </c>
      <c r="C77" s="238" t="s">
        <v>601</v>
      </c>
      <c r="D77" s="238" t="s">
        <v>767</v>
      </c>
      <c r="E77" s="238" t="s">
        <v>780</v>
      </c>
      <c r="F77" s="212">
        <v>40.619999999999997</v>
      </c>
      <c r="G77" s="298"/>
      <c r="H77" s="389"/>
      <c r="I77" s="390"/>
      <c r="J77" s="405"/>
      <c r="K77" s="298" t="s">
        <v>555</v>
      </c>
      <c r="L77" s="298"/>
      <c r="M77" s="298"/>
      <c r="T77" s="11" t="s">
        <v>555</v>
      </c>
      <c r="U77" s="11" t="s">
        <v>555</v>
      </c>
      <c r="V77" s="519"/>
      <c r="W77" s="519"/>
      <c r="X77" s="11" t="s">
        <v>555</v>
      </c>
      <c r="Y77" s="11" t="s">
        <v>555</v>
      </c>
      <c r="Z77" s="11" t="s">
        <v>555</v>
      </c>
      <c r="AA77" s="11" t="s">
        <v>555</v>
      </c>
      <c r="AB77" s="11" t="s">
        <v>555</v>
      </c>
      <c r="AC77" s="496" t="s">
        <v>1233</v>
      </c>
      <c r="AD77" s="496" t="s">
        <v>1234</v>
      </c>
      <c r="AE77" s="496" t="s">
        <v>1229</v>
      </c>
      <c r="AF77" s="496" t="s">
        <v>1230</v>
      </c>
      <c r="AG77" s="496" t="s">
        <v>1201</v>
      </c>
      <c r="AH77" s="496" t="s">
        <v>1202</v>
      </c>
      <c r="AI77" s="11" t="s">
        <v>555</v>
      </c>
      <c r="AJ77" s="367" t="str">
        <f t="shared" si="8"/>
        <v>CCH_H1_5_130</v>
      </c>
      <c r="AK77" s="11" t="s">
        <v>555</v>
      </c>
      <c r="AL77" s="11" t="s">
        <v>555</v>
      </c>
      <c r="AM77" s="11" t="s">
        <v>555</v>
      </c>
      <c r="AN77" s="11" t="s">
        <v>555</v>
      </c>
      <c r="AO77" s="11" t="s">
        <v>555</v>
      </c>
    </row>
    <row r="78" spans="2:41" x14ac:dyDescent="0.3">
      <c r="B78" s="238" t="str">
        <f t="shared" si="7"/>
        <v>CasualProfessionalUOM 2.1</v>
      </c>
      <c r="C78" s="238" t="s">
        <v>601</v>
      </c>
      <c r="D78" s="238" t="s">
        <v>767</v>
      </c>
      <c r="E78" s="238" t="s">
        <v>785</v>
      </c>
      <c r="F78" s="212">
        <v>42.37</v>
      </c>
      <c r="G78" s="298"/>
      <c r="H78" s="389"/>
      <c r="I78" s="390"/>
      <c r="J78" s="405"/>
      <c r="K78" s="298" t="s">
        <v>555</v>
      </c>
      <c r="L78" s="298"/>
      <c r="M78" s="298"/>
      <c r="T78" s="11" t="s">
        <v>555</v>
      </c>
      <c r="U78" s="11" t="s">
        <v>555</v>
      </c>
      <c r="X78" s="11" t="s">
        <v>555</v>
      </c>
      <c r="Y78" s="11" t="s">
        <v>555</v>
      </c>
      <c r="Z78" s="11" t="s">
        <v>555</v>
      </c>
      <c r="AA78" s="11" t="s">
        <v>555</v>
      </c>
      <c r="AB78" s="11" t="s">
        <v>555</v>
      </c>
      <c r="AC78" s="496" t="s">
        <v>1235</v>
      </c>
      <c r="AD78" s="496" t="s">
        <v>1236</v>
      </c>
      <c r="AE78" s="496" t="s">
        <v>1229</v>
      </c>
      <c r="AF78" s="496" t="s">
        <v>1230</v>
      </c>
      <c r="AG78" s="496" t="s">
        <v>1201</v>
      </c>
      <c r="AH78" s="496" t="s">
        <v>1202</v>
      </c>
      <c r="AI78" s="11" t="s">
        <v>555</v>
      </c>
      <c r="AJ78" s="367" t="str">
        <f t="shared" si="8"/>
        <v>CCH_H1_5_131</v>
      </c>
      <c r="AK78" s="11" t="s">
        <v>555</v>
      </c>
      <c r="AL78" s="11" t="s">
        <v>555</v>
      </c>
      <c r="AM78" s="11" t="s">
        <v>555</v>
      </c>
      <c r="AN78" s="11" t="s">
        <v>555</v>
      </c>
      <c r="AO78" s="11" t="s">
        <v>555</v>
      </c>
    </row>
    <row r="79" spans="2:41" ht="15.6" x14ac:dyDescent="0.3">
      <c r="B79" s="238" t="str">
        <f t="shared" si="7"/>
        <v>CasualProfessionalUOM 2.2</v>
      </c>
      <c r="C79" s="238" t="s">
        <v>601</v>
      </c>
      <c r="D79" s="238" t="s">
        <v>767</v>
      </c>
      <c r="E79" s="238" t="s">
        <v>795</v>
      </c>
      <c r="F79" s="212">
        <v>43.22</v>
      </c>
      <c r="G79" s="298"/>
      <c r="H79" s="391" t="s">
        <v>316</v>
      </c>
      <c r="I79" s="390"/>
      <c r="J79" s="405"/>
      <c r="K79" s="298" t="s">
        <v>555</v>
      </c>
      <c r="L79" s="298"/>
      <c r="M79" s="298"/>
      <c r="T79" s="11" t="s">
        <v>555</v>
      </c>
      <c r="U79" s="11" t="s">
        <v>555</v>
      </c>
      <c r="X79" s="11" t="s">
        <v>555</v>
      </c>
      <c r="Y79" s="11" t="s">
        <v>555</v>
      </c>
      <c r="Z79" s="11" t="s">
        <v>555</v>
      </c>
      <c r="AA79" s="11" t="s">
        <v>555</v>
      </c>
      <c r="AB79" s="11" t="s">
        <v>555</v>
      </c>
      <c r="AC79" s="496" t="s">
        <v>1237</v>
      </c>
      <c r="AD79" s="496" t="s">
        <v>1238</v>
      </c>
      <c r="AE79" s="496" t="s">
        <v>1229</v>
      </c>
      <c r="AF79" s="496" t="s">
        <v>1230</v>
      </c>
      <c r="AG79" s="496" t="s">
        <v>1201</v>
      </c>
      <c r="AH79" s="496" t="s">
        <v>1202</v>
      </c>
      <c r="AI79" s="11" t="s">
        <v>555</v>
      </c>
      <c r="AJ79" s="367" t="str">
        <f t="shared" si="8"/>
        <v>CCH_H1_5_132</v>
      </c>
      <c r="AK79" s="11" t="s">
        <v>555</v>
      </c>
      <c r="AL79" s="11" t="s">
        <v>555</v>
      </c>
      <c r="AM79" s="11" t="s">
        <v>555</v>
      </c>
      <c r="AN79" s="11" t="s">
        <v>555</v>
      </c>
      <c r="AO79" s="11" t="s">
        <v>555</v>
      </c>
    </row>
    <row r="80" spans="2:41" x14ac:dyDescent="0.3">
      <c r="B80" s="238" t="str">
        <f t="shared" si="7"/>
        <v>CasualProfessionalUOM 2.3</v>
      </c>
      <c r="C80" s="238" t="s">
        <v>601</v>
      </c>
      <c r="D80" s="238" t="s">
        <v>767</v>
      </c>
      <c r="E80" s="238" t="s">
        <v>798</v>
      </c>
      <c r="F80" s="212">
        <v>44.08</v>
      </c>
      <c r="G80" s="298"/>
      <c r="H80" s="235" t="s">
        <v>565</v>
      </c>
      <c r="I80" s="295" t="s">
        <v>316</v>
      </c>
      <c r="J80" s="405"/>
      <c r="K80" s="298" t="s">
        <v>555</v>
      </c>
      <c r="L80" s="298"/>
      <c r="M80" s="298"/>
      <c r="T80" s="11" t="s">
        <v>555</v>
      </c>
      <c r="Y80" s="11" t="s">
        <v>555</v>
      </c>
      <c r="Z80" s="11" t="s">
        <v>555</v>
      </c>
      <c r="AA80" s="11" t="s">
        <v>555</v>
      </c>
      <c r="AB80" s="11" t="s">
        <v>555</v>
      </c>
      <c r="AC80" s="496" t="s">
        <v>1239</v>
      </c>
      <c r="AD80" s="496" t="s">
        <v>1240</v>
      </c>
      <c r="AE80" s="496" t="s">
        <v>1241</v>
      </c>
      <c r="AF80" s="496" t="s">
        <v>1242</v>
      </c>
      <c r="AG80" s="496" t="s">
        <v>1201</v>
      </c>
      <c r="AH80" s="496" t="s">
        <v>1202</v>
      </c>
      <c r="AI80" s="11" t="s">
        <v>555</v>
      </c>
      <c r="AJ80" s="367" t="str">
        <f t="shared" si="8"/>
        <v>CCH_H1_5_133</v>
      </c>
      <c r="AK80" s="11" t="s">
        <v>555</v>
      </c>
      <c r="AL80" s="11" t="s">
        <v>555</v>
      </c>
      <c r="AM80" s="11" t="s">
        <v>555</v>
      </c>
      <c r="AN80" s="11" t="s">
        <v>555</v>
      </c>
      <c r="AO80" s="11" t="s">
        <v>555</v>
      </c>
    </row>
    <row r="81" spans="2:36" x14ac:dyDescent="0.3">
      <c r="B81" s="238" t="str">
        <f t="shared" si="7"/>
        <v>CasualProfessionalUOM 3.1</v>
      </c>
      <c r="C81" s="238" t="s">
        <v>601</v>
      </c>
      <c r="D81" s="238" t="s">
        <v>767</v>
      </c>
      <c r="E81" s="238" t="s">
        <v>803</v>
      </c>
      <c r="F81" s="212">
        <v>44.32</v>
      </c>
      <c r="G81" s="298"/>
      <c r="H81" s="414">
        <v>2023</v>
      </c>
      <c r="I81" s="430">
        <v>5.8500000000000003E-2</v>
      </c>
      <c r="J81" s="405"/>
      <c r="K81" s="298" t="s">
        <v>555</v>
      </c>
      <c r="L81" s="298"/>
      <c r="M81" s="298"/>
      <c r="AC81" s="496" t="s">
        <v>1243</v>
      </c>
      <c r="AD81" s="496" t="s">
        <v>1244</v>
      </c>
      <c r="AE81" s="496" t="s">
        <v>1241</v>
      </c>
      <c r="AF81" s="496" t="s">
        <v>1242</v>
      </c>
      <c r="AG81" s="496" t="s">
        <v>1201</v>
      </c>
      <c r="AH81" s="496" t="s">
        <v>1202</v>
      </c>
      <c r="AJ81" s="367" t="str">
        <f t="shared" si="8"/>
        <v>CCH_H1_5_135</v>
      </c>
    </row>
    <row r="82" spans="2:36" x14ac:dyDescent="0.3">
      <c r="B82" s="238" t="str">
        <f t="shared" si="7"/>
        <v>CasualProfessionalUOM 3.2</v>
      </c>
      <c r="C82" s="238" t="s">
        <v>601</v>
      </c>
      <c r="D82" s="238" t="s">
        <v>767</v>
      </c>
      <c r="E82" s="238" t="s">
        <v>813</v>
      </c>
      <c r="F82" s="212">
        <v>45.2</v>
      </c>
      <c r="G82" s="298"/>
      <c r="H82" s="415">
        <f>H81+1</f>
        <v>2024</v>
      </c>
      <c r="I82" s="431">
        <v>5.8500000000000003E-2</v>
      </c>
      <c r="J82" s="405"/>
      <c r="K82" s="298" t="s">
        <v>555</v>
      </c>
      <c r="L82" s="298"/>
      <c r="M82" s="298"/>
      <c r="AC82" s="496" t="s">
        <v>1245</v>
      </c>
      <c r="AD82" s="496" t="s">
        <v>1246</v>
      </c>
      <c r="AE82" s="496" t="s">
        <v>1241</v>
      </c>
      <c r="AF82" s="496" t="s">
        <v>1242</v>
      </c>
      <c r="AG82" s="496" t="s">
        <v>1201</v>
      </c>
      <c r="AH82" s="496" t="s">
        <v>1202</v>
      </c>
      <c r="AJ82" s="367" t="str">
        <f t="shared" si="8"/>
        <v>CCH_H1_5_136</v>
      </c>
    </row>
    <row r="83" spans="2:36" x14ac:dyDescent="0.3">
      <c r="B83" s="238" t="str">
        <f t="shared" si="7"/>
        <v>CasualProfessionalUOM 3.3</v>
      </c>
      <c r="C83" s="238" t="s">
        <v>601</v>
      </c>
      <c r="D83" s="238" t="s">
        <v>767</v>
      </c>
      <c r="E83" s="238" t="s">
        <v>819</v>
      </c>
      <c r="F83" s="212">
        <v>46.1</v>
      </c>
      <c r="G83" s="298"/>
      <c r="H83" s="416">
        <f>H82+1</f>
        <v>2025</v>
      </c>
      <c r="I83" s="432">
        <v>5.8500000000000003E-2</v>
      </c>
      <c r="J83" s="405"/>
      <c r="K83" s="298" t="s">
        <v>555</v>
      </c>
      <c r="L83" s="298"/>
      <c r="M83" s="298"/>
      <c r="AC83" s="496" t="s">
        <v>1247</v>
      </c>
      <c r="AD83" s="496" t="s">
        <v>1248</v>
      </c>
      <c r="AE83" s="496" t="s">
        <v>1241</v>
      </c>
      <c r="AF83" s="496" t="s">
        <v>1242</v>
      </c>
      <c r="AG83" s="496" t="s">
        <v>1201</v>
      </c>
      <c r="AH83" s="496" t="s">
        <v>1202</v>
      </c>
      <c r="AJ83" s="367" t="str">
        <f t="shared" si="8"/>
        <v>CCH_H1_5_138</v>
      </c>
    </row>
    <row r="84" spans="2:36" x14ac:dyDescent="0.3">
      <c r="B84" s="238" t="str">
        <f t="shared" si="7"/>
        <v>CasualProfessionalUOM 3.4</v>
      </c>
      <c r="C84" s="238" t="s">
        <v>601</v>
      </c>
      <c r="D84" s="238" t="s">
        <v>767</v>
      </c>
      <c r="E84" s="238" t="s">
        <v>827</v>
      </c>
      <c r="F84" s="212">
        <v>47.03</v>
      </c>
      <c r="G84" s="298"/>
      <c r="H84" s="389"/>
      <c r="I84" s="407"/>
      <c r="J84" s="405"/>
      <c r="K84" s="298" t="s">
        <v>555</v>
      </c>
      <c r="L84" s="298"/>
      <c r="M84" s="298"/>
      <c r="AC84" s="496" t="s">
        <v>1249</v>
      </c>
      <c r="AD84" s="496" t="s">
        <v>1250</v>
      </c>
      <c r="AE84" s="496" t="s">
        <v>1199</v>
      </c>
      <c r="AF84" s="496" t="s">
        <v>1200</v>
      </c>
      <c r="AG84" s="496" t="s">
        <v>1201</v>
      </c>
      <c r="AH84" s="496" t="s">
        <v>1202</v>
      </c>
      <c r="AJ84" s="367" t="str">
        <f t="shared" si="8"/>
        <v>CCH_H1_5_14</v>
      </c>
    </row>
    <row r="85" spans="2:36" x14ac:dyDescent="0.3">
      <c r="B85" s="238" t="str">
        <f t="shared" si="7"/>
        <v>CasualProfessionalUOM 3.5</v>
      </c>
      <c r="C85" s="238" t="s">
        <v>601</v>
      </c>
      <c r="D85" s="238" t="s">
        <v>767</v>
      </c>
      <c r="E85" s="238" t="s">
        <v>833</v>
      </c>
      <c r="F85" s="212">
        <v>47.97</v>
      </c>
      <c r="G85" s="298"/>
      <c r="H85" s="389"/>
      <c r="I85" s="407"/>
      <c r="J85" s="405"/>
      <c r="K85" s="298" t="s">
        <v>555</v>
      </c>
      <c r="L85" s="298"/>
      <c r="M85" s="298"/>
      <c r="AC85" s="496" t="s">
        <v>1251</v>
      </c>
      <c r="AD85" s="496" t="s">
        <v>1252</v>
      </c>
      <c r="AE85" s="496" t="s">
        <v>1241</v>
      </c>
      <c r="AF85" s="496" t="s">
        <v>1242</v>
      </c>
      <c r="AG85" s="496" t="s">
        <v>1201</v>
      </c>
      <c r="AH85" s="496" t="s">
        <v>1202</v>
      </c>
      <c r="AJ85" s="367" t="str">
        <f t="shared" si="8"/>
        <v>CCH_H1_5_140</v>
      </c>
    </row>
    <row r="86" spans="2:36" ht="15.6" x14ac:dyDescent="0.3">
      <c r="B86" s="238" t="str">
        <f t="shared" si="7"/>
        <v>CasualProfessionalUOM 3.6</v>
      </c>
      <c r="C86" s="238" t="s">
        <v>601</v>
      </c>
      <c r="D86" s="238" t="s">
        <v>767</v>
      </c>
      <c r="E86" s="238" t="s">
        <v>840</v>
      </c>
      <c r="F86" s="212">
        <v>48.93</v>
      </c>
      <c r="G86" s="298"/>
      <c r="H86" s="391" t="s">
        <v>1027</v>
      </c>
      <c r="I86" s="390"/>
      <c r="J86" s="405"/>
      <c r="K86" s="298" t="s">
        <v>555</v>
      </c>
      <c r="L86" s="298"/>
      <c r="M86" s="298"/>
      <c r="AC86" s="496" t="s">
        <v>1253</v>
      </c>
      <c r="AD86" s="496" t="s">
        <v>1254</v>
      </c>
      <c r="AE86" s="496" t="s">
        <v>1255</v>
      </c>
      <c r="AF86" s="496" t="s">
        <v>1256</v>
      </c>
      <c r="AG86" s="496" t="s">
        <v>1201</v>
      </c>
      <c r="AH86" s="496" t="s">
        <v>1202</v>
      </c>
      <c r="AJ86" s="367" t="str">
        <f t="shared" si="8"/>
        <v>CCH_H1_5_141</v>
      </c>
    </row>
    <row r="87" spans="2:36" x14ac:dyDescent="0.3">
      <c r="B87" s="238" t="str">
        <f t="shared" si="7"/>
        <v>CasualProfessionalUOM 4.1</v>
      </c>
      <c r="C87" s="238" t="s">
        <v>601</v>
      </c>
      <c r="D87" s="238" t="s">
        <v>767</v>
      </c>
      <c r="E87" s="238" t="s">
        <v>847</v>
      </c>
      <c r="F87" s="212">
        <v>51.22</v>
      </c>
      <c r="G87" s="298"/>
      <c r="H87" s="235" t="s">
        <v>834</v>
      </c>
      <c r="I87" s="295" t="s">
        <v>1027</v>
      </c>
      <c r="J87" s="405"/>
      <c r="K87" s="298" t="s">
        <v>555</v>
      </c>
      <c r="L87" s="298"/>
      <c r="M87" s="298"/>
      <c r="AC87" s="496" t="s">
        <v>1257</v>
      </c>
      <c r="AD87" s="496" t="s">
        <v>1258</v>
      </c>
      <c r="AE87" s="496" t="s">
        <v>1255</v>
      </c>
      <c r="AF87" s="496" t="s">
        <v>1256</v>
      </c>
      <c r="AG87" s="496" t="s">
        <v>1201</v>
      </c>
      <c r="AH87" s="496" t="s">
        <v>1202</v>
      </c>
      <c r="AJ87" s="367" t="str">
        <f t="shared" si="8"/>
        <v>CCH_H1_5_142</v>
      </c>
    </row>
    <row r="88" spans="2:36" x14ac:dyDescent="0.3">
      <c r="B88" s="238" t="str">
        <f t="shared" si="7"/>
        <v>CasualProfessionalUOM 4.2</v>
      </c>
      <c r="C88" s="238" t="s">
        <v>601</v>
      </c>
      <c r="D88" s="238" t="s">
        <v>767</v>
      </c>
      <c r="E88" s="238" t="s">
        <v>852</v>
      </c>
      <c r="F88" s="212">
        <v>52.24</v>
      </c>
      <c r="G88" s="298"/>
      <c r="H88" s="401" t="s">
        <v>581</v>
      </c>
      <c r="I88" s="428">
        <v>5.0000000000000001E-3</v>
      </c>
      <c r="J88" s="405"/>
      <c r="K88" s="298" t="s">
        <v>555</v>
      </c>
      <c r="L88" s="298"/>
      <c r="M88" s="298"/>
      <c r="AC88" s="496" t="s">
        <v>1259</v>
      </c>
      <c r="AD88" s="496" t="s">
        <v>1260</v>
      </c>
      <c r="AE88" s="496" t="s">
        <v>1255</v>
      </c>
      <c r="AF88" s="496" t="s">
        <v>1256</v>
      </c>
      <c r="AG88" s="496" t="s">
        <v>1201</v>
      </c>
      <c r="AH88" s="496" t="s">
        <v>1202</v>
      </c>
      <c r="AJ88" s="367" t="str">
        <f t="shared" si="8"/>
        <v>CCH_H1_5_143</v>
      </c>
    </row>
    <row r="89" spans="2:36" x14ac:dyDescent="0.3">
      <c r="B89" s="238" t="str">
        <f t="shared" si="7"/>
        <v>CasualProfessionalUOM 4.3</v>
      </c>
      <c r="C89" s="238" t="s">
        <v>601</v>
      </c>
      <c r="D89" s="238" t="s">
        <v>767</v>
      </c>
      <c r="E89" s="238" t="s">
        <v>856</v>
      </c>
      <c r="F89" s="212">
        <v>53.29</v>
      </c>
      <c r="G89" s="298"/>
      <c r="H89" s="402" t="s">
        <v>593</v>
      </c>
      <c r="I89" s="429">
        <v>5.0000000000000001E-3</v>
      </c>
      <c r="J89" s="405"/>
      <c r="K89" s="298" t="s">
        <v>555</v>
      </c>
      <c r="L89" s="298"/>
      <c r="M89" s="298"/>
      <c r="AC89" s="496" t="s">
        <v>1261</v>
      </c>
      <c r="AD89" s="496" t="s">
        <v>1262</v>
      </c>
      <c r="AE89" s="496" t="s">
        <v>1255</v>
      </c>
      <c r="AF89" s="496" t="s">
        <v>1256</v>
      </c>
      <c r="AG89" s="496" t="s">
        <v>1201</v>
      </c>
      <c r="AH89" s="496" t="s">
        <v>1202</v>
      </c>
      <c r="AJ89" s="367" t="str">
        <f t="shared" si="8"/>
        <v>CCH_H1_5_144</v>
      </c>
    </row>
    <row r="90" spans="2:36" x14ac:dyDescent="0.3">
      <c r="B90" s="238" t="str">
        <f t="shared" si="7"/>
        <v>CasualProfessionalUOM 4.4</v>
      </c>
      <c r="C90" s="238" t="s">
        <v>601</v>
      </c>
      <c r="D90" s="238" t="s">
        <v>767</v>
      </c>
      <c r="E90" s="238" t="s">
        <v>860</v>
      </c>
      <c r="F90" s="212">
        <v>54.35</v>
      </c>
      <c r="G90" s="298"/>
      <c r="H90" s="403" t="s">
        <v>601</v>
      </c>
      <c r="I90" s="406">
        <v>5.0000000000000001E-3</v>
      </c>
      <c r="J90" s="405"/>
      <c r="K90" s="298" t="s">
        <v>555</v>
      </c>
      <c r="L90" s="298"/>
      <c r="M90" s="298"/>
      <c r="AC90" s="496" t="s">
        <v>1263</v>
      </c>
      <c r="AD90" s="496" t="s">
        <v>1264</v>
      </c>
      <c r="AE90" s="496" t="s">
        <v>1255</v>
      </c>
      <c r="AF90" s="496" t="s">
        <v>1256</v>
      </c>
      <c r="AG90" s="496" t="s">
        <v>1201</v>
      </c>
      <c r="AH90" s="496" t="s">
        <v>1202</v>
      </c>
      <c r="AJ90" s="367" t="str">
        <f t="shared" si="8"/>
        <v>CCH_H1_5_145</v>
      </c>
    </row>
    <row r="91" spans="2:36" x14ac:dyDescent="0.3">
      <c r="B91" s="238" t="str">
        <f t="shared" si="7"/>
        <v>CasualProfessionalUOM 5.1</v>
      </c>
      <c r="C91" s="238" t="s">
        <v>601</v>
      </c>
      <c r="D91" s="238" t="s">
        <v>767</v>
      </c>
      <c r="E91" s="238" t="s">
        <v>868</v>
      </c>
      <c r="F91" s="212">
        <v>55.39</v>
      </c>
      <c r="G91" s="298"/>
      <c r="H91" s="389"/>
      <c r="I91" s="407"/>
      <c r="J91" s="405"/>
      <c r="K91" s="298" t="s">
        <v>555</v>
      </c>
      <c r="L91" s="298"/>
      <c r="M91" s="298"/>
      <c r="AC91" s="496" t="s">
        <v>1265</v>
      </c>
      <c r="AD91" s="496" t="s">
        <v>1266</v>
      </c>
      <c r="AE91" s="496" t="s">
        <v>1267</v>
      </c>
      <c r="AF91" s="496" t="s">
        <v>1268</v>
      </c>
      <c r="AG91" s="496" t="s">
        <v>1201</v>
      </c>
      <c r="AH91" s="496" t="s">
        <v>1202</v>
      </c>
      <c r="AJ91" s="367" t="str">
        <f t="shared" si="8"/>
        <v>CCH_H1_5_146</v>
      </c>
    </row>
    <row r="92" spans="2:36" ht="15.6" x14ac:dyDescent="0.3">
      <c r="B92" s="238" t="str">
        <f t="shared" si="7"/>
        <v>CasualProfessionalUOM 5.2</v>
      </c>
      <c r="C92" s="238" t="s">
        <v>601</v>
      </c>
      <c r="D92" s="238" t="s">
        <v>767</v>
      </c>
      <c r="E92" s="238" t="s">
        <v>871</v>
      </c>
      <c r="F92" s="212">
        <v>56.49</v>
      </c>
      <c r="G92" s="298"/>
      <c r="H92" s="391" t="s">
        <v>1042</v>
      </c>
      <c r="I92" s="390"/>
      <c r="J92" s="405"/>
      <c r="K92" s="298" t="s">
        <v>555</v>
      </c>
      <c r="L92" s="298"/>
      <c r="M92" s="298"/>
      <c r="AC92" s="496" t="s">
        <v>1269</v>
      </c>
      <c r="AD92" s="496" t="s">
        <v>1270</v>
      </c>
      <c r="AE92" s="496" t="s">
        <v>1267</v>
      </c>
      <c r="AF92" s="496" t="s">
        <v>1268</v>
      </c>
      <c r="AG92" s="496" t="s">
        <v>1201</v>
      </c>
      <c r="AH92" s="496" t="s">
        <v>1202</v>
      </c>
      <c r="AJ92" s="367" t="str">
        <f t="shared" si="8"/>
        <v>CCH_H1_5_147</v>
      </c>
    </row>
    <row r="93" spans="2:36" x14ac:dyDescent="0.3">
      <c r="B93" s="238" t="str">
        <f t="shared" si="7"/>
        <v>CasualProfessionalUOM 5.3</v>
      </c>
      <c r="C93" s="238" t="s">
        <v>601</v>
      </c>
      <c r="D93" s="238" t="s">
        <v>767</v>
      </c>
      <c r="E93" s="238" t="s">
        <v>878</v>
      </c>
      <c r="F93" s="212">
        <v>57.62</v>
      </c>
      <c r="G93" s="298"/>
      <c r="H93" s="235" t="s">
        <v>834</v>
      </c>
      <c r="I93" s="295" t="s">
        <v>1045</v>
      </c>
      <c r="J93" s="405"/>
      <c r="K93" s="298" t="s">
        <v>555</v>
      </c>
      <c r="L93" s="298"/>
      <c r="M93" s="298"/>
      <c r="AC93" s="496" t="s">
        <v>1271</v>
      </c>
      <c r="AD93" s="496" t="s">
        <v>1272</v>
      </c>
      <c r="AE93" s="496" t="s">
        <v>1267</v>
      </c>
      <c r="AF93" s="496" t="s">
        <v>1268</v>
      </c>
      <c r="AG93" s="496" t="s">
        <v>1201</v>
      </c>
      <c r="AH93" s="496" t="s">
        <v>1202</v>
      </c>
      <c r="AJ93" s="367" t="str">
        <f t="shared" si="8"/>
        <v>CCH_H1_5_148</v>
      </c>
    </row>
    <row r="94" spans="2:36" x14ac:dyDescent="0.3">
      <c r="B94" s="238" t="str">
        <f t="shared" si="7"/>
        <v>CasualProfessionalUOM 5.4</v>
      </c>
      <c r="C94" s="238" t="s">
        <v>601</v>
      </c>
      <c r="D94" s="238" t="s">
        <v>767</v>
      </c>
      <c r="E94" s="238" t="s">
        <v>882</v>
      </c>
      <c r="F94" s="212">
        <v>58.78</v>
      </c>
      <c r="G94" s="298"/>
      <c r="H94" s="401" t="s">
        <v>581</v>
      </c>
      <c r="I94" s="428">
        <v>0.01</v>
      </c>
      <c r="J94" s="405"/>
      <c r="K94" s="298" t="s">
        <v>555</v>
      </c>
      <c r="L94" s="298"/>
      <c r="M94" s="298"/>
      <c r="AC94" s="496" t="s">
        <v>1273</v>
      </c>
      <c r="AD94" s="496" t="s">
        <v>1274</v>
      </c>
      <c r="AE94" s="496" t="s">
        <v>1199</v>
      </c>
      <c r="AF94" s="496" t="s">
        <v>1200</v>
      </c>
      <c r="AG94" s="496" t="s">
        <v>1201</v>
      </c>
      <c r="AH94" s="496" t="s">
        <v>1202</v>
      </c>
      <c r="AJ94" s="367" t="str">
        <f t="shared" si="8"/>
        <v>CCH_H1_5_15</v>
      </c>
    </row>
    <row r="95" spans="2:36" x14ac:dyDescent="0.3">
      <c r="B95" s="238" t="str">
        <f t="shared" si="7"/>
        <v>CasualProfessionalUOM 5.5</v>
      </c>
      <c r="C95" s="238" t="s">
        <v>601</v>
      </c>
      <c r="D95" s="238" t="s">
        <v>767</v>
      </c>
      <c r="E95" s="238" t="s">
        <v>890</v>
      </c>
      <c r="F95" s="212">
        <v>59.95</v>
      </c>
      <c r="G95" s="298"/>
      <c r="H95" s="402" t="s">
        <v>593</v>
      </c>
      <c r="I95" s="429">
        <v>0.01</v>
      </c>
      <c r="J95" s="405"/>
      <c r="K95" s="298" t="s">
        <v>555</v>
      </c>
      <c r="L95" s="298"/>
      <c r="M95" s="298"/>
      <c r="AC95" s="496" t="s">
        <v>1275</v>
      </c>
      <c r="AD95" s="497" t="s">
        <v>1276</v>
      </c>
      <c r="AE95" s="496" t="s">
        <v>1267</v>
      </c>
      <c r="AF95" s="496" t="s">
        <v>1268</v>
      </c>
      <c r="AG95" s="496" t="s">
        <v>1201</v>
      </c>
      <c r="AH95" s="496" t="s">
        <v>1202</v>
      </c>
      <c r="AJ95" s="367" t="str">
        <f t="shared" si="8"/>
        <v>CCH_H1_5_150</v>
      </c>
    </row>
    <row r="96" spans="2:36" x14ac:dyDescent="0.3">
      <c r="B96" s="238" t="str">
        <f t="shared" si="7"/>
        <v>CasualProfessionalUOM 5.6</v>
      </c>
      <c r="C96" s="238" t="s">
        <v>601</v>
      </c>
      <c r="D96" s="238" t="s">
        <v>767</v>
      </c>
      <c r="E96" s="238" t="s">
        <v>899</v>
      </c>
      <c r="F96" s="212">
        <v>61.15</v>
      </c>
      <c r="G96" s="298"/>
      <c r="H96" s="403" t="s">
        <v>601</v>
      </c>
      <c r="I96" s="404">
        <v>0</v>
      </c>
      <c r="J96" s="405"/>
      <c r="K96" s="298" t="s">
        <v>555</v>
      </c>
      <c r="L96" s="298"/>
      <c r="M96" s="298"/>
      <c r="AC96" s="496" t="s">
        <v>1277</v>
      </c>
      <c r="AD96" s="496" t="s">
        <v>1278</v>
      </c>
      <c r="AE96" s="496" t="s">
        <v>1267</v>
      </c>
      <c r="AF96" s="496" t="s">
        <v>1268</v>
      </c>
      <c r="AG96" s="496" t="s">
        <v>1201</v>
      </c>
      <c r="AH96" s="496" t="s">
        <v>1202</v>
      </c>
      <c r="AJ96" s="367" t="str">
        <f t="shared" si="8"/>
        <v>CCH_H1_5_151</v>
      </c>
    </row>
    <row r="97" spans="2:36" x14ac:dyDescent="0.3">
      <c r="B97" s="238" t="str">
        <f t="shared" si="7"/>
        <v>CasualProfessionalUOM 5.7</v>
      </c>
      <c r="C97" s="238" t="s">
        <v>601</v>
      </c>
      <c r="D97" s="238" t="s">
        <v>767</v>
      </c>
      <c r="E97" s="238" t="s">
        <v>905</v>
      </c>
      <c r="F97" s="212">
        <v>62.37</v>
      </c>
      <c r="G97" s="298"/>
      <c r="H97" s="389"/>
      <c r="I97" s="407"/>
      <c r="J97" s="405"/>
      <c r="K97" s="298" t="s">
        <v>555</v>
      </c>
      <c r="L97" s="298"/>
      <c r="M97" s="298"/>
      <c r="AC97" s="496" t="s">
        <v>1279</v>
      </c>
      <c r="AD97" s="496" t="s">
        <v>1280</v>
      </c>
      <c r="AE97" s="496" t="s">
        <v>1267</v>
      </c>
      <c r="AF97" s="496" t="s">
        <v>1268</v>
      </c>
      <c r="AG97" s="496" t="s">
        <v>1201</v>
      </c>
      <c r="AH97" s="496" t="s">
        <v>1202</v>
      </c>
      <c r="AJ97" s="367" t="str">
        <f t="shared" si="8"/>
        <v>CCH_H1_5_152</v>
      </c>
    </row>
    <row r="98" spans="2:36" x14ac:dyDescent="0.3">
      <c r="B98" s="238" t="str">
        <f t="shared" si="7"/>
        <v>CasualProfessionalUOM 5.8</v>
      </c>
      <c r="C98" s="238" t="s">
        <v>601</v>
      </c>
      <c r="D98" s="238" t="s">
        <v>767</v>
      </c>
      <c r="E98" s="238" t="s">
        <v>912</v>
      </c>
      <c r="F98" s="212">
        <v>63.62</v>
      </c>
      <c r="G98" s="298"/>
      <c r="H98" s="389"/>
      <c r="I98" s="407"/>
      <c r="J98" s="405"/>
      <c r="K98" s="298" t="s">
        <v>555</v>
      </c>
      <c r="L98" s="298"/>
      <c r="M98" s="298"/>
      <c r="AC98" s="496" t="s">
        <v>1281</v>
      </c>
      <c r="AD98" s="496" t="s">
        <v>1282</v>
      </c>
      <c r="AE98" s="496" t="s">
        <v>1267</v>
      </c>
      <c r="AF98" s="496" t="s">
        <v>1268</v>
      </c>
      <c r="AG98" s="496" t="s">
        <v>1201</v>
      </c>
      <c r="AH98" s="496" t="s">
        <v>1202</v>
      </c>
      <c r="AJ98" s="367" t="str">
        <f t="shared" si="8"/>
        <v>CCH_H1_5_154</v>
      </c>
    </row>
    <row r="99" spans="2:36" ht="15.6" x14ac:dyDescent="0.3">
      <c r="B99" s="238" t="str">
        <f t="shared" si="7"/>
        <v>CasualProfessionalUOM 6.1</v>
      </c>
      <c r="C99" s="238" t="s">
        <v>601</v>
      </c>
      <c r="D99" s="238" t="s">
        <v>767</v>
      </c>
      <c r="E99" s="238" t="s">
        <v>919</v>
      </c>
      <c r="F99" s="212">
        <v>64.239999999999995</v>
      </c>
      <c r="G99" s="298"/>
      <c r="H99" s="391" t="s">
        <v>1062</v>
      </c>
      <c r="I99" s="390"/>
      <c r="J99" s="405"/>
      <c r="K99" s="298" t="s">
        <v>555</v>
      </c>
      <c r="L99" s="298"/>
      <c r="M99" s="298"/>
      <c r="AC99" s="496" t="s">
        <v>1283</v>
      </c>
      <c r="AD99" s="496" t="s">
        <v>1284</v>
      </c>
      <c r="AE99" s="496" t="s">
        <v>1199</v>
      </c>
      <c r="AF99" s="496" t="s">
        <v>1200</v>
      </c>
      <c r="AG99" s="496" t="s">
        <v>1201</v>
      </c>
      <c r="AH99" s="496" t="s">
        <v>1202</v>
      </c>
      <c r="AJ99" s="367" t="str">
        <f t="shared" si="8"/>
        <v>CCH_H1_5_16</v>
      </c>
    </row>
    <row r="100" spans="2:36" x14ac:dyDescent="0.3">
      <c r="B100" s="238" t="str">
        <f t="shared" si="7"/>
        <v>CasualProfessionalUOM 6.2</v>
      </c>
      <c r="C100" s="238" t="s">
        <v>601</v>
      </c>
      <c r="D100" s="238" t="s">
        <v>767</v>
      </c>
      <c r="E100" s="238" t="s">
        <v>925</v>
      </c>
      <c r="F100" s="212">
        <v>65.53</v>
      </c>
      <c r="G100" s="298"/>
      <c r="H100" s="235" t="s">
        <v>834</v>
      </c>
      <c r="I100" s="295" t="s">
        <v>1062</v>
      </c>
      <c r="J100" s="405"/>
      <c r="K100" s="298" t="s">
        <v>555</v>
      </c>
      <c r="L100" s="298"/>
      <c r="M100" s="298"/>
      <c r="AC100" s="496" t="s">
        <v>1285</v>
      </c>
      <c r="AD100" s="496" t="s">
        <v>1286</v>
      </c>
      <c r="AE100" s="496" t="s">
        <v>1199</v>
      </c>
      <c r="AF100" s="496" t="s">
        <v>1200</v>
      </c>
      <c r="AG100" s="496" t="s">
        <v>1201</v>
      </c>
      <c r="AH100" s="496" t="s">
        <v>1202</v>
      </c>
      <c r="AJ100" s="367" t="str">
        <f t="shared" si="8"/>
        <v>CCH_H1_5_17</v>
      </c>
    </row>
    <row r="101" spans="2:36" x14ac:dyDescent="0.3">
      <c r="B101" s="238" t="str">
        <f t="shared" si="7"/>
        <v>CasualProfessionalUOM 6.3</v>
      </c>
      <c r="C101" s="238" t="s">
        <v>601</v>
      </c>
      <c r="D101" s="238" t="s">
        <v>767</v>
      </c>
      <c r="E101" s="238" t="s">
        <v>930</v>
      </c>
      <c r="F101" s="212">
        <v>66.84</v>
      </c>
      <c r="G101" s="298"/>
      <c r="H101" s="401" t="s">
        <v>581</v>
      </c>
      <c r="I101" s="428">
        <v>5.0000000000000001E-3</v>
      </c>
      <c r="J101" s="405"/>
      <c r="K101" s="298" t="s">
        <v>555</v>
      </c>
      <c r="L101" s="298"/>
      <c r="M101" s="298"/>
      <c r="AC101" s="496" t="s">
        <v>1287</v>
      </c>
      <c r="AD101" s="496" t="s">
        <v>1288</v>
      </c>
      <c r="AE101" s="496" t="s">
        <v>1199</v>
      </c>
      <c r="AF101" s="496" t="s">
        <v>1200</v>
      </c>
      <c r="AG101" s="496" t="s">
        <v>1201</v>
      </c>
      <c r="AH101" s="496" t="s">
        <v>1202</v>
      </c>
      <c r="AJ101" s="367" t="str">
        <f t="shared" si="8"/>
        <v>CCH_H1_5_18</v>
      </c>
    </row>
    <row r="102" spans="2:36" x14ac:dyDescent="0.3">
      <c r="B102" s="238" t="str">
        <f t="shared" si="7"/>
        <v>CasualProfessionalUOM 6.4</v>
      </c>
      <c r="C102" s="238" t="s">
        <v>601</v>
      </c>
      <c r="D102" s="238" t="s">
        <v>767</v>
      </c>
      <c r="E102" s="238" t="s">
        <v>936</v>
      </c>
      <c r="F102" s="212">
        <v>68.180000000000007</v>
      </c>
      <c r="G102" s="298"/>
      <c r="H102" s="402" t="s">
        <v>593</v>
      </c>
      <c r="I102" s="429">
        <v>5.0000000000000001E-3</v>
      </c>
      <c r="J102" s="405"/>
      <c r="K102" s="298" t="s">
        <v>555</v>
      </c>
      <c r="L102" s="298"/>
      <c r="M102" s="298"/>
      <c r="AC102" s="496" t="s">
        <v>1289</v>
      </c>
      <c r="AD102" s="496" t="s">
        <v>1290</v>
      </c>
      <c r="AE102" s="496" t="s">
        <v>1199</v>
      </c>
      <c r="AF102" s="496" t="s">
        <v>1200</v>
      </c>
      <c r="AG102" s="496" t="s">
        <v>1201</v>
      </c>
      <c r="AH102" s="496" t="s">
        <v>1202</v>
      </c>
      <c r="AJ102" s="367" t="str">
        <f t="shared" si="8"/>
        <v>CCH_H1_5_19</v>
      </c>
    </row>
    <row r="103" spans="2:36" x14ac:dyDescent="0.3">
      <c r="B103" s="238" t="str">
        <f t="shared" si="7"/>
        <v>CasualProfessionalUOM 6.5</v>
      </c>
      <c r="C103" s="238" t="s">
        <v>601</v>
      </c>
      <c r="D103" s="238" t="s">
        <v>767</v>
      </c>
      <c r="E103" s="238" t="s">
        <v>942</v>
      </c>
      <c r="F103" s="212">
        <v>69.540000000000006</v>
      </c>
      <c r="G103" s="298"/>
      <c r="H103" s="403" t="s">
        <v>601</v>
      </c>
      <c r="I103" s="406">
        <v>0</v>
      </c>
      <c r="J103" s="405"/>
      <c r="K103" s="298" t="s">
        <v>555</v>
      </c>
      <c r="L103" s="298"/>
      <c r="M103" s="298"/>
      <c r="AC103" s="496" t="s">
        <v>1291</v>
      </c>
      <c r="AD103" s="496" t="s">
        <v>1292</v>
      </c>
      <c r="AE103" s="496" t="s">
        <v>1199</v>
      </c>
      <c r="AF103" s="496" t="s">
        <v>1200</v>
      </c>
      <c r="AG103" s="496" t="s">
        <v>1201</v>
      </c>
      <c r="AH103" s="496" t="s">
        <v>1202</v>
      </c>
      <c r="AJ103" s="367" t="str">
        <f t="shared" si="8"/>
        <v>CCH_H1_5_20</v>
      </c>
    </row>
    <row r="104" spans="2:36" x14ac:dyDescent="0.3">
      <c r="B104" s="238" t="str">
        <f t="shared" si="7"/>
        <v>CasualProfessionalUOM 7.1</v>
      </c>
      <c r="C104" s="238" t="s">
        <v>601</v>
      </c>
      <c r="D104" s="238" t="s">
        <v>767</v>
      </c>
      <c r="E104" s="238" t="s">
        <v>948</v>
      </c>
      <c r="F104" s="212">
        <v>70.89</v>
      </c>
      <c r="G104" s="298"/>
      <c r="H104" s="389"/>
      <c r="I104" s="407"/>
      <c r="J104" s="405"/>
      <c r="K104" s="298" t="s">
        <v>555</v>
      </c>
      <c r="L104" s="298"/>
      <c r="M104" s="298"/>
      <c r="AC104" s="496" t="s">
        <v>1293</v>
      </c>
      <c r="AD104" s="496" t="s">
        <v>1294</v>
      </c>
      <c r="AE104" s="496" t="s">
        <v>1199</v>
      </c>
      <c r="AF104" s="496" t="s">
        <v>1200</v>
      </c>
      <c r="AG104" s="496" t="s">
        <v>1201</v>
      </c>
      <c r="AH104" s="496" t="s">
        <v>1202</v>
      </c>
      <c r="AJ104" s="367" t="str">
        <f t="shared" si="8"/>
        <v>CCH_H1_5_21</v>
      </c>
    </row>
    <row r="105" spans="2:36" ht="15.6" x14ac:dyDescent="0.3">
      <c r="B105" s="238" t="str">
        <f t="shared" si="7"/>
        <v>CasualProfessionalUOM 7.2</v>
      </c>
      <c r="C105" s="238" t="s">
        <v>601</v>
      </c>
      <c r="D105" s="238" t="s">
        <v>767</v>
      </c>
      <c r="E105" s="238" t="s">
        <v>950</v>
      </c>
      <c r="F105" s="212">
        <v>72.3</v>
      </c>
      <c r="G105" s="298"/>
      <c r="H105" s="408" t="s">
        <v>1085</v>
      </c>
      <c r="I105" s="390"/>
      <c r="J105" s="405"/>
      <c r="K105" s="298" t="s">
        <v>555</v>
      </c>
      <c r="L105" s="298"/>
      <c r="M105" s="298"/>
      <c r="AC105" s="496" t="s">
        <v>719</v>
      </c>
      <c r="AD105" s="496" t="s">
        <v>720</v>
      </c>
      <c r="AE105" s="496" t="s">
        <v>721</v>
      </c>
      <c r="AF105" s="496" t="s">
        <v>722</v>
      </c>
      <c r="AG105" s="496" t="s">
        <v>723</v>
      </c>
      <c r="AH105" s="496" t="s">
        <v>724</v>
      </c>
      <c r="AJ105" s="367" t="str">
        <f t="shared" si="8"/>
        <v>CCH_H1_5_22</v>
      </c>
    </row>
    <row r="106" spans="2:36" x14ac:dyDescent="0.3">
      <c r="B106" s="238" t="str">
        <f t="shared" si="7"/>
        <v>CasualProfessionalUOM 7.3</v>
      </c>
      <c r="C106" s="238" t="s">
        <v>601</v>
      </c>
      <c r="D106" s="238" t="s">
        <v>767</v>
      </c>
      <c r="E106" s="238" t="s">
        <v>952</v>
      </c>
      <c r="F106" s="212">
        <v>73.75</v>
      </c>
      <c r="G106" s="298"/>
      <c r="H106" s="235" t="s">
        <v>834</v>
      </c>
      <c r="I106" s="295" t="s">
        <v>1090</v>
      </c>
      <c r="J106" s="405"/>
      <c r="K106" s="298" t="s">
        <v>555</v>
      </c>
      <c r="L106" s="298"/>
      <c r="M106" s="298"/>
      <c r="AC106" s="496" t="s">
        <v>730</v>
      </c>
      <c r="AD106" s="496" t="s">
        <v>731</v>
      </c>
      <c r="AE106" s="496" t="s">
        <v>721</v>
      </c>
      <c r="AF106" s="496" t="s">
        <v>722</v>
      </c>
      <c r="AG106" s="496" t="s">
        <v>723</v>
      </c>
      <c r="AH106" s="496" t="s">
        <v>724</v>
      </c>
      <c r="AJ106" s="367" t="str">
        <f t="shared" si="8"/>
        <v>CCH_H1_5_23</v>
      </c>
    </row>
    <row r="107" spans="2:36" x14ac:dyDescent="0.3">
      <c r="B107" s="238" t="str">
        <f t="shared" si="7"/>
        <v>CasualProfessionalUOM 7.4</v>
      </c>
      <c r="C107" s="238" t="s">
        <v>601</v>
      </c>
      <c r="D107" s="238" t="s">
        <v>767</v>
      </c>
      <c r="E107" s="238" t="s">
        <v>958</v>
      </c>
      <c r="F107" s="212">
        <v>75.23</v>
      </c>
      <c r="G107" s="298"/>
      <c r="H107" s="401" t="s">
        <v>581</v>
      </c>
      <c r="I107" s="428">
        <v>0.12</v>
      </c>
      <c r="J107" s="405"/>
      <c r="K107" s="298" t="s">
        <v>555</v>
      </c>
      <c r="L107" s="298"/>
      <c r="M107" s="298"/>
      <c r="AC107" s="496" t="s">
        <v>737</v>
      </c>
      <c r="AD107" s="496" t="s">
        <v>738</v>
      </c>
      <c r="AE107" s="496" t="s">
        <v>739</v>
      </c>
      <c r="AF107" s="496" t="s">
        <v>740</v>
      </c>
      <c r="AG107" s="496" t="s">
        <v>723</v>
      </c>
      <c r="AH107" s="496" t="s">
        <v>724</v>
      </c>
      <c r="AJ107" s="367" t="str">
        <f t="shared" si="8"/>
        <v>CCH_H1_5_24</v>
      </c>
    </row>
    <row r="108" spans="2:36" x14ac:dyDescent="0.3">
      <c r="B108" s="238" t="str">
        <f t="shared" si="7"/>
        <v>CasualProfessionalUOM 7.5</v>
      </c>
      <c r="C108" s="238" t="s">
        <v>601</v>
      </c>
      <c r="D108" s="238" t="s">
        <v>767</v>
      </c>
      <c r="E108" s="238" t="s">
        <v>965</v>
      </c>
      <c r="F108" s="212">
        <v>76.73</v>
      </c>
      <c r="G108" s="298"/>
      <c r="H108" s="402" t="s">
        <v>593</v>
      </c>
      <c r="I108" s="429">
        <v>0.12</v>
      </c>
      <c r="J108" s="405"/>
      <c r="K108" s="298" t="s">
        <v>555</v>
      </c>
      <c r="L108" s="298"/>
      <c r="M108" s="298"/>
      <c r="AC108" s="496" t="s">
        <v>748</v>
      </c>
      <c r="AD108" s="496" t="s">
        <v>749</v>
      </c>
      <c r="AE108" s="496" t="s">
        <v>750</v>
      </c>
      <c r="AF108" s="496" t="s">
        <v>751</v>
      </c>
      <c r="AG108" s="496" t="s">
        <v>752</v>
      </c>
      <c r="AH108" s="496" t="s">
        <v>753</v>
      </c>
      <c r="AJ108" s="367" t="str">
        <f t="shared" si="8"/>
        <v>CCH_H1_5_26</v>
      </c>
    </row>
    <row r="109" spans="2:36" x14ac:dyDescent="0.3">
      <c r="B109" s="238" t="str">
        <f t="shared" si="7"/>
        <v>CasualProfessionalUOM 8.1</v>
      </c>
      <c r="C109" s="238" t="s">
        <v>601</v>
      </c>
      <c r="D109" s="238" t="s">
        <v>767</v>
      </c>
      <c r="E109" s="238" t="s">
        <v>969</v>
      </c>
      <c r="F109" s="212">
        <v>79.75</v>
      </c>
      <c r="G109" s="298"/>
      <c r="H109" s="403" t="s">
        <v>601</v>
      </c>
      <c r="I109" s="406">
        <v>0</v>
      </c>
      <c r="J109" s="405"/>
      <c r="K109" s="298" t="s">
        <v>555</v>
      </c>
      <c r="L109" s="298"/>
      <c r="M109" s="298"/>
      <c r="AC109" s="496" t="s">
        <v>757</v>
      </c>
      <c r="AD109" s="496" t="s">
        <v>758</v>
      </c>
      <c r="AE109" s="496" t="s">
        <v>750</v>
      </c>
      <c r="AF109" s="496" t="s">
        <v>751</v>
      </c>
      <c r="AG109" s="496" t="s">
        <v>752</v>
      </c>
      <c r="AH109" s="496" t="s">
        <v>753</v>
      </c>
      <c r="AJ109" s="367" t="str">
        <f t="shared" si="8"/>
        <v>CCH_H1_5_27</v>
      </c>
    </row>
    <row r="110" spans="2:36" x14ac:dyDescent="0.3">
      <c r="B110" s="238" t="str">
        <f t="shared" si="7"/>
        <v>CasualProfessionalUOM 8.2</v>
      </c>
      <c r="C110" s="238" t="s">
        <v>601</v>
      </c>
      <c r="D110" s="238" t="s">
        <v>767</v>
      </c>
      <c r="E110" s="238" t="s">
        <v>974</v>
      </c>
      <c r="F110" s="212">
        <v>81.34</v>
      </c>
      <c r="G110" s="298"/>
      <c r="H110" s="389"/>
      <c r="I110" s="407"/>
      <c r="J110" s="405"/>
      <c r="K110" s="298" t="s">
        <v>555</v>
      </c>
      <c r="L110" s="298"/>
      <c r="M110" s="298"/>
      <c r="AC110" s="496" t="s">
        <v>762</v>
      </c>
      <c r="AD110" s="496" t="s">
        <v>763</v>
      </c>
      <c r="AE110" s="496" t="s">
        <v>764</v>
      </c>
      <c r="AF110" s="496" t="s">
        <v>765</v>
      </c>
      <c r="AG110" s="496" t="s">
        <v>752</v>
      </c>
      <c r="AH110" s="496" t="s">
        <v>753</v>
      </c>
      <c r="AJ110" s="367" t="str">
        <f t="shared" si="8"/>
        <v>CCH_H1_5_28</v>
      </c>
    </row>
    <row r="111" spans="2:36" x14ac:dyDescent="0.3">
      <c r="B111" s="238" t="str">
        <f t="shared" si="7"/>
        <v>CasualProfessionalUOM 8.3</v>
      </c>
      <c r="C111" s="238" t="s">
        <v>601</v>
      </c>
      <c r="D111" s="238" t="s">
        <v>767</v>
      </c>
      <c r="E111" s="238" t="s">
        <v>976</v>
      </c>
      <c r="F111" s="212">
        <v>82.97</v>
      </c>
      <c r="G111" s="298"/>
      <c r="H111" s="389"/>
      <c r="I111" s="407"/>
      <c r="J111" s="405"/>
      <c r="K111" s="298" t="s">
        <v>555</v>
      </c>
      <c r="L111" s="298"/>
      <c r="M111" s="298"/>
      <c r="AC111" s="496" t="s">
        <v>772</v>
      </c>
      <c r="AD111" s="496" t="s">
        <v>773</v>
      </c>
      <c r="AE111" s="496" t="s">
        <v>764</v>
      </c>
      <c r="AF111" s="496" t="s">
        <v>765</v>
      </c>
      <c r="AG111" s="496" t="s">
        <v>752</v>
      </c>
      <c r="AH111" s="496" t="s">
        <v>753</v>
      </c>
      <c r="AJ111" s="367" t="str">
        <f t="shared" si="8"/>
        <v>CCH_H1_5_29</v>
      </c>
    </row>
    <row r="112" spans="2:36" x14ac:dyDescent="0.3">
      <c r="B112" s="238" t="str">
        <f t="shared" si="7"/>
        <v>CasualProfessionalUOM 8.4</v>
      </c>
      <c r="C112" s="238" t="s">
        <v>601</v>
      </c>
      <c r="D112" s="238" t="s">
        <v>767</v>
      </c>
      <c r="E112" s="238" t="s">
        <v>982</v>
      </c>
      <c r="F112" s="212">
        <v>84.63</v>
      </c>
      <c r="G112" s="298"/>
      <c r="H112" s="389"/>
      <c r="I112" s="407"/>
      <c r="J112" s="405"/>
      <c r="K112" s="298" t="s">
        <v>555</v>
      </c>
      <c r="L112" s="298"/>
      <c r="M112" s="298"/>
      <c r="AC112" s="496" t="s">
        <v>777</v>
      </c>
      <c r="AD112" s="496" t="s">
        <v>778</v>
      </c>
      <c r="AE112" s="496" t="s">
        <v>764</v>
      </c>
      <c r="AF112" s="496" t="s">
        <v>765</v>
      </c>
      <c r="AG112" s="496" t="s">
        <v>752</v>
      </c>
      <c r="AH112" s="496" t="s">
        <v>753</v>
      </c>
      <c r="AJ112" s="367" t="str">
        <f t="shared" si="8"/>
        <v>CCH_H1_5_30</v>
      </c>
    </row>
    <row r="113" spans="2:36" ht="15.6" x14ac:dyDescent="0.3">
      <c r="B113" s="238" t="str">
        <f t="shared" si="7"/>
        <v>CasualProfessionalUOM 8.5</v>
      </c>
      <c r="C113" s="238" t="s">
        <v>601</v>
      </c>
      <c r="D113" s="238" t="s">
        <v>767</v>
      </c>
      <c r="E113" s="238" t="s">
        <v>988</v>
      </c>
      <c r="F113" s="212">
        <v>86.32</v>
      </c>
      <c r="G113" s="298"/>
      <c r="H113" s="409" t="s">
        <v>1108</v>
      </c>
      <c r="I113" s="407"/>
      <c r="J113" s="405"/>
      <c r="K113" s="298" t="s">
        <v>555</v>
      </c>
      <c r="L113" s="298"/>
      <c r="M113" s="298"/>
      <c r="AC113" s="496" t="s">
        <v>783</v>
      </c>
      <c r="AD113" s="496" t="s">
        <v>784</v>
      </c>
      <c r="AE113" s="496" t="s">
        <v>764</v>
      </c>
      <c r="AF113" s="496" t="s">
        <v>765</v>
      </c>
      <c r="AG113" s="496" t="s">
        <v>752</v>
      </c>
      <c r="AH113" s="496" t="s">
        <v>753</v>
      </c>
      <c r="AJ113" s="367" t="str">
        <f t="shared" si="8"/>
        <v>CCH_H1_5_31</v>
      </c>
    </row>
    <row r="114" spans="2:36" x14ac:dyDescent="0.3">
      <c r="B114" s="238" t="str">
        <f t="shared" si="7"/>
        <v>CasualProfessionalUOM 9.1</v>
      </c>
      <c r="C114" s="238" t="s">
        <v>601</v>
      </c>
      <c r="D114" s="238" t="s">
        <v>767</v>
      </c>
      <c r="E114" s="238" t="s">
        <v>990</v>
      </c>
      <c r="F114" s="212">
        <v>93.04</v>
      </c>
      <c r="G114" s="298"/>
      <c r="H114" s="235" t="s">
        <v>1112</v>
      </c>
      <c r="I114" s="407"/>
      <c r="J114" s="405"/>
      <c r="K114" s="298" t="s">
        <v>555</v>
      </c>
      <c r="L114" s="298"/>
      <c r="M114" s="298"/>
      <c r="AC114" s="496" t="s">
        <v>793</v>
      </c>
      <c r="AD114" s="496" t="s">
        <v>794</v>
      </c>
      <c r="AE114" s="496" t="s">
        <v>764</v>
      </c>
      <c r="AF114" s="496" t="s">
        <v>765</v>
      </c>
      <c r="AG114" s="496" t="s">
        <v>752</v>
      </c>
      <c r="AH114" s="496" t="s">
        <v>753</v>
      </c>
      <c r="AJ114" s="367" t="str">
        <f t="shared" si="8"/>
        <v>CCH_H1_5_32</v>
      </c>
    </row>
    <row r="115" spans="2:36" x14ac:dyDescent="0.3">
      <c r="B115" s="238" t="str">
        <f t="shared" si="7"/>
        <v>CasualProfessionalUOM 9.2</v>
      </c>
      <c r="C115" s="238" t="s">
        <v>601</v>
      </c>
      <c r="D115" s="238" t="s">
        <v>767</v>
      </c>
      <c r="E115" s="238" t="s">
        <v>992</v>
      </c>
      <c r="F115" s="212">
        <v>94.89</v>
      </c>
      <c r="G115" s="298"/>
      <c r="H115" s="410">
        <v>260.892</v>
      </c>
      <c r="I115" s="407"/>
      <c r="J115" s="405"/>
      <c r="K115" s="298" t="s">
        <v>555</v>
      </c>
      <c r="L115" s="298"/>
      <c r="M115" s="298"/>
      <c r="AC115" s="496" t="s">
        <v>1136</v>
      </c>
      <c r="AD115" s="496" t="s">
        <v>1137</v>
      </c>
      <c r="AE115" s="496" t="s">
        <v>825</v>
      </c>
      <c r="AF115" s="496" t="s">
        <v>826</v>
      </c>
      <c r="AG115" s="496" t="s">
        <v>811</v>
      </c>
      <c r="AH115" s="496" t="s">
        <v>812</v>
      </c>
      <c r="AJ115" s="367" t="str">
        <f t="shared" si="8"/>
        <v>CCH_H1_5_197</v>
      </c>
    </row>
    <row r="116" spans="2:36" x14ac:dyDescent="0.3">
      <c r="B116" s="238" t="str">
        <f t="shared" si="7"/>
        <v>CasualProfessionalUOM 9.3</v>
      </c>
      <c r="C116" s="238" t="s">
        <v>601</v>
      </c>
      <c r="D116" s="238" t="s">
        <v>767</v>
      </c>
      <c r="E116" s="238" t="s">
        <v>997</v>
      </c>
      <c r="F116" s="212">
        <v>96.79</v>
      </c>
      <c r="G116" s="298"/>
      <c r="H116" s="389"/>
      <c r="I116" s="407"/>
      <c r="J116" s="405"/>
      <c r="K116" s="298" t="s">
        <v>555</v>
      </c>
      <c r="L116" s="298"/>
      <c r="M116" s="298"/>
      <c r="AC116" s="496" t="s">
        <v>807</v>
      </c>
      <c r="AD116" s="496" t="s">
        <v>808</v>
      </c>
      <c r="AE116" s="496" t="s">
        <v>809</v>
      </c>
      <c r="AF116" s="496" t="s">
        <v>810</v>
      </c>
      <c r="AG116" s="496" t="s">
        <v>811</v>
      </c>
      <c r="AH116" s="496" t="s">
        <v>812</v>
      </c>
      <c r="AJ116" s="367" t="str">
        <f t="shared" si="8"/>
        <v>CCH_H1_5_35</v>
      </c>
    </row>
    <row r="117" spans="2:36" x14ac:dyDescent="0.3">
      <c r="B117" s="238" t="str">
        <f t="shared" si="7"/>
        <v>CasualProfessionalUOM 10</v>
      </c>
      <c r="C117" s="238" t="s">
        <v>601</v>
      </c>
      <c r="D117" s="238" t="s">
        <v>767</v>
      </c>
      <c r="E117" s="238" t="s">
        <v>715</v>
      </c>
      <c r="F117" s="212">
        <v>99.68</v>
      </c>
      <c r="G117" s="298"/>
      <c r="H117" s="389"/>
      <c r="I117" s="407"/>
      <c r="J117" s="405"/>
      <c r="K117" s="298" t="s">
        <v>555</v>
      </c>
      <c r="L117" s="298"/>
      <c r="M117" s="298"/>
      <c r="AC117" s="496" t="s">
        <v>817</v>
      </c>
      <c r="AD117" s="496" t="s">
        <v>818</v>
      </c>
      <c r="AE117" s="496" t="s">
        <v>809</v>
      </c>
      <c r="AF117" s="496" t="s">
        <v>810</v>
      </c>
      <c r="AG117" s="496" t="s">
        <v>811</v>
      </c>
      <c r="AH117" s="496" t="s">
        <v>812</v>
      </c>
      <c r="AJ117" s="367" t="str">
        <f t="shared" si="8"/>
        <v>CCH_H1_5_36</v>
      </c>
    </row>
    <row r="118" spans="2:36" ht="15.6" x14ac:dyDescent="0.3">
      <c r="B118" s="238" t="str">
        <f t="shared" si="7"/>
        <v>CasualAcademicRA Grade 1.1</v>
      </c>
      <c r="C118" s="238" t="s">
        <v>601</v>
      </c>
      <c r="D118" s="238" t="s">
        <v>577</v>
      </c>
      <c r="E118" s="238" t="s">
        <v>578</v>
      </c>
      <c r="F118" s="212">
        <v>50.77</v>
      </c>
      <c r="G118" s="298"/>
      <c r="H118" s="409" t="s">
        <v>1124</v>
      </c>
      <c r="I118" s="407"/>
      <c r="J118" s="405"/>
      <c r="K118" s="298" t="s">
        <v>555</v>
      </c>
      <c r="L118" s="298"/>
      <c r="M118" s="298"/>
      <c r="AC118" s="496" t="s">
        <v>823</v>
      </c>
      <c r="AD118" s="496" t="s">
        <v>824</v>
      </c>
      <c r="AE118" s="496" t="s">
        <v>825</v>
      </c>
      <c r="AF118" s="496" t="s">
        <v>826</v>
      </c>
      <c r="AG118" s="496" t="s">
        <v>811</v>
      </c>
      <c r="AH118" s="496" t="s">
        <v>812</v>
      </c>
      <c r="AJ118" s="367" t="str">
        <f t="shared" si="8"/>
        <v>CCH_H1_5_37</v>
      </c>
    </row>
    <row r="119" spans="2:36" x14ac:dyDescent="0.3">
      <c r="B119" s="238" t="str">
        <f t="shared" si="7"/>
        <v>CasualAcademicRA Grade 1.2</v>
      </c>
      <c r="C119" s="238" t="s">
        <v>601</v>
      </c>
      <c r="D119" s="238" t="s">
        <v>577</v>
      </c>
      <c r="E119" s="238" t="s">
        <v>588</v>
      </c>
      <c r="F119" s="212">
        <v>52.42</v>
      </c>
      <c r="G119" s="298"/>
      <c r="H119" s="235" t="s">
        <v>1127</v>
      </c>
      <c r="I119" s="407"/>
      <c r="J119" s="405"/>
      <c r="K119" s="298" t="s">
        <v>555</v>
      </c>
      <c r="L119" s="298"/>
      <c r="M119" s="298"/>
      <c r="AC119" s="496" t="s">
        <v>831</v>
      </c>
      <c r="AD119" s="496" t="s">
        <v>832</v>
      </c>
      <c r="AE119" s="496" t="s">
        <v>825</v>
      </c>
      <c r="AF119" s="496" t="s">
        <v>826</v>
      </c>
      <c r="AG119" s="496" t="s">
        <v>811</v>
      </c>
      <c r="AH119" s="496" t="s">
        <v>812</v>
      </c>
      <c r="AJ119" s="367" t="str">
        <f t="shared" si="8"/>
        <v>CCH_H1_5_38</v>
      </c>
    </row>
    <row r="120" spans="2:36" x14ac:dyDescent="0.3">
      <c r="B120" s="238" t="str">
        <f t="shared" si="7"/>
        <v>CasualAcademicRA Grade 1.3</v>
      </c>
      <c r="C120" s="238" t="s">
        <v>601</v>
      </c>
      <c r="D120" s="238" t="s">
        <v>577</v>
      </c>
      <c r="E120" s="238" t="s">
        <v>598</v>
      </c>
      <c r="F120" s="212">
        <v>55.59</v>
      </c>
      <c r="G120" s="298"/>
      <c r="H120" s="1124">
        <v>1611.3</v>
      </c>
      <c r="I120" s="407"/>
      <c r="J120" s="405"/>
      <c r="K120" s="298" t="s">
        <v>555</v>
      </c>
      <c r="L120" s="298"/>
      <c r="M120" s="298"/>
      <c r="AC120" s="496" t="s">
        <v>836</v>
      </c>
      <c r="AD120" s="496" t="s">
        <v>837</v>
      </c>
      <c r="AE120" s="496" t="s">
        <v>838</v>
      </c>
      <c r="AF120" s="496" t="s">
        <v>839</v>
      </c>
      <c r="AG120" s="496" t="s">
        <v>811</v>
      </c>
      <c r="AH120" s="496" t="s">
        <v>812</v>
      </c>
      <c r="AJ120" s="367" t="str">
        <f t="shared" si="8"/>
        <v>CCH_H1_5_39</v>
      </c>
    </row>
    <row r="121" spans="2:36" x14ac:dyDescent="0.3">
      <c r="B121" s="238" t="str">
        <f t="shared" si="7"/>
        <v>CasualAcademicLevel A.1</v>
      </c>
      <c r="C121" s="238" t="s">
        <v>601</v>
      </c>
      <c r="D121" s="238" t="s">
        <v>577</v>
      </c>
      <c r="E121" s="238" t="s">
        <v>603</v>
      </c>
      <c r="F121" s="212">
        <v>55.59</v>
      </c>
      <c r="G121" s="298"/>
      <c r="H121" s="389"/>
      <c r="I121" s="407"/>
      <c r="J121" s="405"/>
      <c r="K121" s="298" t="s">
        <v>555</v>
      </c>
      <c r="L121" s="298"/>
      <c r="M121" s="298"/>
      <c r="AC121" s="496" t="s">
        <v>843</v>
      </c>
      <c r="AD121" s="496" t="s">
        <v>844</v>
      </c>
      <c r="AE121" s="496" t="s">
        <v>845</v>
      </c>
      <c r="AF121" s="496" t="s">
        <v>846</v>
      </c>
      <c r="AG121" s="496" t="s">
        <v>811</v>
      </c>
      <c r="AH121" s="496" t="s">
        <v>812</v>
      </c>
      <c r="AJ121" s="367" t="str">
        <f t="shared" si="8"/>
        <v>CCH_H1_5_40</v>
      </c>
    </row>
    <row r="122" spans="2:36" x14ac:dyDescent="0.3">
      <c r="B122" s="238" t="str">
        <f t="shared" si="7"/>
        <v>CasualAcademicLevel A.2</v>
      </c>
      <c r="C122" s="238" t="s">
        <v>601</v>
      </c>
      <c r="D122" s="238" t="s">
        <v>577</v>
      </c>
      <c r="E122" s="238" t="s">
        <v>609</v>
      </c>
      <c r="F122" s="212">
        <v>58.77</v>
      </c>
      <c r="H122" s="19"/>
      <c r="I122" s="268"/>
      <c r="J122" s="267"/>
      <c r="K122" s="11" t="s">
        <v>555</v>
      </c>
      <c r="AC122" s="496" t="s">
        <v>850</v>
      </c>
      <c r="AD122" s="496" t="s">
        <v>851</v>
      </c>
      <c r="AE122" s="496" t="s">
        <v>845</v>
      </c>
      <c r="AF122" s="496" t="s">
        <v>846</v>
      </c>
      <c r="AG122" s="496" t="s">
        <v>811</v>
      </c>
      <c r="AH122" s="496" t="s">
        <v>812</v>
      </c>
      <c r="AJ122" s="367" t="str">
        <f t="shared" si="8"/>
        <v>CCH_H1_5_41</v>
      </c>
    </row>
    <row r="123" spans="2:36" ht="15.6" x14ac:dyDescent="0.3">
      <c r="B123" s="238" t="str">
        <f t="shared" si="7"/>
        <v>CasualAcademicLevel A.3</v>
      </c>
      <c r="C123" s="238" t="s">
        <v>601</v>
      </c>
      <c r="D123" s="238" t="s">
        <v>577</v>
      </c>
      <c r="E123" s="238" t="s">
        <v>615</v>
      </c>
      <c r="F123" s="212">
        <v>61.94</v>
      </c>
      <c r="H123" s="232" t="s">
        <v>1128</v>
      </c>
      <c r="I123" s="268"/>
      <c r="J123" s="267"/>
      <c r="K123" s="11" t="s">
        <v>555</v>
      </c>
      <c r="AC123" s="496" t="s">
        <v>854</v>
      </c>
      <c r="AD123" s="496" t="s">
        <v>855</v>
      </c>
      <c r="AE123" s="496" t="s">
        <v>845</v>
      </c>
      <c r="AF123" s="496" t="s">
        <v>846</v>
      </c>
      <c r="AG123" s="496" t="s">
        <v>811</v>
      </c>
      <c r="AH123" s="496" t="s">
        <v>812</v>
      </c>
      <c r="AJ123" s="367" t="str">
        <f t="shared" si="8"/>
        <v>CCH_H1_5_42</v>
      </c>
    </row>
    <row r="124" spans="2:36" ht="19.5" customHeight="1" x14ac:dyDescent="0.3">
      <c r="B124" s="238" t="str">
        <f t="shared" si="7"/>
        <v>CasualAcademicLevel A.4</v>
      </c>
      <c r="C124" s="238" t="s">
        <v>601</v>
      </c>
      <c r="D124" s="238" t="s">
        <v>577</v>
      </c>
      <c r="E124" s="238" t="s">
        <v>624</v>
      </c>
      <c r="F124" s="212">
        <v>65.12</v>
      </c>
      <c r="H124" s="257" t="s">
        <v>404</v>
      </c>
      <c r="I124" s="257" t="s">
        <v>16</v>
      </c>
      <c r="J124" s="257" t="s">
        <v>405</v>
      </c>
      <c r="K124" s="257" t="s">
        <v>18</v>
      </c>
      <c r="L124" s="257" t="s">
        <v>1129</v>
      </c>
      <c r="M124" s="380" t="s">
        <v>1130</v>
      </c>
      <c r="N124" s="380" t="s">
        <v>1131</v>
      </c>
      <c r="O124" s="380" t="s">
        <v>1132</v>
      </c>
      <c r="AC124" s="496" t="s">
        <v>858</v>
      </c>
      <c r="AD124" s="496" t="s">
        <v>859</v>
      </c>
      <c r="AE124" s="496" t="s">
        <v>845</v>
      </c>
      <c r="AF124" s="496" t="s">
        <v>846</v>
      </c>
      <c r="AG124" s="496" t="s">
        <v>811</v>
      </c>
      <c r="AH124" s="496" t="s">
        <v>812</v>
      </c>
      <c r="AJ124" s="367" t="str">
        <f t="shared" si="8"/>
        <v>CCH_H1_5_43</v>
      </c>
    </row>
    <row r="125" spans="2:36" x14ac:dyDescent="0.3">
      <c r="B125" s="238" t="str">
        <f t="shared" si="7"/>
        <v>CasualAcademicLevel A.5</v>
      </c>
      <c r="C125" s="238" t="s">
        <v>601</v>
      </c>
      <c r="D125" s="238" t="s">
        <v>577</v>
      </c>
      <c r="E125" s="238" t="s">
        <v>631</v>
      </c>
      <c r="F125" s="212">
        <v>67.7</v>
      </c>
      <c r="H125" s="381">
        <f>Start_Year</f>
        <v>2026</v>
      </c>
      <c r="I125" s="296" t="str">
        <f>Start_Month</f>
        <v>January</v>
      </c>
      <c r="J125" s="381">
        <f>pEndYear</f>
        <v>2030</v>
      </c>
      <c r="K125" s="296" t="str">
        <f>End_Month</f>
        <v>December</v>
      </c>
      <c r="L125" s="296">
        <f>IF(H125&gt;J125,0,IF(H125=J125,VLOOKUP(K125,U65:V76,2,FALSE)-VLOOKUP(I125,U65:V76,2,FALSE)+1,12-VLOOKUP(I125,U65:V76,2,FALSE)+1))</f>
        <v>12</v>
      </c>
      <c r="M125" s="381">
        <f>IF(H125&gt;J125,0,VLOOKUP(K125,U65:V76,2,FALSE))</f>
        <v>12</v>
      </c>
      <c r="N125" s="381">
        <f>IF(H125&gt;J125,0,J125-H125+1)</f>
        <v>5</v>
      </c>
      <c r="O125" s="381">
        <f>L125+(J125-H125-1)*12+M125</f>
        <v>60</v>
      </c>
      <c r="AC125" s="496" t="s">
        <v>862</v>
      </c>
      <c r="AD125" s="496" t="s">
        <v>863</v>
      </c>
      <c r="AE125" s="496" t="s">
        <v>864</v>
      </c>
      <c r="AF125" s="496" t="s">
        <v>865</v>
      </c>
      <c r="AG125" s="496" t="s">
        <v>866</v>
      </c>
      <c r="AH125" s="496" t="s">
        <v>867</v>
      </c>
      <c r="AJ125" s="367" t="str">
        <f t="shared" si="8"/>
        <v>CCH_H1_5_44</v>
      </c>
    </row>
    <row r="126" spans="2:36" x14ac:dyDescent="0.3">
      <c r="B126" s="238" t="str">
        <f t="shared" si="7"/>
        <v>CasualAcademicLevel A.6</v>
      </c>
      <c r="C126" s="238" t="s">
        <v>601</v>
      </c>
      <c r="D126" s="238" t="s">
        <v>577</v>
      </c>
      <c r="E126" s="238" t="s">
        <v>637</v>
      </c>
      <c r="F126" s="212">
        <v>70.28</v>
      </c>
      <c r="H126" s="19"/>
      <c r="I126" s="268"/>
      <c r="J126" s="267"/>
      <c r="K126" s="11" t="s">
        <v>555</v>
      </c>
      <c r="AC126" s="496" t="s">
        <v>874</v>
      </c>
      <c r="AD126" s="496" t="s">
        <v>875</v>
      </c>
      <c r="AE126" s="496" t="s">
        <v>876</v>
      </c>
      <c r="AF126" s="496" t="s">
        <v>877</v>
      </c>
      <c r="AG126" s="496" t="s">
        <v>866</v>
      </c>
      <c r="AH126" s="496" t="s">
        <v>867</v>
      </c>
      <c r="AJ126" s="367" t="str">
        <f t="shared" si="8"/>
        <v>CCH_H1_5_46</v>
      </c>
    </row>
    <row r="127" spans="2:36" x14ac:dyDescent="0.3">
      <c r="B127" s="238" t="str">
        <f t="shared" si="7"/>
        <v>CasualAcademicLevel A.7</v>
      </c>
      <c r="C127" s="238" t="s">
        <v>601</v>
      </c>
      <c r="D127" s="238" t="s">
        <v>577</v>
      </c>
      <c r="E127" s="238" t="s">
        <v>648</v>
      </c>
      <c r="F127" s="212">
        <v>72.849999999999994</v>
      </c>
      <c r="H127" s="19"/>
      <c r="I127" s="268"/>
      <c r="J127" s="267"/>
      <c r="K127" s="11" t="s">
        <v>555</v>
      </c>
      <c r="AC127" s="496" t="s">
        <v>880</v>
      </c>
      <c r="AD127" s="496" t="s">
        <v>881</v>
      </c>
      <c r="AE127" s="496" t="s">
        <v>876</v>
      </c>
      <c r="AF127" s="496" t="s">
        <v>877</v>
      </c>
      <c r="AG127" s="496" t="s">
        <v>866</v>
      </c>
      <c r="AH127" s="496" t="s">
        <v>867</v>
      </c>
      <c r="AJ127" s="367" t="str">
        <f t="shared" si="8"/>
        <v>CCH_H1_5_47</v>
      </c>
    </row>
    <row r="128" spans="2:36" x14ac:dyDescent="0.3">
      <c r="B128" s="238" t="str">
        <f t="shared" si="7"/>
        <v>CasualAcademicLevel A.8</v>
      </c>
      <c r="C128" s="238" t="s">
        <v>601</v>
      </c>
      <c r="D128" s="238" t="s">
        <v>577</v>
      </c>
      <c r="E128" s="238" t="s">
        <v>654</v>
      </c>
      <c r="F128" s="212">
        <v>75.430000000000007</v>
      </c>
      <c r="H128" s="19"/>
      <c r="I128" s="268"/>
      <c r="J128" s="267"/>
      <c r="K128" s="11" t="s">
        <v>555</v>
      </c>
      <c r="AC128" s="496" t="s">
        <v>1079</v>
      </c>
      <c r="AD128" s="496" t="s">
        <v>1080</v>
      </c>
      <c r="AE128" s="496" t="s">
        <v>1077</v>
      </c>
      <c r="AF128" s="496" t="s">
        <v>1078</v>
      </c>
      <c r="AG128" s="496" t="s">
        <v>1067</v>
      </c>
      <c r="AH128" s="496" t="s">
        <v>1068</v>
      </c>
      <c r="AJ128" s="367" t="str">
        <f t="shared" si="8"/>
        <v>CCH_H1_5_100</v>
      </c>
    </row>
    <row r="129" spans="2:36" x14ac:dyDescent="0.3">
      <c r="B129" s="238" t="str">
        <f t="shared" si="7"/>
        <v>CasualAcademicLevel B.1</v>
      </c>
      <c r="C129" s="238" t="s">
        <v>601</v>
      </c>
      <c r="D129" s="238" t="s">
        <v>577</v>
      </c>
      <c r="E129" s="238" t="s">
        <v>659</v>
      </c>
      <c r="F129" s="212">
        <v>79.400000000000006</v>
      </c>
      <c r="H129" s="19"/>
      <c r="I129" s="268"/>
      <c r="J129" s="267"/>
      <c r="K129" s="11" t="s">
        <v>555</v>
      </c>
      <c r="AC129" s="496" t="s">
        <v>1081</v>
      </c>
      <c r="AD129" s="496" t="s">
        <v>1082</v>
      </c>
      <c r="AE129" s="496" t="s">
        <v>1083</v>
      </c>
      <c r="AF129" s="496" t="s">
        <v>1084</v>
      </c>
      <c r="AG129" s="496" t="s">
        <v>1067</v>
      </c>
      <c r="AH129" s="496" t="s">
        <v>1068</v>
      </c>
      <c r="AJ129" s="367" t="str">
        <f t="shared" si="8"/>
        <v>CCH_H1_5_101</v>
      </c>
    </row>
    <row r="130" spans="2:36" x14ac:dyDescent="0.3">
      <c r="B130" s="238" t="str">
        <f t="shared" si="7"/>
        <v>CasualAcademicLevel B.2</v>
      </c>
      <c r="C130" s="238" t="s">
        <v>601</v>
      </c>
      <c r="D130" s="238" t="s">
        <v>577</v>
      </c>
      <c r="E130" s="238" t="s">
        <v>665</v>
      </c>
      <c r="F130" s="212">
        <v>82.38</v>
      </c>
      <c r="H130" s="11" t="s">
        <v>180</v>
      </c>
      <c r="AC130" s="496" t="s">
        <v>1086</v>
      </c>
      <c r="AD130" s="496" t="s">
        <v>1087</v>
      </c>
      <c r="AE130" s="496" t="s">
        <v>1088</v>
      </c>
      <c r="AF130" s="496" t="s">
        <v>1089</v>
      </c>
      <c r="AG130" s="496" t="s">
        <v>1067</v>
      </c>
      <c r="AH130" s="496" t="s">
        <v>1068</v>
      </c>
      <c r="AJ130" s="367" t="str">
        <f t="shared" si="8"/>
        <v>CCH_H1_5_103</v>
      </c>
    </row>
    <row r="131" spans="2:36" x14ac:dyDescent="0.3">
      <c r="B131" s="238" t="str">
        <f t="shared" si="7"/>
        <v>CasualAcademicLevel B.3</v>
      </c>
      <c r="C131" s="238" t="s">
        <v>601</v>
      </c>
      <c r="D131" s="238" t="s">
        <v>577</v>
      </c>
      <c r="E131" s="238" t="s">
        <v>670</v>
      </c>
      <c r="F131" s="212">
        <v>85.37</v>
      </c>
      <c r="H131" s="257" t="s">
        <v>1133</v>
      </c>
      <c r="I131" s="257" t="s">
        <v>1134</v>
      </c>
      <c r="AC131" s="496" t="s">
        <v>1091</v>
      </c>
      <c r="AD131" s="496" t="s">
        <v>1092</v>
      </c>
      <c r="AE131" s="496" t="s">
        <v>1088</v>
      </c>
      <c r="AF131" s="496" t="s">
        <v>1089</v>
      </c>
      <c r="AG131" s="496" t="s">
        <v>1067</v>
      </c>
      <c r="AH131" s="496" t="s">
        <v>1068</v>
      </c>
      <c r="AJ131" s="367" t="str">
        <f t="shared" si="8"/>
        <v>CCH_H1_5_104</v>
      </c>
    </row>
    <row r="132" spans="2:36" x14ac:dyDescent="0.3">
      <c r="B132" s="238" t="str">
        <f t="shared" ref="B132:B145" si="9">CONCATENATE(C132,D132,E132)</f>
        <v>CasualAcademicLevel B.4</v>
      </c>
      <c r="C132" s="238" t="s">
        <v>601</v>
      </c>
      <c r="D132" s="238" t="s">
        <v>577</v>
      </c>
      <c r="E132" s="238" t="s">
        <v>675</v>
      </c>
      <c r="F132" s="212">
        <v>88.34</v>
      </c>
      <c r="H132" s="513" t="s">
        <v>83</v>
      </c>
      <c r="I132" s="513" t="s">
        <v>85</v>
      </c>
      <c r="AC132" s="496" t="s">
        <v>1093</v>
      </c>
      <c r="AD132" s="496" t="s">
        <v>1094</v>
      </c>
      <c r="AE132" s="496" t="s">
        <v>1095</v>
      </c>
      <c r="AF132" s="496" t="s">
        <v>1096</v>
      </c>
      <c r="AG132" s="496" t="s">
        <v>1067</v>
      </c>
      <c r="AH132" s="496" t="s">
        <v>1068</v>
      </c>
      <c r="AJ132" s="367" t="str">
        <f t="shared" si="8"/>
        <v>CCH_H1_5_105</v>
      </c>
    </row>
    <row r="133" spans="2:36" x14ac:dyDescent="0.3">
      <c r="B133" s="238" t="str">
        <f t="shared" si="9"/>
        <v>CasualAcademicLevel B.5</v>
      </c>
      <c r="C133" s="238" t="s">
        <v>601</v>
      </c>
      <c r="D133" s="238" t="s">
        <v>577</v>
      </c>
      <c r="E133" s="238" t="s">
        <v>680</v>
      </c>
      <c r="F133" s="212">
        <v>91.32</v>
      </c>
      <c r="H133" s="513" t="s">
        <v>90</v>
      </c>
      <c r="I133" s="513" t="s">
        <v>92</v>
      </c>
      <c r="AC133" s="496" t="s">
        <v>1097</v>
      </c>
      <c r="AD133" s="496" t="s">
        <v>1098</v>
      </c>
      <c r="AE133" s="496" t="s">
        <v>1095</v>
      </c>
      <c r="AF133" s="496" t="s">
        <v>1096</v>
      </c>
      <c r="AG133" s="496" t="s">
        <v>1067</v>
      </c>
      <c r="AH133" s="496" t="s">
        <v>1068</v>
      </c>
      <c r="AJ133" s="367" t="str">
        <f t="shared" ref="AJ133:AJ177" si="10">AD133</f>
        <v>CCH_H1_5_106</v>
      </c>
    </row>
    <row r="134" spans="2:36" x14ac:dyDescent="0.3">
      <c r="B134" s="238" t="str">
        <f t="shared" si="9"/>
        <v>CasualAcademicLevel B.6</v>
      </c>
      <c r="C134" s="238" t="s">
        <v>601</v>
      </c>
      <c r="D134" s="238" t="s">
        <v>577</v>
      </c>
      <c r="E134" s="238" t="s">
        <v>686</v>
      </c>
      <c r="F134" s="212">
        <v>94.29</v>
      </c>
      <c r="H134" s="513" t="s">
        <v>90</v>
      </c>
      <c r="I134" s="513" t="s">
        <v>94</v>
      </c>
      <c r="AC134" s="496" t="s">
        <v>1099</v>
      </c>
      <c r="AD134" s="496" t="s">
        <v>1100</v>
      </c>
      <c r="AE134" s="496" t="s">
        <v>1101</v>
      </c>
      <c r="AF134" s="496" t="s">
        <v>1102</v>
      </c>
      <c r="AG134" s="496" t="s">
        <v>1067</v>
      </c>
      <c r="AH134" s="496" t="s">
        <v>1068</v>
      </c>
      <c r="AJ134" s="367" t="str">
        <f t="shared" si="10"/>
        <v>CCH_H1_5_107</v>
      </c>
    </row>
    <row r="135" spans="2:36" x14ac:dyDescent="0.3">
      <c r="B135" s="238" t="str">
        <f t="shared" si="9"/>
        <v>CasualAcademicLevel C.1</v>
      </c>
      <c r="C135" s="238" t="s">
        <v>601</v>
      </c>
      <c r="D135" s="238" t="s">
        <v>577</v>
      </c>
      <c r="E135" s="238" t="s">
        <v>691</v>
      </c>
      <c r="F135" s="212">
        <v>97.27</v>
      </c>
      <c r="H135" s="513" t="s">
        <v>96</v>
      </c>
      <c r="I135" s="513" t="s">
        <v>1135</v>
      </c>
      <c r="AC135" s="496" t="s">
        <v>1103</v>
      </c>
      <c r="AD135" s="496" t="s">
        <v>1104</v>
      </c>
      <c r="AE135" s="496" t="s">
        <v>1101</v>
      </c>
      <c r="AF135" s="496" t="s">
        <v>1102</v>
      </c>
      <c r="AG135" s="496" t="s">
        <v>1067</v>
      </c>
      <c r="AH135" s="496" t="s">
        <v>1068</v>
      </c>
      <c r="AJ135" s="367" t="str">
        <f t="shared" si="10"/>
        <v>CCH_H1_5_108</v>
      </c>
    </row>
    <row r="136" spans="2:36" x14ac:dyDescent="0.3">
      <c r="B136" s="238" t="str">
        <f t="shared" si="9"/>
        <v>CasualAcademicLevel C.2</v>
      </c>
      <c r="C136" s="238" t="s">
        <v>601</v>
      </c>
      <c r="D136" s="238" t="s">
        <v>577</v>
      </c>
      <c r="E136" s="238" t="s">
        <v>697</v>
      </c>
      <c r="F136" s="212">
        <v>100.25</v>
      </c>
      <c r="H136" s="513" t="s">
        <v>96</v>
      </c>
      <c r="I136" s="513" t="s">
        <v>98</v>
      </c>
      <c r="AC136" s="496" t="s">
        <v>1185</v>
      </c>
      <c r="AD136" s="496" t="s">
        <v>1105</v>
      </c>
      <c r="AE136" s="496" t="s">
        <v>1186</v>
      </c>
      <c r="AF136" s="496" t="s">
        <v>1106</v>
      </c>
      <c r="AG136" s="496" t="s">
        <v>1067</v>
      </c>
      <c r="AH136" s="496" t="s">
        <v>1068</v>
      </c>
      <c r="AJ136" s="367" t="str">
        <f t="shared" si="10"/>
        <v>CCH_H1_5_109</v>
      </c>
    </row>
    <row r="137" spans="2:36" x14ac:dyDescent="0.3">
      <c r="B137" s="238" t="str">
        <f t="shared" si="9"/>
        <v>CasualAcademicLevel C.3</v>
      </c>
      <c r="C137" s="238" t="s">
        <v>601</v>
      </c>
      <c r="D137" s="238" t="s">
        <v>577</v>
      </c>
      <c r="E137" s="238" t="s">
        <v>702</v>
      </c>
      <c r="F137" s="212">
        <v>103.23</v>
      </c>
      <c r="H137" s="513" t="s">
        <v>100</v>
      </c>
      <c r="I137" s="513" t="s">
        <v>102</v>
      </c>
      <c r="AC137" s="496" t="s">
        <v>1187</v>
      </c>
      <c r="AD137" s="496" t="s">
        <v>1107</v>
      </c>
      <c r="AE137" s="496" t="s">
        <v>1186</v>
      </c>
      <c r="AF137" s="496" t="s">
        <v>1106</v>
      </c>
      <c r="AG137" s="496" t="s">
        <v>1067</v>
      </c>
      <c r="AH137" s="496" t="s">
        <v>1068</v>
      </c>
      <c r="AJ137" s="367" t="str">
        <f t="shared" si="10"/>
        <v>CCH_H1_5_110</v>
      </c>
    </row>
    <row r="138" spans="2:36" x14ac:dyDescent="0.3">
      <c r="B138" s="238" t="str">
        <f t="shared" si="9"/>
        <v>CasualAcademicLevel C.4</v>
      </c>
      <c r="C138" s="238" t="s">
        <v>601</v>
      </c>
      <c r="D138" s="238" t="s">
        <v>577</v>
      </c>
      <c r="E138" s="238" t="s">
        <v>708</v>
      </c>
      <c r="F138" s="212">
        <v>106.2</v>
      </c>
      <c r="H138" s="513" t="s">
        <v>100</v>
      </c>
      <c r="I138" s="513" t="s">
        <v>103</v>
      </c>
      <c r="AC138" s="496" t="s">
        <v>1063</v>
      </c>
      <c r="AD138" s="496" t="s">
        <v>1064</v>
      </c>
      <c r="AE138" s="496" t="s">
        <v>1065</v>
      </c>
      <c r="AF138" s="496" t="s">
        <v>1066</v>
      </c>
      <c r="AG138" s="496" t="s">
        <v>1067</v>
      </c>
      <c r="AH138" s="496" t="s">
        <v>1068</v>
      </c>
      <c r="AJ138" s="367" t="str">
        <f t="shared" si="10"/>
        <v>CCH_H1_5_96</v>
      </c>
    </row>
    <row r="139" spans="2:36" x14ac:dyDescent="0.3">
      <c r="B139" s="238" t="str">
        <f t="shared" si="9"/>
        <v>CasualAcademicLevel C.5</v>
      </c>
      <c r="C139" s="238" t="s">
        <v>601</v>
      </c>
      <c r="D139" s="238" t="s">
        <v>577</v>
      </c>
      <c r="E139" s="238" t="s">
        <v>713</v>
      </c>
      <c r="F139" s="212">
        <v>109.18</v>
      </c>
      <c r="H139" s="513" t="s">
        <v>100</v>
      </c>
      <c r="I139" s="513" t="s">
        <v>104</v>
      </c>
      <c r="AC139" s="496" t="s">
        <v>1069</v>
      </c>
      <c r="AD139" s="496" t="s">
        <v>1070</v>
      </c>
      <c r="AE139" s="496" t="s">
        <v>1065</v>
      </c>
      <c r="AF139" s="496" t="s">
        <v>1066</v>
      </c>
      <c r="AG139" s="496" t="s">
        <v>1067</v>
      </c>
      <c r="AH139" s="496" t="s">
        <v>1068</v>
      </c>
      <c r="AJ139" s="367" t="str">
        <f t="shared" si="10"/>
        <v>CCH_H1_5_97</v>
      </c>
    </row>
    <row r="140" spans="2:36" x14ac:dyDescent="0.3">
      <c r="B140" s="238" t="str">
        <f t="shared" si="9"/>
        <v>CasualAcademicLevel C.6</v>
      </c>
      <c r="C140" s="238" t="s">
        <v>601</v>
      </c>
      <c r="D140" s="238" t="s">
        <v>577</v>
      </c>
      <c r="E140" s="238" t="s">
        <v>726</v>
      </c>
      <c r="F140" s="212">
        <v>112.15</v>
      </c>
      <c r="H140" s="513" t="s">
        <v>100</v>
      </c>
      <c r="I140" s="513" t="s">
        <v>105</v>
      </c>
      <c r="AC140" s="496" t="s">
        <v>1071</v>
      </c>
      <c r="AD140" s="496" t="s">
        <v>1072</v>
      </c>
      <c r="AE140" s="496" t="s">
        <v>1073</v>
      </c>
      <c r="AF140" s="496" t="s">
        <v>1074</v>
      </c>
      <c r="AG140" s="496" t="s">
        <v>1067</v>
      </c>
      <c r="AH140" s="496" t="s">
        <v>1068</v>
      </c>
      <c r="AJ140" s="367" t="str">
        <f t="shared" si="10"/>
        <v>CCH_H1_5_98</v>
      </c>
    </row>
    <row r="141" spans="2:36" x14ac:dyDescent="0.3">
      <c r="B141" s="238" t="str">
        <f t="shared" si="9"/>
        <v>CasualAcademicLevel D.1</v>
      </c>
      <c r="C141" s="238" t="s">
        <v>601</v>
      </c>
      <c r="D141" s="238" t="s">
        <v>577</v>
      </c>
      <c r="E141" s="238" t="s">
        <v>732</v>
      </c>
      <c r="F141" s="212">
        <v>117.12</v>
      </c>
      <c r="H141" s="513" t="s">
        <v>100</v>
      </c>
      <c r="I141" s="513" t="s">
        <v>106</v>
      </c>
      <c r="AC141" s="496" t="s">
        <v>1075</v>
      </c>
      <c r="AD141" s="496" t="s">
        <v>1076</v>
      </c>
      <c r="AE141" s="496" t="s">
        <v>1077</v>
      </c>
      <c r="AF141" s="496" t="s">
        <v>1078</v>
      </c>
      <c r="AG141" s="496" t="s">
        <v>1067</v>
      </c>
      <c r="AH141" s="496" t="s">
        <v>1068</v>
      </c>
      <c r="AJ141" s="367" t="str">
        <f t="shared" si="10"/>
        <v>CCH_H1_5_99</v>
      </c>
    </row>
    <row r="142" spans="2:36" x14ac:dyDescent="0.3">
      <c r="B142" s="238" t="str">
        <f t="shared" si="9"/>
        <v>CasualAcademicLevel D.2</v>
      </c>
      <c r="C142" s="238" t="s">
        <v>601</v>
      </c>
      <c r="D142" s="238" t="s">
        <v>577</v>
      </c>
      <c r="E142" s="238" t="s">
        <v>741</v>
      </c>
      <c r="F142" s="212">
        <v>121.09</v>
      </c>
      <c r="H142" s="513" t="s">
        <v>107</v>
      </c>
      <c r="I142" s="513" t="s">
        <v>109</v>
      </c>
      <c r="AC142" s="496" t="s">
        <v>1138</v>
      </c>
      <c r="AD142" s="496" t="s">
        <v>1109</v>
      </c>
      <c r="AE142" s="496" t="s">
        <v>1139</v>
      </c>
      <c r="AF142" s="496" t="s">
        <v>1110</v>
      </c>
      <c r="AG142" s="496" t="s">
        <v>1140</v>
      </c>
      <c r="AH142" s="496" t="s">
        <v>1111</v>
      </c>
      <c r="AJ142" s="367" t="str">
        <f t="shared" si="10"/>
        <v>CCH_H1_5_111</v>
      </c>
    </row>
    <row r="143" spans="2:36" x14ac:dyDescent="0.3">
      <c r="B143" s="238" t="str">
        <f t="shared" si="9"/>
        <v>CasualAcademicLevel D.3</v>
      </c>
      <c r="C143" s="238" t="s">
        <v>601</v>
      </c>
      <c r="D143" s="238" t="s">
        <v>577</v>
      </c>
      <c r="E143" s="238" t="s">
        <v>745</v>
      </c>
      <c r="F143" s="212">
        <v>125.05</v>
      </c>
      <c r="H143" s="513" t="s">
        <v>107</v>
      </c>
      <c r="I143" s="513" t="s">
        <v>111</v>
      </c>
      <c r="AC143" s="496" t="s">
        <v>1188</v>
      </c>
      <c r="AD143" s="496" t="s">
        <v>1113</v>
      </c>
      <c r="AE143" s="496" t="s">
        <v>1139</v>
      </c>
      <c r="AF143" s="496" t="s">
        <v>1110</v>
      </c>
      <c r="AG143" s="496" t="s">
        <v>1140</v>
      </c>
      <c r="AH143" s="496" t="s">
        <v>1111</v>
      </c>
      <c r="AJ143" s="367" t="str">
        <f t="shared" si="10"/>
        <v>CCH_H1_5_112</v>
      </c>
    </row>
    <row r="144" spans="2:36" x14ac:dyDescent="0.3">
      <c r="B144" s="238" t="str">
        <f t="shared" si="9"/>
        <v>CasualAcademicLevel D.4</v>
      </c>
      <c r="C144" s="238" t="s">
        <v>601</v>
      </c>
      <c r="D144" s="238" t="s">
        <v>577</v>
      </c>
      <c r="E144" s="238" t="s">
        <v>754</v>
      </c>
      <c r="F144" s="212">
        <v>129.03</v>
      </c>
      <c r="H144" s="513" t="s">
        <v>107</v>
      </c>
      <c r="I144" s="513" t="s">
        <v>113</v>
      </c>
      <c r="AC144" s="496" t="s">
        <v>1189</v>
      </c>
      <c r="AD144" s="496" t="s">
        <v>1114</v>
      </c>
      <c r="AE144" s="496" t="s">
        <v>1190</v>
      </c>
      <c r="AF144" s="496" t="s">
        <v>1115</v>
      </c>
      <c r="AG144" s="496" t="s">
        <v>1140</v>
      </c>
      <c r="AH144" s="496" t="s">
        <v>1111</v>
      </c>
      <c r="AJ144" s="367" t="str">
        <f t="shared" si="10"/>
        <v>CCH_H1_5_113</v>
      </c>
    </row>
    <row r="145" spans="2:36" x14ac:dyDescent="0.3">
      <c r="B145" s="238" t="str">
        <f t="shared" si="9"/>
        <v>CasualAcademicLevel E.1</v>
      </c>
      <c r="C145" s="238" t="s">
        <v>601</v>
      </c>
      <c r="D145" s="238" t="s">
        <v>577</v>
      </c>
      <c r="E145" s="238" t="s">
        <v>759</v>
      </c>
      <c r="F145" s="212">
        <v>150.85</v>
      </c>
      <c r="H145" s="513" t="s">
        <v>107</v>
      </c>
      <c r="I145" s="513" t="s">
        <v>115</v>
      </c>
      <c r="AC145" s="496" t="s">
        <v>1116</v>
      </c>
      <c r="AD145" s="496" t="s">
        <v>1117</v>
      </c>
      <c r="AE145" s="496" t="s">
        <v>1118</v>
      </c>
      <c r="AF145" s="496" t="s">
        <v>1119</v>
      </c>
      <c r="AG145" s="496" t="s">
        <v>1120</v>
      </c>
      <c r="AH145" s="496" t="s">
        <v>1121</v>
      </c>
      <c r="AJ145" s="367" t="str">
        <f t="shared" si="10"/>
        <v>CCH_H1_5_114</v>
      </c>
    </row>
    <row r="146" spans="2:36" x14ac:dyDescent="0.3">
      <c r="H146" s="513" t="s">
        <v>117</v>
      </c>
      <c r="I146" s="513" t="s">
        <v>119</v>
      </c>
      <c r="J146" s="267"/>
      <c r="AC146" s="496" t="s">
        <v>1122</v>
      </c>
      <c r="AD146" s="496" t="s">
        <v>1123</v>
      </c>
      <c r="AE146" s="496" t="s">
        <v>1118</v>
      </c>
      <c r="AF146" s="496" t="s">
        <v>1119</v>
      </c>
      <c r="AG146" s="496" t="s">
        <v>1120</v>
      </c>
      <c r="AH146" s="496" t="s">
        <v>1121</v>
      </c>
      <c r="AJ146" s="367" t="str">
        <f t="shared" si="10"/>
        <v>CCH_H1_5_115</v>
      </c>
    </row>
    <row r="147" spans="2:36" x14ac:dyDescent="0.3">
      <c r="H147" s="513" t="s">
        <v>117</v>
      </c>
      <c r="I147" s="513" t="s">
        <v>121</v>
      </c>
      <c r="J147" s="267"/>
      <c r="AC147" s="496" t="s">
        <v>1125</v>
      </c>
      <c r="AD147" s="496" t="s">
        <v>1126</v>
      </c>
      <c r="AE147" s="496" t="s">
        <v>1118</v>
      </c>
      <c r="AF147" s="496" t="s">
        <v>1119</v>
      </c>
      <c r="AG147" s="496" t="s">
        <v>1120</v>
      </c>
      <c r="AH147" s="496" t="s">
        <v>1121</v>
      </c>
      <c r="AJ147" s="367" t="str">
        <f t="shared" si="10"/>
        <v>CCH_H1_5_116</v>
      </c>
    </row>
    <row r="148" spans="2:36" x14ac:dyDescent="0.3">
      <c r="H148" s="513" t="s">
        <v>123</v>
      </c>
      <c r="I148" s="513" t="s">
        <v>125</v>
      </c>
      <c r="J148" s="267"/>
      <c r="AC148" s="496" t="s">
        <v>1295</v>
      </c>
      <c r="AD148" s="496" t="s">
        <v>1296</v>
      </c>
      <c r="AE148" s="496" t="s">
        <v>1297</v>
      </c>
      <c r="AF148" s="496" t="s">
        <v>1298</v>
      </c>
      <c r="AG148" s="496" t="s">
        <v>1299</v>
      </c>
      <c r="AH148" s="496" t="s">
        <v>1300</v>
      </c>
      <c r="AJ148" s="367" t="str">
        <f t="shared" si="10"/>
        <v>CCH_H1_5_118</v>
      </c>
    </row>
    <row r="149" spans="2:36" x14ac:dyDescent="0.3">
      <c r="H149" s="513" t="s">
        <v>128</v>
      </c>
      <c r="I149" s="513" t="s">
        <v>130</v>
      </c>
      <c r="J149" s="267"/>
      <c r="K149" s="11" t="s">
        <v>555</v>
      </c>
      <c r="AC149" s="496" t="s">
        <v>1301</v>
      </c>
      <c r="AD149" s="496" t="s">
        <v>1302</v>
      </c>
      <c r="AE149" s="496" t="s">
        <v>1297</v>
      </c>
      <c r="AF149" s="496" t="s">
        <v>1298</v>
      </c>
      <c r="AG149" s="496" t="s">
        <v>1299</v>
      </c>
      <c r="AH149" s="496" t="s">
        <v>1300</v>
      </c>
      <c r="AJ149" s="367" t="str">
        <f t="shared" si="10"/>
        <v>CCH_H1_5_119</v>
      </c>
    </row>
    <row r="150" spans="2:36" x14ac:dyDescent="0.3">
      <c r="H150" s="513" t="s">
        <v>132</v>
      </c>
      <c r="I150" s="513" t="s">
        <v>134</v>
      </c>
      <c r="J150" s="267"/>
      <c r="K150" s="11" t="s">
        <v>555</v>
      </c>
      <c r="AC150" s="496" t="s">
        <v>1303</v>
      </c>
      <c r="AD150" s="496" t="s">
        <v>1304</v>
      </c>
      <c r="AE150" s="496" t="s">
        <v>1297</v>
      </c>
      <c r="AF150" s="496" t="s">
        <v>1298</v>
      </c>
      <c r="AG150" s="496" t="s">
        <v>1299</v>
      </c>
      <c r="AH150" s="496" t="s">
        <v>1300</v>
      </c>
      <c r="AJ150" s="367" t="str">
        <f t="shared" si="10"/>
        <v>CCH_H1_5_120</v>
      </c>
    </row>
    <row r="151" spans="2:36" x14ac:dyDescent="0.3">
      <c r="H151" s="513" t="s">
        <v>132</v>
      </c>
      <c r="I151" s="513" t="s">
        <v>136</v>
      </c>
      <c r="J151" s="267"/>
      <c r="K151" s="11" t="s">
        <v>555</v>
      </c>
      <c r="AC151" s="496" t="s">
        <v>1305</v>
      </c>
      <c r="AD151" s="496" t="s">
        <v>1306</v>
      </c>
      <c r="AE151" s="496" t="s">
        <v>1307</v>
      </c>
      <c r="AF151" s="496" t="s">
        <v>1308</v>
      </c>
      <c r="AG151" s="496" t="s">
        <v>1309</v>
      </c>
      <c r="AH151" s="496" t="s">
        <v>1310</v>
      </c>
      <c r="AJ151" s="367" t="str">
        <f t="shared" si="10"/>
        <v>CCH_H1_5_155</v>
      </c>
    </row>
    <row r="152" spans="2:36" x14ac:dyDescent="0.3">
      <c r="H152" s="19"/>
      <c r="I152" s="268"/>
      <c r="J152" s="267"/>
      <c r="K152" s="11" t="s">
        <v>555</v>
      </c>
      <c r="AC152" s="496" t="s">
        <v>1311</v>
      </c>
      <c r="AD152" s="496" t="s">
        <v>1312</v>
      </c>
      <c r="AE152" s="496" t="s">
        <v>1307</v>
      </c>
      <c r="AF152" s="496" t="s">
        <v>1308</v>
      </c>
      <c r="AG152" s="496" t="s">
        <v>1309</v>
      </c>
      <c r="AH152" s="496" t="s">
        <v>1310</v>
      </c>
      <c r="AJ152" s="367" t="str">
        <f t="shared" si="10"/>
        <v>CCH_H1_5_162</v>
      </c>
    </row>
    <row r="153" spans="2:36" x14ac:dyDescent="0.3">
      <c r="H153" s="19"/>
      <c r="I153" s="268"/>
      <c r="J153" s="267"/>
      <c r="K153" s="11" t="s">
        <v>555</v>
      </c>
      <c r="AC153" s="496" t="s">
        <v>1313</v>
      </c>
      <c r="AD153" s="496" t="s">
        <v>1314</v>
      </c>
      <c r="AE153" s="496" t="s">
        <v>1307</v>
      </c>
      <c r="AF153" s="496" t="s">
        <v>1308</v>
      </c>
      <c r="AG153" s="496" t="s">
        <v>1309</v>
      </c>
      <c r="AH153" s="496" t="s">
        <v>1310</v>
      </c>
      <c r="AJ153" s="367" t="str">
        <f t="shared" si="10"/>
        <v>CCH_H1_5_164</v>
      </c>
    </row>
    <row r="154" spans="2:36" x14ac:dyDescent="0.3">
      <c r="H154" s="19"/>
      <c r="I154" s="268"/>
      <c r="J154" s="267"/>
      <c r="K154" s="11" t="s">
        <v>555</v>
      </c>
      <c r="AC154" s="496" t="s">
        <v>1315</v>
      </c>
      <c r="AD154" s="496" t="s">
        <v>1316</v>
      </c>
      <c r="AE154" s="496" t="s">
        <v>1307</v>
      </c>
      <c r="AF154" s="496" t="s">
        <v>1308</v>
      </c>
      <c r="AG154" s="496" t="s">
        <v>1309</v>
      </c>
      <c r="AH154" s="496" t="s">
        <v>1310</v>
      </c>
      <c r="AJ154" s="367" t="str">
        <f t="shared" si="10"/>
        <v>CCH_H1_5_202</v>
      </c>
    </row>
    <row r="155" spans="2:36" x14ac:dyDescent="0.3">
      <c r="H155" s="19"/>
      <c r="I155" s="268"/>
      <c r="J155" s="267"/>
      <c r="K155" s="11" t="s">
        <v>555</v>
      </c>
      <c r="AC155" s="496" t="s">
        <v>1317</v>
      </c>
      <c r="AD155" s="496" t="s">
        <v>1318</v>
      </c>
      <c r="AE155" s="496" t="s">
        <v>1307</v>
      </c>
      <c r="AF155" s="496" t="s">
        <v>1308</v>
      </c>
      <c r="AG155" s="496" t="s">
        <v>1309</v>
      </c>
      <c r="AH155" s="496" t="s">
        <v>1310</v>
      </c>
      <c r="AJ155" s="367" t="str">
        <f t="shared" si="10"/>
        <v>CCH_H1_5_203</v>
      </c>
    </row>
    <row r="156" spans="2:36" x14ac:dyDescent="0.3">
      <c r="H156" s="19"/>
      <c r="I156" s="268"/>
      <c r="J156" s="267"/>
      <c r="K156" s="11" t="s">
        <v>555</v>
      </c>
      <c r="AC156" s="496" t="s">
        <v>1319</v>
      </c>
      <c r="AD156" s="496" t="s">
        <v>1320</v>
      </c>
      <c r="AE156" s="496" t="s">
        <v>1321</v>
      </c>
      <c r="AF156" s="496" t="s">
        <v>1322</v>
      </c>
      <c r="AG156" s="496" t="s">
        <v>1323</v>
      </c>
      <c r="AH156" s="496" t="s">
        <v>1324</v>
      </c>
      <c r="AJ156" s="367" t="str">
        <f t="shared" si="10"/>
        <v>CCH_H1_5_170</v>
      </c>
    </row>
    <row r="157" spans="2:36" x14ac:dyDescent="0.3">
      <c r="H157" s="19"/>
      <c r="I157" s="268"/>
      <c r="J157" s="267"/>
      <c r="K157" s="11" t="s">
        <v>555</v>
      </c>
      <c r="AC157" s="496" t="s">
        <v>1325</v>
      </c>
      <c r="AD157" s="496" t="s">
        <v>1326</v>
      </c>
      <c r="AE157" s="496" t="s">
        <v>1321</v>
      </c>
      <c r="AF157" s="496" t="s">
        <v>1322</v>
      </c>
      <c r="AG157" s="496" t="s">
        <v>1323</v>
      </c>
      <c r="AH157" s="496" t="s">
        <v>1324</v>
      </c>
      <c r="AJ157" s="367" t="str">
        <f t="shared" si="10"/>
        <v>CCH_H1_5_171</v>
      </c>
    </row>
    <row r="158" spans="2:36" x14ac:dyDescent="0.3">
      <c r="H158" s="19"/>
      <c r="I158" s="268"/>
      <c r="J158" s="267"/>
      <c r="K158" s="11" t="s">
        <v>555</v>
      </c>
      <c r="AC158" s="496" t="s">
        <v>1327</v>
      </c>
      <c r="AD158" s="496" t="s">
        <v>1328</v>
      </c>
      <c r="AE158" s="496" t="s">
        <v>1321</v>
      </c>
      <c r="AF158" s="496" t="s">
        <v>1322</v>
      </c>
      <c r="AG158" s="496" t="s">
        <v>1323</v>
      </c>
      <c r="AH158" s="496" t="s">
        <v>1324</v>
      </c>
      <c r="AJ158" s="367" t="str">
        <f t="shared" si="10"/>
        <v>CCH_H1_5_172</v>
      </c>
    </row>
    <row r="159" spans="2:36" x14ac:dyDescent="0.3">
      <c r="H159" s="19"/>
      <c r="I159" s="268"/>
      <c r="J159" s="267"/>
      <c r="K159" s="11" t="s">
        <v>555</v>
      </c>
      <c r="AC159" s="496" t="s">
        <v>1329</v>
      </c>
      <c r="AD159" s="496" t="s">
        <v>1330</v>
      </c>
      <c r="AE159" s="496" t="s">
        <v>1321</v>
      </c>
      <c r="AF159" s="496" t="s">
        <v>1322</v>
      </c>
      <c r="AG159" s="496" t="s">
        <v>1323</v>
      </c>
      <c r="AH159" s="496" t="s">
        <v>1324</v>
      </c>
      <c r="AJ159" s="367" t="str">
        <f t="shared" si="10"/>
        <v>CCH_H1_5_173</v>
      </c>
    </row>
    <row r="160" spans="2:36" x14ac:dyDescent="0.3">
      <c r="H160" s="19"/>
      <c r="I160" s="268"/>
      <c r="J160" s="267"/>
      <c r="K160" s="11" t="s">
        <v>555</v>
      </c>
      <c r="AC160" s="496" t="s">
        <v>1331</v>
      </c>
      <c r="AD160" s="496" t="s">
        <v>1332</v>
      </c>
      <c r="AE160" s="496" t="s">
        <v>1321</v>
      </c>
      <c r="AF160" s="496" t="s">
        <v>1322</v>
      </c>
      <c r="AG160" s="496" t="s">
        <v>1323</v>
      </c>
      <c r="AH160" s="496" t="s">
        <v>1324</v>
      </c>
      <c r="AJ160" s="367" t="str">
        <f t="shared" si="10"/>
        <v>CCH_H1_5_188</v>
      </c>
    </row>
    <row r="161" spans="8:36" x14ac:dyDescent="0.3">
      <c r="H161" s="19"/>
      <c r="I161" s="268"/>
      <c r="J161" s="267"/>
      <c r="K161" s="11" t="s">
        <v>555</v>
      </c>
      <c r="AC161" s="496" t="s">
        <v>1333</v>
      </c>
      <c r="AD161" s="496" t="s">
        <v>1334</v>
      </c>
      <c r="AE161" s="496" t="s">
        <v>1321</v>
      </c>
      <c r="AF161" s="496" t="s">
        <v>1322</v>
      </c>
      <c r="AG161" s="496" t="s">
        <v>1323</v>
      </c>
      <c r="AH161" s="496" t="s">
        <v>1324</v>
      </c>
      <c r="AJ161" s="367" t="str">
        <f t="shared" si="10"/>
        <v>CCH_H1_5_198</v>
      </c>
    </row>
    <row r="162" spans="8:36" x14ac:dyDescent="0.3">
      <c r="H162" s="19"/>
      <c r="I162" s="268"/>
      <c r="J162" s="267"/>
      <c r="K162" s="11" t="s">
        <v>555</v>
      </c>
      <c r="AC162" s="496" t="s">
        <v>1335</v>
      </c>
      <c r="AD162" s="496" t="s">
        <v>1336</v>
      </c>
      <c r="AE162" s="496" t="s">
        <v>1321</v>
      </c>
      <c r="AF162" s="496" t="s">
        <v>1322</v>
      </c>
      <c r="AG162" s="496" t="s">
        <v>1323</v>
      </c>
      <c r="AH162" s="496" t="s">
        <v>1324</v>
      </c>
      <c r="AJ162" s="367" t="str">
        <f t="shared" si="10"/>
        <v>CCH_H1_5_34</v>
      </c>
    </row>
    <row r="163" spans="8:36" x14ac:dyDescent="0.3">
      <c r="H163" s="19"/>
      <c r="I163" s="268"/>
      <c r="J163" s="267"/>
      <c r="K163" s="11" t="s">
        <v>555</v>
      </c>
      <c r="AC163" s="496" t="s">
        <v>1337</v>
      </c>
      <c r="AD163" s="496" t="s">
        <v>1338</v>
      </c>
      <c r="AE163" s="496" t="s">
        <v>1339</v>
      </c>
      <c r="AF163" s="496" t="s">
        <v>1340</v>
      </c>
      <c r="AG163" s="496" t="s">
        <v>1341</v>
      </c>
      <c r="AH163" s="496" t="s">
        <v>1342</v>
      </c>
      <c r="AJ163" s="367" t="str">
        <f t="shared" si="10"/>
        <v>CCH_H1_5_174</v>
      </c>
    </row>
    <row r="164" spans="8:36" x14ac:dyDescent="0.3">
      <c r="H164" s="19"/>
      <c r="I164" s="268"/>
      <c r="J164" s="267"/>
      <c r="K164" s="11" t="s">
        <v>555</v>
      </c>
      <c r="AC164" s="496" t="s">
        <v>1343</v>
      </c>
      <c r="AD164" s="496" t="s">
        <v>1344</v>
      </c>
      <c r="AE164" s="496" t="s">
        <v>1345</v>
      </c>
      <c r="AF164" s="496" t="s">
        <v>1346</v>
      </c>
      <c r="AG164" s="496" t="s">
        <v>1347</v>
      </c>
      <c r="AH164" s="496" t="s">
        <v>1348</v>
      </c>
      <c r="AJ164" s="367" t="str">
        <f t="shared" si="10"/>
        <v>CCH_H1_5_175</v>
      </c>
    </row>
    <row r="165" spans="8:36" x14ac:dyDescent="0.3">
      <c r="H165" s="19"/>
      <c r="I165" s="268"/>
      <c r="J165" s="267"/>
      <c r="K165" s="11" t="s">
        <v>555</v>
      </c>
      <c r="AC165" s="496" t="s">
        <v>1349</v>
      </c>
      <c r="AD165" s="496" t="s">
        <v>1350</v>
      </c>
      <c r="AE165" s="496" t="s">
        <v>1345</v>
      </c>
      <c r="AF165" s="496" t="s">
        <v>1346</v>
      </c>
      <c r="AG165" s="496" t="s">
        <v>1347</v>
      </c>
      <c r="AH165" s="496" t="s">
        <v>1348</v>
      </c>
      <c r="AJ165" s="367" t="str">
        <f t="shared" si="10"/>
        <v>CCH_H1_5_176</v>
      </c>
    </row>
    <row r="166" spans="8:36" x14ac:dyDescent="0.3">
      <c r="H166" s="19"/>
      <c r="I166" s="268"/>
      <c r="J166" s="267"/>
      <c r="K166" s="11" t="s">
        <v>555</v>
      </c>
      <c r="AC166" s="496" t="s">
        <v>1351</v>
      </c>
      <c r="AD166" s="496" t="s">
        <v>1352</v>
      </c>
      <c r="AE166" s="496" t="s">
        <v>1345</v>
      </c>
      <c r="AF166" s="496" t="s">
        <v>1346</v>
      </c>
      <c r="AG166" s="496" t="s">
        <v>1347</v>
      </c>
      <c r="AH166" s="496" t="s">
        <v>1348</v>
      </c>
      <c r="AJ166" s="367" t="str">
        <f t="shared" si="10"/>
        <v>CCH_H1_5_178</v>
      </c>
    </row>
    <row r="167" spans="8:36" x14ac:dyDescent="0.3">
      <c r="H167" s="19"/>
      <c r="I167" s="268"/>
      <c r="J167" s="267"/>
      <c r="K167" s="11" t="s">
        <v>555</v>
      </c>
      <c r="AC167" s="496" t="s">
        <v>1353</v>
      </c>
      <c r="AD167" s="496" t="s">
        <v>1354</v>
      </c>
      <c r="AE167" s="496" t="s">
        <v>1355</v>
      </c>
      <c r="AF167" s="496" t="s">
        <v>1356</v>
      </c>
      <c r="AG167" s="496" t="s">
        <v>1357</v>
      </c>
      <c r="AH167" s="496" t="s">
        <v>1358</v>
      </c>
      <c r="AJ167" s="367" t="str">
        <f t="shared" si="10"/>
        <v>CCH_H1_5_184</v>
      </c>
    </row>
    <row r="168" spans="8:36" x14ac:dyDescent="0.3">
      <c r="H168" s="19"/>
      <c r="I168" s="268"/>
      <c r="J168" s="267"/>
      <c r="K168" s="11" t="s">
        <v>555</v>
      </c>
      <c r="AC168" s="496" t="s">
        <v>1359</v>
      </c>
      <c r="AD168" s="496" t="s">
        <v>1360</v>
      </c>
      <c r="AE168" s="496" t="s">
        <v>1355</v>
      </c>
      <c r="AF168" s="496" t="s">
        <v>1356</v>
      </c>
      <c r="AG168" s="496" t="s">
        <v>1357</v>
      </c>
      <c r="AH168" s="496" t="s">
        <v>1358</v>
      </c>
      <c r="AJ168" s="367" t="str">
        <f t="shared" si="10"/>
        <v>CCH_H1_5_185</v>
      </c>
    </row>
    <row r="169" spans="8:36" x14ac:dyDescent="0.3">
      <c r="H169" s="19"/>
      <c r="I169" s="268"/>
      <c r="J169" s="267"/>
      <c r="K169" s="11" t="s">
        <v>555</v>
      </c>
      <c r="AC169" s="496" t="s">
        <v>1361</v>
      </c>
      <c r="AD169" s="496" t="s">
        <v>1362</v>
      </c>
      <c r="AE169" s="496" t="s">
        <v>1363</v>
      </c>
      <c r="AF169" s="496" t="s">
        <v>1364</v>
      </c>
      <c r="AG169" s="496" t="s">
        <v>1365</v>
      </c>
      <c r="AH169" s="496" t="s">
        <v>1366</v>
      </c>
      <c r="AJ169" s="367" t="str">
        <f t="shared" si="10"/>
        <v>CCH_H1_5_187</v>
      </c>
    </row>
    <row r="170" spans="8:36" x14ac:dyDescent="0.3">
      <c r="H170" s="19"/>
      <c r="I170" s="268"/>
      <c r="J170" s="267"/>
      <c r="K170" s="11" t="s">
        <v>555</v>
      </c>
      <c r="AC170" s="496" t="s">
        <v>1367</v>
      </c>
      <c r="AD170" s="496" t="s">
        <v>1368</v>
      </c>
      <c r="AE170" s="496" t="s">
        <v>1369</v>
      </c>
      <c r="AF170" s="496" t="s">
        <v>1370</v>
      </c>
      <c r="AG170" s="496" t="s">
        <v>1371</v>
      </c>
      <c r="AH170" s="496" t="s">
        <v>1372</v>
      </c>
      <c r="AJ170" s="367" t="str">
        <f t="shared" si="10"/>
        <v>CCH_H1_5_189</v>
      </c>
    </row>
    <row r="171" spans="8:36" x14ac:dyDescent="0.3">
      <c r="H171" s="19"/>
      <c r="I171" s="268"/>
      <c r="J171" s="267"/>
      <c r="K171" s="11" t="s">
        <v>555</v>
      </c>
      <c r="AC171" s="496" t="s">
        <v>1373</v>
      </c>
      <c r="AD171" s="496" t="s">
        <v>1374</v>
      </c>
      <c r="AE171" s="496" t="s">
        <v>1375</v>
      </c>
      <c r="AF171" s="496" t="s">
        <v>1376</v>
      </c>
      <c r="AG171" s="496" t="s">
        <v>1377</v>
      </c>
      <c r="AH171" s="496" t="s">
        <v>1378</v>
      </c>
      <c r="AJ171" s="367" t="str">
        <f t="shared" si="10"/>
        <v>CCH_H1_5_190</v>
      </c>
    </row>
    <row r="172" spans="8:36" x14ac:dyDescent="0.3">
      <c r="H172" s="19"/>
      <c r="I172" s="268"/>
      <c r="J172" s="267"/>
      <c r="K172" s="11" t="s">
        <v>555</v>
      </c>
      <c r="AC172" s="496" t="s">
        <v>1379</v>
      </c>
      <c r="AD172" s="496" t="s">
        <v>1380</v>
      </c>
      <c r="AE172" s="496" t="s">
        <v>1381</v>
      </c>
      <c r="AF172" s="496" t="s">
        <v>1382</v>
      </c>
      <c r="AG172" s="496" t="s">
        <v>1383</v>
      </c>
      <c r="AH172" s="496" t="s">
        <v>1384</v>
      </c>
      <c r="AJ172" s="367" t="str">
        <f t="shared" si="10"/>
        <v>CCH_H1_5_191</v>
      </c>
    </row>
    <row r="173" spans="8:36" x14ac:dyDescent="0.3">
      <c r="H173" s="19"/>
      <c r="I173" s="268"/>
      <c r="J173" s="267"/>
      <c r="K173" s="11" t="s">
        <v>555</v>
      </c>
      <c r="AC173" s="496" t="s">
        <v>1385</v>
      </c>
      <c r="AD173" s="496" t="s">
        <v>1386</v>
      </c>
      <c r="AE173" s="496" t="s">
        <v>1387</v>
      </c>
      <c r="AF173" s="496" t="s">
        <v>1388</v>
      </c>
      <c r="AG173" s="496" t="s">
        <v>1389</v>
      </c>
      <c r="AH173" s="496" t="s">
        <v>1390</v>
      </c>
      <c r="AJ173" s="367" t="str">
        <f t="shared" si="10"/>
        <v>CCH_H1_5_192</v>
      </c>
    </row>
    <row r="174" spans="8:36" x14ac:dyDescent="0.3">
      <c r="H174" s="19"/>
      <c r="I174" s="268"/>
      <c r="J174" s="267"/>
      <c r="K174" s="11" t="s">
        <v>555</v>
      </c>
      <c r="AC174" s="496" t="s">
        <v>1391</v>
      </c>
      <c r="AD174" s="496" t="s">
        <v>1392</v>
      </c>
      <c r="AE174" s="496" t="s">
        <v>1393</v>
      </c>
      <c r="AF174" s="496" t="s">
        <v>1394</v>
      </c>
      <c r="AG174" s="496" t="s">
        <v>1395</v>
      </c>
      <c r="AH174" s="496" t="s">
        <v>1396</v>
      </c>
      <c r="AJ174" s="367" t="str">
        <f t="shared" si="10"/>
        <v>CCH_H1_5_193</v>
      </c>
    </row>
    <row r="175" spans="8:36" x14ac:dyDescent="0.3">
      <c r="H175" s="19"/>
      <c r="I175" s="268"/>
      <c r="J175" s="267"/>
      <c r="K175" s="11" t="s">
        <v>555</v>
      </c>
      <c r="AC175" s="496" t="s">
        <v>1397</v>
      </c>
      <c r="AD175" s="496" t="s">
        <v>1398</v>
      </c>
      <c r="AE175" s="496" t="s">
        <v>1399</v>
      </c>
      <c r="AF175" s="496" t="s">
        <v>1400</v>
      </c>
      <c r="AG175" s="496" t="s">
        <v>1401</v>
      </c>
      <c r="AH175" s="496" t="s">
        <v>1402</v>
      </c>
      <c r="AJ175" s="367" t="str">
        <f t="shared" si="10"/>
        <v>CCH_H1_5_194</v>
      </c>
    </row>
    <row r="176" spans="8:36" x14ac:dyDescent="0.3">
      <c r="H176" s="19"/>
      <c r="I176" s="268"/>
      <c r="J176" s="267"/>
      <c r="K176" s="11" t="s">
        <v>555</v>
      </c>
      <c r="AC176" s="496" t="s">
        <v>1403</v>
      </c>
      <c r="AD176" s="496" t="s">
        <v>1404</v>
      </c>
      <c r="AE176" s="496" t="s">
        <v>1405</v>
      </c>
      <c r="AF176" s="496" t="s">
        <v>1406</v>
      </c>
      <c r="AG176" s="496" t="s">
        <v>1407</v>
      </c>
      <c r="AH176" s="496" t="s">
        <v>1408</v>
      </c>
      <c r="AJ176" s="367" t="str">
        <f t="shared" si="10"/>
        <v>CCH_H1_5_195</v>
      </c>
    </row>
    <row r="177" spans="8:36" x14ac:dyDescent="0.3">
      <c r="H177" s="19"/>
      <c r="I177" s="268"/>
      <c r="J177" s="267"/>
      <c r="K177" s="11" t="s">
        <v>555</v>
      </c>
      <c r="AC177" s="496" t="s">
        <v>1409</v>
      </c>
      <c r="AD177" s="496" t="s">
        <v>1410</v>
      </c>
      <c r="AE177" s="496" t="s">
        <v>1411</v>
      </c>
      <c r="AF177" s="496" t="s">
        <v>1412</v>
      </c>
      <c r="AG177" s="496" t="s">
        <v>1413</v>
      </c>
      <c r="AH177" s="496" t="s">
        <v>1414</v>
      </c>
      <c r="AJ177" s="367" t="str">
        <f t="shared" si="10"/>
        <v>CCH_H1_5_196</v>
      </c>
    </row>
    <row r="178" spans="8:36" x14ac:dyDescent="0.3">
      <c r="H178" s="19"/>
      <c r="I178" s="268"/>
      <c r="J178" s="267"/>
      <c r="K178" s="11" t="s">
        <v>555</v>
      </c>
      <c r="AC178" s="496"/>
      <c r="AD178" s="496"/>
      <c r="AE178" s="496"/>
      <c r="AF178" s="496"/>
      <c r="AG178" s="496"/>
      <c r="AH178" s="496"/>
      <c r="AJ178" s="367"/>
    </row>
    <row r="179" spans="8:36" x14ac:dyDescent="0.3">
      <c r="H179" s="19"/>
      <c r="I179" s="268"/>
      <c r="J179" s="267"/>
      <c r="K179" s="11" t="s">
        <v>555</v>
      </c>
      <c r="AC179" s="496"/>
      <c r="AD179" s="496"/>
      <c r="AE179" s="496"/>
      <c r="AF179" s="496"/>
      <c r="AG179" s="496"/>
      <c r="AH179" s="496"/>
      <c r="AJ179" s="367"/>
    </row>
    <row r="180" spans="8:36" x14ac:dyDescent="0.3">
      <c r="H180" s="19"/>
      <c r="I180" s="268"/>
      <c r="J180" s="267"/>
      <c r="K180" s="11" t="s">
        <v>555</v>
      </c>
      <c r="AC180" s="496"/>
      <c r="AD180" s="496"/>
      <c r="AE180" s="496"/>
      <c r="AF180" s="496"/>
      <c r="AG180" s="496"/>
      <c r="AH180" s="496"/>
      <c r="AJ180" s="367"/>
    </row>
    <row r="181" spans="8:36" x14ac:dyDescent="0.3">
      <c r="H181" s="19"/>
      <c r="I181" s="268"/>
      <c r="J181" s="267"/>
      <c r="K181" s="11" t="s">
        <v>555</v>
      </c>
      <c r="AC181" s="496"/>
      <c r="AD181" s="496"/>
      <c r="AE181" s="496"/>
      <c r="AF181" s="496"/>
      <c r="AG181" s="496"/>
      <c r="AH181" s="496"/>
      <c r="AJ181" s="367"/>
    </row>
    <row r="182" spans="8:36" x14ac:dyDescent="0.3">
      <c r="H182" s="19"/>
      <c r="I182" s="268"/>
      <c r="J182" s="267"/>
      <c r="K182" s="11" t="s">
        <v>555</v>
      </c>
      <c r="AC182" s="496"/>
      <c r="AD182" s="496"/>
      <c r="AE182" s="496"/>
      <c r="AF182" s="496"/>
      <c r="AG182" s="496"/>
      <c r="AH182" s="496"/>
      <c r="AJ182" s="367"/>
    </row>
    <row r="183" spans="8:36" x14ac:dyDescent="0.3">
      <c r="H183" s="19"/>
      <c r="I183" s="268"/>
      <c r="J183" s="267"/>
      <c r="K183" s="11" t="s">
        <v>555</v>
      </c>
      <c r="AC183" s="496"/>
      <c r="AD183" s="496"/>
      <c r="AE183" s="496"/>
      <c r="AF183" s="496"/>
      <c r="AG183" s="496"/>
      <c r="AH183" s="496"/>
      <c r="AJ183" s="367"/>
    </row>
    <row r="184" spans="8:36" x14ac:dyDescent="0.3">
      <c r="H184" s="19"/>
      <c r="I184" s="268"/>
      <c r="J184" s="267"/>
      <c r="K184" s="11" t="s">
        <v>555</v>
      </c>
      <c r="AC184" s="496"/>
      <c r="AD184" s="496"/>
      <c r="AE184" s="496"/>
      <c r="AF184" s="496"/>
      <c r="AG184" s="496"/>
      <c r="AH184" s="496"/>
      <c r="AJ184" s="367"/>
    </row>
    <row r="185" spans="8:36" x14ac:dyDescent="0.3">
      <c r="H185" s="19"/>
      <c r="I185" s="268"/>
      <c r="J185" s="267"/>
      <c r="K185" s="11" t="s">
        <v>555</v>
      </c>
      <c r="AC185" s="496"/>
      <c r="AD185" s="496"/>
      <c r="AE185" s="496"/>
      <c r="AF185" s="496"/>
      <c r="AG185" s="496"/>
      <c r="AH185" s="496"/>
      <c r="AJ185" s="367"/>
    </row>
    <row r="186" spans="8:36" x14ac:dyDescent="0.3">
      <c r="H186" s="19"/>
      <c r="I186" s="268"/>
      <c r="J186" s="267"/>
      <c r="K186" s="11" t="s">
        <v>555</v>
      </c>
      <c r="AC186" s="496"/>
      <c r="AD186" s="496"/>
      <c r="AE186" s="496"/>
      <c r="AF186" s="496"/>
      <c r="AG186" s="496"/>
      <c r="AH186" s="496"/>
      <c r="AJ186" s="367"/>
    </row>
    <row r="187" spans="8:36" x14ac:dyDescent="0.3">
      <c r="H187" s="19"/>
      <c r="I187" s="268"/>
      <c r="J187" s="267"/>
      <c r="K187" s="11" t="s">
        <v>555</v>
      </c>
      <c r="AC187" s="496"/>
      <c r="AD187" s="496"/>
      <c r="AE187" s="496"/>
      <c r="AF187" s="496"/>
      <c r="AG187" s="496"/>
      <c r="AH187" s="496"/>
      <c r="AJ187" s="367"/>
    </row>
    <row r="188" spans="8:36" x14ac:dyDescent="0.3">
      <c r="H188" s="19"/>
      <c r="I188" s="268"/>
      <c r="J188" s="267"/>
      <c r="K188" s="11" t="s">
        <v>555</v>
      </c>
      <c r="AC188" s="496"/>
      <c r="AD188" s="496"/>
      <c r="AE188" s="496"/>
      <c r="AF188" s="496"/>
      <c r="AG188" s="496"/>
      <c r="AH188" s="496"/>
      <c r="AJ188" s="367"/>
    </row>
    <row r="189" spans="8:36" x14ac:dyDescent="0.3">
      <c r="H189" s="19"/>
      <c r="I189" s="268"/>
      <c r="J189" s="267"/>
      <c r="K189" s="11" t="s">
        <v>555</v>
      </c>
      <c r="AC189" s="496"/>
      <c r="AD189" s="496"/>
      <c r="AE189" s="496"/>
      <c r="AF189" s="496"/>
      <c r="AG189" s="496"/>
      <c r="AH189" s="496"/>
      <c r="AJ189" s="367"/>
    </row>
    <row r="190" spans="8:36" x14ac:dyDescent="0.3">
      <c r="H190" s="19"/>
      <c r="I190" s="268"/>
      <c r="J190" s="267"/>
      <c r="K190" s="11" t="s">
        <v>555</v>
      </c>
      <c r="AC190" s="496"/>
      <c r="AD190" s="496"/>
      <c r="AE190" s="496"/>
      <c r="AF190" s="496"/>
      <c r="AG190" s="496"/>
      <c r="AH190" s="496"/>
      <c r="AJ190" s="367"/>
    </row>
    <row r="191" spans="8:36" x14ac:dyDescent="0.3">
      <c r="H191" s="19"/>
      <c r="I191" s="268"/>
      <c r="J191" s="267"/>
      <c r="K191" s="11" t="s">
        <v>555</v>
      </c>
      <c r="AC191" s="496"/>
      <c r="AD191" s="496"/>
      <c r="AE191" s="496"/>
      <c r="AF191" s="496"/>
      <c r="AG191" s="496"/>
      <c r="AH191" s="496"/>
      <c r="AJ191" s="367"/>
    </row>
    <row r="192" spans="8:36" x14ac:dyDescent="0.3">
      <c r="H192" s="19"/>
      <c r="I192" s="268"/>
      <c r="J192" s="267"/>
      <c r="K192" s="11" t="s">
        <v>555</v>
      </c>
      <c r="AC192" s="496"/>
      <c r="AD192" s="496"/>
      <c r="AE192" s="496"/>
      <c r="AF192" s="496"/>
      <c r="AG192" s="496"/>
      <c r="AH192" s="496"/>
      <c r="AJ192" s="367"/>
    </row>
    <row r="193" spans="8:36" x14ac:dyDescent="0.3">
      <c r="H193" s="19"/>
      <c r="I193" s="268"/>
      <c r="J193" s="267"/>
      <c r="K193" s="11" t="s">
        <v>555</v>
      </c>
      <c r="AC193" s="496"/>
      <c r="AD193" s="496"/>
      <c r="AE193" s="496"/>
      <c r="AF193" s="496"/>
      <c r="AG193" s="496"/>
      <c r="AH193" s="496"/>
      <c r="AJ193" s="367"/>
    </row>
    <row r="194" spans="8:36" x14ac:dyDescent="0.3">
      <c r="H194" s="19"/>
      <c r="I194" s="268"/>
      <c r="J194" s="267"/>
      <c r="K194" s="11" t="s">
        <v>555</v>
      </c>
      <c r="AC194" s="496"/>
      <c r="AD194" s="496"/>
      <c r="AE194" s="496"/>
      <c r="AF194" s="496"/>
      <c r="AG194" s="496"/>
      <c r="AH194" s="496"/>
      <c r="AJ194" s="367"/>
    </row>
    <row r="195" spans="8:36" x14ac:dyDescent="0.3">
      <c r="H195" s="19"/>
      <c r="I195" s="268"/>
      <c r="J195" s="267"/>
      <c r="K195" s="11" t="s">
        <v>555</v>
      </c>
      <c r="AC195" s="496"/>
      <c r="AD195" s="496"/>
      <c r="AE195" s="496"/>
      <c r="AF195" s="496"/>
      <c r="AG195" s="496"/>
      <c r="AH195" s="496"/>
      <c r="AJ195" s="367"/>
    </row>
    <row r="196" spans="8:36" x14ac:dyDescent="0.3">
      <c r="H196" s="19"/>
      <c r="I196" s="268"/>
      <c r="J196" s="267"/>
      <c r="K196" s="11" t="s">
        <v>555</v>
      </c>
      <c r="AC196" s="496"/>
      <c r="AD196" s="496"/>
      <c r="AE196" s="496"/>
      <c r="AF196" s="496"/>
      <c r="AG196" s="496"/>
      <c r="AH196" s="496"/>
      <c r="AJ196" s="367"/>
    </row>
    <row r="197" spans="8:36" x14ac:dyDescent="0.3">
      <c r="H197" s="19"/>
      <c r="I197" s="268"/>
      <c r="J197" s="267"/>
      <c r="K197" s="11" t="s">
        <v>555</v>
      </c>
      <c r="AC197" s="496"/>
      <c r="AD197" s="496"/>
      <c r="AE197" s="496"/>
      <c r="AF197" s="496"/>
      <c r="AG197" s="496"/>
      <c r="AH197" s="496"/>
      <c r="AJ197" s="367"/>
    </row>
    <row r="198" spans="8:36" x14ac:dyDescent="0.3">
      <c r="H198" s="19"/>
      <c r="I198" s="268"/>
      <c r="J198" s="267"/>
      <c r="K198" s="11" t="s">
        <v>555</v>
      </c>
      <c r="AC198" s="496"/>
      <c r="AD198" s="496"/>
      <c r="AE198" s="496"/>
      <c r="AF198" s="496"/>
      <c r="AG198" s="496"/>
      <c r="AH198" s="496"/>
      <c r="AJ198" s="367"/>
    </row>
    <row r="199" spans="8:36" x14ac:dyDescent="0.3">
      <c r="H199" s="19"/>
      <c r="I199" s="268"/>
      <c r="J199" s="267"/>
      <c r="K199" s="11" t="s">
        <v>555</v>
      </c>
      <c r="AC199" s="496"/>
      <c r="AD199" s="496"/>
      <c r="AE199" s="496"/>
      <c r="AF199" s="496"/>
      <c r="AG199" s="496"/>
      <c r="AH199" s="496"/>
      <c r="AJ199" s="367"/>
    </row>
    <row r="200" spans="8:36" x14ac:dyDescent="0.3">
      <c r="AC200" s="496"/>
      <c r="AD200" s="496"/>
      <c r="AE200" s="496"/>
      <c r="AF200" s="496"/>
      <c r="AG200" s="496"/>
      <c r="AH200" s="496"/>
      <c r="AJ200" s="367"/>
    </row>
    <row r="201" spans="8:36" x14ac:dyDescent="0.3">
      <c r="AC201" s="496"/>
      <c r="AD201" s="496"/>
      <c r="AE201" s="496"/>
      <c r="AF201" s="496"/>
      <c r="AG201" s="496"/>
      <c r="AH201" s="496"/>
      <c r="AJ201" s="367"/>
    </row>
    <row r="202" spans="8:36" x14ac:dyDescent="0.3">
      <c r="AC202" s="496"/>
      <c r="AD202" s="496"/>
      <c r="AE202" s="496"/>
      <c r="AF202" s="496"/>
      <c r="AG202" s="496"/>
      <c r="AH202" s="496"/>
      <c r="AJ202" s="367"/>
    </row>
    <row r="203" spans="8:36" x14ac:dyDescent="0.3">
      <c r="AC203" s="496"/>
      <c r="AD203" s="496"/>
      <c r="AE203" s="496"/>
      <c r="AF203" s="496"/>
      <c r="AG203" s="496"/>
      <c r="AH203" s="496"/>
      <c r="AJ203" s="367"/>
    </row>
    <row r="204" spans="8:36" x14ac:dyDescent="0.3">
      <c r="AC204" s="496"/>
      <c r="AD204" s="496"/>
      <c r="AE204" s="496"/>
      <c r="AF204" s="496"/>
      <c r="AG204" s="496"/>
      <c r="AH204" s="496"/>
      <c r="AJ204" s="367"/>
    </row>
    <row r="205" spans="8:36" x14ac:dyDescent="0.3">
      <c r="AC205" s="496"/>
      <c r="AD205" s="496"/>
      <c r="AE205" s="496"/>
      <c r="AF205" s="496"/>
      <c r="AG205" s="496"/>
      <c r="AH205" s="496"/>
      <c r="AJ205" s="367"/>
    </row>
    <row r="206" spans="8:36" x14ac:dyDescent="0.3">
      <c r="AC206" s="496"/>
      <c r="AD206" s="496"/>
      <c r="AE206" s="496"/>
      <c r="AF206" s="496"/>
      <c r="AG206" s="496"/>
      <c r="AH206" s="496"/>
      <c r="AJ206" s="367"/>
    </row>
    <row r="207" spans="8:36" x14ac:dyDescent="0.3">
      <c r="AC207" s="496"/>
      <c r="AD207" s="496"/>
      <c r="AE207" s="496"/>
      <c r="AF207" s="496"/>
      <c r="AG207" s="496"/>
      <c r="AH207" s="496"/>
      <c r="AJ207" s="367"/>
    </row>
    <row r="501" spans="2:38" x14ac:dyDescent="0.3">
      <c r="B501" s="269"/>
      <c r="C501" s="269"/>
      <c r="D501" s="269"/>
      <c r="E501" s="269"/>
      <c r="F501" s="269"/>
      <c r="G501" s="269"/>
      <c r="H501" s="269"/>
      <c r="I501" s="269"/>
      <c r="J501" s="269"/>
      <c r="K501" s="269"/>
      <c r="L501" s="269"/>
      <c r="M501" s="269"/>
      <c r="N501" s="269"/>
      <c r="O501" s="269"/>
      <c r="P501" s="269"/>
      <c r="Q501" s="269"/>
      <c r="R501" s="269"/>
      <c r="T501" s="269"/>
      <c r="U501" s="269"/>
      <c r="V501" s="269"/>
      <c r="W501" s="269"/>
      <c r="X501" s="269"/>
      <c r="Y501" s="269"/>
      <c r="Z501" s="269"/>
      <c r="AA501" s="269"/>
      <c r="AB501" s="269"/>
      <c r="AC501" s="269"/>
      <c r="AD501" s="269"/>
      <c r="AE501" s="269"/>
      <c r="AF501" s="269"/>
      <c r="AG501" s="269"/>
      <c r="AH501" s="269"/>
      <c r="AI501" s="269"/>
      <c r="AJ501" s="269"/>
      <c r="AK501" s="269"/>
      <c r="AL501" s="269"/>
    </row>
    <row r="502" spans="2:38" x14ac:dyDescent="0.3">
      <c r="B502" s="269"/>
      <c r="C502" s="269"/>
      <c r="D502" s="269"/>
      <c r="E502" s="269"/>
      <c r="F502" s="269"/>
      <c r="G502" s="269"/>
      <c r="H502" s="269"/>
      <c r="I502" s="269"/>
      <c r="J502" s="269"/>
      <c r="K502" s="269"/>
      <c r="L502" s="269"/>
      <c r="M502" s="269"/>
      <c r="N502" s="269"/>
      <c r="O502" s="269"/>
      <c r="P502" s="269"/>
      <c r="Q502" s="269"/>
      <c r="R502" s="269"/>
      <c r="T502" s="269"/>
      <c r="U502" s="269"/>
      <c r="V502" s="269"/>
      <c r="W502" s="269"/>
      <c r="X502" s="269"/>
      <c r="Y502" s="269"/>
      <c r="Z502" s="269"/>
      <c r="AA502" s="269"/>
      <c r="AB502" s="269"/>
      <c r="AC502" s="269"/>
      <c r="AD502" s="269"/>
      <c r="AE502" s="269"/>
      <c r="AF502" s="269"/>
      <c r="AG502" s="269"/>
      <c r="AH502" s="269"/>
      <c r="AI502" s="269"/>
      <c r="AJ502" s="269"/>
      <c r="AK502" s="269"/>
      <c r="AL502" s="269"/>
    </row>
    <row r="503" spans="2:38" x14ac:dyDescent="0.3">
      <c r="B503" s="269"/>
      <c r="C503" s="269"/>
      <c r="D503" s="269"/>
      <c r="E503" s="269"/>
      <c r="F503" s="269"/>
      <c r="G503" s="269"/>
      <c r="H503" s="269"/>
      <c r="I503" s="269"/>
      <c r="J503" s="269"/>
      <c r="K503" s="269"/>
      <c r="L503" s="269"/>
      <c r="M503" s="269"/>
      <c r="N503" s="269"/>
      <c r="O503" s="269"/>
      <c r="P503" s="269"/>
      <c r="Q503" s="269"/>
      <c r="R503" s="269"/>
      <c r="T503" s="269"/>
      <c r="U503" s="269"/>
      <c r="V503" s="269"/>
      <c r="W503" s="269"/>
      <c r="X503" s="269"/>
      <c r="Y503" s="269"/>
      <c r="Z503" s="269"/>
      <c r="AA503" s="269"/>
      <c r="AB503" s="269"/>
      <c r="AC503" s="269"/>
      <c r="AD503" s="269"/>
      <c r="AE503" s="269"/>
      <c r="AF503" s="269"/>
      <c r="AG503" s="269"/>
      <c r="AH503" s="269"/>
      <c r="AI503" s="269"/>
      <c r="AJ503" s="269"/>
      <c r="AK503" s="269"/>
      <c r="AL503" s="269"/>
    </row>
    <row r="504" spans="2:38" x14ac:dyDescent="0.3">
      <c r="B504" s="269"/>
      <c r="C504" s="269"/>
      <c r="D504" s="269"/>
      <c r="E504" s="269"/>
      <c r="F504" s="269"/>
      <c r="G504" s="269"/>
      <c r="H504" s="269"/>
      <c r="I504" s="269"/>
      <c r="J504" s="269"/>
      <c r="K504" s="269"/>
      <c r="L504" s="269"/>
      <c r="M504" s="269"/>
      <c r="N504" s="269"/>
      <c r="O504" s="269"/>
      <c r="P504" s="269"/>
      <c r="Q504" s="269"/>
      <c r="R504" s="269"/>
      <c r="T504" s="269"/>
      <c r="U504" s="269"/>
      <c r="V504" s="269"/>
      <c r="W504" s="269"/>
      <c r="X504" s="269"/>
      <c r="Y504" s="269"/>
      <c r="Z504" s="269"/>
      <c r="AA504" s="269"/>
      <c r="AB504" s="269"/>
      <c r="AC504" s="269"/>
      <c r="AD504" s="269"/>
      <c r="AE504" s="269"/>
      <c r="AF504" s="269"/>
      <c r="AG504" s="269"/>
      <c r="AH504" s="269"/>
      <c r="AI504" s="269"/>
      <c r="AJ504" s="269"/>
      <c r="AK504" s="269"/>
      <c r="AL504" s="269"/>
    </row>
    <row r="505" spans="2:38" x14ac:dyDescent="0.3">
      <c r="B505" s="269"/>
      <c r="C505" s="269"/>
      <c r="D505" s="269"/>
      <c r="E505" s="269"/>
      <c r="F505" s="269"/>
      <c r="G505" s="269"/>
      <c r="H505" s="269"/>
      <c r="I505" s="269"/>
      <c r="J505" s="269"/>
      <c r="K505" s="269"/>
      <c r="L505" s="269"/>
      <c r="M505" s="269"/>
      <c r="N505" s="269"/>
      <c r="O505" s="269"/>
      <c r="P505" s="269"/>
      <c r="Q505" s="269"/>
      <c r="R505" s="269"/>
      <c r="T505" s="269"/>
      <c r="U505" s="269"/>
      <c r="V505" s="269"/>
      <c r="W505" s="269"/>
      <c r="X505" s="269"/>
      <c r="Y505" s="269"/>
      <c r="Z505" s="269"/>
      <c r="AA505" s="269"/>
      <c r="AB505" s="269"/>
      <c r="AC505" s="269"/>
      <c r="AD505" s="269"/>
      <c r="AE505" s="269"/>
      <c r="AF505" s="269"/>
      <c r="AG505" s="269"/>
      <c r="AH505" s="269"/>
      <c r="AI505" s="269"/>
      <c r="AJ505" s="269"/>
      <c r="AK505" s="269"/>
      <c r="AL505" s="269"/>
    </row>
    <row r="506" spans="2:38" x14ac:dyDescent="0.3">
      <c r="B506" s="269"/>
      <c r="C506" s="269"/>
      <c r="D506" s="269"/>
      <c r="E506" s="269"/>
      <c r="F506" s="269"/>
      <c r="G506" s="269"/>
      <c r="H506" s="269"/>
      <c r="I506" s="269"/>
      <c r="J506" s="269"/>
      <c r="K506" s="269"/>
      <c r="L506" s="269"/>
      <c r="M506" s="269"/>
      <c r="N506" s="269"/>
      <c r="O506" s="269"/>
      <c r="P506" s="269"/>
      <c r="Q506" s="269"/>
      <c r="R506" s="269"/>
      <c r="T506" s="269"/>
      <c r="U506" s="269"/>
      <c r="V506" s="269"/>
      <c r="W506" s="269"/>
      <c r="X506" s="269"/>
      <c r="Y506" s="269"/>
      <c r="Z506" s="269"/>
      <c r="AA506" s="269"/>
      <c r="AB506" s="269"/>
      <c r="AC506" s="269"/>
      <c r="AD506" s="269"/>
      <c r="AE506" s="269"/>
      <c r="AF506" s="269"/>
      <c r="AG506" s="269"/>
      <c r="AH506" s="269"/>
      <c r="AI506" s="269"/>
      <c r="AJ506" s="269"/>
      <c r="AK506" s="269"/>
      <c r="AL506" s="269"/>
    </row>
    <row r="507" spans="2:38" x14ac:dyDescent="0.3">
      <c r="B507" s="269"/>
      <c r="C507" s="269"/>
      <c r="D507" s="269"/>
      <c r="E507" s="269"/>
      <c r="F507" s="269"/>
      <c r="G507" s="269"/>
      <c r="H507" s="269"/>
      <c r="I507" s="269"/>
      <c r="J507" s="269"/>
      <c r="K507" s="269"/>
      <c r="L507" s="269"/>
      <c r="M507" s="269"/>
      <c r="N507" s="269"/>
      <c r="O507" s="269"/>
      <c r="P507" s="269"/>
      <c r="Q507" s="269"/>
      <c r="R507" s="269"/>
      <c r="T507" s="269"/>
      <c r="U507" s="269"/>
      <c r="V507" s="269"/>
      <c r="W507" s="269"/>
      <c r="X507" s="269"/>
      <c r="Y507" s="269"/>
      <c r="Z507" s="269"/>
      <c r="AA507" s="269"/>
      <c r="AB507" s="269"/>
      <c r="AC507" s="269"/>
      <c r="AD507" s="269"/>
      <c r="AE507" s="269"/>
      <c r="AF507" s="269"/>
      <c r="AG507" s="269"/>
      <c r="AH507" s="269"/>
      <c r="AI507" s="269"/>
      <c r="AJ507" s="269"/>
      <c r="AK507" s="269"/>
      <c r="AL507" s="269"/>
    </row>
    <row r="508" spans="2:38" x14ac:dyDescent="0.3">
      <c r="B508" s="269"/>
      <c r="C508" s="269"/>
      <c r="D508" s="269"/>
      <c r="E508" s="269"/>
      <c r="F508" s="269"/>
      <c r="G508" s="269"/>
      <c r="H508" s="269"/>
      <c r="I508" s="269"/>
      <c r="J508" s="269"/>
      <c r="K508" s="269"/>
      <c r="L508" s="269"/>
      <c r="M508" s="269"/>
      <c r="N508" s="269"/>
      <c r="O508" s="269"/>
      <c r="P508" s="269"/>
      <c r="Q508" s="269"/>
      <c r="R508" s="269"/>
      <c r="T508" s="269"/>
      <c r="U508" s="269"/>
      <c r="V508" s="269"/>
      <c r="W508" s="269"/>
      <c r="X508" s="269"/>
      <c r="Y508" s="269"/>
      <c r="Z508" s="269"/>
      <c r="AA508" s="269"/>
      <c r="AB508" s="269"/>
      <c r="AC508" s="269"/>
      <c r="AD508" s="269"/>
      <c r="AE508" s="269"/>
      <c r="AF508" s="269"/>
      <c r="AG508" s="269"/>
      <c r="AH508" s="269"/>
      <c r="AI508" s="269"/>
      <c r="AJ508" s="269"/>
      <c r="AK508" s="269"/>
      <c r="AL508" s="269"/>
    </row>
    <row r="509" spans="2:38" x14ac:dyDescent="0.3">
      <c r="B509" s="269"/>
      <c r="C509" s="269"/>
      <c r="D509" s="269"/>
      <c r="E509" s="269"/>
      <c r="F509" s="269"/>
      <c r="G509" s="269"/>
      <c r="H509" s="269"/>
      <c r="I509" s="269"/>
      <c r="J509" s="269"/>
      <c r="K509" s="269"/>
      <c r="L509" s="269"/>
      <c r="M509" s="269"/>
      <c r="N509" s="269"/>
      <c r="O509" s="269"/>
      <c r="P509" s="269"/>
      <c r="Q509" s="269"/>
      <c r="R509" s="269"/>
      <c r="T509" s="269"/>
      <c r="U509" s="269"/>
      <c r="V509" s="269"/>
      <c r="W509" s="269"/>
      <c r="X509" s="269"/>
      <c r="Y509" s="269"/>
      <c r="Z509" s="269"/>
      <c r="AA509" s="269"/>
      <c r="AB509" s="269"/>
      <c r="AC509" s="269"/>
      <c r="AD509" s="269"/>
      <c r="AE509" s="269"/>
      <c r="AF509" s="269"/>
      <c r="AG509" s="269"/>
      <c r="AH509" s="269"/>
      <c r="AI509" s="269"/>
      <c r="AJ509" s="269"/>
      <c r="AK509" s="269"/>
      <c r="AL509" s="269"/>
    </row>
    <row r="510" spans="2:38" x14ac:dyDescent="0.3">
      <c r="B510" s="269"/>
      <c r="C510" s="269"/>
      <c r="D510" s="269"/>
      <c r="E510" s="269"/>
      <c r="F510" s="269"/>
      <c r="G510" s="269"/>
      <c r="H510" s="269"/>
      <c r="I510" s="269"/>
      <c r="J510" s="269"/>
      <c r="K510" s="269"/>
      <c r="L510" s="269"/>
      <c r="M510" s="269"/>
      <c r="N510" s="269"/>
      <c r="O510" s="269"/>
      <c r="P510" s="269"/>
      <c r="Q510" s="269"/>
      <c r="R510" s="269"/>
      <c r="T510" s="269"/>
      <c r="U510" s="269"/>
      <c r="V510" s="269"/>
      <c r="W510" s="269"/>
      <c r="X510" s="269"/>
      <c r="Y510" s="269"/>
      <c r="Z510" s="269"/>
      <c r="AA510" s="269"/>
      <c r="AB510" s="269"/>
      <c r="AC510" s="269"/>
      <c r="AD510" s="269"/>
      <c r="AE510" s="269"/>
      <c r="AF510" s="269"/>
      <c r="AG510" s="269"/>
      <c r="AH510" s="269"/>
      <c r="AI510" s="269"/>
      <c r="AJ510" s="269"/>
      <c r="AK510" s="269"/>
      <c r="AL510" s="269"/>
    </row>
    <row r="511" spans="2:38" x14ac:dyDescent="0.3">
      <c r="B511" s="269"/>
      <c r="C511" s="269"/>
      <c r="D511" s="269"/>
      <c r="E511" s="269"/>
      <c r="F511" s="269"/>
      <c r="G511" s="269"/>
      <c r="H511" s="269"/>
      <c r="I511" s="269"/>
      <c r="J511" s="269"/>
      <c r="K511" s="269"/>
      <c r="L511" s="269"/>
      <c r="M511" s="269"/>
      <c r="N511" s="269"/>
      <c r="O511" s="269"/>
      <c r="P511" s="269"/>
      <c r="Q511" s="269"/>
      <c r="R511" s="269"/>
      <c r="T511" s="269"/>
      <c r="U511" s="269"/>
      <c r="V511" s="269"/>
      <c r="W511" s="269"/>
      <c r="X511" s="269"/>
      <c r="Y511" s="269"/>
      <c r="Z511" s="269"/>
      <c r="AA511" s="269"/>
      <c r="AB511" s="269"/>
      <c r="AC511" s="269"/>
      <c r="AD511" s="269"/>
      <c r="AE511" s="269"/>
      <c r="AF511" s="269"/>
      <c r="AG511" s="269"/>
      <c r="AH511" s="269"/>
      <c r="AI511" s="269"/>
      <c r="AJ511" s="269"/>
      <c r="AK511" s="269"/>
      <c r="AL511" s="269"/>
    </row>
    <row r="512" spans="2:38" x14ac:dyDescent="0.3">
      <c r="B512" s="269"/>
      <c r="C512" s="269"/>
      <c r="D512" s="269"/>
      <c r="E512" s="269"/>
      <c r="F512" s="269"/>
      <c r="G512" s="269"/>
      <c r="H512" s="269"/>
      <c r="I512" s="269"/>
      <c r="J512" s="269"/>
      <c r="K512" s="269"/>
      <c r="L512" s="269"/>
      <c r="M512" s="269"/>
      <c r="N512" s="269"/>
      <c r="O512" s="269"/>
      <c r="P512" s="269"/>
      <c r="Q512" s="269"/>
      <c r="R512" s="269"/>
      <c r="T512" s="269"/>
      <c r="U512" s="269"/>
      <c r="V512" s="269"/>
      <c r="W512" s="269"/>
      <c r="X512" s="269"/>
      <c r="Y512" s="269"/>
      <c r="Z512" s="269"/>
      <c r="AA512" s="269"/>
      <c r="AB512" s="269"/>
      <c r="AC512" s="269"/>
      <c r="AD512" s="269"/>
      <c r="AE512" s="269"/>
      <c r="AF512" s="269"/>
      <c r="AG512" s="269"/>
      <c r="AH512" s="269"/>
      <c r="AI512" s="269"/>
      <c r="AJ512" s="269"/>
      <c r="AK512" s="269"/>
      <c r="AL512" s="269"/>
    </row>
    <row r="513" spans="2:38" x14ac:dyDescent="0.3">
      <c r="B513" s="269"/>
      <c r="C513" s="269"/>
      <c r="D513" s="269"/>
      <c r="E513" s="269"/>
      <c r="F513" s="269"/>
      <c r="G513" s="269"/>
      <c r="H513" s="269"/>
      <c r="I513" s="269"/>
      <c r="J513" s="269"/>
      <c r="K513" s="269"/>
      <c r="L513" s="269"/>
      <c r="M513" s="269"/>
      <c r="N513" s="269"/>
      <c r="O513" s="269"/>
      <c r="P513" s="269"/>
      <c r="Q513" s="269"/>
      <c r="R513" s="269"/>
      <c r="T513" s="269"/>
      <c r="U513" s="269"/>
      <c r="V513" s="269"/>
      <c r="W513" s="269"/>
      <c r="X513" s="269"/>
      <c r="Y513" s="269"/>
      <c r="Z513" s="269"/>
      <c r="AA513" s="269"/>
      <c r="AB513" s="269"/>
      <c r="AC513" s="269"/>
      <c r="AD513" s="269"/>
      <c r="AE513" s="269"/>
      <c r="AF513" s="269"/>
      <c r="AG513" s="269"/>
      <c r="AH513" s="269"/>
      <c r="AI513" s="269"/>
      <c r="AJ513" s="269"/>
      <c r="AK513" s="269"/>
      <c r="AL513" s="269"/>
    </row>
    <row r="514" spans="2:38" x14ac:dyDescent="0.3">
      <c r="B514" s="269"/>
      <c r="C514" s="269"/>
      <c r="D514" s="269"/>
      <c r="E514" s="269"/>
      <c r="F514" s="269"/>
      <c r="G514" s="269"/>
      <c r="H514" s="269"/>
      <c r="I514" s="269"/>
      <c r="J514" s="269"/>
      <c r="K514" s="269"/>
      <c r="L514" s="269"/>
      <c r="M514" s="269"/>
      <c r="N514" s="269"/>
      <c r="O514" s="269"/>
      <c r="P514" s="269"/>
      <c r="Q514" s="269"/>
      <c r="R514" s="269"/>
      <c r="T514" s="269"/>
      <c r="U514" s="269"/>
      <c r="V514" s="269"/>
      <c r="W514" s="269"/>
      <c r="X514" s="269"/>
      <c r="Y514" s="269"/>
      <c r="Z514" s="269"/>
      <c r="AA514" s="269"/>
      <c r="AB514" s="269"/>
      <c r="AC514" s="269"/>
      <c r="AD514" s="269"/>
      <c r="AE514" s="269"/>
      <c r="AF514" s="269"/>
      <c r="AG514" s="269"/>
      <c r="AH514" s="269"/>
      <c r="AI514" s="269"/>
      <c r="AJ514" s="269"/>
      <c r="AK514" s="269"/>
      <c r="AL514" s="269"/>
    </row>
    <row r="515" spans="2:38" x14ac:dyDescent="0.3">
      <c r="B515" s="269"/>
      <c r="C515" s="269"/>
      <c r="D515" s="269"/>
      <c r="E515" s="269"/>
      <c r="F515" s="269"/>
      <c r="G515" s="269"/>
      <c r="H515" s="269"/>
      <c r="I515" s="269"/>
      <c r="J515" s="269"/>
      <c r="K515" s="269"/>
      <c r="L515" s="269"/>
      <c r="M515" s="269"/>
      <c r="N515" s="269"/>
      <c r="O515" s="269"/>
      <c r="P515" s="269"/>
      <c r="Q515" s="269"/>
      <c r="R515" s="269"/>
      <c r="T515" s="269"/>
      <c r="U515" s="269"/>
      <c r="V515" s="269"/>
      <c r="W515" s="269"/>
      <c r="X515" s="269"/>
      <c r="Y515" s="269"/>
      <c r="Z515" s="269"/>
      <c r="AA515" s="269"/>
      <c r="AB515" s="269"/>
      <c r="AC515" s="269"/>
      <c r="AD515" s="269"/>
      <c r="AE515" s="269"/>
      <c r="AF515" s="269"/>
      <c r="AG515" s="269"/>
      <c r="AH515" s="269"/>
      <c r="AI515" s="269"/>
      <c r="AJ515" s="269"/>
      <c r="AK515" s="269"/>
      <c r="AL515" s="269"/>
    </row>
    <row r="516" spans="2:38" x14ac:dyDescent="0.3">
      <c r="B516" s="269"/>
      <c r="C516" s="269"/>
      <c r="D516" s="269"/>
      <c r="E516" s="269"/>
      <c r="F516" s="269"/>
      <c r="G516" s="269"/>
      <c r="H516" s="269"/>
      <c r="I516" s="269"/>
      <c r="J516" s="269"/>
      <c r="K516" s="269"/>
      <c r="L516" s="269"/>
      <c r="M516" s="269"/>
      <c r="N516" s="269"/>
      <c r="O516" s="269"/>
      <c r="P516" s="269"/>
      <c r="Q516" s="269"/>
      <c r="R516" s="269"/>
      <c r="T516" s="269"/>
      <c r="U516" s="269"/>
      <c r="V516" s="269"/>
      <c r="W516" s="269"/>
      <c r="X516" s="269"/>
      <c r="Y516" s="269"/>
      <c r="Z516" s="269"/>
      <c r="AA516" s="269"/>
      <c r="AB516" s="269"/>
      <c r="AC516" s="269"/>
      <c r="AD516" s="269"/>
      <c r="AE516" s="269"/>
      <c r="AF516" s="269"/>
      <c r="AG516" s="269"/>
      <c r="AH516" s="269"/>
      <c r="AI516" s="269"/>
      <c r="AJ516" s="269"/>
      <c r="AK516" s="269"/>
      <c r="AL516" s="269"/>
    </row>
    <row r="517" spans="2:38" x14ac:dyDescent="0.3">
      <c r="B517" s="269"/>
      <c r="C517" s="269"/>
      <c r="D517" s="269"/>
      <c r="E517" s="269"/>
      <c r="F517" s="269"/>
      <c r="G517" s="269"/>
      <c r="H517" s="269"/>
      <c r="I517" s="269"/>
      <c r="J517" s="269"/>
      <c r="K517" s="269"/>
      <c r="L517" s="269"/>
      <c r="M517" s="269"/>
      <c r="N517" s="269"/>
      <c r="O517" s="269"/>
      <c r="P517" s="269"/>
      <c r="Q517" s="269"/>
      <c r="R517" s="269"/>
      <c r="T517" s="269"/>
      <c r="U517" s="269"/>
      <c r="V517" s="269"/>
      <c r="W517" s="269"/>
      <c r="X517" s="269"/>
      <c r="Y517" s="269"/>
      <c r="Z517" s="269"/>
      <c r="AA517" s="269"/>
      <c r="AB517" s="269"/>
      <c r="AC517" s="269"/>
      <c r="AD517" s="269"/>
      <c r="AE517" s="269"/>
      <c r="AF517" s="269"/>
      <c r="AG517" s="269"/>
      <c r="AH517" s="269"/>
      <c r="AI517" s="269"/>
      <c r="AJ517" s="269"/>
      <c r="AK517" s="269"/>
      <c r="AL517" s="269"/>
    </row>
    <row r="518" spans="2:38" x14ac:dyDescent="0.3">
      <c r="B518" s="269"/>
      <c r="C518" s="269"/>
      <c r="D518" s="269"/>
      <c r="E518" s="269"/>
      <c r="F518" s="269"/>
      <c r="G518" s="269"/>
      <c r="H518" s="269"/>
      <c r="I518" s="269"/>
      <c r="J518" s="269"/>
      <c r="K518" s="269"/>
      <c r="L518" s="269"/>
      <c r="M518" s="269"/>
      <c r="N518" s="269"/>
      <c r="O518" s="269"/>
      <c r="P518" s="269"/>
      <c r="Q518" s="269"/>
      <c r="R518" s="269"/>
      <c r="T518" s="269"/>
      <c r="U518" s="269"/>
      <c r="V518" s="269"/>
      <c r="W518" s="269"/>
      <c r="X518" s="269"/>
      <c r="Y518" s="269"/>
      <c r="Z518" s="269"/>
      <c r="AA518" s="269"/>
      <c r="AB518" s="269"/>
      <c r="AC518" s="269"/>
      <c r="AD518" s="269"/>
      <c r="AE518" s="269"/>
      <c r="AF518" s="269"/>
      <c r="AG518" s="269"/>
      <c r="AH518" s="269"/>
      <c r="AI518" s="269"/>
      <c r="AJ518" s="269"/>
      <c r="AK518" s="269"/>
      <c r="AL518" s="269"/>
    </row>
    <row r="519" spans="2:38" x14ac:dyDescent="0.3">
      <c r="B519" s="269"/>
      <c r="C519" s="269"/>
      <c r="D519" s="269"/>
      <c r="E519" s="269"/>
      <c r="F519" s="269"/>
      <c r="G519" s="269"/>
      <c r="H519" s="269"/>
      <c r="I519" s="269"/>
      <c r="J519" s="269"/>
      <c r="K519" s="269"/>
      <c r="L519" s="269"/>
      <c r="M519" s="269"/>
      <c r="N519" s="269"/>
      <c r="O519" s="269"/>
      <c r="P519" s="269"/>
      <c r="Q519" s="269"/>
      <c r="R519" s="269"/>
      <c r="T519" s="269"/>
      <c r="U519" s="269"/>
      <c r="V519" s="269"/>
      <c r="W519" s="269"/>
      <c r="X519" s="269"/>
      <c r="Y519" s="269"/>
      <c r="Z519" s="269"/>
      <c r="AA519" s="269"/>
      <c r="AB519" s="269"/>
      <c r="AC519" s="269"/>
      <c r="AD519" s="269"/>
      <c r="AE519" s="269"/>
      <c r="AF519" s="269"/>
      <c r="AG519" s="269"/>
      <c r="AH519" s="269"/>
      <c r="AI519" s="269"/>
      <c r="AJ519" s="269"/>
      <c r="AK519" s="269"/>
      <c r="AL519" s="269"/>
    </row>
    <row r="520" spans="2:38" x14ac:dyDescent="0.3">
      <c r="B520" s="269"/>
      <c r="C520" s="269"/>
      <c r="D520" s="269"/>
      <c r="E520" s="269"/>
      <c r="F520" s="269"/>
      <c r="G520" s="269"/>
      <c r="H520" s="269"/>
      <c r="I520" s="269"/>
      <c r="J520" s="269"/>
      <c r="K520" s="269"/>
      <c r="L520" s="269"/>
      <c r="M520" s="269"/>
      <c r="N520" s="269"/>
      <c r="O520" s="269"/>
      <c r="P520" s="269"/>
      <c r="Q520" s="269"/>
      <c r="R520" s="269"/>
      <c r="T520" s="269"/>
      <c r="U520" s="269"/>
      <c r="V520" s="269"/>
      <c r="W520" s="269"/>
      <c r="X520" s="269"/>
      <c r="Y520" s="269"/>
      <c r="Z520" s="269"/>
      <c r="AA520" s="269"/>
      <c r="AB520" s="269"/>
      <c r="AC520" s="269"/>
      <c r="AD520" s="269"/>
      <c r="AE520" s="269"/>
      <c r="AF520" s="269"/>
      <c r="AG520" s="269"/>
      <c r="AH520" s="269"/>
      <c r="AI520" s="269"/>
      <c r="AJ520" s="269"/>
      <c r="AK520" s="269"/>
      <c r="AL520" s="269"/>
    </row>
    <row r="521" spans="2:38" x14ac:dyDescent="0.3">
      <c r="B521" s="269"/>
      <c r="C521" s="269"/>
      <c r="D521" s="269"/>
      <c r="E521" s="269"/>
      <c r="F521" s="269"/>
      <c r="G521" s="269"/>
      <c r="H521" s="269"/>
      <c r="I521" s="269"/>
      <c r="J521" s="269"/>
      <c r="K521" s="269"/>
      <c r="L521" s="269"/>
      <c r="M521" s="269"/>
      <c r="N521" s="269"/>
      <c r="O521" s="269"/>
      <c r="P521" s="269"/>
      <c r="Q521" s="269"/>
      <c r="R521" s="269"/>
      <c r="T521" s="269"/>
      <c r="U521" s="269"/>
      <c r="V521" s="269"/>
      <c r="W521" s="269"/>
      <c r="X521" s="269"/>
      <c r="Y521" s="269"/>
      <c r="Z521" s="269"/>
      <c r="AA521" s="269"/>
      <c r="AB521" s="269"/>
      <c r="AC521" s="269"/>
      <c r="AD521" s="269"/>
      <c r="AE521" s="269"/>
      <c r="AF521" s="269"/>
      <c r="AG521" s="269"/>
      <c r="AH521" s="269"/>
      <c r="AI521" s="269"/>
      <c r="AJ521" s="269"/>
      <c r="AK521" s="269"/>
      <c r="AL521" s="269"/>
    </row>
    <row r="522" spans="2:38" x14ac:dyDescent="0.3">
      <c r="B522" s="269"/>
      <c r="C522" s="269"/>
      <c r="D522" s="269"/>
      <c r="E522" s="269"/>
      <c r="F522" s="269"/>
      <c r="G522" s="269"/>
      <c r="H522" s="269"/>
      <c r="I522" s="269"/>
      <c r="J522" s="269"/>
      <c r="K522" s="269"/>
      <c r="L522" s="269"/>
      <c r="M522" s="269"/>
      <c r="N522" s="269"/>
      <c r="O522" s="269"/>
      <c r="P522" s="269"/>
      <c r="Q522" s="269"/>
      <c r="R522" s="269"/>
      <c r="T522" s="269"/>
      <c r="U522" s="269"/>
      <c r="V522" s="269"/>
      <c r="W522" s="269"/>
      <c r="X522" s="269"/>
      <c r="Y522" s="269"/>
      <c r="Z522" s="269"/>
      <c r="AA522" s="269"/>
      <c r="AB522" s="269"/>
      <c r="AC522" s="269"/>
      <c r="AD522" s="269"/>
      <c r="AE522" s="269"/>
      <c r="AF522" s="269"/>
      <c r="AG522" s="269"/>
      <c r="AH522" s="269"/>
      <c r="AI522" s="269"/>
      <c r="AJ522" s="269"/>
      <c r="AK522" s="269"/>
      <c r="AL522" s="269"/>
    </row>
    <row r="523" spans="2:38" x14ac:dyDescent="0.3">
      <c r="B523" s="269"/>
      <c r="C523" s="269"/>
      <c r="D523" s="269"/>
      <c r="E523" s="269"/>
      <c r="F523" s="269"/>
      <c r="G523" s="269"/>
      <c r="H523" s="269"/>
      <c r="I523" s="269"/>
      <c r="J523" s="269"/>
      <c r="K523" s="269"/>
      <c r="L523" s="269"/>
      <c r="M523" s="269"/>
      <c r="N523" s="269"/>
      <c r="O523" s="269"/>
      <c r="P523" s="269"/>
      <c r="Q523" s="269"/>
      <c r="R523" s="269"/>
      <c r="T523" s="269"/>
      <c r="U523" s="269"/>
      <c r="V523" s="269"/>
      <c r="W523" s="269"/>
      <c r="X523" s="269"/>
      <c r="Y523" s="269"/>
      <c r="Z523" s="269"/>
      <c r="AA523" s="269"/>
      <c r="AB523" s="269"/>
      <c r="AC523" s="269"/>
      <c r="AD523" s="269"/>
      <c r="AE523" s="269"/>
      <c r="AF523" s="269"/>
      <c r="AG523" s="269"/>
      <c r="AH523" s="269"/>
      <c r="AI523" s="269"/>
      <c r="AJ523" s="269"/>
      <c r="AK523" s="269"/>
      <c r="AL523" s="269"/>
    </row>
    <row r="524" spans="2:38" x14ac:dyDescent="0.3">
      <c r="B524" s="269"/>
      <c r="C524" s="269"/>
      <c r="D524" s="269"/>
      <c r="E524" s="269"/>
      <c r="F524" s="269"/>
      <c r="G524" s="269"/>
      <c r="H524" s="269"/>
      <c r="I524" s="269"/>
      <c r="J524" s="269"/>
      <c r="K524" s="269"/>
      <c r="L524" s="269"/>
      <c r="M524" s="269"/>
      <c r="N524" s="269"/>
      <c r="O524" s="269"/>
      <c r="P524" s="269"/>
      <c r="Q524" s="269"/>
      <c r="R524" s="269"/>
      <c r="T524" s="269"/>
      <c r="U524" s="269"/>
      <c r="V524" s="269"/>
      <c r="W524" s="269"/>
      <c r="X524" s="269"/>
      <c r="Y524" s="269"/>
      <c r="Z524" s="269"/>
      <c r="AA524" s="269"/>
      <c r="AB524" s="269"/>
      <c r="AC524" s="269"/>
      <c r="AD524" s="269"/>
      <c r="AE524" s="269"/>
      <c r="AF524" s="269"/>
      <c r="AG524" s="269"/>
      <c r="AH524" s="269"/>
      <c r="AI524" s="269"/>
      <c r="AJ524" s="269"/>
      <c r="AK524" s="269"/>
      <c r="AL524" s="269"/>
    </row>
    <row r="525" spans="2:38" x14ac:dyDescent="0.3">
      <c r="B525" s="269"/>
      <c r="C525" s="269"/>
      <c r="D525" s="269"/>
      <c r="E525" s="269"/>
      <c r="F525" s="269"/>
      <c r="G525" s="269"/>
      <c r="H525" s="269"/>
      <c r="I525" s="269"/>
      <c r="J525" s="269"/>
      <c r="K525" s="269"/>
      <c r="L525" s="269"/>
      <c r="M525" s="269"/>
      <c r="N525" s="269"/>
      <c r="O525" s="269"/>
      <c r="P525" s="269"/>
      <c r="Q525" s="269"/>
      <c r="R525" s="269"/>
      <c r="T525" s="269"/>
      <c r="U525" s="269"/>
      <c r="V525" s="269"/>
      <c r="W525" s="269"/>
      <c r="X525" s="269"/>
      <c r="Y525" s="269"/>
      <c r="Z525" s="269"/>
      <c r="AA525" s="269"/>
      <c r="AB525" s="269"/>
      <c r="AC525" s="269"/>
      <c r="AD525" s="269"/>
      <c r="AE525" s="269"/>
      <c r="AF525" s="269"/>
      <c r="AG525" s="269"/>
      <c r="AH525" s="269"/>
      <c r="AI525" s="269"/>
      <c r="AJ525" s="269"/>
      <c r="AK525" s="269"/>
      <c r="AL525" s="269"/>
    </row>
    <row r="526" spans="2:38" x14ac:dyDescent="0.3">
      <c r="B526" s="269"/>
      <c r="C526" s="269"/>
      <c r="D526" s="269"/>
      <c r="E526" s="269"/>
      <c r="F526" s="269"/>
      <c r="G526" s="269"/>
      <c r="H526" s="269"/>
      <c r="I526" s="269"/>
      <c r="J526" s="269"/>
      <c r="K526" s="269"/>
      <c r="L526" s="269"/>
      <c r="M526" s="269"/>
      <c r="N526" s="269"/>
      <c r="O526" s="269"/>
      <c r="P526" s="269"/>
      <c r="Q526" s="269"/>
      <c r="R526" s="269"/>
      <c r="T526" s="269"/>
      <c r="U526" s="269"/>
      <c r="V526" s="269"/>
      <c r="W526" s="269"/>
      <c r="X526" s="269"/>
      <c r="Y526" s="269"/>
      <c r="Z526" s="269"/>
      <c r="AA526" s="269"/>
      <c r="AB526" s="269"/>
      <c r="AC526" s="269"/>
      <c r="AD526" s="269"/>
      <c r="AE526" s="269"/>
      <c r="AF526" s="269"/>
      <c r="AG526" s="269"/>
      <c r="AH526" s="269"/>
      <c r="AI526" s="269"/>
      <c r="AJ526" s="269"/>
      <c r="AK526" s="269"/>
      <c r="AL526" s="269"/>
    </row>
    <row r="527" spans="2:38" x14ac:dyDescent="0.3">
      <c r="B527" s="269"/>
      <c r="C527" s="269"/>
      <c r="D527" s="269"/>
      <c r="E527" s="269"/>
      <c r="F527" s="269"/>
      <c r="G527" s="269"/>
      <c r="H527" s="269"/>
      <c r="I527" s="269"/>
      <c r="J527" s="269"/>
      <c r="K527" s="269"/>
      <c r="L527" s="269"/>
      <c r="M527" s="269"/>
      <c r="N527" s="269"/>
      <c r="O527" s="269"/>
      <c r="P527" s="269"/>
      <c r="Q527" s="269"/>
      <c r="R527" s="269"/>
      <c r="T527" s="269"/>
      <c r="U527" s="269"/>
      <c r="V527" s="269"/>
      <c r="W527" s="269"/>
      <c r="X527" s="269"/>
      <c r="Y527" s="269"/>
      <c r="Z527" s="269"/>
      <c r="AA527" s="269"/>
      <c r="AB527" s="269"/>
      <c r="AC527" s="269"/>
      <c r="AD527" s="269"/>
      <c r="AE527" s="269"/>
      <c r="AF527" s="269"/>
      <c r="AG527" s="269"/>
      <c r="AH527" s="269"/>
      <c r="AI527" s="269"/>
      <c r="AJ527" s="269"/>
      <c r="AK527" s="269"/>
      <c r="AL527" s="269"/>
    </row>
    <row r="528" spans="2:38" x14ac:dyDescent="0.3">
      <c r="B528" s="269"/>
      <c r="C528" s="269"/>
      <c r="D528" s="269"/>
      <c r="E528" s="269"/>
      <c r="F528" s="269"/>
      <c r="G528" s="269"/>
      <c r="H528" s="269"/>
      <c r="I528" s="269"/>
      <c r="J528" s="269"/>
      <c r="K528" s="269"/>
      <c r="L528" s="269"/>
      <c r="M528" s="269"/>
      <c r="N528" s="269"/>
      <c r="O528" s="269"/>
      <c r="P528" s="269"/>
      <c r="Q528" s="269"/>
      <c r="R528" s="269"/>
      <c r="T528" s="269"/>
      <c r="U528" s="269"/>
      <c r="V528" s="269"/>
      <c r="W528" s="269"/>
      <c r="X528" s="269"/>
      <c r="Y528" s="269"/>
      <c r="Z528" s="269"/>
      <c r="AA528" s="269"/>
      <c r="AB528" s="269"/>
      <c r="AC528" s="269"/>
      <c r="AD528" s="269"/>
      <c r="AE528" s="269"/>
      <c r="AF528" s="269"/>
      <c r="AG528" s="269"/>
      <c r="AH528" s="269"/>
      <c r="AI528" s="269"/>
      <c r="AJ528" s="269"/>
      <c r="AK528" s="269"/>
      <c r="AL528" s="269"/>
    </row>
    <row r="529" spans="2:38" x14ac:dyDescent="0.3">
      <c r="B529" s="269"/>
      <c r="C529" s="269"/>
      <c r="D529" s="269"/>
      <c r="E529" s="269"/>
      <c r="F529" s="269"/>
      <c r="G529" s="269"/>
      <c r="H529" s="269"/>
      <c r="I529" s="269"/>
      <c r="J529" s="269"/>
      <c r="K529" s="269"/>
      <c r="L529" s="269"/>
      <c r="M529" s="269"/>
      <c r="N529" s="269"/>
      <c r="O529" s="269"/>
      <c r="P529" s="269"/>
      <c r="Q529" s="269"/>
      <c r="R529" s="269"/>
      <c r="T529" s="269"/>
      <c r="U529" s="269"/>
      <c r="V529" s="269"/>
      <c r="W529" s="269"/>
      <c r="X529" s="269"/>
      <c r="Y529" s="269"/>
      <c r="Z529" s="269"/>
      <c r="AA529" s="269"/>
      <c r="AB529" s="269"/>
      <c r="AC529" s="269"/>
      <c r="AD529" s="269"/>
      <c r="AE529" s="269"/>
      <c r="AF529" s="269"/>
      <c r="AG529" s="269"/>
      <c r="AH529" s="269"/>
      <c r="AI529" s="269"/>
      <c r="AJ529" s="269"/>
      <c r="AK529" s="269"/>
      <c r="AL529" s="269"/>
    </row>
    <row r="530" spans="2:38" x14ac:dyDescent="0.3">
      <c r="B530" s="269"/>
      <c r="C530" s="269"/>
      <c r="D530" s="269"/>
      <c r="E530" s="269"/>
      <c r="F530" s="269"/>
      <c r="G530" s="269"/>
      <c r="H530" s="269"/>
      <c r="I530" s="269"/>
      <c r="J530" s="269"/>
      <c r="K530" s="269"/>
      <c r="L530" s="269"/>
      <c r="M530" s="269"/>
      <c r="N530" s="269"/>
      <c r="O530" s="269"/>
      <c r="P530" s="269"/>
      <c r="Q530" s="269"/>
      <c r="R530" s="269"/>
      <c r="T530" s="269"/>
      <c r="U530" s="269"/>
      <c r="V530" s="269"/>
      <c r="W530" s="269"/>
      <c r="X530" s="269"/>
      <c r="Y530" s="269"/>
      <c r="Z530" s="269"/>
      <c r="AA530" s="269"/>
      <c r="AB530" s="269"/>
      <c r="AC530" s="269"/>
      <c r="AD530" s="269"/>
      <c r="AE530" s="269"/>
      <c r="AF530" s="269"/>
      <c r="AG530" s="269"/>
      <c r="AH530" s="269"/>
      <c r="AI530" s="269"/>
      <c r="AJ530" s="269"/>
      <c r="AK530" s="269"/>
      <c r="AL530" s="269"/>
    </row>
    <row r="531" spans="2:38" x14ac:dyDescent="0.3">
      <c r="B531" s="269"/>
      <c r="C531" s="269"/>
      <c r="D531" s="269"/>
      <c r="E531" s="269"/>
      <c r="F531" s="269"/>
      <c r="G531" s="269"/>
      <c r="H531" s="269"/>
      <c r="I531" s="269"/>
      <c r="J531" s="269"/>
      <c r="K531" s="269"/>
      <c r="L531" s="269"/>
      <c r="M531" s="269"/>
      <c r="N531" s="269"/>
      <c r="O531" s="269"/>
      <c r="P531" s="269"/>
      <c r="Q531" s="269"/>
      <c r="R531" s="269"/>
      <c r="T531" s="269"/>
      <c r="U531" s="269"/>
      <c r="V531" s="269"/>
      <c r="W531" s="269"/>
      <c r="X531" s="269"/>
      <c r="Y531" s="269"/>
      <c r="Z531" s="269"/>
      <c r="AA531" s="269"/>
      <c r="AB531" s="269"/>
      <c r="AC531" s="269"/>
      <c r="AD531" s="269"/>
      <c r="AE531" s="269"/>
      <c r="AF531" s="269"/>
      <c r="AG531" s="269"/>
      <c r="AH531" s="269"/>
      <c r="AI531" s="269"/>
      <c r="AJ531" s="269"/>
      <c r="AK531" s="269"/>
      <c r="AL531" s="269"/>
    </row>
    <row r="532" spans="2:38" x14ac:dyDescent="0.3">
      <c r="B532" s="269"/>
      <c r="C532" s="269"/>
      <c r="D532" s="269"/>
      <c r="E532" s="269"/>
      <c r="F532" s="269"/>
      <c r="G532" s="269"/>
      <c r="H532" s="269"/>
      <c r="I532" s="269"/>
      <c r="J532" s="269"/>
      <c r="K532" s="269"/>
      <c r="L532" s="269"/>
      <c r="M532" s="269"/>
      <c r="N532" s="269"/>
      <c r="O532" s="269"/>
      <c r="P532" s="269"/>
      <c r="Q532" s="269"/>
      <c r="R532" s="269"/>
      <c r="T532" s="269"/>
      <c r="U532" s="269"/>
      <c r="V532" s="269"/>
      <c r="W532" s="269"/>
      <c r="X532" s="269"/>
      <c r="Y532" s="269"/>
      <c r="Z532" s="269"/>
      <c r="AA532" s="269"/>
      <c r="AB532" s="269"/>
      <c r="AC532" s="269"/>
      <c r="AD532" s="269"/>
      <c r="AE532" s="269"/>
      <c r="AF532" s="269"/>
      <c r="AG532" s="269"/>
      <c r="AH532" s="269"/>
      <c r="AI532" s="269"/>
      <c r="AJ532" s="269"/>
      <c r="AK532" s="269"/>
      <c r="AL532" s="269"/>
    </row>
    <row r="533" spans="2:38" x14ac:dyDescent="0.3">
      <c r="B533" s="269"/>
      <c r="C533" s="269"/>
      <c r="D533" s="269"/>
      <c r="E533" s="269"/>
      <c r="F533" s="269"/>
      <c r="G533" s="269"/>
      <c r="H533" s="269"/>
      <c r="I533" s="269"/>
      <c r="J533" s="269"/>
      <c r="K533" s="269"/>
      <c r="L533" s="269"/>
      <c r="M533" s="269"/>
      <c r="N533" s="269"/>
      <c r="O533" s="269"/>
      <c r="P533" s="269"/>
      <c r="Q533" s="269"/>
      <c r="R533" s="269"/>
      <c r="T533" s="269"/>
      <c r="U533" s="269"/>
      <c r="V533" s="269"/>
      <c r="W533" s="269"/>
      <c r="X533" s="269"/>
      <c r="Y533" s="269"/>
      <c r="Z533" s="269"/>
      <c r="AA533" s="269"/>
      <c r="AB533" s="269"/>
      <c r="AC533" s="269"/>
      <c r="AD533" s="269"/>
      <c r="AE533" s="269"/>
      <c r="AF533" s="269"/>
      <c r="AG533" s="269"/>
      <c r="AH533" s="269"/>
      <c r="AI533" s="269"/>
      <c r="AJ533" s="269"/>
      <c r="AK533" s="269"/>
      <c r="AL533" s="269"/>
    </row>
    <row r="534" spans="2:38" x14ac:dyDescent="0.3">
      <c r="B534" s="269"/>
      <c r="C534" s="269"/>
      <c r="D534" s="269"/>
      <c r="E534" s="269"/>
      <c r="F534" s="269"/>
      <c r="G534" s="269"/>
      <c r="H534" s="269"/>
      <c r="I534" s="269"/>
      <c r="J534" s="269"/>
      <c r="K534" s="269"/>
      <c r="L534" s="269"/>
      <c r="M534" s="269"/>
      <c r="N534" s="269"/>
      <c r="O534" s="269"/>
      <c r="P534" s="269"/>
      <c r="Q534" s="269"/>
      <c r="R534" s="269"/>
      <c r="T534" s="269"/>
      <c r="U534" s="269"/>
      <c r="V534" s="269"/>
      <c r="W534" s="269"/>
      <c r="X534" s="269"/>
      <c r="Y534" s="269"/>
      <c r="Z534" s="269"/>
      <c r="AA534" s="269"/>
      <c r="AB534" s="269"/>
      <c r="AC534" s="269"/>
      <c r="AD534" s="269"/>
      <c r="AE534" s="269"/>
      <c r="AF534" s="269"/>
      <c r="AG534" s="269"/>
      <c r="AH534" s="269"/>
      <c r="AI534" s="269"/>
      <c r="AJ534" s="269"/>
      <c r="AK534" s="269"/>
      <c r="AL534" s="269"/>
    </row>
    <row r="535" spans="2:38" x14ac:dyDescent="0.3">
      <c r="B535" s="269"/>
      <c r="C535" s="269"/>
      <c r="D535" s="269"/>
      <c r="E535" s="269"/>
      <c r="F535" s="269"/>
      <c r="G535" s="269"/>
      <c r="H535" s="269"/>
      <c r="I535" s="269"/>
      <c r="J535" s="269"/>
      <c r="K535" s="269"/>
      <c r="L535" s="269"/>
      <c r="M535" s="269"/>
      <c r="N535" s="269"/>
      <c r="O535" s="269"/>
      <c r="P535" s="269"/>
      <c r="Q535" s="269"/>
      <c r="R535" s="269"/>
      <c r="T535" s="269"/>
      <c r="U535" s="269"/>
      <c r="V535" s="269"/>
      <c r="W535" s="269"/>
      <c r="X535" s="269"/>
      <c r="Y535" s="269"/>
      <c r="Z535" s="269"/>
      <c r="AA535" s="269"/>
      <c r="AB535" s="269"/>
      <c r="AC535" s="269"/>
      <c r="AD535" s="269"/>
      <c r="AE535" s="269"/>
      <c r="AF535" s="269"/>
      <c r="AG535" s="269"/>
      <c r="AH535" s="269"/>
      <c r="AI535" s="269"/>
      <c r="AJ535" s="269"/>
      <c r="AK535" s="269"/>
      <c r="AL535" s="269"/>
    </row>
    <row r="536" spans="2:38" x14ac:dyDescent="0.3">
      <c r="B536" s="269"/>
      <c r="C536" s="269"/>
      <c r="D536" s="269"/>
      <c r="E536" s="269"/>
      <c r="F536" s="269"/>
      <c r="G536" s="269"/>
      <c r="H536" s="269"/>
      <c r="I536" s="269"/>
      <c r="J536" s="269"/>
      <c r="K536" s="269"/>
      <c r="L536" s="269"/>
      <c r="M536" s="269"/>
      <c r="N536" s="269"/>
      <c r="O536" s="269"/>
      <c r="P536" s="269"/>
      <c r="Q536" s="269"/>
      <c r="R536" s="269"/>
      <c r="T536" s="269"/>
      <c r="U536" s="269"/>
      <c r="V536" s="269"/>
      <c r="W536" s="269"/>
      <c r="X536" s="269"/>
      <c r="Y536" s="269"/>
      <c r="Z536" s="269"/>
      <c r="AA536" s="269"/>
      <c r="AB536" s="269"/>
      <c r="AC536" s="269"/>
      <c r="AD536" s="269"/>
      <c r="AE536" s="269"/>
      <c r="AF536" s="269"/>
      <c r="AG536" s="269"/>
      <c r="AH536" s="269"/>
      <c r="AI536" s="269"/>
      <c r="AJ536" s="269"/>
      <c r="AK536" s="269"/>
      <c r="AL536" s="269"/>
    </row>
    <row r="537" spans="2:38" x14ac:dyDescent="0.3">
      <c r="B537" s="269"/>
      <c r="C537" s="269"/>
      <c r="D537" s="269"/>
      <c r="E537" s="269"/>
      <c r="F537" s="269"/>
      <c r="G537" s="269"/>
      <c r="H537" s="269"/>
      <c r="I537" s="269"/>
      <c r="J537" s="269"/>
      <c r="K537" s="269"/>
      <c r="L537" s="269"/>
      <c r="M537" s="269"/>
      <c r="N537" s="269"/>
      <c r="O537" s="269"/>
      <c r="P537" s="269"/>
      <c r="Q537" s="269"/>
      <c r="R537" s="269"/>
      <c r="T537" s="269"/>
      <c r="U537" s="269"/>
      <c r="V537" s="269"/>
      <c r="W537" s="269"/>
      <c r="X537" s="269"/>
      <c r="Y537" s="269"/>
      <c r="Z537" s="269"/>
      <c r="AA537" s="269"/>
      <c r="AB537" s="269"/>
      <c r="AC537" s="269"/>
      <c r="AD537" s="269"/>
      <c r="AE537" s="269"/>
      <c r="AF537" s="269"/>
      <c r="AG537" s="269"/>
      <c r="AH537" s="269"/>
      <c r="AI537" s="269"/>
      <c r="AJ537" s="269"/>
      <c r="AK537" s="269"/>
      <c r="AL537" s="269"/>
    </row>
    <row r="538" spans="2:38" x14ac:dyDescent="0.3">
      <c r="B538" s="269"/>
      <c r="C538" s="269"/>
      <c r="D538" s="269"/>
      <c r="E538" s="269"/>
      <c r="F538" s="269"/>
      <c r="G538" s="269"/>
      <c r="H538" s="269"/>
      <c r="I538" s="269"/>
      <c r="J538" s="269"/>
      <c r="K538" s="269"/>
      <c r="L538" s="269"/>
      <c r="M538" s="269"/>
      <c r="N538" s="269"/>
      <c r="O538" s="269"/>
      <c r="P538" s="269"/>
      <c r="Q538" s="269"/>
      <c r="R538" s="269"/>
      <c r="T538" s="269"/>
      <c r="U538" s="269"/>
      <c r="V538" s="269"/>
      <c r="W538" s="269"/>
      <c r="X538" s="269"/>
      <c r="Y538" s="269"/>
      <c r="Z538" s="269"/>
      <c r="AA538" s="269"/>
      <c r="AB538" s="269"/>
      <c r="AC538" s="269"/>
      <c r="AD538" s="269"/>
      <c r="AE538" s="269"/>
      <c r="AF538" s="269"/>
      <c r="AG538" s="269"/>
      <c r="AH538" s="269"/>
      <c r="AI538" s="269"/>
      <c r="AJ538" s="269"/>
      <c r="AK538" s="269"/>
      <c r="AL538" s="269"/>
    </row>
    <row r="539" spans="2:38" x14ac:dyDescent="0.3">
      <c r="B539" s="269"/>
      <c r="C539" s="269"/>
      <c r="D539" s="269"/>
      <c r="E539" s="269"/>
      <c r="F539" s="269"/>
      <c r="G539" s="269"/>
      <c r="H539" s="269"/>
      <c r="I539" s="269"/>
      <c r="J539" s="269"/>
      <c r="K539" s="269"/>
      <c r="L539" s="269"/>
      <c r="M539" s="269"/>
      <c r="N539" s="269"/>
      <c r="O539" s="269"/>
      <c r="P539" s="269"/>
      <c r="Q539" s="269"/>
      <c r="R539" s="269"/>
      <c r="T539" s="269"/>
      <c r="U539" s="269"/>
      <c r="V539" s="269"/>
      <c r="W539" s="269"/>
      <c r="X539" s="269"/>
      <c r="Y539" s="269"/>
      <c r="Z539" s="269"/>
      <c r="AA539" s="269"/>
      <c r="AB539" s="269"/>
      <c r="AC539" s="269"/>
      <c r="AD539" s="269"/>
      <c r="AE539" s="269"/>
      <c r="AF539" s="269"/>
      <c r="AG539" s="269"/>
      <c r="AH539" s="269"/>
      <c r="AI539" s="269"/>
      <c r="AJ539" s="269"/>
      <c r="AK539" s="269"/>
      <c r="AL539" s="269"/>
    </row>
    <row r="540" spans="2:38" x14ac:dyDescent="0.3">
      <c r="B540" s="269"/>
      <c r="C540" s="269"/>
      <c r="D540" s="269"/>
      <c r="E540" s="269"/>
      <c r="F540" s="269"/>
      <c r="G540" s="269"/>
      <c r="H540" s="269"/>
      <c r="I540" s="269"/>
      <c r="J540" s="269"/>
      <c r="K540" s="269"/>
      <c r="L540" s="269"/>
      <c r="M540" s="269"/>
      <c r="N540" s="269"/>
      <c r="O540" s="269"/>
      <c r="P540" s="269"/>
      <c r="Q540" s="269"/>
      <c r="R540" s="269"/>
      <c r="T540" s="269"/>
      <c r="U540" s="269"/>
      <c r="V540" s="269"/>
      <c r="W540" s="269"/>
      <c r="X540" s="269"/>
      <c r="Y540" s="269"/>
      <c r="Z540" s="269"/>
      <c r="AA540" s="269"/>
      <c r="AB540" s="269"/>
      <c r="AC540" s="269"/>
      <c r="AD540" s="269"/>
      <c r="AE540" s="269"/>
      <c r="AF540" s="269"/>
      <c r="AG540" s="269"/>
      <c r="AH540" s="269"/>
      <c r="AI540" s="269"/>
      <c r="AJ540" s="269"/>
      <c r="AK540" s="269"/>
      <c r="AL540" s="269"/>
    </row>
    <row r="541" spans="2:38" x14ac:dyDescent="0.3">
      <c r="B541" s="269"/>
      <c r="C541" s="269"/>
      <c r="D541" s="269"/>
      <c r="E541" s="269"/>
      <c r="F541" s="269"/>
      <c r="G541" s="269"/>
      <c r="H541" s="269"/>
      <c r="I541" s="269"/>
      <c r="J541" s="269"/>
      <c r="K541" s="269"/>
      <c r="L541" s="269"/>
      <c r="M541" s="269"/>
      <c r="N541" s="269"/>
      <c r="O541" s="269"/>
      <c r="P541" s="269"/>
      <c r="Q541" s="269"/>
      <c r="R541" s="269"/>
      <c r="T541" s="269"/>
      <c r="U541" s="269"/>
      <c r="V541" s="269"/>
      <c r="W541" s="269"/>
      <c r="X541" s="269"/>
      <c r="Y541" s="269"/>
      <c r="Z541" s="269"/>
      <c r="AA541" s="269"/>
      <c r="AB541" s="269"/>
      <c r="AC541" s="269"/>
      <c r="AD541" s="269"/>
      <c r="AE541" s="269"/>
      <c r="AF541" s="269"/>
      <c r="AG541" s="269"/>
      <c r="AH541" s="269"/>
      <c r="AI541" s="269"/>
      <c r="AJ541" s="269"/>
      <c r="AK541" s="269"/>
      <c r="AL541" s="269"/>
    </row>
    <row r="542" spans="2:38" x14ac:dyDescent="0.3">
      <c r="B542" s="269"/>
      <c r="C542" s="269"/>
      <c r="D542" s="269"/>
      <c r="E542" s="269"/>
      <c r="F542" s="269"/>
      <c r="G542" s="269"/>
      <c r="H542" s="269"/>
      <c r="I542" s="269"/>
      <c r="J542" s="269"/>
      <c r="K542" s="269"/>
      <c r="L542" s="269"/>
      <c r="M542" s="269"/>
      <c r="N542" s="269"/>
      <c r="O542" s="269"/>
      <c r="P542" s="269"/>
      <c r="Q542" s="269"/>
      <c r="R542" s="269"/>
      <c r="T542" s="269"/>
      <c r="U542" s="269"/>
      <c r="V542" s="269"/>
      <c r="W542" s="269"/>
      <c r="X542" s="269"/>
      <c r="Y542" s="269"/>
      <c r="Z542" s="269"/>
      <c r="AA542" s="269"/>
      <c r="AB542" s="269"/>
      <c r="AC542" s="269"/>
      <c r="AD542" s="269"/>
      <c r="AE542" s="269"/>
      <c r="AF542" s="269"/>
      <c r="AG542" s="269"/>
      <c r="AH542" s="269"/>
      <c r="AI542" s="269"/>
      <c r="AJ542" s="269"/>
      <c r="AK542" s="269"/>
      <c r="AL542" s="269"/>
    </row>
    <row r="543" spans="2:38" x14ac:dyDescent="0.3">
      <c r="B543" s="269"/>
      <c r="C543" s="269"/>
      <c r="D543" s="269"/>
      <c r="E543" s="269"/>
      <c r="F543" s="269"/>
      <c r="G543" s="269"/>
      <c r="H543" s="269"/>
      <c r="I543" s="269"/>
      <c r="J543" s="269"/>
      <c r="K543" s="269"/>
      <c r="L543" s="269"/>
      <c r="M543" s="269"/>
      <c r="N543" s="269"/>
      <c r="O543" s="269"/>
      <c r="P543" s="269"/>
      <c r="Q543" s="269"/>
      <c r="R543" s="269"/>
      <c r="T543" s="269"/>
      <c r="U543" s="269"/>
      <c r="V543" s="269"/>
      <c r="W543" s="269"/>
      <c r="X543" s="269"/>
      <c r="Y543" s="269"/>
      <c r="Z543" s="269"/>
      <c r="AA543" s="269"/>
      <c r="AB543" s="269"/>
      <c r="AC543" s="269"/>
      <c r="AD543" s="269"/>
      <c r="AE543" s="269"/>
      <c r="AF543" s="269"/>
      <c r="AG543" s="269"/>
      <c r="AH543" s="269"/>
      <c r="AI543" s="269"/>
      <c r="AJ543" s="269"/>
      <c r="AK543" s="269"/>
      <c r="AL543" s="269"/>
    </row>
    <row r="544" spans="2:38" x14ac:dyDescent="0.3">
      <c r="B544" s="269"/>
      <c r="C544" s="269"/>
      <c r="D544" s="269"/>
      <c r="E544" s="269"/>
      <c r="F544" s="269"/>
      <c r="G544" s="269"/>
      <c r="H544" s="269"/>
      <c r="I544" s="269"/>
      <c r="J544" s="269"/>
      <c r="K544" s="269"/>
      <c r="L544" s="269"/>
      <c r="M544" s="269"/>
      <c r="N544" s="269"/>
      <c r="O544" s="269"/>
      <c r="P544" s="269"/>
      <c r="Q544" s="269"/>
      <c r="R544" s="269"/>
      <c r="T544" s="269"/>
      <c r="U544" s="269"/>
      <c r="V544" s="269"/>
      <c r="W544" s="269"/>
      <c r="X544" s="269"/>
      <c r="Y544" s="269"/>
      <c r="Z544" s="269"/>
      <c r="AA544" s="269"/>
      <c r="AB544" s="269"/>
      <c r="AC544" s="269"/>
      <c r="AD544" s="269"/>
      <c r="AE544" s="269"/>
      <c r="AF544" s="269"/>
      <c r="AG544" s="269"/>
      <c r="AH544" s="269"/>
      <c r="AI544" s="269"/>
      <c r="AJ544" s="269"/>
      <c r="AK544" s="269"/>
      <c r="AL544" s="269"/>
    </row>
    <row r="545" spans="2:38" x14ac:dyDescent="0.3">
      <c r="B545" s="269"/>
      <c r="C545" s="269"/>
      <c r="D545" s="269"/>
      <c r="E545" s="269"/>
      <c r="F545" s="269"/>
      <c r="G545" s="269"/>
      <c r="H545" s="269"/>
      <c r="I545" s="269"/>
      <c r="J545" s="269"/>
      <c r="K545" s="269"/>
      <c r="L545" s="269"/>
      <c r="M545" s="269"/>
      <c r="N545" s="269"/>
      <c r="O545" s="269"/>
      <c r="P545" s="269"/>
      <c r="Q545" s="269"/>
      <c r="R545" s="269"/>
      <c r="T545" s="269"/>
      <c r="U545" s="269"/>
      <c r="V545" s="269"/>
      <c r="W545" s="269"/>
      <c r="X545" s="269"/>
      <c r="Y545" s="269"/>
      <c r="Z545" s="269"/>
      <c r="AA545" s="269"/>
      <c r="AB545" s="269"/>
      <c r="AC545" s="269"/>
      <c r="AD545" s="269"/>
      <c r="AE545" s="269"/>
      <c r="AF545" s="269"/>
      <c r="AG545" s="269"/>
      <c r="AH545" s="269"/>
      <c r="AI545" s="269"/>
      <c r="AJ545" s="269"/>
      <c r="AK545" s="269"/>
      <c r="AL545" s="269"/>
    </row>
    <row r="546" spans="2:38" x14ac:dyDescent="0.3">
      <c r="B546" s="269"/>
      <c r="C546" s="269"/>
      <c r="D546" s="269"/>
      <c r="E546" s="269"/>
      <c r="F546" s="269"/>
      <c r="G546" s="269"/>
      <c r="H546" s="269"/>
      <c r="I546" s="269"/>
      <c r="J546" s="269"/>
      <c r="K546" s="269"/>
      <c r="L546" s="269"/>
      <c r="M546" s="269"/>
      <c r="N546" s="269"/>
      <c r="O546" s="269"/>
      <c r="P546" s="269"/>
      <c r="Q546" s="269"/>
      <c r="R546" s="269"/>
      <c r="T546" s="269"/>
      <c r="U546" s="269"/>
      <c r="V546" s="269"/>
      <c r="W546" s="269"/>
      <c r="X546" s="269"/>
      <c r="Y546" s="269"/>
      <c r="Z546" s="269"/>
      <c r="AA546" s="269"/>
      <c r="AB546" s="269"/>
      <c r="AC546" s="269"/>
      <c r="AD546" s="269"/>
      <c r="AE546" s="269"/>
      <c r="AF546" s="269"/>
      <c r="AG546" s="269"/>
      <c r="AH546" s="269"/>
      <c r="AI546" s="269"/>
      <c r="AJ546" s="269"/>
      <c r="AK546" s="269"/>
      <c r="AL546" s="269"/>
    </row>
    <row r="547" spans="2:38" x14ac:dyDescent="0.3">
      <c r="B547" s="269"/>
      <c r="C547" s="269"/>
      <c r="D547" s="269"/>
      <c r="E547" s="269"/>
      <c r="F547" s="269"/>
      <c r="G547" s="269"/>
      <c r="H547" s="269"/>
      <c r="I547" s="269"/>
      <c r="J547" s="269"/>
      <c r="K547" s="269"/>
      <c r="L547" s="269"/>
      <c r="M547" s="269"/>
      <c r="N547" s="269"/>
      <c r="O547" s="269"/>
      <c r="P547" s="269"/>
      <c r="Q547" s="269"/>
      <c r="R547" s="269"/>
      <c r="T547" s="269"/>
      <c r="U547" s="269"/>
      <c r="V547" s="269"/>
      <c r="W547" s="269"/>
      <c r="X547" s="269"/>
      <c r="Y547" s="269"/>
      <c r="Z547" s="269"/>
      <c r="AA547" s="269"/>
      <c r="AB547" s="269"/>
      <c r="AC547" s="269"/>
      <c r="AD547" s="269"/>
      <c r="AE547" s="269"/>
      <c r="AF547" s="269"/>
      <c r="AG547" s="269"/>
      <c r="AH547" s="269"/>
      <c r="AI547" s="269"/>
      <c r="AJ547" s="269"/>
      <c r="AK547" s="269"/>
      <c r="AL547" s="269"/>
    </row>
    <row r="548" spans="2:38" x14ac:dyDescent="0.3">
      <c r="B548" s="269"/>
      <c r="C548" s="269"/>
      <c r="D548" s="269"/>
      <c r="E548" s="269"/>
      <c r="F548" s="269"/>
      <c r="G548" s="269"/>
      <c r="H548" s="269"/>
      <c r="I548" s="269"/>
      <c r="J548" s="269"/>
      <c r="K548" s="269"/>
      <c r="L548" s="269"/>
      <c r="M548" s="269"/>
      <c r="N548" s="269"/>
      <c r="O548" s="269"/>
      <c r="P548" s="269"/>
      <c r="Q548" s="269"/>
      <c r="R548" s="269"/>
      <c r="T548" s="269"/>
      <c r="U548" s="269"/>
      <c r="V548" s="269"/>
      <c r="W548" s="269"/>
      <c r="X548" s="269"/>
      <c r="Y548" s="269"/>
      <c r="Z548" s="269"/>
      <c r="AA548" s="269"/>
      <c r="AB548" s="269"/>
      <c r="AC548" s="269"/>
      <c r="AD548" s="269"/>
      <c r="AE548" s="269"/>
      <c r="AF548" s="269"/>
      <c r="AG548" s="269"/>
      <c r="AH548" s="269"/>
      <c r="AI548" s="269"/>
      <c r="AJ548" s="269"/>
      <c r="AK548" s="269"/>
      <c r="AL548" s="269"/>
    </row>
    <row r="549" spans="2:38" x14ac:dyDescent="0.3">
      <c r="B549" s="269"/>
      <c r="C549" s="269"/>
      <c r="D549" s="269"/>
      <c r="E549" s="269"/>
      <c r="F549" s="269"/>
      <c r="G549" s="269"/>
      <c r="H549" s="269"/>
      <c r="I549" s="269"/>
      <c r="J549" s="269"/>
      <c r="K549" s="269"/>
      <c r="L549" s="269"/>
      <c r="M549" s="269"/>
      <c r="N549" s="269"/>
      <c r="O549" s="269"/>
      <c r="P549" s="269"/>
      <c r="Q549" s="269"/>
      <c r="R549" s="269"/>
      <c r="T549" s="269"/>
      <c r="U549" s="269"/>
      <c r="V549" s="269"/>
      <c r="W549" s="269"/>
      <c r="X549" s="269"/>
      <c r="Y549" s="269"/>
      <c r="Z549" s="269"/>
      <c r="AA549" s="269"/>
      <c r="AB549" s="269"/>
      <c r="AC549" s="269"/>
      <c r="AD549" s="269"/>
      <c r="AE549" s="269"/>
      <c r="AF549" s="269"/>
      <c r="AG549" s="269"/>
      <c r="AH549" s="269"/>
      <c r="AI549" s="269"/>
      <c r="AJ549" s="269"/>
      <c r="AK549" s="269"/>
      <c r="AL549" s="269"/>
    </row>
    <row r="550" spans="2:38" x14ac:dyDescent="0.3">
      <c r="B550" s="269"/>
      <c r="C550" s="269"/>
      <c r="D550" s="269"/>
      <c r="E550" s="269"/>
      <c r="F550" s="269"/>
      <c r="G550" s="269"/>
      <c r="H550" s="269"/>
      <c r="I550" s="269"/>
      <c r="J550" s="269"/>
      <c r="K550" s="269"/>
      <c r="L550" s="269"/>
      <c r="M550" s="269"/>
      <c r="N550" s="269"/>
      <c r="O550" s="269"/>
      <c r="P550" s="269"/>
      <c r="Q550" s="269"/>
      <c r="R550" s="269"/>
      <c r="T550" s="269"/>
      <c r="U550" s="269"/>
      <c r="V550" s="269"/>
      <c r="W550" s="269"/>
      <c r="X550" s="269"/>
      <c r="Y550" s="269"/>
      <c r="Z550" s="269"/>
      <c r="AA550" s="269"/>
      <c r="AB550" s="269"/>
      <c r="AC550" s="269"/>
      <c r="AD550" s="269"/>
      <c r="AE550" s="269"/>
      <c r="AF550" s="269"/>
      <c r="AG550" s="269"/>
      <c r="AH550" s="269"/>
      <c r="AI550" s="269"/>
      <c r="AJ550" s="269"/>
      <c r="AK550" s="269"/>
      <c r="AL550" s="269"/>
    </row>
    <row r="551" spans="2:38" x14ac:dyDescent="0.3">
      <c r="B551" s="269"/>
      <c r="C551" s="269"/>
      <c r="D551" s="269"/>
      <c r="E551" s="269"/>
      <c r="F551" s="269"/>
      <c r="G551" s="269"/>
      <c r="H551" s="269"/>
      <c r="I551" s="269"/>
      <c r="J551" s="269"/>
      <c r="K551" s="269"/>
      <c r="L551" s="269"/>
      <c r="M551" s="269"/>
      <c r="N551" s="269"/>
      <c r="O551" s="269"/>
      <c r="P551" s="269"/>
      <c r="Q551" s="269"/>
      <c r="R551" s="269"/>
      <c r="T551" s="269"/>
      <c r="U551" s="269"/>
      <c r="V551" s="269"/>
      <c r="W551" s="269"/>
      <c r="X551" s="269"/>
      <c r="Y551" s="269"/>
      <c r="Z551" s="269"/>
      <c r="AA551" s="269"/>
      <c r="AB551" s="269"/>
      <c r="AC551" s="269"/>
      <c r="AD551" s="269"/>
      <c r="AE551" s="269"/>
      <c r="AF551" s="269"/>
      <c r="AG551" s="269"/>
      <c r="AH551" s="269"/>
      <c r="AI551" s="269"/>
      <c r="AJ551" s="269"/>
      <c r="AK551" s="269"/>
      <c r="AL551" s="269"/>
    </row>
    <row r="552" spans="2:38" x14ac:dyDescent="0.3">
      <c r="B552" s="269"/>
      <c r="C552" s="269"/>
      <c r="D552" s="269"/>
      <c r="E552" s="269"/>
      <c r="F552" s="269"/>
      <c r="G552" s="269"/>
      <c r="H552" s="269"/>
      <c r="I552" s="269"/>
      <c r="J552" s="269"/>
      <c r="K552" s="269"/>
      <c r="L552" s="269"/>
      <c r="M552" s="269"/>
      <c r="N552" s="269"/>
      <c r="O552" s="269"/>
      <c r="P552" s="269"/>
      <c r="Q552" s="269"/>
      <c r="R552" s="269"/>
      <c r="T552" s="269"/>
      <c r="U552" s="269"/>
      <c r="V552" s="269"/>
      <c r="W552" s="269"/>
      <c r="X552" s="269"/>
      <c r="Y552" s="269"/>
      <c r="Z552" s="269"/>
      <c r="AA552" s="269"/>
      <c r="AB552" s="269"/>
      <c r="AC552" s="269"/>
      <c r="AD552" s="269"/>
      <c r="AE552" s="269"/>
      <c r="AF552" s="269"/>
      <c r="AG552" s="269"/>
      <c r="AH552" s="269"/>
      <c r="AI552" s="269"/>
      <c r="AJ552" s="269"/>
      <c r="AK552" s="269"/>
      <c r="AL552" s="269"/>
    </row>
    <row r="553" spans="2:38" x14ac:dyDescent="0.3">
      <c r="B553" s="269"/>
      <c r="C553" s="269"/>
      <c r="D553" s="269"/>
      <c r="E553" s="269"/>
      <c r="F553" s="269"/>
      <c r="G553" s="269"/>
      <c r="H553" s="269"/>
      <c r="I553" s="269"/>
      <c r="J553" s="269"/>
      <c r="K553" s="269"/>
      <c r="L553" s="269"/>
      <c r="M553" s="269"/>
      <c r="N553" s="269"/>
      <c r="O553" s="269"/>
      <c r="P553" s="269"/>
      <c r="Q553" s="269"/>
      <c r="R553" s="269"/>
      <c r="T553" s="269"/>
      <c r="U553" s="269"/>
      <c r="V553" s="269"/>
      <c r="W553" s="269"/>
      <c r="X553" s="269"/>
      <c r="Y553" s="269"/>
      <c r="Z553" s="269"/>
      <c r="AA553" s="269"/>
      <c r="AB553" s="269"/>
      <c r="AC553" s="269"/>
      <c r="AD553" s="269"/>
      <c r="AE553" s="269"/>
      <c r="AF553" s="269"/>
      <c r="AG553" s="269"/>
      <c r="AH553" s="269"/>
      <c r="AI553" s="269"/>
      <c r="AJ553" s="269"/>
      <c r="AK553" s="269"/>
      <c r="AL553" s="269"/>
    </row>
    <row r="554" spans="2:38" x14ac:dyDescent="0.3">
      <c r="B554" s="269"/>
      <c r="C554" s="269"/>
      <c r="D554" s="269"/>
      <c r="E554" s="269"/>
      <c r="F554" s="269"/>
      <c r="G554" s="269"/>
      <c r="H554" s="269"/>
      <c r="I554" s="269"/>
      <c r="J554" s="269"/>
      <c r="K554" s="269"/>
      <c r="L554" s="269"/>
      <c r="M554" s="269"/>
      <c r="N554" s="269"/>
      <c r="O554" s="269"/>
      <c r="P554" s="269"/>
      <c r="Q554" s="269"/>
      <c r="R554" s="269"/>
      <c r="T554" s="269"/>
      <c r="U554" s="269"/>
      <c r="V554" s="269"/>
      <c r="W554" s="269"/>
      <c r="X554" s="269"/>
      <c r="Y554" s="269"/>
      <c r="Z554" s="269"/>
      <c r="AA554" s="269"/>
      <c r="AB554" s="269"/>
      <c r="AC554" s="269"/>
      <c r="AD554" s="269"/>
      <c r="AE554" s="269"/>
      <c r="AF554" s="269"/>
      <c r="AG554" s="269"/>
      <c r="AH554" s="269"/>
      <c r="AI554" s="269"/>
      <c r="AJ554" s="269"/>
      <c r="AK554" s="269"/>
      <c r="AL554" s="269"/>
    </row>
    <row r="555" spans="2:38" x14ac:dyDescent="0.3">
      <c r="B555" s="269"/>
      <c r="C555" s="269"/>
      <c r="D555" s="269"/>
      <c r="E555" s="269"/>
      <c r="F555" s="269"/>
      <c r="G555" s="269"/>
      <c r="H555" s="269"/>
      <c r="I555" s="269"/>
      <c r="J555" s="269"/>
      <c r="K555" s="269"/>
      <c r="L555" s="269"/>
      <c r="M555" s="269"/>
      <c r="N555" s="269"/>
      <c r="O555" s="269"/>
      <c r="P555" s="269"/>
      <c r="Q555" s="269"/>
      <c r="R555" s="269"/>
      <c r="T555" s="269"/>
      <c r="U555" s="269"/>
      <c r="V555" s="269"/>
      <c r="W555" s="269"/>
      <c r="X555" s="269"/>
      <c r="Y555" s="269"/>
      <c r="Z555" s="269"/>
      <c r="AA555" s="269"/>
      <c r="AB555" s="269"/>
      <c r="AC555" s="269"/>
      <c r="AD555" s="269"/>
      <c r="AE555" s="269"/>
      <c r="AF555" s="269"/>
      <c r="AG555" s="269"/>
      <c r="AH555" s="269"/>
      <c r="AI555" s="269"/>
      <c r="AJ555" s="269"/>
      <c r="AK555" s="269"/>
      <c r="AL555" s="269"/>
    </row>
    <row r="556" spans="2:38" x14ac:dyDescent="0.3">
      <c r="B556" s="269"/>
      <c r="C556" s="269"/>
      <c r="D556" s="269"/>
      <c r="E556" s="269"/>
      <c r="F556" s="269"/>
      <c r="G556" s="269"/>
      <c r="H556" s="269"/>
      <c r="I556" s="269"/>
      <c r="J556" s="269"/>
      <c r="K556" s="269"/>
      <c r="L556" s="269"/>
      <c r="M556" s="269"/>
      <c r="N556" s="269"/>
      <c r="O556" s="269"/>
      <c r="P556" s="269"/>
      <c r="Q556" s="269"/>
      <c r="R556" s="269"/>
      <c r="T556" s="269"/>
      <c r="U556" s="269"/>
      <c r="V556" s="269"/>
      <c r="W556" s="269"/>
      <c r="X556" s="269"/>
      <c r="Y556" s="269"/>
      <c r="Z556" s="269"/>
      <c r="AA556" s="269"/>
      <c r="AB556" s="269"/>
      <c r="AC556" s="269"/>
      <c r="AD556" s="269"/>
      <c r="AE556" s="269"/>
      <c r="AF556" s="269"/>
      <c r="AG556" s="269"/>
      <c r="AH556" s="269"/>
      <c r="AI556" s="269"/>
      <c r="AJ556" s="269"/>
      <c r="AK556" s="269"/>
      <c r="AL556" s="269"/>
    </row>
    <row r="557" spans="2:38" x14ac:dyDescent="0.3">
      <c r="B557" s="269"/>
      <c r="C557" s="269"/>
      <c r="D557" s="269"/>
      <c r="E557" s="269"/>
      <c r="F557" s="269"/>
      <c r="G557" s="269"/>
      <c r="H557" s="269"/>
      <c r="I557" s="269"/>
      <c r="J557" s="269"/>
      <c r="K557" s="269"/>
      <c r="L557" s="269"/>
      <c r="M557" s="269"/>
      <c r="N557" s="269"/>
      <c r="O557" s="269"/>
      <c r="P557" s="269"/>
      <c r="Q557" s="269"/>
      <c r="R557" s="269"/>
      <c r="T557" s="269"/>
      <c r="U557" s="269"/>
      <c r="V557" s="269"/>
      <c r="W557" s="269"/>
      <c r="X557" s="269"/>
      <c r="Y557" s="269"/>
      <c r="Z557" s="269"/>
      <c r="AA557" s="269"/>
      <c r="AB557" s="269"/>
      <c r="AC557" s="269"/>
      <c r="AD557" s="269"/>
      <c r="AE557" s="269"/>
      <c r="AF557" s="269"/>
      <c r="AG557" s="269"/>
      <c r="AH557" s="269"/>
      <c r="AI557" s="269"/>
      <c r="AJ557" s="269"/>
      <c r="AK557" s="269"/>
      <c r="AL557" s="269"/>
    </row>
    <row r="558" spans="2:38" x14ac:dyDescent="0.3">
      <c r="B558" s="269"/>
      <c r="C558" s="269"/>
      <c r="D558" s="269"/>
      <c r="E558" s="269"/>
      <c r="F558" s="269"/>
      <c r="G558" s="269"/>
      <c r="H558" s="269"/>
      <c r="I558" s="269"/>
      <c r="J558" s="269"/>
      <c r="K558" s="269"/>
      <c r="L558" s="269"/>
      <c r="M558" s="269"/>
      <c r="N558" s="269"/>
      <c r="O558" s="269"/>
      <c r="P558" s="269"/>
      <c r="Q558" s="269"/>
      <c r="R558" s="269"/>
      <c r="T558" s="269"/>
      <c r="U558" s="269"/>
      <c r="V558" s="269"/>
      <c r="W558" s="269"/>
      <c r="X558" s="269"/>
      <c r="Y558" s="269"/>
      <c r="Z558" s="269"/>
      <c r="AA558" s="269"/>
      <c r="AB558" s="269"/>
      <c r="AC558" s="269"/>
      <c r="AD558" s="269"/>
      <c r="AE558" s="269"/>
      <c r="AF558" s="269"/>
      <c r="AG558" s="269"/>
      <c r="AH558" s="269"/>
      <c r="AI558" s="269"/>
      <c r="AJ558" s="269"/>
      <c r="AK558" s="269"/>
      <c r="AL558" s="269"/>
    </row>
    <row r="559" spans="2:38" x14ac:dyDescent="0.3">
      <c r="B559" s="269"/>
      <c r="C559" s="269"/>
      <c r="D559" s="269"/>
      <c r="E559" s="269"/>
      <c r="F559" s="269"/>
      <c r="G559" s="269"/>
      <c r="H559" s="269"/>
      <c r="I559" s="269"/>
      <c r="J559" s="269"/>
      <c r="K559" s="269"/>
      <c r="L559" s="269"/>
      <c r="M559" s="269"/>
      <c r="N559" s="269"/>
      <c r="O559" s="269"/>
      <c r="P559" s="269"/>
      <c r="Q559" s="269"/>
      <c r="R559" s="269"/>
      <c r="T559" s="269"/>
      <c r="U559" s="269"/>
      <c r="V559" s="269"/>
      <c r="W559" s="269"/>
      <c r="X559" s="269"/>
      <c r="Y559" s="269"/>
      <c r="Z559" s="269"/>
      <c r="AA559" s="269"/>
      <c r="AB559" s="269"/>
      <c r="AC559" s="269"/>
      <c r="AD559" s="269"/>
      <c r="AE559" s="269"/>
      <c r="AF559" s="269"/>
      <c r="AG559" s="269"/>
      <c r="AH559" s="269"/>
      <c r="AI559" s="269"/>
      <c r="AJ559" s="269"/>
      <c r="AK559" s="269"/>
      <c r="AL559" s="269"/>
    </row>
    <row r="560" spans="2:38" x14ac:dyDescent="0.3">
      <c r="B560" s="269"/>
      <c r="C560" s="269"/>
      <c r="D560" s="269"/>
      <c r="E560" s="269"/>
      <c r="F560" s="269"/>
      <c r="G560" s="269"/>
      <c r="H560" s="269"/>
      <c r="I560" s="269"/>
      <c r="J560" s="269"/>
      <c r="K560" s="269"/>
      <c r="L560" s="269"/>
      <c r="M560" s="269"/>
      <c r="N560" s="269"/>
      <c r="O560" s="269"/>
      <c r="P560" s="269"/>
      <c r="Q560" s="269"/>
      <c r="R560" s="269"/>
      <c r="T560" s="269"/>
      <c r="U560" s="269"/>
      <c r="V560" s="269"/>
      <c r="W560" s="269"/>
      <c r="X560" s="269"/>
      <c r="Y560" s="269"/>
      <c r="Z560" s="269"/>
      <c r="AA560" s="269"/>
      <c r="AB560" s="269"/>
      <c r="AC560" s="269"/>
      <c r="AD560" s="269"/>
      <c r="AE560" s="269"/>
      <c r="AF560" s="269"/>
      <c r="AG560" s="269"/>
      <c r="AH560" s="269"/>
      <c r="AI560" s="269"/>
      <c r="AJ560" s="269"/>
      <c r="AK560" s="269"/>
      <c r="AL560" s="269"/>
    </row>
    <row r="561" spans="2:38" x14ac:dyDescent="0.3">
      <c r="B561" s="269"/>
      <c r="C561" s="269"/>
      <c r="D561" s="269"/>
      <c r="E561" s="269"/>
      <c r="F561" s="269"/>
      <c r="G561" s="269"/>
      <c r="H561" s="269"/>
      <c r="I561" s="269"/>
      <c r="J561" s="269"/>
      <c r="K561" s="269"/>
      <c r="L561" s="269"/>
      <c r="M561" s="269"/>
      <c r="N561" s="269"/>
      <c r="O561" s="269"/>
      <c r="P561" s="269"/>
      <c r="Q561" s="269"/>
      <c r="R561" s="269"/>
      <c r="T561" s="269"/>
      <c r="U561" s="269"/>
      <c r="V561" s="269"/>
      <c r="W561" s="269"/>
      <c r="X561" s="269"/>
      <c r="Y561" s="269"/>
      <c r="Z561" s="269"/>
      <c r="AA561" s="269"/>
      <c r="AB561" s="269"/>
      <c r="AC561" s="269"/>
      <c r="AD561" s="269"/>
      <c r="AE561" s="269"/>
      <c r="AF561" s="269"/>
      <c r="AG561" s="269"/>
      <c r="AH561" s="269"/>
      <c r="AI561" s="269"/>
      <c r="AJ561" s="269"/>
      <c r="AK561" s="269"/>
      <c r="AL561" s="269"/>
    </row>
    <row r="562" spans="2:38" x14ac:dyDescent="0.3">
      <c r="B562" s="269"/>
      <c r="C562" s="269"/>
      <c r="D562" s="269"/>
      <c r="E562" s="269"/>
      <c r="F562" s="269"/>
      <c r="G562" s="269"/>
      <c r="H562" s="269"/>
      <c r="I562" s="269"/>
      <c r="J562" s="269"/>
      <c r="K562" s="269"/>
      <c r="L562" s="269"/>
      <c r="M562" s="269"/>
      <c r="N562" s="269"/>
      <c r="O562" s="269"/>
      <c r="P562" s="269"/>
      <c r="Q562" s="269"/>
      <c r="R562" s="269"/>
      <c r="T562" s="269"/>
      <c r="U562" s="269"/>
      <c r="V562" s="269"/>
      <c r="W562" s="269"/>
      <c r="X562" s="269"/>
      <c r="Y562" s="269"/>
      <c r="Z562" s="269"/>
      <c r="AA562" s="269"/>
      <c r="AB562" s="269"/>
      <c r="AC562" s="269"/>
      <c r="AD562" s="269"/>
      <c r="AE562" s="269"/>
      <c r="AF562" s="269"/>
      <c r="AG562" s="269"/>
      <c r="AH562" s="269"/>
      <c r="AI562" s="269"/>
      <c r="AJ562" s="269"/>
      <c r="AK562" s="269"/>
      <c r="AL562" s="269"/>
    </row>
    <row r="563" spans="2:38" x14ac:dyDescent="0.3">
      <c r="B563" s="269"/>
      <c r="C563" s="269"/>
      <c r="D563" s="269"/>
      <c r="E563" s="269"/>
      <c r="F563" s="269"/>
      <c r="G563" s="269"/>
      <c r="H563" s="269"/>
      <c r="I563" s="269"/>
      <c r="J563" s="269"/>
      <c r="K563" s="269"/>
      <c r="L563" s="269"/>
      <c r="M563" s="269"/>
      <c r="N563" s="269"/>
      <c r="O563" s="269"/>
      <c r="P563" s="269"/>
      <c r="Q563" s="269"/>
      <c r="R563" s="269"/>
      <c r="T563" s="269"/>
      <c r="U563" s="269"/>
      <c r="V563" s="269"/>
      <c r="W563" s="269"/>
      <c r="X563" s="269"/>
      <c r="Y563" s="269"/>
      <c r="Z563" s="269"/>
      <c r="AA563" s="269"/>
      <c r="AB563" s="269"/>
      <c r="AC563" s="269"/>
      <c r="AD563" s="269"/>
      <c r="AE563" s="269"/>
      <c r="AF563" s="269"/>
      <c r="AG563" s="269"/>
      <c r="AH563" s="269"/>
      <c r="AI563" s="269"/>
      <c r="AJ563" s="269"/>
      <c r="AK563" s="269"/>
      <c r="AL563" s="269"/>
    </row>
    <row r="564" spans="2:38" x14ac:dyDescent="0.3">
      <c r="B564" s="269"/>
      <c r="C564" s="269"/>
      <c r="D564" s="269"/>
      <c r="E564" s="269"/>
      <c r="F564" s="269"/>
      <c r="G564" s="269"/>
      <c r="H564" s="269"/>
      <c r="I564" s="269"/>
      <c r="J564" s="269"/>
      <c r="K564" s="269"/>
      <c r="L564" s="269"/>
      <c r="M564" s="269"/>
      <c r="N564" s="269"/>
      <c r="O564" s="269"/>
      <c r="P564" s="269"/>
      <c r="Q564" s="269"/>
      <c r="R564" s="269"/>
      <c r="T564" s="269"/>
      <c r="U564" s="269"/>
      <c r="V564" s="269"/>
      <c r="W564" s="269"/>
      <c r="X564" s="269"/>
      <c r="Y564" s="269"/>
      <c r="Z564" s="269"/>
      <c r="AA564" s="269"/>
      <c r="AB564" s="269"/>
      <c r="AC564" s="269"/>
      <c r="AD564" s="269"/>
      <c r="AE564" s="269"/>
      <c r="AF564" s="269"/>
      <c r="AG564" s="269"/>
      <c r="AH564" s="269"/>
      <c r="AI564" s="269"/>
      <c r="AJ564" s="269"/>
      <c r="AK564" s="269"/>
      <c r="AL564" s="269"/>
    </row>
    <row r="565" spans="2:38" x14ac:dyDescent="0.3">
      <c r="B565" s="269"/>
      <c r="C565" s="269"/>
      <c r="D565" s="269"/>
      <c r="E565" s="269"/>
      <c r="F565" s="269"/>
      <c r="G565" s="269"/>
      <c r="H565" s="269"/>
      <c r="I565" s="269"/>
      <c r="J565" s="269"/>
      <c r="K565" s="269"/>
      <c r="L565" s="269"/>
      <c r="M565" s="269"/>
      <c r="N565" s="269"/>
      <c r="O565" s="269"/>
      <c r="P565" s="269"/>
      <c r="Q565" s="269"/>
      <c r="R565" s="269"/>
      <c r="T565" s="269"/>
      <c r="U565" s="269"/>
      <c r="V565" s="269"/>
      <c r="W565" s="269"/>
      <c r="X565" s="269"/>
      <c r="Y565" s="269"/>
      <c r="Z565" s="269"/>
      <c r="AA565" s="269"/>
      <c r="AB565" s="269"/>
      <c r="AC565" s="269"/>
      <c r="AD565" s="269"/>
      <c r="AE565" s="269"/>
      <c r="AF565" s="269"/>
      <c r="AG565" s="269"/>
      <c r="AH565" s="269"/>
      <c r="AI565" s="269"/>
      <c r="AJ565" s="269"/>
      <c r="AK565" s="269"/>
      <c r="AL565" s="269"/>
    </row>
    <row r="566" spans="2:38" x14ac:dyDescent="0.3">
      <c r="B566" s="269"/>
      <c r="C566" s="269"/>
      <c r="D566" s="269"/>
      <c r="E566" s="269"/>
      <c r="F566" s="269"/>
      <c r="G566" s="269"/>
      <c r="H566" s="269"/>
      <c r="I566" s="269"/>
      <c r="J566" s="269"/>
      <c r="K566" s="269"/>
      <c r="L566" s="269"/>
      <c r="M566" s="269"/>
      <c r="N566" s="269"/>
      <c r="O566" s="269"/>
      <c r="P566" s="269"/>
      <c r="Q566" s="269"/>
      <c r="R566" s="269"/>
      <c r="T566" s="269"/>
      <c r="U566" s="269"/>
      <c r="V566" s="269"/>
      <c r="W566" s="269"/>
      <c r="X566" s="269"/>
      <c r="Y566" s="269"/>
      <c r="Z566" s="269"/>
      <c r="AA566" s="269"/>
      <c r="AB566" s="269"/>
      <c r="AC566" s="269"/>
      <c r="AD566" s="269"/>
      <c r="AE566" s="269"/>
      <c r="AF566" s="269"/>
      <c r="AG566" s="269"/>
      <c r="AH566" s="269"/>
      <c r="AI566" s="269"/>
      <c r="AJ566" s="269"/>
      <c r="AK566" s="269"/>
      <c r="AL566" s="269"/>
    </row>
    <row r="567" spans="2:38" x14ac:dyDescent="0.3">
      <c r="B567" s="269"/>
      <c r="C567" s="269"/>
      <c r="D567" s="269"/>
      <c r="E567" s="269"/>
      <c r="F567" s="269"/>
      <c r="G567" s="269"/>
      <c r="H567" s="269"/>
      <c r="I567" s="269"/>
      <c r="J567" s="269"/>
      <c r="K567" s="269"/>
      <c r="L567" s="269"/>
      <c r="M567" s="269"/>
      <c r="N567" s="269"/>
      <c r="O567" s="269"/>
      <c r="P567" s="269"/>
      <c r="Q567" s="269"/>
      <c r="R567" s="269"/>
      <c r="T567" s="269"/>
      <c r="U567" s="269"/>
      <c r="V567" s="269"/>
      <c r="W567" s="269"/>
      <c r="X567" s="269"/>
      <c r="Y567" s="269"/>
      <c r="Z567" s="269"/>
      <c r="AA567" s="269"/>
      <c r="AB567" s="269"/>
      <c r="AC567" s="269"/>
      <c r="AD567" s="269"/>
      <c r="AE567" s="269"/>
      <c r="AF567" s="269"/>
      <c r="AG567" s="269"/>
      <c r="AH567" s="269"/>
      <c r="AI567" s="269"/>
      <c r="AJ567" s="269"/>
      <c r="AK567" s="269"/>
      <c r="AL567" s="269"/>
    </row>
    <row r="568" spans="2:38" x14ac:dyDescent="0.3">
      <c r="B568" s="269"/>
      <c r="C568" s="269"/>
      <c r="D568" s="269"/>
      <c r="E568" s="269"/>
      <c r="F568" s="269"/>
      <c r="G568" s="269"/>
      <c r="H568" s="269"/>
      <c r="I568" s="269"/>
      <c r="J568" s="269"/>
      <c r="K568" s="269"/>
      <c r="L568" s="269"/>
      <c r="M568" s="269"/>
      <c r="N568" s="269"/>
      <c r="O568" s="269"/>
      <c r="P568" s="269"/>
      <c r="Q568" s="269"/>
      <c r="R568" s="269"/>
      <c r="T568" s="269"/>
      <c r="U568" s="269"/>
      <c r="V568" s="269"/>
      <c r="W568" s="269"/>
      <c r="X568" s="269"/>
      <c r="Y568" s="269"/>
      <c r="Z568" s="269"/>
      <c r="AA568" s="269"/>
      <c r="AB568" s="269"/>
      <c r="AC568" s="269"/>
      <c r="AD568" s="269"/>
      <c r="AE568" s="269"/>
      <c r="AF568" s="269"/>
      <c r="AG568" s="269"/>
      <c r="AH568" s="269"/>
      <c r="AI568" s="269"/>
      <c r="AJ568" s="269"/>
      <c r="AK568" s="269"/>
      <c r="AL568" s="269"/>
    </row>
    <row r="569" spans="2:38" x14ac:dyDescent="0.3">
      <c r="B569" s="269"/>
      <c r="C569" s="269"/>
      <c r="D569" s="269"/>
      <c r="E569" s="269"/>
      <c r="F569" s="269"/>
      <c r="G569" s="269"/>
      <c r="H569" s="269"/>
      <c r="I569" s="269"/>
      <c r="J569" s="269"/>
      <c r="K569" s="269"/>
      <c r="L569" s="269"/>
      <c r="M569" s="269"/>
      <c r="N569" s="269"/>
      <c r="O569" s="269"/>
      <c r="P569" s="269"/>
      <c r="Q569" s="269"/>
      <c r="R569" s="269"/>
      <c r="T569" s="269"/>
      <c r="U569" s="269"/>
      <c r="V569" s="269"/>
      <c r="W569" s="269"/>
      <c r="X569" s="269"/>
      <c r="Y569" s="269"/>
      <c r="Z569" s="269"/>
      <c r="AA569" s="269"/>
      <c r="AB569" s="269"/>
      <c r="AC569" s="269"/>
      <c r="AD569" s="269"/>
      <c r="AE569" s="269"/>
      <c r="AF569" s="269"/>
      <c r="AG569" s="269"/>
      <c r="AH569" s="269"/>
      <c r="AI569" s="269"/>
      <c r="AJ569" s="269"/>
      <c r="AK569" s="269"/>
      <c r="AL569" s="269"/>
    </row>
    <row r="570" spans="2:38" x14ac:dyDescent="0.3">
      <c r="B570" s="269"/>
      <c r="C570" s="269"/>
      <c r="D570" s="269"/>
      <c r="E570" s="269"/>
      <c r="F570" s="269"/>
      <c r="G570" s="269"/>
      <c r="H570" s="269"/>
      <c r="I570" s="269"/>
      <c r="J570" s="269"/>
      <c r="K570" s="269"/>
      <c r="L570" s="269"/>
      <c r="M570" s="269"/>
      <c r="N570" s="269"/>
      <c r="O570" s="269"/>
      <c r="P570" s="269"/>
      <c r="Q570" s="269"/>
      <c r="R570" s="269"/>
      <c r="T570" s="269"/>
      <c r="U570" s="269"/>
      <c r="V570" s="269"/>
      <c r="W570" s="269"/>
      <c r="X570" s="269"/>
      <c r="Y570" s="269"/>
      <c r="Z570" s="269"/>
      <c r="AA570" s="269"/>
      <c r="AB570" s="269"/>
      <c r="AC570" s="269"/>
      <c r="AD570" s="269"/>
      <c r="AE570" s="269"/>
      <c r="AF570" s="269"/>
      <c r="AG570" s="269"/>
      <c r="AH570" s="269"/>
      <c r="AI570" s="269"/>
      <c r="AJ570" s="269"/>
      <c r="AK570" s="269"/>
      <c r="AL570" s="269"/>
    </row>
    <row r="571" spans="2:38" x14ac:dyDescent="0.3">
      <c r="B571" s="269"/>
      <c r="C571" s="269"/>
      <c r="D571" s="269"/>
      <c r="E571" s="269"/>
      <c r="F571" s="269"/>
      <c r="G571" s="269"/>
      <c r="H571" s="269"/>
      <c r="I571" s="269"/>
      <c r="J571" s="269"/>
      <c r="K571" s="269"/>
      <c r="L571" s="269"/>
      <c r="M571" s="269"/>
      <c r="N571" s="269"/>
      <c r="O571" s="269"/>
      <c r="P571" s="269"/>
      <c r="Q571" s="269"/>
      <c r="R571" s="269"/>
      <c r="T571" s="269"/>
      <c r="U571" s="269"/>
      <c r="V571" s="269"/>
      <c r="W571" s="269"/>
      <c r="X571" s="269"/>
      <c r="Y571" s="269"/>
      <c r="Z571" s="269"/>
      <c r="AA571" s="269"/>
      <c r="AB571" s="269"/>
      <c r="AC571" s="269"/>
      <c r="AD571" s="269"/>
      <c r="AE571" s="269"/>
      <c r="AF571" s="269"/>
      <c r="AG571" s="269"/>
      <c r="AH571" s="269"/>
      <c r="AI571" s="269"/>
      <c r="AJ571" s="269"/>
      <c r="AK571" s="269"/>
      <c r="AL571" s="269"/>
    </row>
    <row r="572" spans="2:38" x14ac:dyDescent="0.3">
      <c r="B572" s="269"/>
      <c r="C572" s="269"/>
      <c r="D572" s="269"/>
      <c r="E572" s="269"/>
      <c r="F572" s="269"/>
      <c r="G572" s="269"/>
      <c r="H572" s="269"/>
      <c r="I572" s="269"/>
      <c r="J572" s="269"/>
      <c r="K572" s="269"/>
      <c r="L572" s="269"/>
      <c r="M572" s="269"/>
      <c r="N572" s="269"/>
      <c r="O572" s="269"/>
      <c r="P572" s="269"/>
      <c r="Q572" s="269"/>
      <c r="R572" s="269"/>
      <c r="T572" s="269"/>
      <c r="U572" s="269"/>
      <c r="V572" s="269"/>
      <c r="W572" s="269"/>
      <c r="X572" s="269"/>
      <c r="Y572" s="269"/>
      <c r="Z572" s="269"/>
      <c r="AA572" s="269"/>
      <c r="AB572" s="269"/>
      <c r="AC572" s="269"/>
      <c r="AD572" s="269"/>
      <c r="AE572" s="269"/>
      <c r="AF572" s="269"/>
      <c r="AG572" s="269"/>
      <c r="AH572" s="269"/>
      <c r="AI572" s="269"/>
      <c r="AJ572" s="269"/>
      <c r="AK572" s="269"/>
      <c r="AL572" s="269"/>
    </row>
    <row r="573" spans="2:38" x14ac:dyDescent="0.3">
      <c r="B573" s="269"/>
      <c r="C573" s="269"/>
      <c r="D573" s="269"/>
      <c r="E573" s="269"/>
      <c r="F573" s="269"/>
      <c r="G573" s="269"/>
      <c r="H573" s="269"/>
      <c r="I573" s="269"/>
      <c r="J573" s="269"/>
      <c r="K573" s="269"/>
      <c r="L573" s="269"/>
      <c r="M573" s="269"/>
      <c r="N573" s="269"/>
      <c r="O573" s="269"/>
      <c r="P573" s="269"/>
      <c r="Q573" s="269"/>
      <c r="R573" s="269"/>
      <c r="T573" s="269"/>
      <c r="U573" s="269"/>
      <c r="V573" s="269"/>
      <c r="W573" s="269"/>
      <c r="X573" s="269"/>
      <c r="Y573" s="269"/>
      <c r="Z573" s="269"/>
      <c r="AA573" s="269"/>
      <c r="AB573" s="269"/>
      <c r="AC573" s="269"/>
      <c r="AD573" s="269"/>
      <c r="AE573" s="269"/>
      <c r="AF573" s="269"/>
      <c r="AG573" s="269"/>
      <c r="AH573" s="269"/>
      <c r="AI573" s="269"/>
      <c r="AJ573" s="269"/>
      <c r="AK573" s="269"/>
      <c r="AL573" s="269"/>
    </row>
    <row r="574" spans="2:38" x14ac:dyDescent="0.3">
      <c r="B574" s="269"/>
      <c r="C574" s="269"/>
      <c r="D574" s="269"/>
      <c r="E574" s="269"/>
      <c r="F574" s="269"/>
      <c r="G574" s="269"/>
      <c r="H574" s="269"/>
      <c r="I574" s="269"/>
      <c r="J574" s="269"/>
      <c r="K574" s="269"/>
      <c r="L574" s="269"/>
      <c r="M574" s="269"/>
      <c r="N574" s="269"/>
      <c r="O574" s="269"/>
      <c r="P574" s="269"/>
      <c r="Q574" s="269"/>
      <c r="R574" s="269"/>
      <c r="T574" s="269"/>
      <c r="U574" s="269"/>
      <c r="V574" s="269"/>
      <c r="W574" s="269"/>
      <c r="X574" s="269"/>
      <c r="Y574" s="269"/>
      <c r="Z574" s="269"/>
      <c r="AA574" s="269"/>
      <c r="AB574" s="269"/>
      <c r="AC574" s="269"/>
      <c r="AD574" s="269"/>
      <c r="AE574" s="269"/>
      <c r="AF574" s="269"/>
      <c r="AG574" s="269"/>
      <c r="AH574" s="269"/>
      <c r="AI574" s="269"/>
      <c r="AJ574" s="269"/>
      <c r="AK574" s="269"/>
      <c r="AL574" s="269"/>
    </row>
    <row r="575" spans="2:38" x14ac:dyDescent="0.3">
      <c r="B575" s="269"/>
      <c r="C575" s="269"/>
      <c r="D575" s="269"/>
      <c r="E575" s="269"/>
      <c r="F575" s="269"/>
      <c r="G575" s="269"/>
      <c r="H575" s="269"/>
      <c r="I575" s="269"/>
      <c r="J575" s="269"/>
      <c r="K575" s="269"/>
      <c r="L575" s="269"/>
      <c r="M575" s="269"/>
      <c r="N575" s="269"/>
      <c r="O575" s="269"/>
      <c r="P575" s="269"/>
      <c r="Q575" s="269"/>
      <c r="R575" s="269"/>
      <c r="T575" s="269"/>
      <c r="U575" s="269"/>
      <c r="V575" s="269"/>
      <c r="W575" s="269"/>
      <c r="X575" s="269"/>
      <c r="Y575" s="269"/>
      <c r="Z575" s="269"/>
      <c r="AA575" s="269"/>
      <c r="AB575" s="269"/>
      <c r="AC575" s="269"/>
      <c r="AD575" s="269"/>
      <c r="AE575" s="269"/>
      <c r="AF575" s="269"/>
      <c r="AG575" s="269"/>
      <c r="AH575" s="269"/>
      <c r="AI575" s="269"/>
      <c r="AJ575" s="269"/>
      <c r="AK575" s="269"/>
      <c r="AL575" s="269"/>
    </row>
    <row r="576" spans="2:38" x14ac:dyDescent="0.3">
      <c r="B576" s="269"/>
      <c r="C576" s="269"/>
      <c r="D576" s="269"/>
      <c r="E576" s="269"/>
      <c r="F576" s="269"/>
      <c r="G576" s="269"/>
      <c r="H576" s="269"/>
      <c r="I576" s="269"/>
      <c r="J576" s="269"/>
      <c r="K576" s="269"/>
      <c r="L576" s="269"/>
      <c r="M576" s="269"/>
      <c r="N576" s="269"/>
      <c r="O576" s="269"/>
      <c r="P576" s="269"/>
      <c r="Q576" s="269"/>
      <c r="R576" s="269"/>
      <c r="T576" s="269"/>
      <c r="U576" s="269"/>
      <c r="V576" s="269"/>
      <c r="W576" s="269"/>
      <c r="X576" s="269"/>
      <c r="Y576" s="269"/>
      <c r="Z576" s="269"/>
      <c r="AA576" s="269"/>
      <c r="AB576" s="269"/>
      <c r="AC576" s="269"/>
      <c r="AD576" s="269"/>
      <c r="AE576" s="269"/>
      <c r="AF576" s="269"/>
      <c r="AG576" s="269"/>
      <c r="AH576" s="269"/>
      <c r="AI576" s="269"/>
      <c r="AJ576" s="269"/>
      <c r="AK576" s="269"/>
      <c r="AL576" s="269"/>
    </row>
    <row r="577" spans="2:38" x14ac:dyDescent="0.3">
      <c r="B577" s="269"/>
      <c r="C577" s="269"/>
      <c r="D577" s="269"/>
      <c r="E577" s="269"/>
      <c r="F577" s="269"/>
      <c r="G577" s="269"/>
      <c r="H577" s="269"/>
      <c r="I577" s="269"/>
      <c r="J577" s="269"/>
      <c r="K577" s="269"/>
      <c r="L577" s="269"/>
      <c r="M577" s="269"/>
      <c r="N577" s="269"/>
      <c r="O577" s="269"/>
      <c r="P577" s="269"/>
      <c r="Q577" s="269"/>
      <c r="R577" s="269"/>
      <c r="T577" s="269"/>
      <c r="U577" s="269"/>
      <c r="V577" s="269"/>
      <c r="W577" s="269"/>
      <c r="X577" s="269"/>
      <c r="Y577" s="269"/>
      <c r="Z577" s="269"/>
      <c r="AA577" s="269"/>
      <c r="AB577" s="269"/>
      <c r="AC577" s="269"/>
      <c r="AD577" s="269"/>
      <c r="AE577" s="269"/>
      <c r="AF577" s="269"/>
      <c r="AG577" s="269"/>
      <c r="AH577" s="269"/>
      <c r="AI577" s="269"/>
      <c r="AJ577" s="269"/>
      <c r="AK577" s="269"/>
      <c r="AL577" s="269"/>
    </row>
    <row r="578" spans="2:38" x14ac:dyDescent="0.3">
      <c r="B578" s="269"/>
      <c r="C578" s="269"/>
      <c r="D578" s="269"/>
      <c r="E578" s="269"/>
      <c r="F578" s="269"/>
      <c r="G578" s="269"/>
      <c r="H578" s="269"/>
      <c r="I578" s="269"/>
      <c r="J578" s="269"/>
      <c r="K578" s="269"/>
      <c r="L578" s="269"/>
      <c r="M578" s="269"/>
      <c r="N578" s="269"/>
      <c r="O578" s="269"/>
      <c r="P578" s="269"/>
      <c r="Q578" s="269"/>
      <c r="R578" s="269"/>
      <c r="T578" s="269"/>
      <c r="U578" s="269"/>
      <c r="V578" s="269"/>
      <c r="W578" s="269"/>
      <c r="X578" s="269"/>
      <c r="Y578" s="269"/>
      <c r="Z578" s="269"/>
      <c r="AA578" s="269"/>
      <c r="AB578" s="269"/>
      <c r="AC578" s="269"/>
      <c r="AD578" s="269"/>
      <c r="AE578" s="269"/>
      <c r="AF578" s="269"/>
      <c r="AG578" s="269"/>
      <c r="AH578" s="269"/>
      <c r="AI578" s="269"/>
      <c r="AJ578" s="269"/>
      <c r="AK578" s="269"/>
      <c r="AL578" s="269"/>
    </row>
    <row r="579" spans="2:38" x14ac:dyDescent="0.3">
      <c r="B579" s="269"/>
      <c r="C579" s="269"/>
      <c r="D579" s="269"/>
      <c r="E579" s="269"/>
      <c r="F579" s="269"/>
      <c r="G579" s="269"/>
      <c r="H579" s="269"/>
      <c r="I579" s="269"/>
      <c r="J579" s="269"/>
      <c r="K579" s="269"/>
      <c r="L579" s="269"/>
      <c r="M579" s="269"/>
      <c r="N579" s="269"/>
      <c r="O579" s="269"/>
      <c r="P579" s="269"/>
      <c r="Q579" s="269"/>
      <c r="R579" s="269"/>
      <c r="T579" s="269"/>
      <c r="U579" s="269"/>
      <c r="V579" s="269"/>
      <c r="W579" s="269"/>
      <c r="X579" s="269"/>
      <c r="Y579" s="269"/>
      <c r="Z579" s="269"/>
      <c r="AA579" s="269"/>
      <c r="AB579" s="269"/>
      <c r="AC579" s="269"/>
      <c r="AD579" s="269"/>
      <c r="AE579" s="269"/>
      <c r="AF579" s="269"/>
      <c r="AG579" s="269"/>
      <c r="AH579" s="269"/>
      <c r="AI579" s="269"/>
      <c r="AJ579" s="269"/>
      <c r="AK579" s="269"/>
      <c r="AL579" s="269"/>
    </row>
    <row r="580" spans="2:38" x14ac:dyDescent="0.3">
      <c r="B580" s="269"/>
      <c r="C580" s="269"/>
      <c r="D580" s="269"/>
      <c r="E580" s="269"/>
      <c r="F580" s="269"/>
      <c r="G580" s="269"/>
      <c r="H580" s="269"/>
      <c r="I580" s="269"/>
      <c r="J580" s="269"/>
      <c r="K580" s="269"/>
      <c r="L580" s="269"/>
      <c r="M580" s="269"/>
      <c r="N580" s="269"/>
      <c r="O580" s="269"/>
      <c r="P580" s="269"/>
      <c r="Q580" s="269"/>
      <c r="R580" s="269"/>
      <c r="T580" s="269"/>
      <c r="U580" s="269"/>
      <c r="V580" s="269"/>
      <c r="W580" s="269"/>
      <c r="X580" s="269"/>
      <c r="Y580" s="269"/>
      <c r="Z580" s="269"/>
      <c r="AA580" s="269"/>
      <c r="AB580" s="269"/>
      <c r="AC580" s="269"/>
      <c r="AD580" s="269"/>
      <c r="AE580" s="269"/>
      <c r="AF580" s="269"/>
      <c r="AG580" s="269"/>
      <c r="AH580" s="269"/>
      <c r="AI580" s="269"/>
      <c r="AJ580" s="269"/>
      <c r="AK580" s="269"/>
      <c r="AL580" s="269"/>
    </row>
    <row r="581" spans="2:38" x14ac:dyDescent="0.3">
      <c r="B581" s="269"/>
      <c r="C581" s="269"/>
      <c r="D581" s="269"/>
      <c r="E581" s="269"/>
      <c r="F581" s="269"/>
      <c r="G581" s="269"/>
      <c r="H581" s="269"/>
      <c r="I581" s="269"/>
      <c r="J581" s="269"/>
      <c r="K581" s="269"/>
      <c r="L581" s="269"/>
      <c r="M581" s="269"/>
      <c r="N581" s="269"/>
      <c r="O581" s="269"/>
      <c r="P581" s="269"/>
      <c r="Q581" s="269"/>
      <c r="R581" s="269"/>
      <c r="T581" s="269"/>
      <c r="U581" s="269"/>
      <c r="V581" s="269"/>
      <c r="W581" s="269"/>
      <c r="X581" s="269"/>
      <c r="Y581" s="269"/>
      <c r="Z581" s="269"/>
      <c r="AA581" s="269"/>
      <c r="AB581" s="269"/>
      <c r="AC581" s="269"/>
      <c r="AD581" s="269"/>
      <c r="AE581" s="269"/>
      <c r="AF581" s="269"/>
      <c r="AG581" s="269"/>
      <c r="AH581" s="269"/>
      <c r="AI581" s="269"/>
      <c r="AJ581" s="269"/>
      <c r="AK581" s="269"/>
      <c r="AL581" s="269"/>
    </row>
    <row r="582" spans="2:38" x14ac:dyDescent="0.3">
      <c r="B582" s="269"/>
      <c r="C582" s="269"/>
      <c r="D582" s="269"/>
      <c r="E582" s="269"/>
      <c r="F582" s="269"/>
      <c r="G582" s="269"/>
      <c r="H582" s="269"/>
      <c r="I582" s="269"/>
      <c r="J582" s="269"/>
      <c r="K582" s="269"/>
      <c r="L582" s="269"/>
      <c r="M582" s="269"/>
      <c r="N582" s="269"/>
      <c r="O582" s="269"/>
      <c r="P582" s="269"/>
      <c r="Q582" s="269"/>
      <c r="R582" s="269"/>
      <c r="T582" s="269"/>
      <c r="U582" s="269"/>
      <c r="V582" s="269"/>
      <c r="W582" s="269"/>
      <c r="X582" s="269"/>
      <c r="Y582" s="269"/>
      <c r="Z582" s="269"/>
      <c r="AA582" s="269"/>
      <c r="AB582" s="269"/>
      <c r="AC582" s="269"/>
      <c r="AD582" s="269"/>
      <c r="AE582" s="269"/>
      <c r="AF582" s="269"/>
      <c r="AG582" s="269"/>
      <c r="AH582" s="269"/>
      <c r="AI582" s="269"/>
      <c r="AJ582" s="269"/>
      <c r="AK582" s="269"/>
      <c r="AL582" s="269"/>
    </row>
    <row r="583" spans="2:38" x14ac:dyDescent="0.3">
      <c r="B583" s="269"/>
      <c r="C583" s="269"/>
      <c r="D583" s="269"/>
      <c r="E583" s="269"/>
      <c r="F583" s="269"/>
      <c r="G583" s="269"/>
      <c r="H583" s="269"/>
      <c r="I583" s="269"/>
      <c r="J583" s="269"/>
      <c r="K583" s="269"/>
      <c r="L583" s="269"/>
      <c r="M583" s="269"/>
      <c r="N583" s="269"/>
      <c r="O583" s="269"/>
      <c r="P583" s="269"/>
      <c r="Q583" s="269"/>
      <c r="R583" s="269"/>
      <c r="T583" s="269"/>
      <c r="U583" s="269"/>
      <c r="V583" s="269"/>
      <c r="W583" s="269"/>
      <c r="X583" s="269"/>
      <c r="Y583" s="269"/>
      <c r="Z583" s="269"/>
      <c r="AA583" s="269"/>
      <c r="AB583" s="269"/>
      <c r="AC583" s="269"/>
      <c r="AD583" s="269"/>
      <c r="AE583" s="269"/>
      <c r="AF583" s="269"/>
      <c r="AG583" s="269"/>
      <c r="AH583" s="269"/>
      <c r="AI583" s="269"/>
      <c r="AJ583" s="269"/>
      <c r="AK583" s="269"/>
      <c r="AL583" s="269"/>
    </row>
    <row r="584" spans="2:38" x14ac:dyDescent="0.3">
      <c r="B584" s="269"/>
      <c r="C584" s="269"/>
      <c r="D584" s="269"/>
      <c r="E584" s="269"/>
      <c r="F584" s="269"/>
      <c r="G584" s="269"/>
      <c r="H584" s="269"/>
      <c r="I584" s="269"/>
      <c r="J584" s="269"/>
      <c r="K584" s="269"/>
      <c r="L584" s="269"/>
      <c r="M584" s="269"/>
      <c r="N584" s="269"/>
      <c r="O584" s="269"/>
      <c r="P584" s="269"/>
      <c r="Q584" s="269"/>
      <c r="R584" s="269"/>
      <c r="T584" s="269"/>
      <c r="U584" s="269"/>
      <c r="V584" s="269"/>
      <c r="W584" s="269"/>
      <c r="X584" s="269"/>
      <c r="Y584" s="269"/>
      <c r="Z584" s="269"/>
      <c r="AA584" s="269"/>
      <c r="AB584" s="269"/>
      <c r="AC584" s="269"/>
      <c r="AD584" s="269"/>
      <c r="AE584" s="269"/>
      <c r="AF584" s="269"/>
      <c r="AG584" s="269"/>
      <c r="AH584" s="269"/>
      <c r="AI584" s="269"/>
      <c r="AJ584" s="269"/>
      <c r="AK584" s="269"/>
      <c r="AL584" s="269"/>
    </row>
    <row r="585" spans="2:38" x14ac:dyDescent="0.3">
      <c r="B585" s="269"/>
      <c r="C585" s="269"/>
      <c r="D585" s="269"/>
      <c r="E585" s="269"/>
      <c r="F585" s="269"/>
      <c r="G585" s="269"/>
      <c r="H585" s="269"/>
      <c r="I585" s="269"/>
      <c r="J585" s="269"/>
      <c r="K585" s="269"/>
      <c r="L585" s="269"/>
      <c r="M585" s="269"/>
      <c r="N585" s="269"/>
      <c r="O585" s="269"/>
      <c r="P585" s="269"/>
      <c r="Q585" s="269"/>
      <c r="R585" s="269"/>
      <c r="T585" s="269"/>
      <c r="U585" s="269"/>
      <c r="V585" s="269"/>
      <c r="W585" s="269"/>
      <c r="X585" s="269"/>
      <c r="Y585" s="269"/>
      <c r="Z585" s="269"/>
      <c r="AA585" s="269"/>
      <c r="AB585" s="269"/>
      <c r="AC585" s="269"/>
      <c r="AD585" s="269"/>
      <c r="AE585" s="269"/>
      <c r="AF585" s="269"/>
      <c r="AG585" s="269"/>
      <c r="AH585" s="269"/>
      <c r="AI585" s="269"/>
      <c r="AJ585" s="269"/>
      <c r="AK585" s="269"/>
      <c r="AL585" s="269"/>
    </row>
    <row r="586" spans="2:38" x14ac:dyDescent="0.3">
      <c r="B586" s="269"/>
      <c r="C586" s="269"/>
      <c r="D586" s="269"/>
      <c r="E586" s="269"/>
      <c r="F586" s="269"/>
      <c r="G586" s="269"/>
      <c r="H586" s="269"/>
      <c r="I586" s="269"/>
      <c r="J586" s="269"/>
      <c r="K586" s="269"/>
      <c r="L586" s="269"/>
      <c r="M586" s="269"/>
      <c r="N586" s="269"/>
      <c r="O586" s="269"/>
      <c r="P586" s="269"/>
      <c r="Q586" s="269"/>
      <c r="R586" s="269"/>
      <c r="T586" s="269"/>
      <c r="U586" s="269"/>
      <c r="V586" s="269"/>
      <c r="W586" s="269"/>
      <c r="X586" s="269"/>
      <c r="Y586" s="269"/>
      <c r="Z586" s="269"/>
      <c r="AA586" s="269"/>
      <c r="AB586" s="269"/>
      <c r="AC586" s="269"/>
      <c r="AD586" s="269"/>
      <c r="AE586" s="269"/>
      <c r="AF586" s="269"/>
      <c r="AG586" s="269"/>
      <c r="AH586" s="269"/>
      <c r="AI586" s="269"/>
      <c r="AJ586" s="269"/>
      <c r="AK586" s="269"/>
      <c r="AL586" s="269"/>
    </row>
    <row r="587" spans="2:38" x14ac:dyDescent="0.3">
      <c r="B587" s="269"/>
      <c r="C587" s="269"/>
      <c r="D587" s="269"/>
      <c r="E587" s="269"/>
      <c r="F587" s="269"/>
      <c r="G587" s="269"/>
      <c r="H587" s="269"/>
      <c r="I587" s="269"/>
      <c r="J587" s="269"/>
      <c r="K587" s="269"/>
      <c r="L587" s="269"/>
      <c r="M587" s="269"/>
      <c r="N587" s="269"/>
      <c r="O587" s="269"/>
      <c r="P587" s="269"/>
      <c r="Q587" s="269"/>
      <c r="R587" s="269"/>
      <c r="T587" s="269"/>
      <c r="U587" s="269"/>
      <c r="V587" s="269"/>
      <c r="W587" s="269"/>
      <c r="X587" s="269"/>
      <c r="Y587" s="269"/>
      <c r="Z587" s="269"/>
      <c r="AA587" s="269"/>
      <c r="AB587" s="269"/>
      <c r="AC587" s="269"/>
      <c r="AD587" s="269"/>
      <c r="AE587" s="269"/>
      <c r="AF587" s="269"/>
      <c r="AG587" s="269"/>
      <c r="AH587" s="269"/>
      <c r="AI587" s="269"/>
      <c r="AJ587" s="269"/>
      <c r="AK587" s="269"/>
      <c r="AL587" s="269"/>
    </row>
    <row r="588" spans="2:38" x14ac:dyDescent="0.3">
      <c r="B588" s="269"/>
      <c r="C588" s="269"/>
      <c r="D588" s="269"/>
      <c r="E588" s="269"/>
      <c r="F588" s="269"/>
      <c r="G588" s="269"/>
      <c r="H588" s="269"/>
      <c r="I588" s="269"/>
      <c r="J588" s="269"/>
      <c r="K588" s="269"/>
      <c r="L588" s="269"/>
      <c r="M588" s="269"/>
      <c r="N588" s="269"/>
      <c r="O588" s="269"/>
      <c r="P588" s="269"/>
      <c r="Q588" s="269"/>
      <c r="R588" s="269"/>
      <c r="T588" s="269"/>
      <c r="U588" s="269"/>
      <c r="V588" s="269"/>
      <c r="W588" s="269"/>
      <c r="X588" s="269"/>
      <c r="Y588" s="269"/>
      <c r="Z588" s="269"/>
      <c r="AA588" s="269"/>
      <c r="AB588" s="269"/>
      <c r="AC588" s="269"/>
      <c r="AD588" s="269"/>
      <c r="AE588" s="269"/>
      <c r="AF588" s="269"/>
      <c r="AG588" s="269"/>
      <c r="AH588" s="269"/>
      <c r="AI588" s="269"/>
      <c r="AJ588" s="269"/>
      <c r="AK588" s="269"/>
      <c r="AL588" s="269"/>
    </row>
    <row r="589" spans="2:38" x14ac:dyDescent="0.3">
      <c r="B589" s="269"/>
      <c r="C589" s="269"/>
      <c r="D589" s="269"/>
      <c r="E589" s="269"/>
      <c r="F589" s="269"/>
      <c r="G589" s="269"/>
      <c r="H589" s="269"/>
      <c r="I589" s="269"/>
      <c r="J589" s="269"/>
      <c r="K589" s="269"/>
      <c r="L589" s="269"/>
      <c r="M589" s="269"/>
      <c r="N589" s="269"/>
      <c r="O589" s="269"/>
      <c r="P589" s="269"/>
      <c r="Q589" s="269"/>
      <c r="R589" s="269"/>
      <c r="T589" s="269"/>
      <c r="U589" s="269"/>
      <c r="V589" s="269"/>
      <c r="W589" s="269"/>
      <c r="X589" s="269"/>
      <c r="Y589" s="269"/>
      <c r="Z589" s="269"/>
      <c r="AA589" s="269"/>
      <c r="AB589" s="269"/>
      <c r="AC589" s="269"/>
      <c r="AD589" s="269"/>
      <c r="AE589" s="269"/>
      <c r="AF589" s="269"/>
      <c r="AG589" s="269"/>
      <c r="AH589" s="269"/>
      <c r="AI589" s="269"/>
      <c r="AJ589" s="269"/>
      <c r="AK589" s="269"/>
      <c r="AL589" s="269"/>
    </row>
    <row r="590" spans="2:38" x14ac:dyDescent="0.3">
      <c r="B590" s="269"/>
      <c r="C590" s="269"/>
      <c r="D590" s="269"/>
      <c r="E590" s="269"/>
      <c r="F590" s="269"/>
      <c r="G590" s="269"/>
      <c r="H590" s="269"/>
      <c r="I590" s="269"/>
      <c r="J590" s="269"/>
      <c r="K590" s="269"/>
      <c r="L590" s="269"/>
      <c r="M590" s="269"/>
      <c r="N590" s="269"/>
      <c r="O590" s="269"/>
      <c r="P590" s="269"/>
      <c r="Q590" s="269"/>
      <c r="R590" s="269"/>
      <c r="T590" s="269"/>
      <c r="U590" s="269"/>
      <c r="V590" s="269"/>
      <c r="W590" s="269"/>
      <c r="X590" s="269"/>
      <c r="Y590" s="269"/>
      <c r="Z590" s="269"/>
      <c r="AA590" s="269"/>
      <c r="AB590" s="269"/>
      <c r="AC590" s="269"/>
      <c r="AD590" s="269"/>
      <c r="AE590" s="269"/>
      <c r="AF590" s="269"/>
      <c r="AG590" s="269"/>
      <c r="AH590" s="269"/>
      <c r="AI590" s="269"/>
      <c r="AJ590" s="269"/>
      <c r="AK590" s="269"/>
      <c r="AL590" s="269"/>
    </row>
    <row r="591" spans="2:38" x14ac:dyDescent="0.3">
      <c r="B591" s="269"/>
      <c r="C591" s="269"/>
      <c r="D591" s="269"/>
      <c r="E591" s="269"/>
      <c r="F591" s="269"/>
      <c r="G591" s="269"/>
      <c r="H591" s="269"/>
      <c r="I591" s="269"/>
      <c r="J591" s="269"/>
      <c r="K591" s="269"/>
      <c r="L591" s="269"/>
      <c r="M591" s="269"/>
      <c r="N591" s="269"/>
      <c r="O591" s="269"/>
      <c r="P591" s="269"/>
      <c r="Q591" s="269"/>
      <c r="R591" s="269"/>
      <c r="T591" s="269"/>
      <c r="U591" s="269"/>
      <c r="V591" s="269"/>
      <c r="W591" s="269"/>
      <c r="X591" s="269"/>
      <c r="Y591" s="269"/>
      <c r="Z591" s="269"/>
      <c r="AA591" s="269"/>
      <c r="AB591" s="269"/>
      <c r="AC591" s="269"/>
      <c r="AD591" s="269"/>
      <c r="AE591" s="269"/>
      <c r="AF591" s="269"/>
      <c r="AG591" s="269"/>
      <c r="AH591" s="269"/>
      <c r="AI591" s="269"/>
      <c r="AJ591" s="269"/>
      <c r="AK591" s="269"/>
      <c r="AL591" s="269"/>
    </row>
    <row r="592" spans="2:38" x14ac:dyDescent="0.3">
      <c r="B592" s="269"/>
      <c r="C592" s="269"/>
      <c r="D592" s="269"/>
      <c r="E592" s="269"/>
      <c r="F592" s="269"/>
      <c r="G592" s="269"/>
      <c r="H592" s="269"/>
      <c r="I592" s="269"/>
      <c r="J592" s="269"/>
      <c r="K592" s="269"/>
      <c r="L592" s="269"/>
      <c r="M592" s="269"/>
      <c r="N592" s="269"/>
      <c r="O592" s="269"/>
      <c r="P592" s="269"/>
      <c r="Q592" s="269"/>
      <c r="R592" s="269"/>
      <c r="T592" s="269"/>
      <c r="U592" s="269"/>
      <c r="V592" s="269"/>
      <c r="W592" s="269"/>
      <c r="X592" s="269"/>
      <c r="Y592" s="269"/>
      <c r="Z592" s="269"/>
      <c r="AA592" s="269"/>
      <c r="AB592" s="269"/>
      <c r="AC592" s="269"/>
      <c r="AD592" s="269"/>
      <c r="AE592" s="269"/>
      <c r="AF592" s="269"/>
      <c r="AG592" s="269"/>
      <c r="AH592" s="269"/>
      <c r="AI592" s="269"/>
      <c r="AJ592" s="269"/>
      <c r="AK592" s="269"/>
      <c r="AL592" s="269"/>
    </row>
    <row r="593" spans="2:38" x14ac:dyDescent="0.3">
      <c r="B593" s="269"/>
      <c r="C593" s="269"/>
      <c r="D593" s="269"/>
      <c r="E593" s="269"/>
      <c r="F593" s="269"/>
      <c r="G593" s="269"/>
      <c r="H593" s="269"/>
      <c r="I593" s="269"/>
      <c r="J593" s="269"/>
      <c r="K593" s="269"/>
      <c r="L593" s="269"/>
      <c r="M593" s="269"/>
      <c r="N593" s="269"/>
      <c r="O593" s="269"/>
      <c r="P593" s="269"/>
      <c r="Q593" s="269"/>
      <c r="R593" s="269"/>
      <c r="T593" s="269"/>
      <c r="U593" s="269"/>
      <c r="V593" s="269"/>
      <c r="W593" s="269"/>
      <c r="X593" s="269"/>
      <c r="Y593" s="269"/>
      <c r="Z593" s="269"/>
      <c r="AA593" s="269"/>
      <c r="AB593" s="269"/>
      <c r="AC593" s="269"/>
      <c r="AD593" s="269"/>
      <c r="AE593" s="269"/>
      <c r="AF593" s="269"/>
      <c r="AG593" s="269"/>
      <c r="AH593" s="269"/>
      <c r="AI593" s="269"/>
      <c r="AJ593" s="269"/>
      <c r="AK593" s="269"/>
      <c r="AL593" s="269"/>
    </row>
    <row r="594" spans="2:38" x14ac:dyDescent="0.3">
      <c r="B594" s="269"/>
      <c r="C594" s="269"/>
      <c r="D594" s="269"/>
      <c r="E594" s="269"/>
      <c r="F594" s="269"/>
      <c r="G594" s="269"/>
      <c r="H594" s="269"/>
      <c r="I594" s="269"/>
      <c r="J594" s="269"/>
      <c r="K594" s="269"/>
      <c r="L594" s="269"/>
      <c r="M594" s="269"/>
      <c r="N594" s="269"/>
      <c r="O594" s="269"/>
      <c r="P594" s="269"/>
      <c r="Q594" s="269"/>
      <c r="R594" s="269"/>
      <c r="T594" s="269"/>
      <c r="U594" s="269"/>
      <c r="V594" s="269"/>
      <c r="W594" s="269"/>
      <c r="X594" s="269"/>
      <c r="Y594" s="269"/>
      <c r="Z594" s="269"/>
      <c r="AA594" s="269"/>
      <c r="AB594" s="269"/>
      <c r="AC594" s="269"/>
      <c r="AD594" s="269"/>
      <c r="AE594" s="269"/>
      <c r="AF594" s="269"/>
      <c r="AG594" s="269"/>
      <c r="AH594" s="269"/>
      <c r="AI594" s="269"/>
      <c r="AJ594" s="269"/>
      <c r="AK594" s="269"/>
      <c r="AL594" s="269"/>
    </row>
    <row r="595" spans="2:38" x14ac:dyDescent="0.3">
      <c r="B595" s="269"/>
      <c r="C595" s="269"/>
      <c r="D595" s="269"/>
      <c r="E595" s="269"/>
      <c r="F595" s="269"/>
      <c r="G595" s="269"/>
      <c r="H595" s="269"/>
      <c r="I595" s="269"/>
      <c r="J595" s="269"/>
      <c r="K595" s="269"/>
      <c r="L595" s="269"/>
      <c r="M595" s="269"/>
      <c r="N595" s="269"/>
      <c r="O595" s="269"/>
      <c r="P595" s="269"/>
      <c r="Q595" s="269"/>
      <c r="R595" s="269"/>
      <c r="T595" s="269"/>
      <c r="U595" s="269"/>
      <c r="V595" s="269"/>
      <c r="W595" s="269"/>
      <c r="X595" s="269"/>
      <c r="Y595" s="269"/>
      <c r="Z595" s="269"/>
      <c r="AA595" s="269"/>
      <c r="AB595" s="269"/>
      <c r="AC595" s="269"/>
      <c r="AD595" s="269"/>
      <c r="AE595" s="269"/>
      <c r="AF595" s="269"/>
      <c r="AG595" s="269"/>
      <c r="AH595" s="269"/>
      <c r="AI595" s="269"/>
      <c r="AJ595" s="269"/>
      <c r="AK595" s="269"/>
      <c r="AL595" s="269"/>
    </row>
    <row r="596" spans="2:38" x14ac:dyDescent="0.3">
      <c r="B596" s="269"/>
      <c r="C596" s="269"/>
      <c r="D596" s="269"/>
      <c r="E596" s="269"/>
      <c r="F596" s="269"/>
      <c r="G596" s="269"/>
      <c r="H596" s="269"/>
      <c r="I596" s="269"/>
      <c r="J596" s="269"/>
      <c r="K596" s="269"/>
      <c r="L596" s="269"/>
      <c r="M596" s="269"/>
      <c r="N596" s="269"/>
      <c r="O596" s="269"/>
      <c r="P596" s="269"/>
      <c r="Q596" s="269"/>
      <c r="R596" s="269"/>
      <c r="T596" s="269"/>
      <c r="U596" s="269"/>
      <c r="V596" s="269"/>
      <c r="W596" s="269"/>
      <c r="X596" s="269"/>
      <c r="Y596" s="269"/>
      <c r="Z596" s="269"/>
      <c r="AA596" s="269"/>
      <c r="AB596" s="269"/>
      <c r="AC596" s="269"/>
      <c r="AD596" s="269"/>
      <c r="AE596" s="269"/>
      <c r="AF596" s="269"/>
      <c r="AG596" s="269"/>
      <c r="AH596" s="269"/>
      <c r="AI596" s="269"/>
      <c r="AJ596" s="269"/>
      <c r="AK596" s="269"/>
      <c r="AL596" s="269"/>
    </row>
    <row r="597" spans="2:38" x14ac:dyDescent="0.3">
      <c r="B597" s="269"/>
      <c r="C597" s="269"/>
      <c r="D597" s="269"/>
      <c r="E597" s="269"/>
      <c r="F597" s="269"/>
      <c r="G597" s="269"/>
      <c r="H597" s="269"/>
      <c r="I597" s="269"/>
      <c r="J597" s="269"/>
      <c r="K597" s="269"/>
      <c r="L597" s="269"/>
      <c r="M597" s="269"/>
      <c r="N597" s="269"/>
      <c r="O597" s="269"/>
      <c r="P597" s="269"/>
      <c r="Q597" s="269"/>
      <c r="R597" s="269"/>
      <c r="T597" s="269"/>
      <c r="U597" s="269"/>
      <c r="V597" s="269"/>
      <c r="W597" s="269"/>
      <c r="X597" s="269"/>
      <c r="Y597" s="269"/>
      <c r="Z597" s="269"/>
      <c r="AA597" s="269"/>
      <c r="AB597" s="269"/>
      <c r="AC597" s="269"/>
      <c r="AD597" s="269"/>
      <c r="AE597" s="269"/>
      <c r="AF597" s="269"/>
      <c r="AG597" s="269"/>
      <c r="AH597" s="269"/>
      <c r="AI597" s="269"/>
      <c r="AJ597" s="269"/>
      <c r="AK597" s="269"/>
      <c r="AL597" s="269"/>
    </row>
    <row r="598" spans="2:38" x14ac:dyDescent="0.3">
      <c r="B598" s="269"/>
      <c r="C598" s="269"/>
      <c r="D598" s="269"/>
      <c r="E598" s="269"/>
      <c r="F598" s="269"/>
      <c r="G598" s="269"/>
      <c r="H598" s="269"/>
      <c r="I598" s="269"/>
      <c r="J598" s="269"/>
      <c r="K598" s="269"/>
      <c r="L598" s="269"/>
      <c r="M598" s="269"/>
      <c r="N598" s="269"/>
      <c r="O598" s="269"/>
      <c r="P598" s="269"/>
      <c r="Q598" s="269"/>
      <c r="R598" s="269"/>
      <c r="T598" s="269"/>
      <c r="U598" s="269"/>
      <c r="V598" s="269"/>
      <c r="W598" s="269"/>
      <c r="X598" s="269"/>
      <c r="Y598" s="269"/>
      <c r="Z598" s="269"/>
      <c r="AA598" s="269"/>
      <c r="AB598" s="269"/>
      <c r="AC598" s="269"/>
      <c r="AD598" s="269"/>
      <c r="AE598" s="269"/>
      <c r="AF598" s="269"/>
      <c r="AG598" s="269"/>
      <c r="AH598" s="269"/>
      <c r="AI598" s="269"/>
      <c r="AJ598" s="269"/>
      <c r="AK598" s="269"/>
      <c r="AL598" s="269"/>
    </row>
    <row r="599" spans="2:38" x14ac:dyDescent="0.3">
      <c r="B599" s="269"/>
      <c r="C599" s="269"/>
      <c r="D599" s="269"/>
      <c r="E599" s="269"/>
      <c r="F599" s="269"/>
      <c r="G599" s="269"/>
      <c r="L599" s="269"/>
      <c r="M599" s="269"/>
      <c r="N599" s="269"/>
      <c r="O599" s="269"/>
      <c r="P599" s="269"/>
      <c r="Q599" s="269"/>
      <c r="R599" s="269"/>
      <c r="T599" s="269"/>
      <c r="U599" s="269"/>
      <c r="V599" s="269"/>
      <c r="W599" s="269"/>
      <c r="X599" s="269"/>
      <c r="Y599" s="269"/>
      <c r="Z599" s="269"/>
      <c r="AA599" s="269"/>
      <c r="AB599" s="269"/>
      <c r="AC599" s="269"/>
      <c r="AD599" s="269"/>
      <c r="AE599" s="269"/>
      <c r="AF599" s="269"/>
      <c r="AG599" s="269"/>
      <c r="AH599" s="269"/>
      <c r="AI599" s="269"/>
      <c r="AJ599" s="269"/>
      <c r="AK599" s="269"/>
      <c r="AL599" s="269"/>
    </row>
    <row r="600" spans="2:38" x14ac:dyDescent="0.3">
      <c r="B600" s="269"/>
      <c r="C600" s="269"/>
      <c r="D600" s="269"/>
      <c r="E600" s="269"/>
      <c r="F600" s="269"/>
      <c r="G600" s="269"/>
      <c r="L600" s="269"/>
      <c r="M600" s="269"/>
      <c r="N600" s="269"/>
      <c r="O600" s="269"/>
      <c r="P600" s="269"/>
      <c r="Q600" s="269"/>
      <c r="R600" s="269"/>
      <c r="T600" s="269"/>
      <c r="U600" s="269"/>
      <c r="V600" s="269"/>
      <c r="W600" s="269"/>
      <c r="X600" s="269"/>
      <c r="Y600" s="269"/>
      <c r="Z600" s="269"/>
      <c r="AA600" s="269"/>
      <c r="AB600" s="269"/>
      <c r="AC600" s="269"/>
      <c r="AD600" s="269"/>
      <c r="AE600" s="269"/>
      <c r="AF600" s="269"/>
      <c r="AG600" s="269"/>
      <c r="AH600" s="269"/>
      <c r="AI600" s="269"/>
      <c r="AJ600" s="269"/>
      <c r="AK600" s="269"/>
      <c r="AL600" s="269"/>
    </row>
  </sheetData>
  <sheetProtection sheet="1" objects="1" scenarios="1" selectLockedCells="1"/>
  <sortState xmlns:xlrd2="http://schemas.microsoft.com/office/spreadsheetml/2017/richdata2" ref="O51:P60">
    <sortCondition ref="O51:O60"/>
  </sortState>
  <mergeCells count="5">
    <mergeCell ref="AJ2:AK2"/>
    <mergeCell ref="L39:M39"/>
    <mergeCell ref="U25:X25"/>
    <mergeCell ref="U26:X26"/>
    <mergeCell ref="L38:M38"/>
  </mergeCells>
  <hyperlinks>
    <hyperlink ref="A12" location="lookup_activity" display="Activity Codes" xr:uid="{5BC25AED-14E8-4282-BC08-7D6F840A75ED}"/>
    <hyperlink ref="A14" location="lookup_currency" display="Currencies" xr:uid="{8BE573DD-0216-47CE-B92A-0EA6786CF660}"/>
    <hyperlink ref="A26" location="lookup_revenue_categories" display="Revenue Categories" xr:uid="{AC812FE1-322E-4BD3-9C83-8B6D1B81714C}"/>
    <hyperlink ref="A16" location="lookup_Dept_List" display="Department and Faculties" xr:uid="{2AA4D982-F67D-4010-A99C-61992B178D3C}"/>
    <hyperlink ref="A18" location="lookup_eba_increase" display="EBA Increase" xr:uid="{D5E8967A-2FAA-4B19-9AB4-51064FDCA95E}"/>
    <hyperlink ref="A20" location="lookup_cost_recovery_multiplier" display="Cost Recovery Multipliers" xr:uid="{3D29F87A-4078-4216-814B-DB4455C3270A}"/>
    <hyperlink ref="A22" location="lookup_oncost_percentages" display="On-Costs Percentages" xr:uid="{2675E5C0-22C1-46A4-BB73-2E2AFC62B6C4}"/>
    <hyperlink ref="A24" location="lookup_PG_stipend" display="Post-Graduate Student Stipends" xr:uid="{9C4CBC81-749B-4826-A844-D8CEEEEF92A4}"/>
    <hyperlink ref="A28" location="lookup_salary_multipliers" display="Salary Rate Multipliers" xr:uid="{E3FDBDBD-E79C-4FA0-BB6B-55A36D4D79CB}"/>
    <hyperlink ref="A30" location="lookup_salary_rates" display="Salary Rates" xr:uid="{EFCD7AD3-1822-4DE3-B11F-8BA7F2942CC9}"/>
    <hyperlink ref="A32" location="lookup_superannualtion" display="Superannuation rates" xr:uid="{6C5AC75F-348E-428F-AC66-C8A174B9030E}"/>
    <hyperlink ref="A34" location="lookup_locations" display="Locations/ Regions" xr:uid="{35359D2A-1376-464E-8B6F-46B6EC465B39}"/>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tn_reset_new">
                <anchor>
                  <from>
                    <xdr:col>8</xdr:col>
                    <xdr:colOff>457200</xdr:colOff>
                    <xdr:row>0</xdr:row>
                    <xdr:rowOff>205740</xdr:rowOff>
                  </from>
                  <to>
                    <xdr:col>11</xdr:col>
                    <xdr:colOff>487680</xdr:colOff>
                    <xdr:row>0</xdr:row>
                    <xdr:rowOff>632460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0" tint="-0.14999847407452621"/>
  </sheetPr>
  <dimension ref="A1:AP207"/>
  <sheetViews>
    <sheetView showGridLines="0" zoomScale="85" zoomScaleNormal="85" workbookViewId="0">
      <pane xSplit="1" topLeftCell="B1" activePane="topRight" state="frozen"/>
      <selection pane="topRight" activeCell="K42" sqref="K42"/>
    </sheetView>
  </sheetViews>
  <sheetFormatPr defaultColWidth="8.5546875" defaultRowHeight="14.4" x14ac:dyDescent="0.3"/>
  <cols>
    <col min="1" max="1" width="30.109375" style="11" customWidth="1"/>
    <col min="2" max="2" width="34.109375" style="11" customWidth="1"/>
    <col min="3" max="3" width="12.5546875" style="11" customWidth="1"/>
    <col min="4" max="4" width="15.5546875" style="11" customWidth="1"/>
    <col min="5" max="5" width="14" style="11" customWidth="1"/>
    <col min="6" max="6" width="16.5546875" style="11" customWidth="1"/>
    <col min="7" max="7" width="3.33203125" style="11" customWidth="1"/>
    <col min="8" max="8" width="26.5546875" style="11" customWidth="1"/>
    <col min="9" max="9" width="15.88671875" style="11" customWidth="1"/>
    <col min="10" max="10" width="23.21875" style="11" customWidth="1"/>
    <col min="11" max="11" width="8.33203125" style="11" customWidth="1"/>
    <col min="12" max="12" width="13.5546875" style="11" customWidth="1"/>
    <col min="13" max="13" width="12.44140625" style="11" customWidth="1"/>
    <col min="14" max="14" width="13.44140625" style="11" customWidth="1"/>
    <col min="15" max="15" width="20" style="11" customWidth="1"/>
    <col min="16" max="16" width="15.44140625" style="11" customWidth="1"/>
    <col min="17" max="17" width="22.44140625" style="11" customWidth="1"/>
    <col min="18" max="18" width="17.44140625" style="11" customWidth="1"/>
    <col min="19" max="19" width="19.88671875" style="11" customWidth="1"/>
    <col min="20" max="20" width="25" style="11" customWidth="1"/>
    <col min="21" max="21" width="20.5546875" style="11" customWidth="1"/>
    <col min="22" max="22" width="16.44140625" style="11" customWidth="1"/>
    <col min="23" max="23" width="21.5546875" style="11" customWidth="1"/>
    <col min="24" max="24" width="14.5546875" style="11" customWidth="1"/>
    <col min="25" max="25" width="13.5546875" style="11" customWidth="1"/>
    <col min="26" max="26" width="8.5546875" style="11"/>
    <col min="27" max="27" width="9.5546875" style="11" bestFit="1" customWidth="1"/>
    <col min="28" max="28" width="8.5546875" style="11"/>
    <col min="29" max="29" width="35.21875" style="11" customWidth="1"/>
    <col min="30" max="30" width="14.109375" style="11" customWidth="1"/>
    <col min="31" max="31" width="14.5546875" style="11" customWidth="1"/>
    <col min="32" max="32" width="22.77734375" style="11" customWidth="1"/>
    <col min="33" max="33" width="41.44140625" style="11" customWidth="1"/>
    <col min="34" max="34" width="14.44140625" style="11" customWidth="1"/>
    <col min="35" max="35" width="8.5546875" style="11"/>
    <col min="36" max="36" width="14.44140625" style="11" customWidth="1"/>
    <col min="37" max="37" width="23.44140625" style="11" customWidth="1"/>
    <col min="38" max="38" width="8.5546875" style="11"/>
    <col min="39" max="39" width="17.6640625" style="11" customWidth="1"/>
    <col min="40" max="40" width="19.44140625" style="11" customWidth="1"/>
    <col min="41" max="41" width="42.33203125" style="11" customWidth="1"/>
    <col min="42" max="42" width="30.5546875" style="11" customWidth="1"/>
    <col min="43" max="44" width="8.5546875" style="11"/>
    <col min="45" max="45" width="19.109375" style="11" customWidth="1"/>
    <col min="46" max="16384" width="8.5546875" style="11"/>
  </cols>
  <sheetData>
    <row r="1" spans="1:42" s="1069" customFormat="1" ht="90.6" customHeight="1" x14ac:dyDescent="0.3">
      <c r="B1" s="1070" t="str">
        <f>tool_name_and_version</f>
        <v>Research Costing and Pricing tool v4.3.1</v>
      </c>
      <c r="E1" s="1071"/>
    </row>
    <row r="2" spans="1:42" ht="15.6" x14ac:dyDescent="0.3">
      <c r="B2" s="232" t="s">
        <v>554</v>
      </c>
      <c r="F2" s="233">
        <v>45778</v>
      </c>
      <c r="G2" s="11" t="s">
        <v>555</v>
      </c>
      <c r="H2" s="232" t="s">
        <v>556</v>
      </c>
      <c r="L2" s="232" t="s">
        <v>557</v>
      </c>
      <c r="O2" s="232" t="s">
        <v>558</v>
      </c>
      <c r="R2" s="232" t="s">
        <v>559</v>
      </c>
      <c r="S2" s="232"/>
      <c r="U2" s="232"/>
      <c r="V2" s="232"/>
      <c r="W2" s="249"/>
      <c r="Z2" s="11" t="s">
        <v>555</v>
      </c>
      <c r="AA2" s="11" t="s">
        <v>555</v>
      </c>
      <c r="AB2" s="11" t="s">
        <v>555</v>
      </c>
      <c r="AC2" s="232" t="s">
        <v>1415</v>
      </c>
      <c r="AD2" s="232"/>
      <c r="AE2" s="232"/>
      <c r="AF2" s="232"/>
      <c r="AG2" s="232"/>
      <c r="AH2" s="11" t="s">
        <v>555</v>
      </c>
      <c r="AI2" s="11" t="s">
        <v>555</v>
      </c>
      <c r="AJ2" s="1524" t="s">
        <v>560</v>
      </c>
      <c r="AK2" s="1524"/>
      <c r="AL2" s="11" t="s">
        <v>555</v>
      </c>
      <c r="AM2" s="11" t="s">
        <v>555</v>
      </c>
      <c r="AN2" s="1066" t="s">
        <v>561</v>
      </c>
      <c r="AO2" s="11" t="s">
        <v>555</v>
      </c>
    </row>
    <row r="3" spans="1:42" ht="25.5" customHeight="1" x14ac:dyDescent="0.3">
      <c r="B3" s="234" t="s">
        <v>562</v>
      </c>
      <c r="C3" s="234" t="s">
        <v>563</v>
      </c>
      <c r="D3" s="234" t="s">
        <v>48</v>
      </c>
      <c r="E3" s="234" t="s">
        <v>49</v>
      </c>
      <c r="F3" s="234" t="s">
        <v>564</v>
      </c>
      <c r="G3" s="11" t="s">
        <v>555</v>
      </c>
      <c r="H3" s="235" t="s">
        <v>565</v>
      </c>
      <c r="I3" s="235" t="s">
        <v>556</v>
      </c>
      <c r="J3" s="235" t="s">
        <v>40</v>
      </c>
      <c r="K3" s="11" t="s">
        <v>555</v>
      </c>
      <c r="L3" s="235" t="s">
        <v>50</v>
      </c>
      <c r="M3" s="235" t="s">
        <v>566</v>
      </c>
      <c r="O3" s="235" t="s">
        <v>58</v>
      </c>
      <c r="P3" s="235" t="s">
        <v>567</v>
      </c>
      <c r="R3" s="235" t="s">
        <v>299</v>
      </c>
      <c r="S3" s="378"/>
      <c r="T3" s="11" t="s">
        <v>555</v>
      </c>
      <c r="U3" s="232"/>
      <c r="V3" s="232"/>
      <c r="W3" s="249"/>
      <c r="Z3" s="11" t="s">
        <v>555</v>
      </c>
      <c r="AA3" s="11" t="s">
        <v>555</v>
      </c>
      <c r="AB3" s="11" t="s">
        <v>555</v>
      </c>
      <c r="AC3" s="495" t="s">
        <v>270</v>
      </c>
      <c r="AD3" s="495" t="s">
        <v>570</v>
      </c>
      <c r="AE3" s="495" t="s">
        <v>269</v>
      </c>
      <c r="AF3" s="495" t="s">
        <v>571</v>
      </c>
      <c r="AG3" s="495" t="s">
        <v>572</v>
      </c>
      <c r="AH3" s="495" t="s">
        <v>12</v>
      </c>
      <c r="AI3" s="11" t="s">
        <v>555</v>
      </c>
      <c r="AJ3" s="365" t="s">
        <v>573</v>
      </c>
      <c r="AK3" s="366" t="s">
        <v>574</v>
      </c>
      <c r="AL3" s="11" t="s">
        <v>555</v>
      </c>
      <c r="AN3" s="495" t="s">
        <v>389</v>
      </c>
      <c r="AO3" s="495" t="s">
        <v>298</v>
      </c>
      <c r="AP3" s="495" t="s">
        <v>575</v>
      </c>
    </row>
    <row r="4" spans="1:42" ht="15.6" x14ac:dyDescent="0.3">
      <c r="B4" s="238" t="str">
        <f t="shared" ref="B4:B32" si="0">CONCATENATE(C4,D4,E4)</f>
        <v>FortnightAcademicRA Grade 1.1</v>
      </c>
      <c r="C4" s="238" t="s">
        <v>576</v>
      </c>
      <c r="D4" s="238" t="s">
        <v>577</v>
      </c>
      <c r="E4" s="238" t="s">
        <v>578</v>
      </c>
      <c r="F4" s="212">
        <v>78115</v>
      </c>
      <c r="G4" s="11" t="s">
        <v>555</v>
      </c>
      <c r="H4" s="237">
        <v>2025</v>
      </c>
      <c r="I4" s="240"/>
      <c r="J4" s="241">
        <v>1</v>
      </c>
      <c r="K4" s="11" t="s">
        <v>555</v>
      </c>
      <c r="L4" s="236" t="s">
        <v>579</v>
      </c>
      <c r="M4" s="270">
        <v>1</v>
      </c>
      <c r="O4" s="238" t="s">
        <v>30</v>
      </c>
      <c r="P4" s="237" t="s">
        <v>580</v>
      </c>
      <c r="R4" s="238"/>
      <c r="S4" s="249"/>
      <c r="T4" s="11" t="s">
        <v>555</v>
      </c>
      <c r="U4" s="232"/>
      <c r="V4" s="232"/>
      <c r="W4" s="249"/>
      <c r="Z4" s="11" t="s">
        <v>555</v>
      </c>
      <c r="AA4" s="11" t="s">
        <v>555</v>
      </c>
      <c r="AB4" s="11" t="s">
        <v>555</v>
      </c>
      <c r="AC4" s="496" t="s">
        <v>1167</v>
      </c>
      <c r="AD4" s="496" t="s">
        <v>582</v>
      </c>
      <c r="AE4" s="496" t="s">
        <v>583</v>
      </c>
      <c r="AF4" s="496" t="s">
        <v>584</v>
      </c>
      <c r="AG4" s="496" t="s">
        <v>585</v>
      </c>
      <c r="AH4" s="496" t="s">
        <v>586</v>
      </c>
      <c r="AI4" s="11" t="s">
        <v>555</v>
      </c>
      <c r="AJ4" s="367" t="str">
        <f>AD4</f>
        <v>CCH_H1_5_01</v>
      </c>
      <c r="AK4" s="11" t="s">
        <v>555</v>
      </c>
      <c r="AL4" s="11" t="s">
        <v>555</v>
      </c>
      <c r="AN4" s="496" t="s">
        <v>587</v>
      </c>
      <c r="AO4" s="496" t="s">
        <v>587</v>
      </c>
      <c r="AP4" s="496">
        <v>4003</v>
      </c>
    </row>
    <row r="5" spans="1:42" ht="15.6" x14ac:dyDescent="0.3">
      <c r="B5" s="238" t="str">
        <f t="shared" si="0"/>
        <v>FortnightAcademicRA Grade 1.2</v>
      </c>
      <c r="C5" s="238" t="s">
        <v>576</v>
      </c>
      <c r="D5" s="238" t="s">
        <v>577</v>
      </c>
      <c r="E5" s="238" t="s">
        <v>588</v>
      </c>
      <c r="F5" s="212">
        <v>80661</v>
      </c>
      <c r="G5" s="11" t="s">
        <v>555</v>
      </c>
      <c r="H5" s="237">
        <f t="shared" ref="H5:H22" si="1">H4+1</f>
        <v>2026</v>
      </c>
      <c r="I5" s="240">
        <v>0.03</v>
      </c>
      <c r="J5" s="241">
        <f t="shared" ref="J5:J21" si="2">J4*(1+I5)</f>
        <v>1.03</v>
      </c>
      <c r="K5" s="11" t="s">
        <v>555</v>
      </c>
      <c r="L5" s="238" t="s">
        <v>589</v>
      </c>
      <c r="M5" s="242">
        <f>1/220</f>
        <v>4.5454545454545452E-3</v>
      </c>
      <c r="O5" s="238" t="s">
        <v>590</v>
      </c>
      <c r="P5" s="237" t="s">
        <v>591</v>
      </c>
      <c r="R5" s="238" t="s">
        <v>592</v>
      </c>
      <c r="S5" s="249"/>
      <c r="T5" s="11" t="s">
        <v>555</v>
      </c>
      <c r="U5" s="232"/>
      <c r="V5" s="232"/>
      <c r="W5" s="249"/>
      <c r="Z5" s="11" t="s">
        <v>555</v>
      </c>
      <c r="AA5" s="11" t="s">
        <v>555</v>
      </c>
      <c r="AB5" s="11" t="s">
        <v>555</v>
      </c>
      <c r="AC5" s="496" t="s">
        <v>1174</v>
      </c>
      <c r="AD5" s="496" t="s">
        <v>602</v>
      </c>
      <c r="AE5" s="496" t="s">
        <v>583</v>
      </c>
      <c r="AF5" s="496" t="s">
        <v>584</v>
      </c>
      <c r="AG5" s="496" t="s">
        <v>585</v>
      </c>
      <c r="AH5" s="496" t="s">
        <v>586</v>
      </c>
      <c r="AI5" s="11" t="s">
        <v>555</v>
      </c>
      <c r="AJ5" s="367" t="str">
        <f t="shared" ref="AJ5:AJ68" si="3">AD5</f>
        <v>CCH_H1_5_02</v>
      </c>
      <c r="AK5" s="11" t="s">
        <v>555</v>
      </c>
      <c r="AL5" s="11" t="s">
        <v>555</v>
      </c>
      <c r="AN5" s="496" t="s">
        <v>597</v>
      </c>
      <c r="AO5" s="496" t="s">
        <v>597</v>
      </c>
      <c r="AP5" s="496">
        <v>4004</v>
      </c>
    </row>
    <row r="6" spans="1:42" ht="15.6" x14ac:dyDescent="0.3">
      <c r="B6" s="238" t="str">
        <f t="shared" si="0"/>
        <v>FortnightAcademicRA Grade 1.3</v>
      </c>
      <c r="C6" s="238" t="s">
        <v>576</v>
      </c>
      <c r="D6" s="238" t="s">
        <v>577</v>
      </c>
      <c r="E6" s="238" t="s">
        <v>598</v>
      </c>
      <c r="F6" s="212">
        <v>85555</v>
      </c>
      <c r="G6" s="11" t="s">
        <v>555</v>
      </c>
      <c r="H6" s="237">
        <f t="shared" si="1"/>
        <v>2027</v>
      </c>
      <c r="I6" s="240">
        <v>0.03</v>
      </c>
      <c r="J6" s="241">
        <f t="shared" si="2"/>
        <v>1.0609</v>
      </c>
      <c r="K6" s="11" t="s">
        <v>555</v>
      </c>
      <c r="L6" s="244" t="s">
        <v>599</v>
      </c>
      <c r="M6" s="245">
        <v>1</v>
      </c>
      <c r="O6" s="238"/>
      <c r="P6" s="237"/>
      <c r="R6" s="238" t="s">
        <v>600</v>
      </c>
      <c r="S6" s="249"/>
      <c r="T6" s="11" t="s">
        <v>555</v>
      </c>
      <c r="U6" s="232"/>
      <c r="V6" s="232"/>
      <c r="W6" s="249"/>
      <c r="Z6" s="11" t="s">
        <v>555</v>
      </c>
      <c r="AB6" s="11" t="s">
        <v>555</v>
      </c>
      <c r="AC6" s="496" t="s">
        <v>1169</v>
      </c>
      <c r="AD6" s="496" t="s">
        <v>606</v>
      </c>
      <c r="AE6" s="496" t="s">
        <v>605</v>
      </c>
      <c r="AF6" s="496" t="s">
        <v>607</v>
      </c>
      <c r="AG6" s="496" t="s">
        <v>585</v>
      </c>
      <c r="AH6" s="496" t="s">
        <v>586</v>
      </c>
      <c r="AI6" s="11" t="s">
        <v>555</v>
      </c>
      <c r="AJ6" s="367" t="str">
        <f t="shared" si="3"/>
        <v>CCH_H1_5_03</v>
      </c>
      <c r="AK6" s="11" t="s">
        <v>555</v>
      </c>
      <c r="AL6" s="11" t="s">
        <v>555</v>
      </c>
      <c r="AN6" s="496" t="s">
        <v>9</v>
      </c>
      <c r="AO6" s="496" t="s">
        <v>391</v>
      </c>
      <c r="AP6" s="496">
        <v>4020</v>
      </c>
    </row>
    <row r="7" spans="1:42" ht="15.6" x14ac:dyDescent="0.3">
      <c r="B7" s="238" t="str">
        <f t="shared" si="0"/>
        <v>FortnightAcademicLevel A.1</v>
      </c>
      <c r="C7" s="238" t="s">
        <v>576</v>
      </c>
      <c r="D7" s="238" t="s">
        <v>577</v>
      </c>
      <c r="E7" s="238" t="s">
        <v>603</v>
      </c>
      <c r="F7" s="212">
        <v>85555</v>
      </c>
      <c r="G7" s="11" t="s">
        <v>555</v>
      </c>
      <c r="H7" s="237">
        <f t="shared" si="1"/>
        <v>2028</v>
      </c>
      <c r="I7" s="240">
        <v>0.03</v>
      </c>
      <c r="J7" s="241">
        <f t="shared" si="2"/>
        <v>1.092727</v>
      </c>
      <c r="K7" s="11" t="s">
        <v>555</v>
      </c>
      <c r="O7" s="244"/>
      <c r="P7" s="247"/>
      <c r="R7" s="244" t="s">
        <v>604</v>
      </c>
      <c r="S7" s="249"/>
      <c r="T7" s="11" t="s">
        <v>555</v>
      </c>
      <c r="U7" s="232"/>
      <c r="V7" s="232"/>
      <c r="W7" s="249"/>
      <c r="Z7" s="11" t="s">
        <v>555</v>
      </c>
      <c r="AA7" s="248"/>
      <c r="AB7" s="11" t="s">
        <v>555</v>
      </c>
      <c r="AC7" s="496" t="s">
        <v>1176</v>
      </c>
      <c r="AD7" s="496" t="s">
        <v>634</v>
      </c>
      <c r="AE7" s="496" t="s">
        <v>635</v>
      </c>
      <c r="AF7" s="496" t="s">
        <v>636</v>
      </c>
      <c r="AG7" s="496" t="s">
        <v>585</v>
      </c>
      <c r="AH7" s="496" t="s">
        <v>586</v>
      </c>
      <c r="AI7" s="11" t="s">
        <v>555</v>
      </c>
      <c r="AJ7" s="367" t="str">
        <f t="shared" si="3"/>
        <v>CCH_H1_5_04</v>
      </c>
      <c r="AK7" s="11" t="s">
        <v>555</v>
      </c>
      <c r="AL7" s="11" t="s">
        <v>555</v>
      </c>
      <c r="AN7" s="496" t="s">
        <v>9</v>
      </c>
      <c r="AO7" s="496" t="s">
        <v>608</v>
      </c>
      <c r="AP7" s="496">
        <v>4040</v>
      </c>
    </row>
    <row r="8" spans="1:42" ht="15.6" x14ac:dyDescent="0.3">
      <c r="B8" s="238" t="str">
        <f t="shared" si="0"/>
        <v>FortnightAcademicLevel A.2</v>
      </c>
      <c r="C8" s="238" t="s">
        <v>576</v>
      </c>
      <c r="D8" s="238" t="s">
        <v>577</v>
      </c>
      <c r="E8" s="238" t="s">
        <v>609</v>
      </c>
      <c r="F8" s="212">
        <v>90434</v>
      </c>
      <c r="G8" s="11" t="s">
        <v>555</v>
      </c>
      <c r="H8" s="237">
        <f t="shared" si="1"/>
        <v>2029</v>
      </c>
      <c r="I8" s="240">
        <v>0.03</v>
      </c>
      <c r="J8" s="241">
        <f t="shared" si="2"/>
        <v>1.1255088100000001</v>
      </c>
      <c r="K8" s="11" t="s">
        <v>555</v>
      </c>
      <c r="L8" s="232" t="s">
        <v>610</v>
      </c>
      <c r="R8" s="249"/>
      <c r="S8" s="249"/>
      <c r="T8" s="11" t="s">
        <v>555</v>
      </c>
      <c r="U8" s="232"/>
      <c r="V8" s="232"/>
      <c r="W8" s="249"/>
      <c r="Z8" s="11" t="s">
        <v>555</v>
      </c>
      <c r="AA8" s="11" t="s">
        <v>555</v>
      </c>
      <c r="AB8" s="11" t="s">
        <v>555</v>
      </c>
      <c r="AC8" s="496" t="s">
        <v>1168</v>
      </c>
      <c r="AD8" s="496" t="s">
        <v>594</v>
      </c>
      <c r="AE8" s="496" t="s">
        <v>595</v>
      </c>
      <c r="AF8" s="496" t="s">
        <v>596</v>
      </c>
      <c r="AG8" s="496" t="s">
        <v>585</v>
      </c>
      <c r="AH8" s="496" t="s">
        <v>586</v>
      </c>
      <c r="AI8" s="11" t="s">
        <v>555</v>
      </c>
      <c r="AJ8" s="367" t="str">
        <f t="shared" si="3"/>
        <v>CCH_H1_5_05</v>
      </c>
      <c r="AK8" s="11" t="s">
        <v>555</v>
      </c>
      <c r="AL8" s="11" t="s">
        <v>555</v>
      </c>
      <c r="AN8" s="496" t="s">
        <v>9</v>
      </c>
      <c r="AO8" s="496" t="s">
        <v>614</v>
      </c>
      <c r="AP8" s="496">
        <v>4041</v>
      </c>
    </row>
    <row r="9" spans="1:42" ht="15.6" x14ac:dyDescent="0.3">
      <c r="B9" s="238" t="str">
        <f t="shared" si="0"/>
        <v>FortnightAcademicLevel A.3</v>
      </c>
      <c r="C9" s="238" t="s">
        <v>576</v>
      </c>
      <c r="D9" s="238" t="s">
        <v>577</v>
      </c>
      <c r="E9" s="238" t="s">
        <v>615</v>
      </c>
      <c r="F9" s="212">
        <v>95327</v>
      </c>
      <c r="G9" s="11" t="s">
        <v>555</v>
      </c>
      <c r="H9" s="237">
        <f t="shared" si="1"/>
        <v>2030</v>
      </c>
      <c r="I9" s="240">
        <v>0.03</v>
      </c>
      <c r="J9" s="241">
        <f t="shared" si="2"/>
        <v>1.1592740743000001</v>
      </c>
      <c r="K9" s="11" t="s">
        <v>555</v>
      </c>
      <c r="L9" s="235" t="s">
        <v>49</v>
      </c>
      <c r="M9" s="235" t="s">
        <v>616</v>
      </c>
      <c r="O9" s="232" t="s">
        <v>617</v>
      </c>
      <c r="R9" s="232" t="s">
        <v>618</v>
      </c>
      <c r="S9" s="232"/>
      <c r="T9" s="11" t="s">
        <v>555</v>
      </c>
      <c r="U9" s="232"/>
      <c r="V9" s="232"/>
      <c r="W9" s="249"/>
      <c r="Z9" s="11" t="s">
        <v>555</v>
      </c>
      <c r="AA9" s="11" t="s">
        <v>555</v>
      </c>
      <c r="AB9" s="11" t="s">
        <v>555</v>
      </c>
      <c r="AC9" s="496" t="s">
        <v>1173</v>
      </c>
      <c r="AD9" s="496" t="s">
        <v>619</v>
      </c>
      <c r="AE9" s="496" t="s">
        <v>620</v>
      </c>
      <c r="AF9" s="496" t="s">
        <v>621</v>
      </c>
      <c r="AG9" s="496" t="s">
        <v>585</v>
      </c>
      <c r="AH9" s="496" t="s">
        <v>586</v>
      </c>
      <c r="AI9" s="11" t="s">
        <v>555</v>
      </c>
      <c r="AJ9" s="367" t="str">
        <f t="shared" si="3"/>
        <v>CCH_H1_5_06</v>
      </c>
      <c r="AK9" s="11" t="s">
        <v>555</v>
      </c>
      <c r="AL9" s="11" t="s">
        <v>555</v>
      </c>
      <c r="AN9" s="496" t="s">
        <v>9</v>
      </c>
      <c r="AO9" s="496" t="s">
        <v>622</v>
      </c>
      <c r="AP9" s="496">
        <v>4042</v>
      </c>
    </row>
    <row r="10" spans="1:42" ht="18" x14ac:dyDescent="0.3">
      <c r="A10" s="707" t="s">
        <v>623</v>
      </c>
      <c r="B10" s="238" t="str">
        <f t="shared" si="0"/>
        <v>FortnightAcademicLevel A.4</v>
      </c>
      <c r="C10" s="238" t="s">
        <v>576</v>
      </c>
      <c r="D10" s="238" t="s">
        <v>577</v>
      </c>
      <c r="E10" s="238" t="s">
        <v>624</v>
      </c>
      <c r="F10" s="212">
        <v>100214</v>
      </c>
      <c r="G10" s="11" t="s">
        <v>555</v>
      </c>
      <c r="H10" s="237">
        <f t="shared" si="1"/>
        <v>2031</v>
      </c>
      <c r="I10" s="240">
        <v>0.03</v>
      </c>
      <c r="J10" s="241">
        <f t="shared" si="2"/>
        <v>1.1940522965290001</v>
      </c>
      <c r="K10" s="11" t="s">
        <v>555</v>
      </c>
      <c r="L10" s="236" t="s">
        <v>625</v>
      </c>
      <c r="M10" s="250">
        <v>8</v>
      </c>
      <c r="O10" s="235" t="s">
        <v>58</v>
      </c>
      <c r="P10" s="235" t="s">
        <v>28</v>
      </c>
      <c r="R10" s="235" t="s">
        <v>626</v>
      </c>
      <c r="S10" s="378"/>
      <c r="T10" s="11" t="s">
        <v>555</v>
      </c>
      <c r="U10" s="232"/>
      <c r="V10" s="232"/>
      <c r="W10" s="249"/>
      <c r="Z10" s="11" t="s">
        <v>555</v>
      </c>
      <c r="AA10" s="11" t="s">
        <v>555</v>
      </c>
      <c r="AB10" s="11" t="s">
        <v>555</v>
      </c>
      <c r="AC10" s="496" t="s">
        <v>1170</v>
      </c>
      <c r="AD10" s="496" t="s">
        <v>611</v>
      </c>
      <c r="AE10" s="496" t="s">
        <v>612</v>
      </c>
      <c r="AF10" s="496" t="s">
        <v>613</v>
      </c>
      <c r="AG10" s="496" t="s">
        <v>585</v>
      </c>
      <c r="AH10" s="496" t="s">
        <v>586</v>
      </c>
      <c r="AI10" s="11" t="s">
        <v>555</v>
      </c>
      <c r="AJ10" s="367" t="str">
        <f t="shared" si="3"/>
        <v>CCH_H1_5_07</v>
      </c>
      <c r="AK10" s="11" t="s">
        <v>555</v>
      </c>
      <c r="AL10" s="11" t="s">
        <v>555</v>
      </c>
      <c r="AN10" s="496" t="s">
        <v>9</v>
      </c>
      <c r="AO10" s="496" t="s">
        <v>630</v>
      </c>
      <c r="AP10" s="496">
        <v>4060</v>
      </c>
    </row>
    <row r="11" spans="1:42" ht="15.6" x14ac:dyDescent="0.3">
      <c r="A11" s="706"/>
      <c r="B11" s="238" t="str">
        <f t="shared" si="0"/>
        <v>FortnightAcademicLevel A.5</v>
      </c>
      <c r="C11" s="238" t="s">
        <v>576</v>
      </c>
      <c r="D11" s="238" t="s">
        <v>577</v>
      </c>
      <c r="E11" s="238" t="s">
        <v>631</v>
      </c>
      <c r="F11" s="212">
        <v>104189</v>
      </c>
      <c r="G11" s="11" t="s">
        <v>555</v>
      </c>
      <c r="H11" s="237">
        <f t="shared" si="1"/>
        <v>2032</v>
      </c>
      <c r="I11" s="240">
        <v>0.03</v>
      </c>
      <c r="J11" s="241">
        <f t="shared" si="2"/>
        <v>1.2298738654248702</v>
      </c>
      <c r="K11" s="11" t="s">
        <v>555</v>
      </c>
      <c r="L11" s="238" t="s">
        <v>632</v>
      </c>
      <c r="M11" s="251">
        <v>6</v>
      </c>
      <c r="O11" s="236" t="s">
        <v>31</v>
      </c>
      <c r="P11" s="252" t="s">
        <v>633</v>
      </c>
      <c r="R11" s="236" t="s">
        <v>23</v>
      </c>
      <c r="S11" s="249"/>
      <c r="T11" s="11" t="s">
        <v>555</v>
      </c>
      <c r="U11" s="232"/>
      <c r="V11" s="232"/>
      <c r="W11" s="249"/>
      <c r="Z11" s="11" t="s">
        <v>555</v>
      </c>
      <c r="AA11" s="11" t="s">
        <v>555</v>
      </c>
      <c r="AB11" s="11" t="s">
        <v>555</v>
      </c>
      <c r="AC11" s="496" t="s">
        <v>1175</v>
      </c>
      <c r="AD11" s="496" t="s">
        <v>627</v>
      </c>
      <c r="AE11" s="496" t="s">
        <v>628</v>
      </c>
      <c r="AF11" s="496" t="s">
        <v>629</v>
      </c>
      <c r="AG11" s="496" t="s">
        <v>585</v>
      </c>
      <c r="AH11" s="496" t="s">
        <v>586</v>
      </c>
      <c r="AI11" s="11" t="s">
        <v>555</v>
      </c>
      <c r="AJ11" s="367" t="str">
        <f t="shared" si="3"/>
        <v>CCH_H1_5_08</v>
      </c>
      <c r="AK11" s="11" t="s">
        <v>555</v>
      </c>
      <c r="AL11" s="11" t="s">
        <v>555</v>
      </c>
    </row>
    <row r="12" spans="1:42" ht="15.6" x14ac:dyDescent="0.3">
      <c r="A12" s="11" t="s">
        <v>558</v>
      </c>
      <c r="B12" s="238" t="str">
        <f t="shared" si="0"/>
        <v>FortnightAcademicLevel A.6</v>
      </c>
      <c r="C12" s="238" t="s">
        <v>576</v>
      </c>
      <c r="D12" s="238" t="s">
        <v>577</v>
      </c>
      <c r="E12" s="238" t="s">
        <v>637</v>
      </c>
      <c r="F12" s="212">
        <v>108156</v>
      </c>
      <c r="G12" s="11" t="s">
        <v>555</v>
      </c>
      <c r="H12" s="237">
        <f t="shared" si="1"/>
        <v>2033</v>
      </c>
      <c r="I12" s="240">
        <v>0.03</v>
      </c>
      <c r="J12" s="241">
        <f t="shared" si="2"/>
        <v>1.2667700813876164</v>
      </c>
      <c r="K12" s="11" t="s">
        <v>555</v>
      </c>
      <c r="L12" s="238" t="s">
        <v>638</v>
      </c>
      <c r="M12" s="251">
        <v>6</v>
      </c>
      <c r="O12" s="238" t="s">
        <v>639</v>
      </c>
      <c r="P12" s="237" t="s">
        <v>640</v>
      </c>
      <c r="R12" s="238" t="s">
        <v>641</v>
      </c>
      <c r="S12" s="249"/>
      <c r="T12" s="11" t="s">
        <v>555</v>
      </c>
      <c r="U12" s="232"/>
      <c r="V12" s="232"/>
      <c r="W12" s="249"/>
      <c r="Z12" s="11" t="s">
        <v>555</v>
      </c>
      <c r="AB12" s="11" t="s">
        <v>555</v>
      </c>
      <c r="AC12" s="496" t="s">
        <v>1177</v>
      </c>
      <c r="AD12" s="496" t="s">
        <v>1178</v>
      </c>
      <c r="AE12" s="496" t="s">
        <v>605</v>
      </c>
      <c r="AF12" s="496" t="s">
        <v>607</v>
      </c>
      <c r="AG12" s="496" t="s">
        <v>585</v>
      </c>
      <c r="AH12" s="496" t="s">
        <v>586</v>
      </c>
      <c r="AI12" s="11" t="s">
        <v>555</v>
      </c>
      <c r="AJ12" s="367" t="str">
        <f t="shared" si="3"/>
        <v>CCH_H1_5_199</v>
      </c>
      <c r="AK12" s="11" t="s">
        <v>555</v>
      </c>
      <c r="AL12" s="11" t="s">
        <v>555</v>
      </c>
    </row>
    <row r="13" spans="1:42" ht="15.6" x14ac:dyDescent="0.3">
      <c r="A13" s="706"/>
      <c r="B13" s="238" t="str">
        <f t="shared" si="0"/>
        <v>FortnightAcademicLevel A.7</v>
      </c>
      <c r="C13" s="238" t="s">
        <v>576</v>
      </c>
      <c r="D13" s="238" t="s">
        <v>577</v>
      </c>
      <c r="E13" s="238" t="s">
        <v>648</v>
      </c>
      <c r="F13" s="212">
        <v>112124</v>
      </c>
      <c r="G13" s="11" t="s">
        <v>555</v>
      </c>
      <c r="H13" s="237">
        <f t="shared" si="1"/>
        <v>2034</v>
      </c>
      <c r="I13" s="240">
        <v>0.03</v>
      </c>
      <c r="J13" s="241">
        <f t="shared" si="2"/>
        <v>1.3047731838292449</v>
      </c>
      <c r="K13" s="11" t="s">
        <v>555</v>
      </c>
      <c r="L13" s="238" t="s">
        <v>649</v>
      </c>
      <c r="M13" s="251">
        <v>4</v>
      </c>
      <c r="O13" s="238" t="s">
        <v>650</v>
      </c>
      <c r="P13" s="237" t="s">
        <v>651</v>
      </c>
      <c r="R13" s="238" t="s">
        <v>652</v>
      </c>
      <c r="S13" s="249"/>
      <c r="T13" s="11" t="s">
        <v>555</v>
      </c>
      <c r="U13" s="232"/>
      <c r="V13" s="232"/>
      <c r="W13" s="249"/>
      <c r="Z13" s="11" t="s">
        <v>555</v>
      </c>
      <c r="AA13" s="11" t="s">
        <v>555</v>
      </c>
      <c r="AB13" s="11" t="s">
        <v>555</v>
      </c>
      <c r="AC13" s="496" t="s">
        <v>1171</v>
      </c>
      <c r="AD13" s="496" t="s">
        <v>1172</v>
      </c>
      <c r="AE13" s="496" t="s">
        <v>612</v>
      </c>
      <c r="AF13" s="496" t="s">
        <v>613</v>
      </c>
      <c r="AG13" s="496" t="s">
        <v>585</v>
      </c>
      <c r="AH13" s="496" t="s">
        <v>586</v>
      </c>
      <c r="AI13" s="11" t="s">
        <v>555</v>
      </c>
      <c r="AJ13" s="367" t="str">
        <f t="shared" si="3"/>
        <v>CCH_H1_5_200</v>
      </c>
      <c r="AK13" s="11" t="s">
        <v>555</v>
      </c>
      <c r="AL13" s="11" t="s">
        <v>555</v>
      </c>
    </row>
    <row r="14" spans="1:42" ht="15.6" x14ac:dyDescent="0.3">
      <c r="A14" s="11" t="s">
        <v>653</v>
      </c>
      <c r="B14" s="238" t="str">
        <f t="shared" si="0"/>
        <v>FortnightAcademicLevel A.8</v>
      </c>
      <c r="C14" s="238" t="s">
        <v>576</v>
      </c>
      <c r="D14" s="238" t="s">
        <v>577</v>
      </c>
      <c r="E14" s="238" t="s">
        <v>654</v>
      </c>
      <c r="F14" s="212">
        <v>116094</v>
      </c>
      <c r="G14" s="11" t="s">
        <v>555</v>
      </c>
      <c r="H14" s="237">
        <f t="shared" si="1"/>
        <v>2035</v>
      </c>
      <c r="I14" s="240">
        <v>0.03</v>
      </c>
      <c r="J14" s="241">
        <f t="shared" si="2"/>
        <v>1.3439163793441222</v>
      </c>
      <c r="K14" s="11" t="s">
        <v>555</v>
      </c>
      <c r="L14" s="238" t="s">
        <v>655</v>
      </c>
      <c r="M14" s="251">
        <v>1</v>
      </c>
      <c r="O14" s="238" t="s">
        <v>656</v>
      </c>
      <c r="P14" s="237" t="s">
        <v>657</v>
      </c>
      <c r="R14" s="238" t="s">
        <v>658</v>
      </c>
      <c r="S14" s="249"/>
      <c r="T14" s="11" t="s">
        <v>555</v>
      </c>
      <c r="U14" s="232"/>
      <c r="V14" s="232"/>
      <c r="W14" s="249"/>
      <c r="Z14" s="11" t="s">
        <v>555</v>
      </c>
      <c r="AA14" s="11" t="s">
        <v>555</v>
      </c>
      <c r="AB14" s="11" t="s">
        <v>555</v>
      </c>
      <c r="AC14" s="496" t="s">
        <v>1191</v>
      </c>
      <c r="AD14" s="496" t="s">
        <v>1192</v>
      </c>
      <c r="AE14" s="496" t="s">
        <v>628</v>
      </c>
      <c r="AF14" s="496" t="s">
        <v>629</v>
      </c>
      <c r="AG14" s="496" t="s">
        <v>585</v>
      </c>
      <c r="AH14" s="496" t="s">
        <v>586</v>
      </c>
      <c r="AI14" s="11" t="s">
        <v>555</v>
      </c>
      <c r="AJ14" s="367" t="str">
        <f t="shared" si="3"/>
        <v>CCH_H1_5_201</v>
      </c>
      <c r="AK14" s="11" t="s">
        <v>555</v>
      </c>
      <c r="AL14" s="11" t="s">
        <v>555</v>
      </c>
    </row>
    <row r="15" spans="1:42" ht="15.6" x14ac:dyDescent="0.3">
      <c r="A15" s="706"/>
      <c r="B15" s="238" t="str">
        <f t="shared" si="0"/>
        <v>FortnightAcademicLevel B.1</v>
      </c>
      <c r="C15" s="238" t="s">
        <v>576</v>
      </c>
      <c r="D15" s="238" t="s">
        <v>577</v>
      </c>
      <c r="E15" s="238" t="s">
        <v>659</v>
      </c>
      <c r="F15" s="212">
        <v>122212</v>
      </c>
      <c r="G15" s="11" t="s">
        <v>555</v>
      </c>
      <c r="H15" s="237">
        <f t="shared" si="1"/>
        <v>2036</v>
      </c>
      <c r="I15" s="240">
        <v>0.03</v>
      </c>
      <c r="J15" s="241">
        <f t="shared" si="2"/>
        <v>1.3842338707244459</v>
      </c>
      <c r="K15" s="11" t="s">
        <v>555</v>
      </c>
      <c r="L15" s="238" t="s">
        <v>660</v>
      </c>
      <c r="M15" s="251">
        <v>3</v>
      </c>
      <c r="O15" s="238" t="s">
        <v>661</v>
      </c>
      <c r="P15" s="237" t="s">
        <v>662</v>
      </c>
      <c r="R15" s="238" t="s">
        <v>663</v>
      </c>
      <c r="S15" s="249"/>
      <c r="T15" s="11" t="s">
        <v>555</v>
      </c>
      <c r="U15" s="232"/>
      <c r="V15" s="232"/>
      <c r="W15" s="249"/>
      <c r="Z15" s="11" t="s">
        <v>555</v>
      </c>
      <c r="AA15" s="11" t="s">
        <v>555</v>
      </c>
      <c r="AB15" s="11" t="s">
        <v>555</v>
      </c>
      <c r="AC15" s="496" t="s">
        <v>642</v>
      </c>
      <c r="AD15" s="496" t="s">
        <v>643</v>
      </c>
      <c r="AE15" s="496" t="s">
        <v>644</v>
      </c>
      <c r="AF15" s="496" t="s">
        <v>645</v>
      </c>
      <c r="AG15" s="496" t="s">
        <v>646</v>
      </c>
      <c r="AH15" s="496" t="s">
        <v>647</v>
      </c>
      <c r="AI15" s="11" t="s">
        <v>555</v>
      </c>
      <c r="AJ15" s="367" t="str">
        <f t="shared" si="3"/>
        <v>CCH_H1_5_09</v>
      </c>
      <c r="AK15" s="11" t="s">
        <v>555</v>
      </c>
      <c r="AL15" s="11" t="s">
        <v>555</v>
      </c>
    </row>
    <row r="16" spans="1:42" ht="15.6" x14ac:dyDescent="0.3">
      <c r="A16" s="11" t="s">
        <v>664</v>
      </c>
      <c r="B16" s="238" t="str">
        <f t="shared" si="0"/>
        <v>FortnightAcademicLevel B.2</v>
      </c>
      <c r="C16" s="238" t="s">
        <v>576</v>
      </c>
      <c r="D16" s="238" t="s">
        <v>577</v>
      </c>
      <c r="E16" s="238" t="s">
        <v>665</v>
      </c>
      <c r="F16" s="212">
        <v>126791</v>
      </c>
      <c r="G16" s="11" t="s">
        <v>555</v>
      </c>
      <c r="H16" s="237">
        <f t="shared" si="1"/>
        <v>2037</v>
      </c>
      <c r="I16" s="240">
        <v>0.03</v>
      </c>
      <c r="J16" s="241">
        <f t="shared" si="2"/>
        <v>1.4257608868461793</v>
      </c>
      <c r="K16" s="11" t="s">
        <v>555</v>
      </c>
      <c r="L16" s="238" t="s">
        <v>666</v>
      </c>
      <c r="M16" s="251">
        <v>3</v>
      </c>
      <c r="O16" s="238" t="s">
        <v>667</v>
      </c>
      <c r="P16" s="237" t="s">
        <v>668</v>
      </c>
      <c r="R16" s="238" t="s">
        <v>669</v>
      </c>
      <c r="S16" s="249"/>
      <c r="T16" s="11" t="s">
        <v>555</v>
      </c>
      <c r="U16" s="232"/>
      <c r="V16" s="232"/>
      <c r="W16" s="249"/>
      <c r="Z16" s="11" t="s">
        <v>555</v>
      </c>
      <c r="AA16" s="11" t="s">
        <v>555</v>
      </c>
      <c r="AB16" s="11" t="s">
        <v>555</v>
      </c>
      <c r="AC16" s="496" t="s">
        <v>1179</v>
      </c>
      <c r="AD16" s="496" t="s">
        <v>1180</v>
      </c>
      <c r="AE16" s="496" t="s">
        <v>644</v>
      </c>
      <c r="AF16" s="496" t="s">
        <v>645</v>
      </c>
      <c r="AG16" s="496" t="s">
        <v>646</v>
      </c>
      <c r="AH16" s="496" t="s">
        <v>647</v>
      </c>
      <c r="AI16" s="11" t="s">
        <v>555</v>
      </c>
      <c r="AJ16" s="367" t="str">
        <f t="shared" si="3"/>
        <v>CCH_H1_5_204</v>
      </c>
      <c r="AK16" s="11" t="s">
        <v>555</v>
      </c>
      <c r="AL16" s="11" t="s">
        <v>555</v>
      </c>
    </row>
    <row r="17" spans="1:42" ht="15.6" x14ac:dyDescent="0.3">
      <c r="A17" s="706"/>
      <c r="B17" s="238" t="str">
        <f t="shared" si="0"/>
        <v>FortnightAcademicLevel B.3</v>
      </c>
      <c r="C17" s="238" t="s">
        <v>576</v>
      </c>
      <c r="D17" s="238" t="s">
        <v>577</v>
      </c>
      <c r="E17" s="238" t="s">
        <v>670</v>
      </c>
      <c r="F17" s="212">
        <v>131373</v>
      </c>
      <c r="G17" s="11" t="s">
        <v>555</v>
      </c>
      <c r="H17" s="237">
        <f t="shared" si="1"/>
        <v>2038</v>
      </c>
      <c r="I17" s="240">
        <v>0.03</v>
      </c>
      <c r="J17" s="241">
        <f t="shared" si="2"/>
        <v>1.4685337134515648</v>
      </c>
      <c r="K17" s="11" t="s">
        <v>555</v>
      </c>
      <c r="L17" s="238" t="s">
        <v>671</v>
      </c>
      <c r="M17" s="251">
        <v>3</v>
      </c>
      <c r="O17" s="238" t="s">
        <v>672</v>
      </c>
      <c r="P17" s="237" t="s">
        <v>673</v>
      </c>
      <c r="R17" s="238" t="s">
        <v>674</v>
      </c>
      <c r="S17" s="249"/>
      <c r="T17" s="11" t="s">
        <v>555</v>
      </c>
      <c r="U17" s="232"/>
      <c r="V17" s="232"/>
      <c r="W17" s="249"/>
      <c r="Z17" s="11" t="s">
        <v>555</v>
      </c>
      <c r="AA17" s="11" t="s">
        <v>555</v>
      </c>
      <c r="AB17" s="11" t="s">
        <v>555</v>
      </c>
      <c r="AC17" s="496" t="s">
        <v>1181</v>
      </c>
      <c r="AD17" s="496" t="s">
        <v>1182</v>
      </c>
      <c r="AE17" s="496" t="s">
        <v>644</v>
      </c>
      <c r="AF17" s="496" t="s">
        <v>645</v>
      </c>
      <c r="AG17" s="496" t="s">
        <v>646</v>
      </c>
      <c r="AH17" s="496" t="s">
        <v>647</v>
      </c>
      <c r="AI17" s="11" t="s">
        <v>555</v>
      </c>
      <c r="AJ17" s="367" t="str">
        <f t="shared" si="3"/>
        <v>CCH_H1_5_205</v>
      </c>
      <c r="AK17" s="11" t="s">
        <v>555</v>
      </c>
      <c r="AL17" s="11" t="s">
        <v>555</v>
      </c>
    </row>
    <row r="18" spans="1:42" ht="15.6" x14ac:dyDescent="0.3">
      <c r="A18" s="11" t="s">
        <v>556</v>
      </c>
      <c r="B18" s="238" t="str">
        <f t="shared" si="0"/>
        <v>FortnightAcademicLevel B.4</v>
      </c>
      <c r="C18" s="238" t="s">
        <v>576</v>
      </c>
      <c r="D18" s="238" t="s">
        <v>577</v>
      </c>
      <c r="E18" s="238" t="s">
        <v>675</v>
      </c>
      <c r="F18" s="212">
        <v>135954</v>
      </c>
      <c r="G18" s="11" t="s">
        <v>555</v>
      </c>
      <c r="H18" s="237">
        <f t="shared" si="1"/>
        <v>2039</v>
      </c>
      <c r="I18" s="240">
        <v>0.03</v>
      </c>
      <c r="J18" s="241">
        <f t="shared" si="2"/>
        <v>1.5125897248551119</v>
      </c>
      <c r="K18" s="11" t="s">
        <v>555</v>
      </c>
      <c r="L18" s="238" t="s">
        <v>676</v>
      </c>
      <c r="M18" s="251">
        <v>6</v>
      </c>
      <c r="O18" s="238" t="s">
        <v>677</v>
      </c>
      <c r="P18" s="237" t="s">
        <v>678</v>
      </c>
      <c r="R18" s="238" t="s">
        <v>679</v>
      </c>
      <c r="S18" s="249"/>
      <c r="T18" s="11" t="s">
        <v>555</v>
      </c>
      <c r="U18" s="232"/>
      <c r="V18" s="232"/>
      <c r="W18" s="249"/>
      <c r="Z18" s="11" t="s">
        <v>555</v>
      </c>
      <c r="AA18" s="11" t="s">
        <v>555</v>
      </c>
      <c r="AB18" s="11" t="s">
        <v>555</v>
      </c>
      <c r="AC18" s="496" t="s">
        <v>1193</v>
      </c>
      <c r="AD18" s="496" t="s">
        <v>1194</v>
      </c>
      <c r="AE18" s="496" t="s">
        <v>644</v>
      </c>
      <c r="AF18" s="496" t="s">
        <v>645</v>
      </c>
      <c r="AG18" s="496" t="s">
        <v>646</v>
      </c>
      <c r="AH18" s="496" t="s">
        <v>647</v>
      </c>
      <c r="AI18" s="11" t="s">
        <v>555</v>
      </c>
      <c r="AJ18" s="367" t="str">
        <f t="shared" si="3"/>
        <v>CCH_H1_5_206</v>
      </c>
      <c r="AK18" s="11" t="s">
        <v>555</v>
      </c>
      <c r="AL18" s="11" t="s">
        <v>555</v>
      </c>
      <c r="AM18" s="11" t="s">
        <v>555</v>
      </c>
      <c r="AN18" s="11" t="s">
        <v>555</v>
      </c>
      <c r="AO18" s="11" t="s">
        <v>555</v>
      </c>
      <c r="AP18" s="516"/>
    </row>
    <row r="19" spans="1:42" ht="15.6" x14ac:dyDescent="0.3">
      <c r="A19" s="706"/>
      <c r="B19" s="238" t="str">
        <f t="shared" si="0"/>
        <v>FortnightAcademicLevel B.5</v>
      </c>
      <c r="C19" s="238" t="s">
        <v>576</v>
      </c>
      <c r="D19" s="238" t="s">
        <v>577</v>
      </c>
      <c r="E19" s="238" t="s">
        <v>680</v>
      </c>
      <c r="F19" s="212">
        <v>140541</v>
      </c>
      <c r="G19" s="11" t="s">
        <v>555</v>
      </c>
      <c r="H19" s="237">
        <f t="shared" si="1"/>
        <v>2040</v>
      </c>
      <c r="I19" s="240">
        <v>0.03</v>
      </c>
      <c r="J19" s="241">
        <f t="shared" si="2"/>
        <v>1.5579674166007653</v>
      </c>
      <c r="K19" s="11" t="s">
        <v>555</v>
      </c>
      <c r="L19" s="238" t="s">
        <v>681</v>
      </c>
      <c r="M19" s="251">
        <v>4</v>
      </c>
      <c r="O19" s="238" t="s">
        <v>682</v>
      </c>
      <c r="P19" s="237" t="s">
        <v>683</v>
      </c>
      <c r="R19" s="238" t="s">
        <v>684</v>
      </c>
      <c r="S19" s="249"/>
      <c r="T19" s="11" t="s">
        <v>555</v>
      </c>
      <c r="U19" s="232"/>
      <c r="V19" s="232"/>
      <c r="W19" s="249"/>
      <c r="Z19" s="11" t="s">
        <v>555</v>
      </c>
      <c r="AA19" s="11" t="s">
        <v>555</v>
      </c>
      <c r="AB19" s="11" t="s">
        <v>555</v>
      </c>
      <c r="AC19" s="496" t="s">
        <v>1195</v>
      </c>
      <c r="AD19" s="496" t="s">
        <v>1196</v>
      </c>
      <c r="AE19" s="496" t="s">
        <v>644</v>
      </c>
      <c r="AF19" s="496" t="s">
        <v>645</v>
      </c>
      <c r="AG19" s="496" t="s">
        <v>646</v>
      </c>
      <c r="AH19" s="496" t="s">
        <v>647</v>
      </c>
      <c r="AI19" s="11" t="s">
        <v>555</v>
      </c>
      <c r="AJ19" s="367" t="str">
        <f t="shared" si="3"/>
        <v>CCH_H1_5_207</v>
      </c>
      <c r="AK19" s="11" t="s">
        <v>555</v>
      </c>
      <c r="AL19" s="11" t="s">
        <v>555</v>
      </c>
      <c r="AM19" s="11" t="s">
        <v>555</v>
      </c>
      <c r="AN19" s="11" t="s">
        <v>555</v>
      </c>
      <c r="AO19" s="11" t="s">
        <v>555</v>
      </c>
      <c r="AP19" s="516"/>
    </row>
    <row r="20" spans="1:42" ht="15.6" x14ac:dyDescent="0.3">
      <c r="A20" s="11" t="s">
        <v>685</v>
      </c>
      <c r="B20" s="238" t="str">
        <f t="shared" si="0"/>
        <v>FortnightAcademicLevel B.6</v>
      </c>
      <c r="C20" s="238" t="s">
        <v>576</v>
      </c>
      <c r="D20" s="238" t="s">
        <v>577</v>
      </c>
      <c r="E20" s="238" t="s">
        <v>686</v>
      </c>
      <c r="F20" s="212">
        <v>145121</v>
      </c>
      <c r="G20" s="11" t="s">
        <v>555</v>
      </c>
      <c r="H20" s="237">
        <f t="shared" si="1"/>
        <v>2041</v>
      </c>
      <c r="I20" s="240">
        <v>0.03</v>
      </c>
      <c r="J20" s="241">
        <f t="shared" si="2"/>
        <v>1.6047064390987884</v>
      </c>
      <c r="K20" s="11" t="s">
        <v>555</v>
      </c>
      <c r="L20" s="238" t="s">
        <v>687</v>
      </c>
      <c r="M20" s="251">
        <v>8</v>
      </c>
      <c r="O20" s="238" t="s">
        <v>688</v>
      </c>
      <c r="P20" s="237" t="s">
        <v>689</v>
      </c>
      <c r="R20" s="238" t="s">
        <v>690</v>
      </c>
      <c r="S20" s="249"/>
      <c r="T20" s="11" t="s">
        <v>555</v>
      </c>
      <c r="U20" s="232"/>
      <c r="V20" s="232"/>
      <c r="W20" s="249"/>
      <c r="Z20" s="11" t="s">
        <v>555</v>
      </c>
      <c r="AA20" s="11" t="s">
        <v>555</v>
      </c>
      <c r="AB20" s="11" t="s">
        <v>555</v>
      </c>
      <c r="AC20" s="496" t="s">
        <v>886</v>
      </c>
      <c r="AD20" s="496" t="s">
        <v>887</v>
      </c>
      <c r="AE20" s="496" t="s">
        <v>888</v>
      </c>
      <c r="AF20" s="496" t="s">
        <v>889</v>
      </c>
      <c r="AG20" s="496" t="s">
        <v>646</v>
      </c>
      <c r="AH20" s="496" t="s">
        <v>647</v>
      </c>
      <c r="AI20" s="11" t="s">
        <v>555</v>
      </c>
      <c r="AJ20" s="367" t="str">
        <f t="shared" si="3"/>
        <v>CCH_H1_5_48</v>
      </c>
      <c r="AK20" s="11" t="s">
        <v>555</v>
      </c>
      <c r="AL20" s="11" t="s">
        <v>555</v>
      </c>
      <c r="AM20" s="11" t="s">
        <v>555</v>
      </c>
      <c r="AN20" s="11" t="s">
        <v>555</v>
      </c>
      <c r="AO20" s="11" t="s">
        <v>555</v>
      </c>
      <c r="AP20" s="516"/>
    </row>
    <row r="21" spans="1:42" ht="15.6" x14ac:dyDescent="0.3">
      <c r="A21" s="706"/>
      <c r="B21" s="238" t="str">
        <f t="shared" si="0"/>
        <v>FortnightAcademicLevel C.1</v>
      </c>
      <c r="C21" s="238" t="s">
        <v>576</v>
      </c>
      <c r="D21" s="238" t="s">
        <v>577</v>
      </c>
      <c r="E21" s="238" t="s">
        <v>691</v>
      </c>
      <c r="F21" s="212">
        <v>149701</v>
      </c>
      <c r="G21" s="11" t="s">
        <v>555</v>
      </c>
      <c r="H21" s="237">
        <f t="shared" si="1"/>
        <v>2042</v>
      </c>
      <c r="I21" s="240">
        <v>0.03</v>
      </c>
      <c r="J21" s="241">
        <f t="shared" si="2"/>
        <v>1.652847632271752</v>
      </c>
      <c r="K21" s="11" t="s">
        <v>555</v>
      </c>
      <c r="L21" s="238" t="s">
        <v>692</v>
      </c>
      <c r="M21" s="251">
        <v>5</v>
      </c>
      <c r="O21" s="238" t="s">
        <v>693</v>
      </c>
      <c r="P21" s="237" t="s">
        <v>694</v>
      </c>
      <c r="R21" s="238" t="s">
        <v>695</v>
      </c>
      <c r="S21" s="249"/>
      <c r="T21" s="11" t="s">
        <v>555</v>
      </c>
      <c r="U21" s="232"/>
      <c r="V21" s="232"/>
      <c r="W21" s="249"/>
      <c r="Z21" s="11" t="s">
        <v>555</v>
      </c>
      <c r="AA21" s="11" t="s">
        <v>555</v>
      </c>
      <c r="AB21" s="11" t="s">
        <v>555</v>
      </c>
      <c r="AC21" s="496" t="s">
        <v>897</v>
      </c>
      <c r="AD21" s="496" t="s">
        <v>898</v>
      </c>
      <c r="AE21" s="496" t="s">
        <v>644</v>
      </c>
      <c r="AF21" s="496" t="s">
        <v>645</v>
      </c>
      <c r="AG21" s="496" t="s">
        <v>646</v>
      </c>
      <c r="AH21" s="496" t="s">
        <v>647</v>
      </c>
      <c r="AI21" s="11" t="s">
        <v>555</v>
      </c>
      <c r="AJ21" s="367" t="str">
        <f t="shared" si="3"/>
        <v>CCH_H1_5_49</v>
      </c>
      <c r="AK21" s="11" t="s">
        <v>555</v>
      </c>
      <c r="AL21" s="11" t="s">
        <v>555</v>
      </c>
      <c r="AM21" s="11" t="s">
        <v>555</v>
      </c>
      <c r="AN21" s="11" t="s">
        <v>555</v>
      </c>
      <c r="AO21" s="11" t="s">
        <v>555</v>
      </c>
      <c r="AP21" s="516"/>
    </row>
    <row r="22" spans="1:42" ht="15.6" x14ac:dyDescent="0.3">
      <c r="A22" s="11" t="s">
        <v>696</v>
      </c>
      <c r="B22" s="238" t="str">
        <f t="shared" si="0"/>
        <v>FortnightAcademicLevel C.2</v>
      </c>
      <c r="C22" s="238" t="s">
        <v>576</v>
      </c>
      <c r="D22" s="238" t="s">
        <v>577</v>
      </c>
      <c r="E22" s="238" t="s">
        <v>697</v>
      </c>
      <c r="F22" s="212">
        <v>154293</v>
      </c>
      <c r="G22" s="11" t="s">
        <v>555</v>
      </c>
      <c r="H22" s="247">
        <f t="shared" si="1"/>
        <v>2043</v>
      </c>
      <c r="I22" s="482">
        <v>0.03</v>
      </c>
      <c r="J22" s="253">
        <f t="shared" ref="J22" si="4">J21*(1+I22)</f>
        <v>1.7024330612399046</v>
      </c>
      <c r="K22" s="11" t="s">
        <v>555</v>
      </c>
      <c r="L22" s="238" t="s">
        <v>698</v>
      </c>
      <c r="M22" s="251">
        <v>5</v>
      </c>
      <c r="O22" s="238" t="s">
        <v>699</v>
      </c>
      <c r="P22" s="237" t="s">
        <v>700</v>
      </c>
      <c r="R22" s="238" t="s">
        <v>701</v>
      </c>
      <c r="S22" s="249"/>
      <c r="T22" s="11" t="s">
        <v>555</v>
      </c>
      <c r="U22" s="232"/>
      <c r="V22" s="232"/>
      <c r="W22" s="249"/>
      <c r="Z22" s="11" t="s">
        <v>555</v>
      </c>
      <c r="AA22" s="11" t="s">
        <v>555</v>
      </c>
      <c r="AB22" s="11" t="s">
        <v>555</v>
      </c>
      <c r="AC22" s="496" t="s">
        <v>903</v>
      </c>
      <c r="AD22" s="496" t="s">
        <v>904</v>
      </c>
      <c r="AE22" s="496" t="s">
        <v>644</v>
      </c>
      <c r="AF22" s="496" t="s">
        <v>645</v>
      </c>
      <c r="AG22" s="496" t="s">
        <v>646</v>
      </c>
      <c r="AH22" s="496" t="s">
        <v>647</v>
      </c>
      <c r="AI22" s="11" t="s">
        <v>555</v>
      </c>
      <c r="AJ22" s="367" t="str">
        <f t="shared" si="3"/>
        <v>CCH_H1_5_50</v>
      </c>
      <c r="AK22" s="11" t="s">
        <v>555</v>
      </c>
      <c r="AL22" s="11" t="s">
        <v>555</v>
      </c>
      <c r="AM22" s="11" t="s">
        <v>555</v>
      </c>
      <c r="AN22" s="11" t="s">
        <v>555</v>
      </c>
      <c r="AO22" s="11" t="s">
        <v>555</v>
      </c>
      <c r="AP22" s="516"/>
    </row>
    <row r="23" spans="1:42" ht="15.6" x14ac:dyDescent="0.3">
      <c r="A23" s="706"/>
      <c r="B23" s="238" t="str">
        <f t="shared" si="0"/>
        <v>FortnightAcademicLevel C.3</v>
      </c>
      <c r="C23" s="238" t="s">
        <v>576</v>
      </c>
      <c r="D23" s="238" t="s">
        <v>577</v>
      </c>
      <c r="E23" s="238" t="s">
        <v>702</v>
      </c>
      <c r="F23" s="212">
        <v>158868</v>
      </c>
      <c r="G23" s="11" t="s">
        <v>555</v>
      </c>
      <c r="H23" s="11" t="s">
        <v>555</v>
      </c>
      <c r="I23" s="11" t="s">
        <v>555</v>
      </c>
      <c r="J23" s="11" t="s">
        <v>555</v>
      </c>
      <c r="K23" s="11" t="s">
        <v>555</v>
      </c>
      <c r="L23" s="238" t="s">
        <v>703</v>
      </c>
      <c r="M23" s="251">
        <v>5</v>
      </c>
      <c r="O23" s="238" t="s">
        <v>704</v>
      </c>
      <c r="P23" s="237" t="s">
        <v>705</v>
      </c>
      <c r="R23" s="238" t="s">
        <v>706</v>
      </c>
      <c r="S23" s="249"/>
      <c r="T23" s="11" t="s">
        <v>555</v>
      </c>
      <c r="U23" s="232"/>
      <c r="V23" s="232"/>
      <c r="W23" s="249"/>
      <c r="Z23" s="11" t="s">
        <v>555</v>
      </c>
      <c r="AA23" s="11" t="s">
        <v>555</v>
      </c>
      <c r="AB23" s="11" t="s">
        <v>555</v>
      </c>
      <c r="AC23" s="496" t="s">
        <v>910</v>
      </c>
      <c r="AD23" s="496" t="s">
        <v>911</v>
      </c>
      <c r="AE23" s="496" t="s">
        <v>644</v>
      </c>
      <c r="AF23" s="496" t="s">
        <v>645</v>
      </c>
      <c r="AG23" s="496" t="s">
        <v>646</v>
      </c>
      <c r="AH23" s="496" t="s">
        <v>647</v>
      </c>
      <c r="AI23" s="11" t="s">
        <v>555</v>
      </c>
      <c r="AJ23" s="367" t="str">
        <f t="shared" si="3"/>
        <v>CCH_H1_5_51</v>
      </c>
      <c r="AK23" s="11" t="s">
        <v>555</v>
      </c>
      <c r="AL23" s="11" t="s">
        <v>555</v>
      </c>
      <c r="AM23" s="11" t="s">
        <v>555</v>
      </c>
      <c r="AN23" s="11" t="s">
        <v>555</v>
      </c>
      <c r="AO23" s="11" t="s">
        <v>555</v>
      </c>
      <c r="AP23" s="516"/>
    </row>
    <row r="24" spans="1:42" ht="15.6" x14ac:dyDescent="0.3">
      <c r="A24" s="11" t="s">
        <v>707</v>
      </c>
      <c r="B24" s="238" t="str">
        <f t="shared" si="0"/>
        <v>FortnightAcademicLevel C.4</v>
      </c>
      <c r="C24" s="238" t="s">
        <v>576</v>
      </c>
      <c r="D24" s="238" t="s">
        <v>577</v>
      </c>
      <c r="E24" s="238" t="s">
        <v>708</v>
      </c>
      <c r="F24" s="212">
        <v>163444</v>
      </c>
      <c r="G24" s="11" t="s">
        <v>555</v>
      </c>
      <c r="H24" s="11" t="s">
        <v>555</v>
      </c>
      <c r="I24" s="254"/>
      <c r="J24" s="11" t="s">
        <v>555</v>
      </c>
      <c r="K24" s="11" t="s">
        <v>555</v>
      </c>
      <c r="L24" s="238" t="s">
        <v>709</v>
      </c>
      <c r="M24" s="251">
        <v>3</v>
      </c>
      <c r="O24" s="238" t="s">
        <v>710</v>
      </c>
      <c r="P24" s="237" t="s">
        <v>711</v>
      </c>
      <c r="R24" s="238" t="s">
        <v>712</v>
      </c>
      <c r="S24" s="249"/>
      <c r="T24" s="11" t="s">
        <v>555</v>
      </c>
      <c r="U24" s="232"/>
      <c r="V24" s="232"/>
      <c r="W24" s="249"/>
      <c r="Z24" s="11" t="s">
        <v>555</v>
      </c>
      <c r="AA24" s="11" t="s">
        <v>555</v>
      </c>
      <c r="AB24" s="11" t="s">
        <v>555</v>
      </c>
      <c r="AC24" s="496" t="s">
        <v>917</v>
      </c>
      <c r="AD24" s="496" t="s">
        <v>918</v>
      </c>
      <c r="AE24" s="496" t="s">
        <v>644</v>
      </c>
      <c r="AF24" s="496" t="s">
        <v>645</v>
      </c>
      <c r="AG24" s="496" t="s">
        <v>646</v>
      </c>
      <c r="AH24" s="496" t="s">
        <v>647</v>
      </c>
      <c r="AI24" s="11" t="s">
        <v>555</v>
      </c>
      <c r="AJ24" s="367" t="str">
        <f t="shared" si="3"/>
        <v>CCH_H1_5_52</v>
      </c>
      <c r="AK24" s="11" t="s">
        <v>555</v>
      </c>
      <c r="AL24" s="11" t="s">
        <v>555</v>
      </c>
      <c r="AM24" s="11" t="s">
        <v>555</v>
      </c>
      <c r="AN24" s="11" t="s">
        <v>555</v>
      </c>
      <c r="AO24" s="11" t="s">
        <v>555</v>
      </c>
      <c r="AP24" s="516"/>
    </row>
    <row r="25" spans="1:42" ht="15.6" x14ac:dyDescent="0.3">
      <c r="A25" s="706"/>
      <c r="B25" s="238" t="str">
        <f t="shared" si="0"/>
        <v>FortnightAcademicLevel C.5</v>
      </c>
      <c r="C25" s="238" t="s">
        <v>576</v>
      </c>
      <c r="D25" s="238" t="s">
        <v>577</v>
      </c>
      <c r="E25" s="238" t="s">
        <v>713</v>
      </c>
      <c r="F25" s="212">
        <v>168025</v>
      </c>
      <c r="G25" s="11" t="s">
        <v>555</v>
      </c>
      <c r="H25" s="409" t="s">
        <v>714</v>
      </c>
      <c r="I25" s="298"/>
      <c r="J25" s="256"/>
      <c r="K25" s="11" t="s">
        <v>555</v>
      </c>
      <c r="L25" s="244" t="s">
        <v>715</v>
      </c>
      <c r="M25" s="255">
        <v>1</v>
      </c>
      <c r="O25" s="238" t="s">
        <v>716</v>
      </c>
      <c r="P25" s="237" t="s">
        <v>717</v>
      </c>
      <c r="R25" s="244" t="s">
        <v>718</v>
      </c>
      <c r="S25" s="249"/>
      <c r="T25" s="11" t="s">
        <v>555</v>
      </c>
      <c r="U25" s="1526"/>
      <c r="V25" s="1527"/>
      <c r="W25" s="1527"/>
      <c r="X25" s="1527"/>
      <c r="Z25" s="11" t="s">
        <v>555</v>
      </c>
      <c r="AA25" s="11" t="s">
        <v>555</v>
      </c>
      <c r="AB25" s="11" t="s">
        <v>555</v>
      </c>
      <c r="AC25" s="496" t="s">
        <v>923</v>
      </c>
      <c r="AD25" s="496" t="s">
        <v>924</v>
      </c>
      <c r="AE25" s="496" t="s">
        <v>644</v>
      </c>
      <c r="AF25" s="496" t="s">
        <v>645</v>
      </c>
      <c r="AG25" s="496" t="s">
        <v>646</v>
      </c>
      <c r="AH25" s="496" t="s">
        <v>647</v>
      </c>
      <c r="AI25" s="11" t="s">
        <v>555</v>
      </c>
      <c r="AJ25" s="367" t="str">
        <f t="shared" si="3"/>
        <v>CCH_H1_5_53</v>
      </c>
      <c r="AK25" s="11" t="s">
        <v>555</v>
      </c>
      <c r="AL25" s="11" t="s">
        <v>555</v>
      </c>
      <c r="AM25" s="11" t="s">
        <v>555</v>
      </c>
      <c r="AN25" s="11" t="s">
        <v>555</v>
      </c>
      <c r="AO25" s="11" t="s">
        <v>555</v>
      </c>
      <c r="AP25" s="516"/>
    </row>
    <row r="26" spans="1:42" x14ac:dyDescent="0.3">
      <c r="A26" s="11" t="s">
        <v>725</v>
      </c>
      <c r="B26" s="238" t="str">
        <f t="shared" si="0"/>
        <v>FortnightAcademicLevel C.6</v>
      </c>
      <c r="C26" s="238" t="s">
        <v>576</v>
      </c>
      <c r="D26" s="238" t="s">
        <v>577</v>
      </c>
      <c r="E26" s="238" t="s">
        <v>726</v>
      </c>
      <c r="F26" s="212">
        <v>172613</v>
      </c>
      <c r="G26" s="11" t="s">
        <v>555</v>
      </c>
      <c r="H26" s="235" t="s">
        <v>727</v>
      </c>
      <c r="I26" s="298"/>
      <c r="J26" s="256"/>
      <c r="K26" s="11" t="s">
        <v>555</v>
      </c>
      <c r="O26" s="238" t="s">
        <v>728</v>
      </c>
      <c r="P26" s="237" t="s">
        <v>729</v>
      </c>
      <c r="R26" s="11" t="s">
        <v>555</v>
      </c>
      <c r="T26" s="11" t="s">
        <v>555</v>
      </c>
      <c r="U26" s="1528"/>
      <c r="V26" s="1528"/>
      <c r="W26" s="1528"/>
      <c r="X26" s="1528"/>
      <c r="Z26" s="11" t="s">
        <v>555</v>
      </c>
      <c r="AA26" s="11" t="s">
        <v>555</v>
      </c>
      <c r="AB26" s="11" t="s">
        <v>555</v>
      </c>
      <c r="AC26" s="496" t="s">
        <v>928</v>
      </c>
      <c r="AD26" s="496" t="s">
        <v>929</v>
      </c>
      <c r="AE26" s="496" t="s">
        <v>644</v>
      </c>
      <c r="AF26" s="496" t="s">
        <v>645</v>
      </c>
      <c r="AG26" s="496" t="s">
        <v>646</v>
      </c>
      <c r="AH26" s="496" t="s">
        <v>647</v>
      </c>
      <c r="AI26" s="11" t="s">
        <v>555</v>
      </c>
      <c r="AJ26" s="367" t="str">
        <f t="shared" si="3"/>
        <v>CCH_H1_5_54</v>
      </c>
      <c r="AK26" s="11" t="s">
        <v>555</v>
      </c>
      <c r="AL26" s="11" t="s">
        <v>555</v>
      </c>
      <c r="AM26" s="11" t="s">
        <v>555</v>
      </c>
      <c r="AN26" s="11" t="s">
        <v>555</v>
      </c>
      <c r="AO26" s="11" t="s">
        <v>555</v>
      </c>
      <c r="AP26" s="516"/>
    </row>
    <row r="27" spans="1:42" ht="15.6" customHeight="1" x14ac:dyDescent="0.5">
      <c r="A27" s="706"/>
      <c r="B27" s="238" t="str">
        <f t="shared" si="0"/>
        <v>FortnightAcademicLevel D.1</v>
      </c>
      <c r="C27" s="238" t="s">
        <v>576</v>
      </c>
      <c r="D27" s="238" t="s">
        <v>577</v>
      </c>
      <c r="E27" s="238" t="s">
        <v>732</v>
      </c>
      <c r="F27" s="212">
        <v>180254</v>
      </c>
      <c r="G27" s="11" t="s">
        <v>555</v>
      </c>
      <c r="H27" s="439">
        <v>0</v>
      </c>
      <c r="I27" s="298"/>
      <c r="J27" s="256"/>
      <c r="K27" s="11" t="s">
        <v>555</v>
      </c>
      <c r="L27" s="232" t="s">
        <v>733</v>
      </c>
      <c r="O27" s="238" t="s">
        <v>734</v>
      </c>
      <c r="P27" s="237" t="s">
        <v>735</v>
      </c>
      <c r="T27" s="11" t="s">
        <v>555</v>
      </c>
      <c r="U27" s="232" t="s">
        <v>736</v>
      </c>
      <c r="V27" s="11" t="s">
        <v>555</v>
      </c>
      <c r="W27" s="11" t="s">
        <v>555</v>
      </c>
      <c r="X27" s="11" t="s">
        <v>555</v>
      </c>
      <c r="Y27" s="11" t="s">
        <v>555</v>
      </c>
      <c r="Z27" s="11" t="s">
        <v>555</v>
      </c>
      <c r="AA27" s="11" t="s">
        <v>555</v>
      </c>
      <c r="AB27" s="11" t="s">
        <v>555</v>
      </c>
      <c r="AC27" s="496" t="s">
        <v>934</v>
      </c>
      <c r="AD27" s="496" t="s">
        <v>935</v>
      </c>
      <c r="AE27" s="496" t="s">
        <v>644</v>
      </c>
      <c r="AF27" s="496" t="s">
        <v>645</v>
      </c>
      <c r="AG27" s="496" t="s">
        <v>646</v>
      </c>
      <c r="AH27" s="496" t="s">
        <v>647</v>
      </c>
      <c r="AI27" s="11" t="s">
        <v>555</v>
      </c>
      <c r="AJ27" s="367" t="str">
        <f t="shared" si="3"/>
        <v>CCH_H1_5_55</v>
      </c>
      <c r="AK27" s="11" t="s">
        <v>555</v>
      </c>
      <c r="AL27" s="11" t="s">
        <v>555</v>
      </c>
      <c r="AM27" s="11" t="s">
        <v>555</v>
      </c>
      <c r="AN27" s="11" t="s">
        <v>555</v>
      </c>
      <c r="AO27" s="11" t="s">
        <v>555</v>
      </c>
      <c r="AP27" s="516"/>
    </row>
    <row r="28" spans="1:42" ht="32.1" customHeight="1" x14ac:dyDescent="0.3">
      <c r="A28" s="11" t="s">
        <v>557</v>
      </c>
      <c r="B28" s="238" t="str">
        <f t="shared" si="0"/>
        <v>FortnightAcademicLevel D.2</v>
      </c>
      <c r="C28" s="238" t="s">
        <v>576</v>
      </c>
      <c r="D28" s="238" t="s">
        <v>577</v>
      </c>
      <c r="E28" s="238" t="s">
        <v>741</v>
      </c>
      <c r="F28" s="212">
        <v>186361</v>
      </c>
      <c r="G28" s="11" t="s">
        <v>555</v>
      </c>
      <c r="H28" s="232" t="s">
        <v>742</v>
      </c>
      <c r="I28" s="1188"/>
      <c r="J28" s="1187" t="s">
        <v>769</v>
      </c>
      <c r="K28" s="11" t="s">
        <v>555</v>
      </c>
      <c r="L28" s="257" t="s">
        <v>565</v>
      </c>
      <c r="M28" s="257" t="s">
        <v>733</v>
      </c>
      <c r="O28" s="238" t="s">
        <v>743</v>
      </c>
      <c r="P28" s="237" t="s">
        <v>744</v>
      </c>
      <c r="T28" s="11" t="s">
        <v>555</v>
      </c>
      <c r="U28" s="235" t="s">
        <v>568</v>
      </c>
      <c r="V28" s="235" t="s">
        <v>569</v>
      </c>
      <c r="W28" s="11" t="s">
        <v>555</v>
      </c>
      <c r="X28" s="11" t="s">
        <v>555</v>
      </c>
      <c r="Y28" s="11" t="s">
        <v>555</v>
      </c>
      <c r="Z28" s="11" t="s">
        <v>555</v>
      </c>
      <c r="AA28" s="11" t="s">
        <v>555</v>
      </c>
      <c r="AB28" s="11" t="s">
        <v>555</v>
      </c>
      <c r="AC28" s="496" t="s">
        <v>940</v>
      </c>
      <c r="AD28" s="496" t="s">
        <v>941</v>
      </c>
      <c r="AE28" s="496" t="s">
        <v>644</v>
      </c>
      <c r="AF28" s="496" t="s">
        <v>645</v>
      </c>
      <c r="AG28" s="496" t="s">
        <v>646</v>
      </c>
      <c r="AH28" s="496" t="s">
        <v>647</v>
      </c>
      <c r="AI28" s="11" t="s">
        <v>555</v>
      </c>
      <c r="AJ28" s="367" t="str">
        <f t="shared" si="3"/>
        <v>CCH_H1_5_56</v>
      </c>
      <c r="AK28" s="11" t="s">
        <v>555</v>
      </c>
      <c r="AL28" s="11" t="s">
        <v>555</v>
      </c>
      <c r="AM28" s="11" t="s">
        <v>555</v>
      </c>
      <c r="AN28" s="11" t="s">
        <v>555</v>
      </c>
      <c r="AO28" s="11" t="s">
        <v>555</v>
      </c>
      <c r="AP28" s="516"/>
    </row>
    <row r="29" spans="1:42" ht="15" customHeight="1" x14ac:dyDescent="0.3">
      <c r="A29" s="706"/>
      <c r="B29" s="238" t="str">
        <f t="shared" si="0"/>
        <v>FortnightAcademicLevel D.3</v>
      </c>
      <c r="C29" s="238" t="s">
        <v>576</v>
      </c>
      <c r="D29" s="238" t="s">
        <v>577</v>
      </c>
      <c r="E29" s="238" t="s">
        <v>745</v>
      </c>
      <c r="F29" s="212">
        <v>192466</v>
      </c>
      <c r="G29" s="11" t="s">
        <v>555</v>
      </c>
      <c r="H29" s="257" t="s">
        <v>565</v>
      </c>
      <c r="I29" s="257" t="s">
        <v>1420</v>
      </c>
      <c r="J29" s="257" t="s">
        <v>1421</v>
      </c>
      <c r="K29" s="11" t="s">
        <v>555</v>
      </c>
      <c r="L29" s="236">
        <v>2024</v>
      </c>
      <c r="M29" s="1126">
        <v>2.2000000000000002</v>
      </c>
      <c r="O29" s="238" t="s">
        <v>746</v>
      </c>
      <c r="P29" s="237" t="s">
        <v>747</v>
      </c>
      <c r="T29" s="11" t="s">
        <v>555</v>
      </c>
      <c r="U29" s="236" t="s">
        <v>581</v>
      </c>
      <c r="V29" s="239">
        <f>X22</f>
        <v>0</v>
      </c>
      <c r="W29" s="11" t="s">
        <v>555</v>
      </c>
      <c r="X29" s="11" t="s">
        <v>555</v>
      </c>
      <c r="Y29" s="11" t="s">
        <v>555</v>
      </c>
      <c r="Z29" s="11" t="s">
        <v>555</v>
      </c>
      <c r="AA29" s="11" t="s">
        <v>555</v>
      </c>
      <c r="AB29" s="11" t="s">
        <v>555</v>
      </c>
      <c r="AC29" s="496" t="s">
        <v>946</v>
      </c>
      <c r="AD29" s="496" t="s">
        <v>947</v>
      </c>
      <c r="AE29" s="496" t="s">
        <v>644</v>
      </c>
      <c r="AF29" s="496" t="s">
        <v>645</v>
      </c>
      <c r="AG29" s="496" t="s">
        <v>646</v>
      </c>
      <c r="AH29" s="496" t="s">
        <v>647</v>
      </c>
      <c r="AI29" s="11" t="s">
        <v>555</v>
      </c>
      <c r="AJ29" s="367" t="str">
        <f t="shared" si="3"/>
        <v>CCH_H1_5_57</v>
      </c>
      <c r="AK29" s="11" t="s">
        <v>555</v>
      </c>
      <c r="AL29" s="11" t="s">
        <v>555</v>
      </c>
      <c r="AM29" s="11" t="s">
        <v>555</v>
      </c>
      <c r="AN29" s="11" t="s">
        <v>555</v>
      </c>
      <c r="AO29" s="11" t="s">
        <v>555</v>
      </c>
      <c r="AP29" s="516"/>
    </row>
    <row r="30" spans="1:42" x14ac:dyDescent="0.3">
      <c r="A30" s="11" t="s">
        <v>554</v>
      </c>
      <c r="B30" s="238" t="str">
        <f t="shared" si="0"/>
        <v>FortnightAcademicLevel D.4</v>
      </c>
      <c r="C30" s="238" t="s">
        <v>576</v>
      </c>
      <c r="D30" s="238" t="s">
        <v>577</v>
      </c>
      <c r="E30" s="238" t="s">
        <v>754</v>
      </c>
      <c r="F30" s="212">
        <v>198584</v>
      </c>
      <c r="G30" s="11" t="s">
        <v>555</v>
      </c>
      <c r="H30" s="1192">
        <v>2024</v>
      </c>
      <c r="I30" s="368">
        <v>37000</v>
      </c>
      <c r="J30" s="1193"/>
      <c r="K30" s="11" t="s">
        <v>555</v>
      </c>
      <c r="L30" s="236">
        <v>2025</v>
      </c>
      <c r="M30" s="1126">
        <v>2.2000000000000002</v>
      </c>
      <c r="O30" s="238" t="s">
        <v>755</v>
      </c>
      <c r="P30" s="237" t="s">
        <v>756</v>
      </c>
      <c r="T30" s="11" t="s">
        <v>555</v>
      </c>
      <c r="U30" s="238" t="s">
        <v>593</v>
      </c>
      <c r="V30" s="243">
        <f>X23</f>
        <v>0</v>
      </c>
      <c r="W30" s="11" t="s">
        <v>555</v>
      </c>
      <c r="X30" s="11" t="s">
        <v>555</v>
      </c>
      <c r="Y30" s="11" t="s">
        <v>555</v>
      </c>
      <c r="Z30" s="11" t="s">
        <v>555</v>
      </c>
      <c r="AA30" s="11" t="s">
        <v>555</v>
      </c>
      <c r="AB30" s="11" t="s">
        <v>555</v>
      </c>
      <c r="AC30" s="496" t="s">
        <v>956</v>
      </c>
      <c r="AD30" s="496" t="s">
        <v>957</v>
      </c>
      <c r="AE30" s="496" t="s">
        <v>644</v>
      </c>
      <c r="AF30" s="496" t="s">
        <v>645</v>
      </c>
      <c r="AG30" s="496" t="s">
        <v>646</v>
      </c>
      <c r="AH30" s="496" t="s">
        <v>647</v>
      </c>
      <c r="AI30" s="11" t="s">
        <v>555</v>
      </c>
      <c r="AJ30" s="367" t="str">
        <f t="shared" si="3"/>
        <v>CCH_H1_5_60</v>
      </c>
      <c r="AK30" s="11" t="s">
        <v>555</v>
      </c>
      <c r="AL30" s="11" t="s">
        <v>555</v>
      </c>
      <c r="AM30" s="11" t="s">
        <v>555</v>
      </c>
      <c r="AN30" s="11" t="s">
        <v>555</v>
      </c>
      <c r="AO30" s="11" t="s">
        <v>555</v>
      </c>
      <c r="AP30" s="516"/>
    </row>
    <row r="31" spans="1:42" x14ac:dyDescent="0.3">
      <c r="A31" s="706"/>
      <c r="B31" s="238" t="str">
        <f t="shared" si="0"/>
        <v>FortnightAcademicLevel E.1</v>
      </c>
      <c r="C31" s="238" t="s">
        <v>576</v>
      </c>
      <c r="D31" s="238" t="s">
        <v>577</v>
      </c>
      <c r="E31" s="238" t="s">
        <v>759</v>
      </c>
      <c r="F31" s="212">
        <v>232180</v>
      </c>
      <c r="G31" s="11" t="s">
        <v>555</v>
      </c>
      <c r="H31" s="1189">
        <v>2025</v>
      </c>
      <c r="I31" s="1190">
        <v>38500</v>
      </c>
      <c r="J31" s="1191"/>
      <c r="K31" s="11" t="s">
        <v>555</v>
      </c>
      <c r="L31" s="236">
        <v>2026</v>
      </c>
      <c r="M31" s="1126">
        <v>2.2000000000000002</v>
      </c>
      <c r="O31" s="238" t="s">
        <v>760</v>
      </c>
      <c r="P31" s="237" t="s">
        <v>761</v>
      </c>
      <c r="T31" s="11" t="s">
        <v>555</v>
      </c>
      <c r="U31" s="244" t="s">
        <v>601</v>
      </c>
      <c r="V31" s="246">
        <f>X24</f>
        <v>0</v>
      </c>
      <c r="W31" s="11" t="s">
        <v>555</v>
      </c>
      <c r="X31" s="11" t="s">
        <v>555</v>
      </c>
      <c r="Y31" s="11" t="s">
        <v>555</v>
      </c>
      <c r="Z31" s="11" t="s">
        <v>555</v>
      </c>
      <c r="AA31" s="11" t="s">
        <v>555</v>
      </c>
      <c r="AB31" s="11" t="s">
        <v>555</v>
      </c>
      <c r="AC31" s="496" t="s">
        <v>963</v>
      </c>
      <c r="AD31" s="496" t="s">
        <v>964</v>
      </c>
      <c r="AE31" s="496" t="s">
        <v>644</v>
      </c>
      <c r="AF31" s="496" t="s">
        <v>645</v>
      </c>
      <c r="AG31" s="496" t="s">
        <v>646</v>
      </c>
      <c r="AH31" s="496" t="s">
        <v>647</v>
      </c>
      <c r="AI31" s="11" t="s">
        <v>555</v>
      </c>
      <c r="AJ31" s="367" t="str">
        <f t="shared" si="3"/>
        <v>CCH_H1_5_61</v>
      </c>
      <c r="AK31" s="11" t="s">
        <v>555</v>
      </c>
      <c r="AL31" s="11" t="s">
        <v>555</v>
      </c>
      <c r="AM31" s="11" t="s">
        <v>555</v>
      </c>
      <c r="AN31" s="11" t="s">
        <v>555</v>
      </c>
      <c r="AO31" s="11" t="s">
        <v>555</v>
      </c>
      <c r="AP31" s="516"/>
    </row>
    <row r="32" spans="1:42" x14ac:dyDescent="0.3">
      <c r="A32" s="11" t="s">
        <v>766</v>
      </c>
      <c r="B32" s="238" t="str">
        <f t="shared" si="0"/>
        <v>FortnightProfessionalUOM 1.1</v>
      </c>
      <c r="C32" s="238" t="s">
        <v>576</v>
      </c>
      <c r="D32" s="238" t="s">
        <v>767</v>
      </c>
      <c r="E32" s="238" t="s">
        <v>768</v>
      </c>
      <c r="F32" s="212">
        <v>60073</v>
      </c>
      <c r="G32" s="11" t="s">
        <v>555</v>
      </c>
      <c r="H32" s="1197">
        <v>2026</v>
      </c>
      <c r="I32" s="1198">
        <v>39500</v>
      </c>
      <c r="J32" s="1199">
        <v>53650</v>
      </c>
      <c r="K32" s="11" t="s">
        <v>555</v>
      </c>
      <c r="L32" s="236">
        <v>2027</v>
      </c>
      <c r="M32" s="1126">
        <v>2.2000000000000002</v>
      </c>
      <c r="O32" s="238" t="s">
        <v>770</v>
      </c>
      <c r="P32" s="237" t="s">
        <v>771</v>
      </c>
      <c r="T32" s="11" t="s">
        <v>555</v>
      </c>
      <c r="X32" s="11" t="s">
        <v>555</v>
      </c>
      <c r="Y32" s="11" t="s">
        <v>555</v>
      </c>
      <c r="Z32" s="11" t="s">
        <v>555</v>
      </c>
      <c r="AA32" s="11" t="s">
        <v>555</v>
      </c>
      <c r="AB32" s="11" t="s">
        <v>555</v>
      </c>
      <c r="AC32" s="496" t="s">
        <v>1183</v>
      </c>
      <c r="AD32" s="496" t="s">
        <v>968</v>
      </c>
      <c r="AE32" s="496" t="s">
        <v>644</v>
      </c>
      <c r="AF32" s="496" t="s">
        <v>645</v>
      </c>
      <c r="AG32" s="496" t="s">
        <v>646</v>
      </c>
      <c r="AH32" s="496" t="s">
        <v>647</v>
      </c>
      <c r="AI32" s="11" t="s">
        <v>555</v>
      </c>
      <c r="AJ32" s="367" t="str">
        <f t="shared" si="3"/>
        <v>CCH_H1_5_62</v>
      </c>
      <c r="AK32" s="11" t="s">
        <v>555</v>
      </c>
      <c r="AL32" s="11" t="s">
        <v>555</v>
      </c>
      <c r="AM32" s="11" t="s">
        <v>555</v>
      </c>
      <c r="AN32" s="11" t="s">
        <v>555</v>
      </c>
      <c r="AO32" s="11" t="s">
        <v>555</v>
      </c>
      <c r="AP32" s="516"/>
    </row>
    <row r="33" spans="1:42" x14ac:dyDescent="0.3">
      <c r="A33" s="706"/>
      <c r="B33" s="238" t="str">
        <f t="shared" ref="B33:B35" si="5">CONCATENATE(C33,D33,E33)</f>
        <v>FortnightProfessionalUOM 1.2</v>
      </c>
      <c r="C33" s="238" t="s">
        <v>576</v>
      </c>
      <c r="D33" s="238" t="s">
        <v>767</v>
      </c>
      <c r="E33" s="238" t="s">
        <v>774</v>
      </c>
      <c r="F33" s="212">
        <v>61284</v>
      </c>
      <c r="G33" s="11" t="s">
        <v>555</v>
      </c>
      <c r="H33" s="1192">
        <v>2027</v>
      </c>
      <c r="I33" s="368">
        <f>I32+0.03*I32</f>
        <v>40685</v>
      </c>
      <c r="J33" s="1193">
        <f>J32+0.03*J32</f>
        <v>55259.5</v>
      </c>
      <c r="K33" s="11" t="s">
        <v>555</v>
      </c>
      <c r="L33" s="236">
        <v>2028</v>
      </c>
      <c r="M33" s="1126">
        <v>2.2000000000000002</v>
      </c>
      <c r="O33" s="238" t="s">
        <v>775</v>
      </c>
      <c r="P33" s="237" t="s">
        <v>776</v>
      </c>
      <c r="T33" s="11" t="s">
        <v>555</v>
      </c>
      <c r="U33" s="11" t="s">
        <v>555</v>
      </c>
      <c r="V33" s="11" t="s">
        <v>555</v>
      </c>
      <c r="W33" s="11" t="s">
        <v>555</v>
      </c>
      <c r="X33" s="11" t="s">
        <v>555</v>
      </c>
      <c r="Y33" s="11" t="s">
        <v>555</v>
      </c>
      <c r="Z33" s="11" t="s">
        <v>555</v>
      </c>
      <c r="AA33" s="11" t="s">
        <v>555</v>
      </c>
      <c r="AB33" s="11" t="s">
        <v>555</v>
      </c>
      <c r="AC33" s="496" t="s">
        <v>972</v>
      </c>
      <c r="AD33" s="496" t="s">
        <v>973</v>
      </c>
      <c r="AE33" s="496" t="s">
        <v>644</v>
      </c>
      <c r="AF33" s="496" t="s">
        <v>645</v>
      </c>
      <c r="AG33" s="496" t="s">
        <v>646</v>
      </c>
      <c r="AH33" s="496" t="s">
        <v>647</v>
      </c>
      <c r="AI33" s="11" t="s">
        <v>555</v>
      </c>
      <c r="AJ33" s="367" t="str">
        <f t="shared" si="3"/>
        <v>CCH_H1_5_63</v>
      </c>
      <c r="AK33" s="11" t="s">
        <v>555</v>
      </c>
      <c r="AL33" s="11" t="s">
        <v>555</v>
      </c>
      <c r="AM33" s="11" t="s">
        <v>555</v>
      </c>
      <c r="AN33" s="11" t="s">
        <v>555</v>
      </c>
      <c r="AO33" s="11" t="s">
        <v>555</v>
      </c>
      <c r="AP33" s="516"/>
    </row>
    <row r="34" spans="1:42" ht="15.6" x14ac:dyDescent="0.3">
      <c r="A34" s="11" t="s">
        <v>779</v>
      </c>
      <c r="B34" s="238" t="str">
        <f t="shared" si="5"/>
        <v>FortnightProfessionalUOM 1.3</v>
      </c>
      <c r="C34" s="238" t="s">
        <v>576</v>
      </c>
      <c r="D34" s="238" t="s">
        <v>767</v>
      </c>
      <c r="E34" s="238" t="s">
        <v>780</v>
      </c>
      <c r="F34" s="212">
        <v>62501</v>
      </c>
      <c r="G34" s="11" t="s">
        <v>555</v>
      </c>
      <c r="H34" s="1192">
        <v>2028</v>
      </c>
      <c r="I34" s="368">
        <f t="shared" ref="I34:I38" si="6">I33+0.03*I33</f>
        <v>41905.550000000003</v>
      </c>
      <c r="J34" s="1193">
        <f t="shared" ref="J34:J38" si="7">J33+0.03*J33</f>
        <v>56917.285000000003</v>
      </c>
      <c r="K34" s="11" t="s">
        <v>555</v>
      </c>
      <c r="L34" s="236">
        <v>2029</v>
      </c>
      <c r="M34" s="1126">
        <v>2.2000000000000002</v>
      </c>
      <c r="O34" s="238" t="s">
        <v>781</v>
      </c>
      <c r="P34" s="237" t="s">
        <v>782</v>
      </c>
      <c r="T34" s="11" t="s">
        <v>555</v>
      </c>
      <c r="U34" s="258" t="s">
        <v>653</v>
      </c>
      <c r="V34" s="11" t="s">
        <v>555</v>
      </c>
      <c r="W34" s="11" t="s">
        <v>555</v>
      </c>
      <c r="X34" s="11" t="s">
        <v>555</v>
      </c>
      <c r="Y34" s="11" t="s">
        <v>555</v>
      </c>
      <c r="Z34" s="11" t="s">
        <v>555</v>
      </c>
      <c r="AA34" s="11" t="s">
        <v>555</v>
      </c>
      <c r="AB34" s="11" t="s">
        <v>555</v>
      </c>
      <c r="AC34" s="496" t="s">
        <v>978</v>
      </c>
      <c r="AD34" s="496" t="s">
        <v>979</v>
      </c>
      <c r="AE34" s="496" t="s">
        <v>980</v>
      </c>
      <c r="AF34" s="496" t="s">
        <v>981</v>
      </c>
      <c r="AG34" s="496" t="s">
        <v>646</v>
      </c>
      <c r="AH34" s="496" t="s">
        <v>647</v>
      </c>
      <c r="AI34" s="11" t="s">
        <v>555</v>
      </c>
      <c r="AJ34" s="367" t="str">
        <f t="shared" si="3"/>
        <v>CCH_H1_5_65</v>
      </c>
      <c r="AK34" s="11" t="s">
        <v>555</v>
      </c>
      <c r="AL34" s="11" t="s">
        <v>555</v>
      </c>
      <c r="AM34" s="11" t="s">
        <v>555</v>
      </c>
      <c r="AN34" s="11" t="s">
        <v>555</v>
      </c>
      <c r="AO34" s="11" t="s">
        <v>555</v>
      </c>
      <c r="AP34" s="516"/>
    </row>
    <row r="35" spans="1:42" x14ac:dyDescent="0.3">
      <c r="B35" s="238" t="str">
        <f t="shared" si="5"/>
        <v>FortnightProfessionalUOM 2.1</v>
      </c>
      <c r="C35" s="238" t="s">
        <v>576</v>
      </c>
      <c r="D35" s="238" t="s">
        <v>767</v>
      </c>
      <c r="E35" s="238" t="s">
        <v>785</v>
      </c>
      <c r="F35" s="212">
        <v>65189</v>
      </c>
      <c r="G35" s="11" t="s">
        <v>555</v>
      </c>
      <c r="H35" s="1192">
        <v>2029</v>
      </c>
      <c r="I35" s="368">
        <f t="shared" si="6"/>
        <v>43162.716500000002</v>
      </c>
      <c r="J35" s="1193">
        <f t="shared" si="7"/>
        <v>58624.803550000004</v>
      </c>
      <c r="K35" s="11" t="s">
        <v>555</v>
      </c>
      <c r="L35" s="481">
        <v>2030</v>
      </c>
      <c r="M35" s="1127">
        <v>2.2000000000000002</v>
      </c>
      <c r="O35" s="238" t="s">
        <v>786</v>
      </c>
      <c r="P35" s="237" t="s">
        <v>787</v>
      </c>
      <c r="T35" s="11" t="s">
        <v>555</v>
      </c>
      <c r="U35" s="235" t="s">
        <v>788</v>
      </c>
      <c r="V35" s="235" t="s">
        <v>789</v>
      </c>
      <c r="W35" s="235" t="s">
        <v>790</v>
      </c>
      <c r="X35" s="235" t="s">
        <v>791</v>
      </c>
      <c r="Y35" s="235" t="s">
        <v>792</v>
      </c>
      <c r="Z35" s="11" t="s">
        <v>555</v>
      </c>
      <c r="AA35" s="11" t="s">
        <v>555</v>
      </c>
      <c r="AB35" s="11" t="s">
        <v>555</v>
      </c>
      <c r="AC35" s="496" t="s">
        <v>984</v>
      </c>
      <c r="AD35" s="496" t="s">
        <v>985</v>
      </c>
      <c r="AE35" s="496" t="s">
        <v>986</v>
      </c>
      <c r="AF35" s="496" t="s">
        <v>987</v>
      </c>
      <c r="AG35" s="496" t="s">
        <v>646</v>
      </c>
      <c r="AH35" s="496" t="s">
        <v>647</v>
      </c>
      <c r="AI35" s="11" t="s">
        <v>555</v>
      </c>
      <c r="AJ35" s="367" t="str">
        <f t="shared" si="3"/>
        <v>CCH_H1_5_66</v>
      </c>
      <c r="AK35" s="11" t="s">
        <v>555</v>
      </c>
      <c r="AL35" s="11" t="s">
        <v>555</v>
      </c>
      <c r="AM35" s="11" t="s">
        <v>555</v>
      </c>
      <c r="AN35" s="11" t="s">
        <v>555</v>
      </c>
      <c r="AO35" s="11" t="s">
        <v>555</v>
      </c>
      <c r="AP35" s="516"/>
    </row>
    <row r="36" spans="1:42" x14ac:dyDescent="0.3">
      <c r="B36" s="238" t="str">
        <f t="shared" ref="B36:B48" si="8">CONCATENATE(C36,D36,E36)</f>
        <v>FortnightProfessionalUOM 2.2</v>
      </c>
      <c r="C36" s="238" t="s">
        <v>576</v>
      </c>
      <c r="D36" s="238" t="s">
        <v>767</v>
      </c>
      <c r="E36" s="238" t="s">
        <v>795</v>
      </c>
      <c r="F36" s="212">
        <v>66494</v>
      </c>
      <c r="G36" s="11" t="s">
        <v>555</v>
      </c>
      <c r="H36" s="1192">
        <v>2030</v>
      </c>
      <c r="I36" s="368">
        <f t="shared" si="6"/>
        <v>44457.597995000004</v>
      </c>
      <c r="J36" s="1193">
        <f t="shared" si="7"/>
        <v>60383.547656500006</v>
      </c>
      <c r="K36" s="11" t="s">
        <v>555</v>
      </c>
      <c r="O36" s="238" t="s">
        <v>796</v>
      </c>
      <c r="P36" s="237" t="s">
        <v>797</v>
      </c>
      <c r="T36" s="11" t="s">
        <v>555</v>
      </c>
      <c r="U36" s="236" t="s">
        <v>23</v>
      </c>
      <c r="V36" s="259" t="s">
        <v>474</v>
      </c>
      <c r="W36" s="260" t="s">
        <v>497</v>
      </c>
      <c r="X36" s="236">
        <v>1</v>
      </c>
      <c r="Y36" s="236">
        <v>1</v>
      </c>
      <c r="Z36" s="11" t="s">
        <v>555</v>
      </c>
      <c r="AA36" s="11" t="s">
        <v>555</v>
      </c>
      <c r="AB36" s="11" t="s">
        <v>555</v>
      </c>
      <c r="AC36" s="496" t="s">
        <v>995</v>
      </c>
      <c r="AD36" s="496" t="s">
        <v>996</v>
      </c>
      <c r="AE36" s="496" t="s">
        <v>986</v>
      </c>
      <c r="AF36" s="496" t="s">
        <v>987</v>
      </c>
      <c r="AG36" s="496" t="s">
        <v>646</v>
      </c>
      <c r="AH36" s="496" t="s">
        <v>647</v>
      </c>
      <c r="AI36" s="11" t="s">
        <v>555</v>
      </c>
      <c r="AJ36" s="367" t="str">
        <f t="shared" si="3"/>
        <v>CCH_H1_5_69</v>
      </c>
      <c r="AK36" s="11" t="s">
        <v>555</v>
      </c>
      <c r="AL36" s="11" t="s">
        <v>555</v>
      </c>
      <c r="AM36" s="11" t="s">
        <v>555</v>
      </c>
      <c r="AN36" s="11" t="s">
        <v>555</v>
      </c>
      <c r="AO36" s="11" t="s">
        <v>555</v>
      </c>
      <c r="AP36" s="516"/>
    </row>
    <row r="37" spans="1:42" ht="15.6" x14ac:dyDescent="0.3">
      <c r="B37" s="238" t="str">
        <f t="shared" si="8"/>
        <v>FortnightProfessionalUOM 2.3</v>
      </c>
      <c r="C37" s="238" t="s">
        <v>576</v>
      </c>
      <c r="D37" s="238" t="s">
        <v>767</v>
      </c>
      <c r="E37" s="238" t="s">
        <v>798</v>
      </c>
      <c r="F37" s="263">
        <v>67825</v>
      </c>
      <c r="G37" s="11" t="s">
        <v>555</v>
      </c>
      <c r="H37" s="1192">
        <v>2031</v>
      </c>
      <c r="I37" s="368">
        <f t="shared" si="6"/>
        <v>45791.325934850007</v>
      </c>
      <c r="J37" s="1193">
        <f t="shared" si="7"/>
        <v>62195.054086195007</v>
      </c>
      <c r="K37" s="11" t="s">
        <v>555</v>
      </c>
      <c r="L37" s="232" t="s">
        <v>733</v>
      </c>
      <c r="O37" s="238" t="s">
        <v>799</v>
      </c>
      <c r="P37" s="237" t="s">
        <v>800</v>
      </c>
      <c r="T37" s="11" t="s">
        <v>555</v>
      </c>
      <c r="U37" s="238" t="s">
        <v>801</v>
      </c>
      <c r="V37" s="261" t="s">
        <v>802</v>
      </c>
      <c r="W37" s="262" t="s">
        <v>504</v>
      </c>
      <c r="X37" s="238">
        <f>VLOOKUP(W37,'Currency Rates'!A:C,2,FALSE)</f>
        <v>0.244783</v>
      </c>
      <c r="Y37" s="238">
        <f>VLOOKUP(W37,'Currency Rates'!A:C,3,FALSE)</f>
        <v>4.0852550000000001</v>
      </c>
      <c r="Z37" s="11" t="s">
        <v>555</v>
      </c>
      <c r="AA37" s="11" t="s">
        <v>555</v>
      </c>
      <c r="AB37" s="11" t="s">
        <v>555</v>
      </c>
      <c r="AC37" s="496" t="s">
        <v>999</v>
      </c>
      <c r="AD37" s="496" t="s">
        <v>1000</v>
      </c>
      <c r="AE37" s="496" t="s">
        <v>986</v>
      </c>
      <c r="AF37" s="496" t="s">
        <v>987</v>
      </c>
      <c r="AG37" s="496" t="s">
        <v>646</v>
      </c>
      <c r="AH37" s="496" t="s">
        <v>647</v>
      </c>
      <c r="AI37" s="11" t="s">
        <v>555</v>
      </c>
      <c r="AJ37" s="367" t="str">
        <f t="shared" si="3"/>
        <v>CCH_H1_5_70</v>
      </c>
      <c r="AK37" s="11" t="s">
        <v>555</v>
      </c>
      <c r="AL37" s="11" t="s">
        <v>555</v>
      </c>
      <c r="AM37" s="11" t="s">
        <v>555</v>
      </c>
      <c r="AN37" s="11" t="s">
        <v>555</v>
      </c>
      <c r="AO37" s="11" t="s">
        <v>555</v>
      </c>
      <c r="AP37" s="516"/>
    </row>
    <row r="38" spans="1:42" x14ac:dyDescent="0.3">
      <c r="A38" s="706"/>
      <c r="B38" s="238" t="str">
        <f t="shared" si="8"/>
        <v>FortnightProfessionalUOM 3.1</v>
      </c>
      <c r="C38" s="238" t="s">
        <v>576</v>
      </c>
      <c r="D38" s="238" t="s">
        <v>767</v>
      </c>
      <c r="E38" s="238" t="s">
        <v>803</v>
      </c>
      <c r="F38" s="212">
        <v>68190</v>
      </c>
      <c r="G38" s="11" t="s">
        <v>555</v>
      </c>
      <c r="H38" s="1194">
        <v>2032</v>
      </c>
      <c r="I38" s="1195">
        <f t="shared" si="6"/>
        <v>47165.065712895506</v>
      </c>
      <c r="J38" s="1196">
        <f t="shared" si="7"/>
        <v>64060.905708780854</v>
      </c>
      <c r="K38" s="11" t="s">
        <v>555</v>
      </c>
      <c r="L38" s="1529"/>
      <c r="M38" s="1530"/>
      <c r="O38" s="238" t="s">
        <v>804</v>
      </c>
      <c r="P38" s="237" t="s">
        <v>805</v>
      </c>
      <c r="T38" s="11" t="s">
        <v>555</v>
      </c>
      <c r="U38" s="238" t="s">
        <v>806</v>
      </c>
      <c r="V38" s="261" t="s">
        <v>473</v>
      </c>
      <c r="W38" s="262" t="s">
        <v>509</v>
      </c>
      <c r="X38" s="238">
        <f>VLOOKUP(W38,'Currency Rates'!A:C,2,FALSE)</f>
        <v>0.89807199999999998</v>
      </c>
      <c r="Y38" s="238">
        <f>VLOOKUP(W38,'Currency Rates'!A:C,3,FALSE)</f>
        <v>1.113497</v>
      </c>
      <c r="Z38" s="11" t="s">
        <v>555</v>
      </c>
      <c r="AA38" s="11" t="s">
        <v>555</v>
      </c>
      <c r="AB38" s="11" t="s">
        <v>555</v>
      </c>
      <c r="AC38" s="496" t="s">
        <v>1002</v>
      </c>
      <c r="AD38" s="496" t="s">
        <v>1003</v>
      </c>
      <c r="AE38" s="496" t="s">
        <v>986</v>
      </c>
      <c r="AF38" s="496" t="s">
        <v>987</v>
      </c>
      <c r="AG38" s="496" t="s">
        <v>646</v>
      </c>
      <c r="AH38" s="496" t="s">
        <v>647</v>
      </c>
      <c r="AI38" s="11" t="s">
        <v>555</v>
      </c>
      <c r="AJ38" s="367" t="str">
        <f t="shared" si="3"/>
        <v>CCH_H1_5_71</v>
      </c>
      <c r="AK38" s="11" t="s">
        <v>555</v>
      </c>
      <c r="AL38" s="11" t="s">
        <v>555</v>
      </c>
      <c r="AM38" s="11" t="s">
        <v>555</v>
      </c>
      <c r="AN38" s="11" t="s">
        <v>555</v>
      </c>
      <c r="AO38" s="11" t="s">
        <v>555</v>
      </c>
      <c r="AP38" s="516"/>
    </row>
    <row r="39" spans="1:42" x14ac:dyDescent="0.3">
      <c r="A39" s="706"/>
      <c r="B39" s="238" t="str">
        <f t="shared" si="8"/>
        <v>FortnightProfessionalUOM 3.2</v>
      </c>
      <c r="C39" s="238" t="s">
        <v>576</v>
      </c>
      <c r="D39" s="238" t="s">
        <v>767</v>
      </c>
      <c r="E39" s="238" t="s">
        <v>813</v>
      </c>
      <c r="F39" s="212">
        <v>69557</v>
      </c>
      <c r="G39" s="11" t="s">
        <v>555</v>
      </c>
      <c r="H39" s="11" t="s">
        <v>555</v>
      </c>
      <c r="I39" s="11" t="s">
        <v>555</v>
      </c>
      <c r="J39" s="11" t="s">
        <v>555</v>
      </c>
      <c r="K39" s="11" t="s">
        <v>555</v>
      </c>
      <c r="L39" s="1525">
        <f>_xlfn.IFNA(VLOOKUP('PART A Project Details'!C24,'MASTER Lookup Tables'!L29:M35,2,FALSE),'MASTER Lookup Tables'!M35)</f>
        <v>2.2000000000000002</v>
      </c>
      <c r="M39" s="1525"/>
      <c r="O39" s="238" t="s">
        <v>814</v>
      </c>
      <c r="P39" s="237" t="s">
        <v>815</v>
      </c>
      <c r="T39" s="11" t="s">
        <v>555</v>
      </c>
      <c r="U39" s="238" t="s">
        <v>658</v>
      </c>
      <c r="V39" s="261" t="s">
        <v>816</v>
      </c>
      <c r="W39" s="262" t="s">
        <v>546</v>
      </c>
      <c r="X39" s="238">
        <f>VLOOKUP(W39,'Currency Rates'!A:C,2,FALSE)</f>
        <v>0.52483999999999997</v>
      </c>
      <c r="Y39" s="238">
        <f>VLOOKUP(W39,'Currency Rates'!A:C,3,FALSE)</f>
        <v>1.905343</v>
      </c>
      <c r="Z39" s="11" t="s">
        <v>555</v>
      </c>
      <c r="AA39" s="11" t="s">
        <v>555</v>
      </c>
      <c r="AB39" s="11" t="s">
        <v>555</v>
      </c>
      <c r="AC39" s="496" t="s">
        <v>1184</v>
      </c>
      <c r="AD39" s="496" t="s">
        <v>1005</v>
      </c>
      <c r="AE39" s="496" t="s">
        <v>986</v>
      </c>
      <c r="AF39" s="496" t="s">
        <v>987</v>
      </c>
      <c r="AG39" s="496" t="s">
        <v>646</v>
      </c>
      <c r="AH39" s="496" t="s">
        <v>647</v>
      </c>
      <c r="AI39" s="11" t="s">
        <v>555</v>
      </c>
      <c r="AJ39" s="367" t="str">
        <f t="shared" si="3"/>
        <v>CCH_H1_5_72</v>
      </c>
      <c r="AK39" s="11" t="s">
        <v>555</v>
      </c>
      <c r="AL39" s="11" t="s">
        <v>555</v>
      </c>
      <c r="AM39" s="11" t="s">
        <v>555</v>
      </c>
      <c r="AN39" s="11" t="s">
        <v>555</v>
      </c>
      <c r="AO39" s="11" t="s">
        <v>555</v>
      </c>
      <c r="AP39" s="516"/>
    </row>
    <row r="40" spans="1:42" x14ac:dyDescent="0.3">
      <c r="B40" s="238" t="str">
        <f t="shared" si="8"/>
        <v>FortnightProfessionalUOM 3.3</v>
      </c>
      <c r="C40" s="238" t="s">
        <v>576</v>
      </c>
      <c r="D40" s="238" t="s">
        <v>767</v>
      </c>
      <c r="E40" s="238" t="s">
        <v>819</v>
      </c>
      <c r="F40" s="212">
        <v>70943</v>
      </c>
      <c r="G40" s="298" t="s">
        <v>555</v>
      </c>
      <c r="H40" s="389"/>
      <c r="I40" s="390"/>
      <c r="J40" s="386"/>
      <c r="K40" s="298" t="s">
        <v>555</v>
      </c>
      <c r="L40" s="298" t="s">
        <v>555</v>
      </c>
      <c r="M40" s="298" t="s">
        <v>555</v>
      </c>
      <c r="O40" s="238" t="s">
        <v>820</v>
      </c>
      <c r="P40" s="237" t="s">
        <v>821</v>
      </c>
      <c r="T40" s="11" t="s">
        <v>555</v>
      </c>
      <c r="U40" s="238" t="s">
        <v>663</v>
      </c>
      <c r="V40" s="261" t="s">
        <v>822</v>
      </c>
      <c r="W40" s="262" t="s">
        <v>511</v>
      </c>
      <c r="X40" s="238">
        <f>VLOOKUP(W40,'Currency Rates'!A:C,2,FALSE)</f>
        <v>4.675935</v>
      </c>
      <c r="Y40" s="238">
        <f>VLOOKUP(W40,'Currency Rates'!A:C,3,FALSE)</f>
        <v>0.213861</v>
      </c>
      <c r="Z40" s="11" t="s">
        <v>555</v>
      </c>
      <c r="AA40" s="11" t="s">
        <v>555</v>
      </c>
      <c r="AB40" s="11" t="s">
        <v>555</v>
      </c>
      <c r="AC40" s="496" t="s">
        <v>1006</v>
      </c>
      <c r="AD40" s="496" t="s">
        <v>1007</v>
      </c>
      <c r="AE40" s="496" t="s">
        <v>986</v>
      </c>
      <c r="AF40" s="496" t="s">
        <v>987</v>
      </c>
      <c r="AG40" s="496" t="s">
        <v>646</v>
      </c>
      <c r="AH40" s="496" t="s">
        <v>647</v>
      </c>
      <c r="AI40" s="11" t="s">
        <v>555</v>
      </c>
      <c r="AJ40" s="367" t="str">
        <f t="shared" si="3"/>
        <v>CCH_H1_5_73</v>
      </c>
      <c r="AK40" s="11" t="s">
        <v>555</v>
      </c>
      <c r="AL40" s="11" t="s">
        <v>555</v>
      </c>
      <c r="AM40" s="11" t="s">
        <v>555</v>
      </c>
      <c r="AN40" s="11" t="s">
        <v>555</v>
      </c>
      <c r="AO40" s="11" t="s">
        <v>555</v>
      </c>
      <c r="AP40" s="516"/>
    </row>
    <row r="41" spans="1:42" ht="15.6" x14ac:dyDescent="0.3">
      <c r="B41" s="238" t="str">
        <f t="shared" si="8"/>
        <v>FortnightProfessionalUOM 3.4</v>
      </c>
      <c r="C41" s="238" t="s">
        <v>576</v>
      </c>
      <c r="D41" s="238" t="s">
        <v>767</v>
      </c>
      <c r="E41" s="238" t="s">
        <v>827</v>
      </c>
      <c r="F41" s="212">
        <v>72363</v>
      </c>
      <c r="G41" s="298" t="s">
        <v>555</v>
      </c>
      <c r="H41" s="408" t="s">
        <v>828</v>
      </c>
      <c r="I41" s="390"/>
      <c r="J41" s="386"/>
      <c r="K41" s="298" t="s">
        <v>555</v>
      </c>
      <c r="L41" s="298" t="s">
        <v>555</v>
      </c>
      <c r="M41" s="298" t="s">
        <v>555</v>
      </c>
      <c r="O41" s="238"/>
      <c r="P41" s="237"/>
      <c r="R41" s="249"/>
      <c r="S41" s="249"/>
      <c r="T41" s="11" t="s">
        <v>555</v>
      </c>
      <c r="U41" s="238" t="s">
        <v>829</v>
      </c>
      <c r="V41" s="261" t="s">
        <v>830</v>
      </c>
      <c r="W41" s="262" t="s">
        <v>514</v>
      </c>
      <c r="X41" s="238">
        <f>VLOOKUP(W41,'Currency Rates'!A:C,2,FALSE)</f>
        <v>4.1612609999999997</v>
      </c>
      <c r="Y41" s="238">
        <f>VLOOKUP(W41,'Currency Rates'!A:C,3,FALSE)</f>
        <v>0.240312</v>
      </c>
      <c r="Z41" s="11" t="s">
        <v>555</v>
      </c>
      <c r="AA41" s="11" t="s">
        <v>555</v>
      </c>
      <c r="AB41" s="11" t="s">
        <v>555</v>
      </c>
      <c r="AC41" s="496" t="s">
        <v>1008</v>
      </c>
      <c r="AD41" s="496" t="s">
        <v>1009</v>
      </c>
      <c r="AE41" s="496" t="s">
        <v>986</v>
      </c>
      <c r="AF41" s="496" t="s">
        <v>987</v>
      </c>
      <c r="AG41" s="496" t="s">
        <v>646</v>
      </c>
      <c r="AH41" s="496" t="s">
        <v>647</v>
      </c>
      <c r="AI41" s="11" t="s">
        <v>555</v>
      </c>
      <c r="AJ41" s="367" t="str">
        <f t="shared" si="3"/>
        <v>CCH_H1_5_74</v>
      </c>
      <c r="AK41" s="11" t="s">
        <v>555</v>
      </c>
      <c r="AL41" s="11" t="s">
        <v>555</v>
      </c>
      <c r="AM41" s="11" t="s">
        <v>555</v>
      </c>
      <c r="AN41" s="11" t="s">
        <v>555</v>
      </c>
      <c r="AO41" s="11" t="s">
        <v>555</v>
      </c>
      <c r="AP41" s="516"/>
    </row>
    <row r="42" spans="1:42" x14ac:dyDescent="0.3">
      <c r="B42" s="238" t="str">
        <f t="shared" si="8"/>
        <v>FortnightProfessionalUOM 3.5</v>
      </c>
      <c r="C42" s="238" t="s">
        <v>576</v>
      </c>
      <c r="D42" s="238" t="s">
        <v>767</v>
      </c>
      <c r="E42" s="238" t="s">
        <v>833</v>
      </c>
      <c r="F42" s="212">
        <v>73814</v>
      </c>
      <c r="G42" s="298" t="s">
        <v>555</v>
      </c>
      <c r="H42" s="235" t="s">
        <v>834</v>
      </c>
      <c r="I42" s="295" t="s">
        <v>314</v>
      </c>
      <c r="J42" s="386"/>
      <c r="K42" s="298" t="s">
        <v>555</v>
      </c>
      <c r="L42" s="298" t="s">
        <v>555</v>
      </c>
      <c r="M42" s="298" t="s">
        <v>555</v>
      </c>
      <c r="O42" s="238"/>
      <c r="P42" s="237"/>
      <c r="R42" s="11" t="s">
        <v>555</v>
      </c>
      <c r="T42" s="11" t="s">
        <v>555</v>
      </c>
      <c r="U42" s="238" t="s">
        <v>669</v>
      </c>
      <c r="V42" s="261" t="s">
        <v>835</v>
      </c>
      <c r="W42" s="262" t="s">
        <v>515</v>
      </c>
      <c r="X42" s="238">
        <f>VLOOKUP(W42,'Currency Rates'!A:C,2,FALSE)</f>
        <v>0.55753699999999995</v>
      </c>
      <c r="Y42" s="238">
        <f>VLOOKUP(W42,'Currency Rates'!A:C,3,FALSE)</f>
        <v>1.793604</v>
      </c>
      <c r="Z42" s="11" t="s">
        <v>555</v>
      </c>
      <c r="AA42" s="11" t="s">
        <v>555</v>
      </c>
      <c r="AB42" s="11" t="s">
        <v>555</v>
      </c>
      <c r="AC42" s="496" t="s">
        <v>1010</v>
      </c>
      <c r="AD42" s="496" t="s">
        <v>1011</v>
      </c>
      <c r="AE42" s="496" t="s">
        <v>986</v>
      </c>
      <c r="AF42" s="496" t="s">
        <v>987</v>
      </c>
      <c r="AG42" s="496" t="s">
        <v>646</v>
      </c>
      <c r="AH42" s="496" t="s">
        <v>647</v>
      </c>
      <c r="AI42" s="11" t="s">
        <v>555</v>
      </c>
      <c r="AJ42" s="367" t="str">
        <f t="shared" si="3"/>
        <v>CCH_H1_5_75</v>
      </c>
      <c r="AK42" s="11" t="s">
        <v>555</v>
      </c>
      <c r="AL42" s="11" t="s">
        <v>555</v>
      </c>
      <c r="AM42" s="11" t="s">
        <v>555</v>
      </c>
      <c r="AN42" s="11" t="s">
        <v>555</v>
      </c>
      <c r="AO42" s="11" t="s">
        <v>555</v>
      </c>
      <c r="AP42" s="516"/>
    </row>
    <row r="43" spans="1:42" ht="15.6" x14ac:dyDescent="0.3">
      <c r="B43" s="238" t="str">
        <f t="shared" si="8"/>
        <v>FortnightProfessionalUOM 3.6</v>
      </c>
      <c r="C43" s="238" t="s">
        <v>576</v>
      </c>
      <c r="D43" s="238" t="s">
        <v>767</v>
      </c>
      <c r="E43" s="238" t="s">
        <v>840</v>
      </c>
      <c r="F43" s="212">
        <v>75289</v>
      </c>
      <c r="G43" s="298"/>
      <c r="H43" s="385" t="s">
        <v>581</v>
      </c>
      <c r="I43" s="423">
        <v>0.17</v>
      </c>
      <c r="J43" s="386"/>
      <c r="K43" s="298" t="s">
        <v>555</v>
      </c>
      <c r="L43" s="298" t="s">
        <v>555</v>
      </c>
      <c r="M43" s="298" t="s">
        <v>555</v>
      </c>
      <c r="O43" s="238"/>
      <c r="P43" s="237"/>
      <c r="R43" s="232" t="s">
        <v>841</v>
      </c>
      <c r="S43" s="232"/>
      <c r="T43" s="11" t="s">
        <v>555</v>
      </c>
      <c r="U43" s="238" t="s">
        <v>674</v>
      </c>
      <c r="V43" s="261" t="s">
        <v>842</v>
      </c>
      <c r="W43" s="262" t="s">
        <v>552</v>
      </c>
      <c r="X43" s="238">
        <f>VLOOKUP(W43,'Currency Rates'!A:C,2,FALSE)</f>
        <v>0.48031800000000002</v>
      </c>
      <c r="Y43" s="238">
        <f>VLOOKUP(W43,'Currency Rates'!A:C,3,FALSE)</f>
        <v>2.0819540000000001</v>
      </c>
      <c r="Z43" s="11" t="s">
        <v>555</v>
      </c>
      <c r="AA43" s="11" t="s">
        <v>555</v>
      </c>
      <c r="AB43" s="11" t="s">
        <v>555</v>
      </c>
      <c r="AC43" s="496" t="s">
        <v>1141</v>
      </c>
      <c r="AD43" s="496" t="s">
        <v>1012</v>
      </c>
      <c r="AE43" s="496" t="s">
        <v>986</v>
      </c>
      <c r="AF43" s="496" t="s">
        <v>987</v>
      </c>
      <c r="AG43" s="496" t="s">
        <v>646</v>
      </c>
      <c r="AH43" s="496" t="s">
        <v>647</v>
      </c>
      <c r="AI43" s="11" t="s">
        <v>555</v>
      </c>
      <c r="AJ43" s="367" t="str">
        <f t="shared" si="3"/>
        <v>CCH_H1_5_76</v>
      </c>
      <c r="AK43" s="11" t="s">
        <v>555</v>
      </c>
      <c r="AL43" s="11" t="s">
        <v>555</v>
      </c>
      <c r="AM43" s="11" t="s">
        <v>555</v>
      </c>
      <c r="AN43" s="11" t="s">
        <v>555</v>
      </c>
      <c r="AO43" s="11" t="s">
        <v>555</v>
      </c>
      <c r="AP43" s="516"/>
    </row>
    <row r="44" spans="1:42" x14ac:dyDescent="0.3">
      <c r="B44" s="238" t="str">
        <f t="shared" si="8"/>
        <v>FortnightProfessionalUOM 4.1</v>
      </c>
      <c r="C44" s="238" t="s">
        <v>576</v>
      </c>
      <c r="D44" s="238" t="s">
        <v>767</v>
      </c>
      <c r="E44" s="238" t="s">
        <v>847</v>
      </c>
      <c r="F44" s="212">
        <v>78824</v>
      </c>
      <c r="G44" s="298"/>
      <c r="H44" s="387" t="s">
        <v>593</v>
      </c>
      <c r="I44" s="424">
        <v>0.17</v>
      </c>
      <c r="J44" s="386"/>
      <c r="K44" s="298" t="s">
        <v>555</v>
      </c>
      <c r="L44" s="298" t="s">
        <v>555</v>
      </c>
      <c r="M44" s="298" t="s">
        <v>555</v>
      </c>
      <c r="O44" s="238"/>
      <c r="P44" s="237"/>
      <c r="R44" s="235" t="s">
        <v>848</v>
      </c>
      <c r="S44" s="378"/>
      <c r="T44" s="11" t="s">
        <v>555</v>
      </c>
      <c r="U44" s="238" t="s">
        <v>679</v>
      </c>
      <c r="V44" s="261" t="s">
        <v>849</v>
      </c>
      <c r="W44" s="262" t="s">
        <v>516</v>
      </c>
      <c r="X44" s="238">
        <f>VLOOKUP(W44,'Currency Rates'!A:C,2,FALSE)</f>
        <v>5.0895210000000004</v>
      </c>
      <c r="Y44" s="238">
        <f>VLOOKUP(W44,'Currency Rates'!A:C,3,FALSE)</f>
        <v>0.19648199999999999</v>
      </c>
      <c r="Z44" s="11" t="s">
        <v>555</v>
      </c>
      <c r="AA44" s="11" t="s">
        <v>555</v>
      </c>
      <c r="AB44" s="11" t="s">
        <v>555</v>
      </c>
      <c r="AC44" s="496" t="s">
        <v>1013</v>
      </c>
      <c r="AD44" s="496" t="s">
        <v>1014</v>
      </c>
      <c r="AE44" s="496" t="s">
        <v>986</v>
      </c>
      <c r="AF44" s="496" t="s">
        <v>987</v>
      </c>
      <c r="AG44" s="496" t="s">
        <v>646</v>
      </c>
      <c r="AH44" s="496" t="s">
        <v>647</v>
      </c>
      <c r="AI44" s="11" t="s">
        <v>555</v>
      </c>
      <c r="AJ44" s="367" t="str">
        <f t="shared" si="3"/>
        <v>CCH_H1_5_77</v>
      </c>
      <c r="AK44" s="11" t="s">
        <v>555</v>
      </c>
      <c r="AL44" s="11" t="s">
        <v>555</v>
      </c>
      <c r="AM44" s="11" t="s">
        <v>555</v>
      </c>
      <c r="AN44" s="11" t="s">
        <v>555</v>
      </c>
      <c r="AO44" s="11" t="s">
        <v>555</v>
      </c>
      <c r="AP44" s="516"/>
    </row>
    <row r="45" spans="1:42" x14ac:dyDescent="0.3">
      <c r="B45" s="238" t="str">
        <f t="shared" si="8"/>
        <v>FortnightProfessionalUOM 4.2</v>
      </c>
      <c r="C45" s="238" t="s">
        <v>576</v>
      </c>
      <c r="D45" s="238" t="s">
        <v>767</v>
      </c>
      <c r="E45" s="238" t="s">
        <v>852</v>
      </c>
      <c r="F45" s="212">
        <v>80403</v>
      </c>
      <c r="G45" s="298"/>
      <c r="H45" s="388" t="s">
        <v>601</v>
      </c>
      <c r="I45" s="424">
        <v>0.12</v>
      </c>
      <c r="J45" s="386"/>
      <c r="K45" s="298" t="s">
        <v>555</v>
      </c>
      <c r="L45" s="298"/>
      <c r="M45" s="298"/>
      <c r="O45" s="238"/>
      <c r="P45" s="237"/>
      <c r="R45" s="238"/>
      <c r="S45" s="249"/>
      <c r="T45" s="11" t="s">
        <v>555</v>
      </c>
      <c r="U45" s="238" t="s">
        <v>684</v>
      </c>
      <c r="V45" s="261" t="s">
        <v>853</v>
      </c>
      <c r="W45" s="262" t="s">
        <v>520</v>
      </c>
      <c r="X45" s="238">
        <f>VLOOKUP(W45,'Currency Rates'!A:C,2,FALSE)</f>
        <v>10525.049333000001</v>
      </c>
      <c r="Y45" s="238">
        <f>VLOOKUP(W45,'Currency Rates'!A:C,3,FALSE)</f>
        <v>9.5000000000000005E-5</v>
      </c>
      <c r="Z45" s="11" t="s">
        <v>555</v>
      </c>
      <c r="AA45" s="11" t="s">
        <v>555</v>
      </c>
      <c r="AB45" s="11" t="s">
        <v>555</v>
      </c>
      <c r="AC45" s="496" t="s">
        <v>1015</v>
      </c>
      <c r="AD45" s="496" t="s">
        <v>1016</v>
      </c>
      <c r="AE45" s="496" t="s">
        <v>986</v>
      </c>
      <c r="AF45" s="496" t="s">
        <v>987</v>
      </c>
      <c r="AG45" s="496" t="s">
        <v>646</v>
      </c>
      <c r="AH45" s="496" t="s">
        <v>647</v>
      </c>
      <c r="AI45" s="11" t="s">
        <v>555</v>
      </c>
      <c r="AJ45" s="367" t="str">
        <f t="shared" si="3"/>
        <v>CCH_H1_5_78</v>
      </c>
      <c r="AK45" s="11" t="s">
        <v>555</v>
      </c>
      <c r="AL45" s="11" t="s">
        <v>555</v>
      </c>
      <c r="AM45" s="11" t="s">
        <v>555</v>
      </c>
      <c r="AN45" s="11" t="s">
        <v>555</v>
      </c>
      <c r="AO45" s="11" t="s">
        <v>555</v>
      </c>
      <c r="AP45" s="516"/>
    </row>
    <row r="46" spans="1:42" x14ac:dyDescent="0.3">
      <c r="B46" s="238" t="str">
        <f t="shared" si="8"/>
        <v>FortnightProfessionalUOM 4.3</v>
      </c>
      <c r="C46" s="238" t="s">
        <v>576</v>
      </c>
      <c r="D46" s="238" t="s">
        <v>767</v>
      </c>
      <c r="E46" s="238" t="s">
        <v>856</v>
      </c>
      <c r="F46" s="212">
        <v>82012</v>
      </c>
      <c r="G46" s="298"/>
      <c r="H46" s="389"/>
      <c r="I46" s="390"/>
      <c r="J46" s="386"/>
      <c r="K46" s="298" t="s">
        <v>555</v>
      </c>
      <c r="L46" s="298"/>
      <c r="M46" s="298"/>
      <c r="O46" s="238"/>
      <c r="P46" s="237"/>
      <c r="R46" s="238"/>
      <c r="S46" s="249"/>
      <c r="T46" s="11" t="s">
        <v>555</v>
      </c>
      <c r="U46" s="238" t="s">
        <v>690</v>
      </c>
      <c r="V46" s="261" t="s">
        <v>857</v>
      </c>
      <c r="W46" s="262" t="s">
        <v>519</v>
      </c>
      <c r="X46" s="238">
        <f>VLOOKUP(W46,'Currency Rates'!A:C,2,FALSE)</f>
        <v>56.988697999999999</v>
      </c>
      <c r="Y46" s="238">
        <f>VLOOKUP(W46,'Currency Rates'!A:C,3,FALSE)</f>
        <v>1.7547E-2</v>
      </c>
      <c r="Z46" s="11" t="s">
        <v>555</v>
      </c>
      <c r="AA46" s="11" t="s">
        <v>555</v>
      </c>
      <c r="AB46" s="11" t="s">
        <v>555</v>
      </c>
      <c r="AC46" s="496" t="s">
        <v>1017</v>
      </c>
      <c r="AD46" s="496" t="s">
        <v>1018</v>
      </c>
      <c r="AE46" s="496" t="s">
        <v>986</v>
      </c>
      <c r="AF46" s="496" t="s">
        <v>987</v>
      </c>
      <c r="AG46" s="496" t="s">
        <v>646</v>
      </c>
      <c r="AH46" s="496" t="s">
        <v>647</v>
      </c>
      <c r="AI46" s="11" t="s">
        <v>555</v>
      </c>
      <c r="AJ46" s="367" t="str">
        <f t="shared" si="3"/>
        <v>CCH_H1_5_79</v>
      </c>
      <c r="AK46" s="11" t="s">
        <v>555</v>
      </c>
      <c r="AL46" s="11" t="s">
        <v>555</v>
      </c>
      <c r="AM46" s="11" t="s">
        <v>555</v>
      </c>
      <c r="AN46" s="11" t="s">
        <v>555</v>
      </c>
      <c r="AO46" s="11" t="s">
        <v>555</v>
      </c>
      <c r="AP46" s="516"/>
    </row>
    <row r="47" spans="1:42" x14ac:dyDescent="0.3">
      <c r="B47" s="238" t="str">
        <f t="shared" si="8"/>
        <v>FortnightProfessionalUOM 4.4</v>
      </c>
      <c r="C47" s="238" t="s">
        <v>576</v>
      </c>
      <c r="D47" s="238" t="s">
        <v>767</v>
      </c>
      <c r="E47" s="238" t="s">
        <v>860</v>
      </c>
      <c r="F47" s="212">
        <v>83655</v>
      </c>
      <c r="G47" s="298"/>
      <c r="H47" s="389"/>
      <c r="I47" s="390"/>
      <c r="J47" s="386"/>
      <c r="K47" s="298" t="s">
        <v>555</v>
      </c>
      <c r="L47" s="298"/>
      <c r="M47" s="298"/>
      <c r="O47" s="244"/>
      <c r="P47" s="247"/>
      <c r="R47" s="238"/>
      <c r="S47" s="249"/>
      <c r="T47" s="11" t="s">
        <v>555</v>
      </c>
      <c r="U47" s="238" t="s">
        <v>695</v>
      </c>
      <c r="V47" s="261" t="s">
        <v>861</v>
      </c>
      <c r="W47" s="262" t="s">
        <v>523</v>
      </c>
      <c r="X47" s="238">
        <f>VLOOKUP(W47,'Currency Rates'!A:C,2,FALSE)</f>
        <v>95.783024999999995</v>
      </c>
      <c r="Y47" s="238">
        <f>VLOOKUP(W47,'Currency Rates'!A:C,3,FALSE)</f>
        <v>1.044E-2</v>
      </c>
      <c r="Z47" s="11" t="s">
        <v>555</v>
      </c>
      <c r="AA47" s="11" t="s">
        <v>555</v>
      </c>
      <c r="AB47" s="11" t="s">
        <v>555</v>
      </c>
      <c r="AC47" s="496" t="s">
        <v>1019</v>
      </c>
      <c r="AD47" s="496" t="s">
        <v>1020</v>
      </c>
      <c r="AE47" s="496" t="s">
        <v>986</v>
      </c>
      <c r="AF47" s="496" t="s">
        <v>987</v>
      </c>
      <c r="AG47" s="496" t="s">
        <v>646</v>
      </c>
      <c r="AH47" s="496" t="s">
        <v>647</v>
      </c>
      <c r="AI47" s="11" t="s">
        <v>555</v>
      </c>
      <c r="AJ47" s="367" t="str">
        <f t="shared" si="3"/>
        <v>CCH_H1_5_80</v>
      </c>
      <c r="AK47" s="11" t="s">
        <v>555</v>
      </c>
      <c r="AL47" s="11" t="s">
        <v>555</v>
      </c>
      <c r="AM47" s="11" t="s">
        <v>555</v>
      </c>
      <c r="AN47" s="11" t="s">
        <v>555</v>
      </c>
      <c r="AO47" s="11" t="s">
        <v>555</v>
      </c>
      <c r="AP47" s="516"/>
    </row>
    <row r="48" spans="1:42" x14ac:dyDescent="0.3">
      <c r="B48" s="238" t="str">
        <f t="shared" si="8"/>
        <v>FortnightProfessionalUOM 5.1</v>
      </c>
      <c r="C48" s="238" t="s">
        <v>576</v>
      </c>
      <c r="D48" s="238" t="s">
        <v>767</v>
      </c>
      <c r="E48" s="238" t="s">
        <v>868</v>
      </c>
      <c r="F48" s="212">
        <v>85238</v>
      </c>
      <c r="G48" s="298"/>
      <c r="H48" s="389"/>
      <c r="I48" s="390"/>
      <c r="J48" s="386"/>
      <c r="K48" s="298" t="s">
        <v>555</v>
      </c>
      <c r="L48" s="298"/>
      <c r="M48" s="298"/>
      <c r="R48" s="244"/>
      <c r="S48" s="249"/>
      <c r="T48" s="11" t="s">
        <v>555</v>
      </c>
      <c r="U48" s="238" t="s">
        <v>869</v>
      </c>
      <c r="V48" s="261" t="s">
        <v>870</v>
      </c>
      <c r="W48" s="262" t="s">
        <v>525</v>
      </c>
      <c r="X48" s="238">
        <f>VLOOKUP(W48,'Currency Rates'!A:C,2,FALSE)</f>
        <v>904.14552000000003</v>
      </c>
      <c r="Y48" s="238">
        <f>VLOOKUP(W48,'Currency Rates'!A:C,3,FALSE)</f>
        <v>1.106E-3</v>
      </c>
      <c r="Z48" s="11" t="s">
        <v>555</v>
      </c>
      <c r="AA48" s="11" t="s">
        <v>555</v>
      </c>
      <c r="AB48" s="11" t="s">
        <v>555</v>
      </c>
      <c r="AC48" s="496" t="s">
        <v>1021</v>
      </c>
      <c r="AD48" s="496" t="s">
        <v>1022</v>
      </c>
      <c r="AE48" s="496" t="s">
        <v>986</v>
      </c>
      <c r="AF48" s="496" t="s">
        <v>987</v>
      </c>
      <c r="AG48" s="496" t="s">
        <v>646</v>
      </c>
      <c r="AH48" s="496" t="s">
        <v>647</v>
      </c>
      <c r="AI48" s="11" t="s">
        <v>555</v>
      </c>
      <c r="AJ48" s="367" t="str">
        <f t="shared" si="3"/>
        <v>CCH_H1_5_81</v>
      </c>
      <c r="AK48" s="11" t="s">
        <v>555</v>
      </c>
      <c r="AL48" s="11" t="s">
        <v>555</v>
      </c>
      <c r="AM48" s="11" t="s">
        <v>555</v>
      </c>
      <c r="AN48" s="11" t="s">
        <v>555</v>
      </c>
      <c r="AO48" s="11" t="s">
        <v>555</v>
      </c>
      <c r="AP48" s="516"/>
    </row>
    <row r="49" spans="2:42" ht="15.6" x14ac:dyDescent="0.3">
      <c r="B49" s="238" t="str">
        <f t="shared" ref="B49:B112" si="9">CONCATENATE(C49,D49,E49)</f>
        <v>FortnightProfessionalUOM 5.2</v>
      </c>
      <c r="C49" s="238" t="s">
        <v>576</v>
      </c>
      <c r="D49" s="238" t="s">
        <v>767</v>
      </c>
      <c r="E49" s="238" t="s">
        <v>871</v>
      </c>
      <c r="F49" s="212">
        <v>86939</v>
      </c>
      <c r="G49" s="412"/>
      <c r="H49" s="389"/>
      <c r="I49" s="390"/>
      <c r="J49" s="386"/>
      <c r="K49" s="298" t="s">
        <v>555</v>
      </c>
      <c r="L49" s="298"/>
      <c r="M49" s="298"/>
      <c r="O49" s="232" t="s">
        <v>872</v>
      </c>
      <c r="T49" s="11" t="s">
        <v>555</v>
      </c>
      <c r="U49" s="238" t="s">
        <v>701</v>
      </c>
      <c r="V49" s="261" t="s">
        <v>873</v>
      </c>
      <c r="W49" s="262" t="s">
        <v>528</v>
      </c>
      <c r="X49" s="238">
        <f>VLOOKUP(W49,'Currency Rates'!A:C,2,FALSE)</f>
        <v>2.7456040000000002</v>
      </c>
      <c r="Y49" s="238">
        <f>VLOOKUP(W49,'Currency Rates'!A:C,3,FALSE)</f>
        <v>0.36421900000000001</v>
      </c>
      <c r="Z49" s="11" t="s">
        <v>555</v>
      </c>
      <c r="AA49" s="11" t="s">
        <v>555</v>
      </c>
      <c r="AB49" s="11" t="s">
        <v>555</v>
      </c>
      <c r="AC49" s="496" t="s">
        <v>1021</v>
      </c>
      <c r="AD49" s="496" t="s">
        <v>1022</v>
      </c>
      <c r="AE49" s="496" t="s">
        <v>986</v>
      </c>
      <c r="AF49" s="496">
        <v>10340</v>
      </c>
      <c r="AG49" s="496" t="s">
        <v>646</v>
      </c>
      <c r="AH49" s="496" t="s">
        <v>647</v>
      </c>
      <c r="AI49" s="11" t="s">
        <v>555</v>
      </c>
      <c r="AJ49" s="367" t="str">
        <f t="shared" si="3"/>
        <v>CCH_H1_5_81</v>
      </c>
      <c r="AK49" s="11" t="s">
        <v>555</v>
      </c>
      <c r="AL49" s="11" t="s">
        <v>555</v>
      </c>
      <c r="AM49" s="11" t="s">
        <v>555</v>
      </c>
      <c r="AN49" s="11" t="s">
        <v>555</v>
      </c>
      <c r="AO49" s="11" t="s">
        <v>555</v>
      </c>
      <c r="AP49" s="516"/>
    </row>
    <row r="50" spans="2:42" x14ac:dyDescent="0.3">
      <c r="B50" s="238" t="str">
        <f t="shared" si="9"/>
        <v>FortnightProfessionalUOM 5.3</v>
      </c>
      <c r="C50" s="238" t="s">
        <v>576</v>
      </c>
      <c r="D50" s="238" t="s">
        <v>767</v>
      </c>
      <c r="E50" s="238" t="s">
        <v>878</v>
      </c>
      <c r="F50" s="212">
        <v>88675</v>
      </c>
      <c r="G50" s="298"/>
      <c r="H50" s="389"/>
      <c r="I50" s="390"/>
      <c r="J50" s="386"/>
      <c r="K50" s="298" t="s">
        <v>555</v>
      </c>
      <c r="L50" s="298"/>
      <c r="M50" s="298"/>
      <c r="O50" s="235" t="s">
        <v>299</v>
      </c>
      <c r="P50" s="235" t="s">
        <v>58</v>
      </c>
      <c r="R50" s="11" t="s">
        <v>555</v>
      </c>
      <c r="T50" s="11" t="s">
        <v>555</v>
      </c>
      <c r="U50" s="238" t="s">
        <v>652</v>
      </c>
      <c r="V50" s="261" t="s">
        <v>879</v>
      </c>
      <c r="W50" s="262" t="s">
        <v>533</v>
      </c>
      <c r="X50" s="238">
        <f>VLOOKUP(W50,'Currency Rates'!A:C,2,FALSE)</f>
        <v>6.6288989999999997</v>
      </c>
      <c r="Y50" s="238">
        <f>VLOOKUP(W50,'Currency Rates'!A:C,3,FALSE)</f>
        <v>0.15085499999999999</v>
      </c>
      <c r="Z50" s="11" t="s">
        <v>555</v>
      </c>
      <c r="AA50" s="11" t="s">
        <v>555</v>
      </c>
      <c r="AB50" s="11" t="s">
        <v>555</v>
      </c>
      <c r="AC50" s="496" t="s">
        <v>1023</v>
      </c>
      <c r="AD50" s="496" t="s">
        <v>1024</v>
      </c>
      <c r="AE50" s="496" t="s">
        <v>1025</v>
      </c>
      <c r="AF50" s="496" t="s">
        <v>1026</v>
      </c>
      <c r="AG50" s="496" t="s">
        <v>646</v>
      </c>
      <c r="AH50" s="496" t="s">
        <v>647</v>
      </c>
      <c r="AI50" s="11" t="s">
        <v>555</v>
      </c>
      <c r="AJ50" s="367" t="str">
        <f t="shared" si="3"/>
        <v>CCH_H1_5_82</v>
      </c>
      <c r="AK50" s="11" t="s">
        <v>555</v>
      </c>
      <c r="AL50" s="11" t="s">
        <v>555</v>
      </c>
      <c r="AM50" s="11" t="s">
        <v>555</v>
      </c>
      <c r="AN50" s="11" t="s">
        <v>555</v>
      </c>
      <c r="AO50" s="11" t="s">
        <v>555</v>
      </c>
      <c r="AP50" s="516"/>
    </row>
    <row r="51" spans="2:42" ht="15.6" x14ac:dyDescent="0.3">
      <c r="B51" s="238" t="str">
        <f t="shared" si="9"/>
        <v>FortnightProfessionalUOM 5.4</v>
      </c>
      <c r="C51" s="238" t="s">
        <v>576</v>
      </c>
      <c r="D51" s="238" t="s">
        <v>767</v>
      </c>
      <c r="E51" s="238" t="s">
        <v>882</v>
      </c>
      <c r="F51" s="212">
        <v>90450</v>
      </c>
      <c r="G51" s="298"/>
      <c r="H51" s="391" t="s">
        <v>314</v>
      </c>
      <c r="I51" s="392"/>
      <c r="J51" s="392"/>
      <c r="K51" s="298" t="s">
        <v>555</v>
      </c>
      <c r="L51" s="298"/>
      <c r="M51" s="298"/>
      <c r="O51" s="252" t="s">
        <v>883</v>
      </c>
      <c r="P51" s="236" t="s">
        <v>884</v>
      </c>
      <c r="R51" s="11" t="s">
        <v>555</v>
      </c>
      <c r="T51" s="11" t="s">
        <v>555</v>
      </c>
      <c r="U51" s="238" t="s">
        <v>706</v>
      </c>
      <c r="V51" s="261" t="s">
        <v>885</v>
      </c>
      <c r="W51" s="262" t="s">
        <v>532</v>
      </c>
      <c r="X51" s="238">
        <f>VLOOKUP(W51,'Currency Rates'!A:C,2,FALSE)</f>
        <v>1.0987290000000001</v>
      </c>
      <c r="Y51" s="238">
        <f>VLOOKUP(W51,'Currency Rates'!A:C,3,FALSE)</f>
        <v>0.91014200000000001</v>
      </c>
      <c r="Z51" s="11" t="s">
        <v>555</v>
      </c>
      <c r="AA51" s="11" t="s">
        <v>555</v>
      </c>
      <c r="AB51" s="11" t="s">
        <v>555</v>
      </c>
      <c r="AC51" s="496" t="s">
        <v>1028</v>
      </c>
      <c r="AD51" s="496" t="s">
        <v>1029</v>
      </c>
      <c r="AE51" s="496" t="s">
        <v>1025</v>
      </c>
      <c r="AF51" s="496" t="s">
        <v>1026</v>
      </c>
      <c r="AG51" s="496" t="s">
        <v>646</v>
      </c>
      <c r="AH51" s="496" t="s">
        <v>647</v>
      </c>
      <c r="AI51" s="11" t="s">
        <v>555</v>
      </c>
      <c r="AJ51" s="367" t="str">
        <f t="shared" si="3"/>
        <v>CCH_H1_5_83</v>
      </c>
      <c r="AK51" s="11" t="s">
        <v>555</v>
      </c>
      <c r="AL51" s="11" t="s">
        <v>555</v>
      </c>
      <c r="AM51" s="11" t="s">
        <v>555</v>
      </c>
      <c r="AN51" s="11" t="s">
        <v>555</v>
      </c>
      <c r="AO51" s="11" t="s">
        <v>555</v>
      </c>
      <c r="AP51" s="516"/>
    </row>
    <row r="52" spans="2:42" ht="15.6" x14ac:dyDescent="0.3">
      <c r="B52" s="238" t="str">
        <f t="shared" si="9"/>
        <v>FortnightProfessionalUOM 5.5</v>
      </c>
      <c r="C52" s="238" t="s">
        <v>576</v>
      </c>
      <c r="D52" s="238" t="s">
        <v>767</v>
      </c>
      <c r="E52" s="238" t="s">
        <v>890</v>
      </c>
      <c r="F52" s="212">
        <v>92257</v>
      </c>
      <c r="G52" s="298"/>
      <c r="H52" s="235" t="s">
        <v>891</v>
      </c>
      <c r="I52" s="235" t="s">
        <v>565</v>
      </c>
      <c r="J52" s="235" t="s">
        <v>834</v>
      </c>
      <c r="K52" s="295" t="s">
        <v>314</v>
      </c>
      <c r="L52" s="298"/>
      <c r="M52" s="298"/>
      <c r="O52" s="237" t="s">
        <v>892</v>
      </c>
      <c r="P52" s="238" t="s">
        <v>893</v>
      </c>
      <c r="R52" s="232" t="s">
        <v>894</v>
      </c>
      <c r="S52" s="232"/>
      <c r="T52" s="11" t="s">
        <v>555</v>
      </c>
      <c r="U52" s="238" t="s">
        <v>895</v>
      </c>
      <c r="V52" s="261" t="s">
        <v>896</v>
      </c>
      <c r="W52" s="262" t="s">
        <v>545</v>
      </c>
      <c r="X52" s="238">
        <f>VLOOKUP(W52,'Currency Rates'!A:C,2,FALSE)</f>
        <v>6.2220579999999996</v>
      </c>
      <c r="Y52" s="238">
        <f>VLOOKUP(W52,'Currency Rates'!A:C,3,FALSE)</f>
        <v>0.160719</v>
      </c>
      <c r="Z52" s="11" t="s">
        <v>555</v>
      </c>
      <c r="AA52" s="11" t="s">
        <v>555</v>
      </c>
      <c r="AB52" s="11" t="s">
        <v>555</v>
      </c>
      <c r="AC52" s="496" t="s">
        <v>1030</v>
      </c>
      <c r="AD52" s="496" t="s">
        <v>1031</v>
      </c>
      <c r="AE52" s="496" t="s">
        <v>1025</v>
      </c>
      <c r="AF52" s="496" t="s">
        <v>1026</v>
      </c>
      <c r="AG52" s="496" t="s">
        <v>646</v>
      </c>
      <c r="AH52" s="496" t="s">
        <v>647</v>
      </c>
      <c r="AI52" s="11" t="s">
        <v>555</v>
      </c>
      <c r="AJ52" s="367" t="str">
        <f t="shared" si="3"/>
        <v>CCH_H1_5_84</v>
      </c>
      <c r="AK52" s="11" t="s">
        <v>555</v>
      </c>
      <c r="AL52" s="11" t="s">
        <v>555</v>
      </c>
      <c r="AM52" s="11" t="s">
        <v>555</v>
      </c>
      <c r="AN52" s="11" t="s">
        <v>555</v>
      </c>
      <c r="AO52" s="11" t="s">
        <v>555</v>
      </c>
      <c r="AP52" s="516"/>
    </row>
    <row r="53" spans="2:42" x14ac:dyDescent="0.3">
      <c r="B53" s="238" t="str">
        <f t="shared" si="9"/>
        <v>FortnightProfessionalUOM 5.6</v>
      </c>
      <c r="C53" s="238" t="s">
        <v>576</v>
      </c>
      <c r="D53" s="238" t="s">
        <v>767</v>
      </c>
      <c r="E53" s="238" t="s">
        <v>899</v>
      </c>
      <c r="F53" s="212">
        <v>94110</v>
      </c>
      <c r="G53" s="298"/>
      <c r="H53" s="393" t="str">
        <f t="shared" ref="H53:H67" si="10">CONCATENATE(I53,J53)</f>
        <v>2021Continuing</v>
      </c>
      <c r="I53" s="394">
        <v>2021</v>
      </c>
      <c r="J53" s="385" t="s">
        <v>581</v>
      </c>
      <c r="K53" s="425">
        <v>0.17</v>
      </c>
      <c r="L53" s="298"/>
      <c r="M53" s="298"/>
      <c r="O53" s="237" t="s">
        <v>900</v>
      </c>
      <c r="P53" s="238" t="s">
        <v>901</v>
      </c>
      <c r="R53" s="235" t="s">
        <v>566</v>
      </c>
      <c r="S53" s="378"/>
      <c r="T53" s="11" t="s">
        <v>555</v>
      </c>
      <c r="U53" s="238" t="s">
        <v>712</v>
      </c>
      <c r="V53" s="261" t="s">
        <v>902</v>
      </c>
      <c r="W53" s="262" t="s">
        <v>542</v>
      </c>
      <c r="X53" s="238">
        <f>VLOOKUP(W53,'Currency Rates'!A:C,2,FALSE)</f>
        <v>0.83522099999999999</v>
      </c>
      <c r="Y53" s="238">
        <f>VLOOKUP(W53,'Currency Rates'!A:C,3,FALSE)</f>
        <v>1.1972879999999999</v>
      </c>
      <c r="Z53" s="11" t="s">
        <v>555</v>
      </c>
      <c r="AA53" s="11" t="s">
        <v>555</v>
      </c>
      <c r="AB53" s="11" t="s">
        <v>555</v>
      </c>
      <c r="AC53" s="496" t="s">
        <v>1032</v>
      </c>
      <c r="AD53" s="496" t="s">
        <v>1033</v>
      </c>
      <c r="AE53" s="496" t="s">
        <v>1025</v>
      </c>
      <c r="AF53" s="496" t="s">
        <v>1026</v>
      </c>
      <c r="AG53" s="496" t="s">
        <v>646</v>
      </c>
      <c r="AH53" s="496" t="s">
        <v>647</v>
      </c>
      <c r="AI53" s="11" t="s">
        <v>555</v>
      </c>
      <c r="AJ53" s="367" t="str">
        <f t="shared" si="3"/>
        <v>CCH_H1_5_85</v>
      </c>
      <c r="AK53" s="11" t="s">
        <v>555</v>
      </c>
      <c r="AL53" s="11" t="s">
        <v>555</v>
      </c>
      <c r="AM53" s="11" t="s">
        <v>555</v>
      </c>
      <c r="AN53" s="11" t="s">
        <v>555</v>
      </c>
      <c r="AO53" s="11" t="s">
        <v>555</v>
      </c>
      <c r="AP53" s="516"/>
    </row>
    <row r="54" spans="2:42" x14ac:dyDescent="0.3">
      <c r="B54" s="238" t="str">
        <f t="shared" si="9"/>
        <v>FortnightProfessionalUOM 5.7</v>
      </c>
      <c r="C54" s="238" t="s">
        <v>576</v>
      </c>
      <c r="D54" s="238" t="s">
        <v>767</v>
      </c>
      <c r="E54" s="238" t="s">
        <v>905</v>
      </c>
      <c r="F54" s="212">
        <v>95985</v>
      </c>
      <c r="G54" s="298"/>
      <c r="H54" s="395" t="str">
        <f t="shared" si="10"/>
        <v>2021Fixed-Term</v>
      </c>
      <c r="I54" s="396">
        <v>2021</v>
      </c>
      <c r="J54" s="387" t="s">
        <v>593</v>
      </c>
      <c r="K54" s="426">
        <v>0.17</v>
      </c>
      <c r="L54" s="298"/>
      <c r="M54" s="298"/>
      <c r="O54" s="237" t="s">
        <v>906</v>
      </c>
      <c r="P54" s="238" t="s">
        <v>907</v>
      </c>
      <c r="R54" s="296">
        <v>2.5</v>
      </c>
      <c r="S54" s="379"/>
      <c r="T54" s="11" t="s">
        <v>555</v>
      </c>
      <c r="U54" s="238" t="s">
        <v>908</v>
      </c>
      <c r="V54" s="261" t="s">
        <v>909</v>
      </c>
      <c r="W54" s="264" t="s">
        <v>548</v>
      </c>
      <c r="X54" s="238">
        <f>VLOOKUP(W54,'Currency Rates'!A:C,2,FALSE)</f>
        <v>21.109622999999999</v>
      </c>
      <c r="Y54" s="238">
        <f>VLOOKUP(W54,'Currency Rates'!A:C,3,FALSE)</f>
        <v>4.7371999999999997E-2</v>
      </c>
      <c r="Z54" s="11" t="s">
        <v>555</v>
      </c>
      <c r="AA54" s="11" t="s">
        <v>555</v>
      </c>
      <c r="AB54" s="11" t="s">
        <v>555</v>
      </c>
      <c r="AC54" s="496" t="s">
        <v>1034</v>
      </c>
      <c r="AD54" s="496" t="s">
        <v>1035</v>
      </c>
      <c r="AE54" s="496" t="s">
        <v>1025</v>
      </c>
      <c r="AF54" s="496" t="s">
        <v>1026</v>
      </c>
      <c r="AG54" s="496" t="s">
        <v>646</v>
      </c>
      <c r="AH54" s="496" t="s">
        <v>647</v>
      </c>
      <c r="AI54" s="11" t="s">
        <v>555</v>
      </c>
      <c r="AJ54" s="367" t="str">
        <f t="shared" si="3"/>
        <v>CCH_H1_5_86</v>
      </c>
      <c r="AK54" s="11" t="s">
        <v>555</v>
      </c>
      <c r="AL54" s="11" t="s">
        <v>555</v>
      </c>
      <c r="AM54" s="11" t="s">
        <v>555</v>
      </c>
      <c r="AN54" s="11" t="s">
        <v>555</v>
      </c>
      <c r="AO54" s="11" t="s">
        <v>555</v>
      </c>
      <c r="AP54" s="516"/>
    </row>
    <row r="55" spans="2:42" x14ac:dyDescent="0.3">
      <c r="B55" s="238" t="str">
        <f t="shared" si="9"/>
        <v>FortnightProfessionalUOM 5.8</v>
      </c>
      <c r="C55" s="238" t="s">
        <v>576</v>
      </c>
      <c r="D55" s="238" t="s">
        <v>767</v>
      </c>
      <c r="E55" s="238" t="s">
        <v>912</v>
      </c>
      <c r="F55" s="212">
        <v>97906</v>
      </c>
      <c r="G55" s="298"/>
      <c r="H55" s="395" t="str">
        <f t="shared" si="10"/>
        <v>2021Casual</v>
      </c>
      <c r="I55" s="396">
        <v>2021</v>
      </c>
      <c r="J55" s="388" t="s">
        <v>601</v>
      </c>
      <c r="K55" s="426">
        <v>9.5000000000000001E-2</v>
      </c>
      <c r="L55" s="298"/>
      <c r="M55" s="298"/>
      <c r="O55" s="237" t="s">
        <v>913</v>
      </c>
      <c r="P55" s="238" t="s">
        <v>914</v>
      </c>
      <c r="T55" s="11" t="s">
        <v>555</v>
      </c>
      <c r="U55" s="238" t="s">
        <v>915</v>
      </c>
      <c r="V55" s="261" t="s">
        <v>916</v>
      </c>
      <c r="W55" s="262" t="s">
        <v>547</v>
      </c>
      <c r="X55" s="238">
        <f>VLOOKUP(W55,'Currency Rates'!A:C,2,FALSE)</f>
        <v>19.538186</v>
      </c>
      <c r="Y55" s="238">
        <f>VLOOKUP(W55,'Currency Rates'!A:C,3,FALSE)</f>
        <v>5.1181999999999998E-2</v>
      </c>
      <c r="Z55" s="11" t="s">
        <v>555</v>
      </c>
      <c r="AA55" s="11" t="s">
        <v>555</v>
      </c>
      <c r="AB55" s="11" t="s">
        <v>555</v>
      </c>
      <c r="AC55" s="496" t="s">
        <v>1036</v>
      </c>
      <c r="AD55" s="496" t="s">
        <v>1037</v>
      </c>
      <c r="AE55" s="496" t="s">
        <v>1025</v>
      </c>
      <c r="AF55" s="496" t="s">
        <v>1026</v>
      </c>
      <c r="AG55" s="496" t="s">
        <v>646</v>
      </c>
      <c r="AH55" s="496" t="s">
        <v>647</v>
      </c>
      <c r="AI55" s="11" t="s">
        <v>555</v>
      </c>
      <c r="AJ55" s="367" t="str">
        <f t="shared" si="3"/>
        <v>CCH_H1_5_87</v>
      </c>
      <c r="AK55" s="11" t="s">
        <v>555</v>
      </c>
      <c r="AL55" s="11" t="s">
        <v>555</v>
      </c>
      <c r="AM55" s="11" t="s">
        <v>555</v>
      </c>
      <c r="AN55" s="11" t="s">
        <v>555</v>
      </c>
      <c r="AO55" s="11" t="s">
        <v>555</v>
      </c>
      <c r="AP55" s="516"/>
    </row>
    <row r="56" spans="2:42" x14ac:dyDescent="0.3">
      <c r="B56" s="238" t="str">
        <f t="shared" si="9"/>
        <v>FortnightProfessionalUOM 6.1</v>
      </c>
      <c r="C56" s="238" t="s">
        <v>576</v>
      </c>
      <c r="D56" s="238" t="s">
        <v>767</v>
      </c>
      <c r="E56" s="238" t="s">
        <v>919</v>
      </c>
      <c r="F56" s="212">
        <v>98870</v>
      </c>
      <c r="G56" s="298"/>
      <c r="H56" s="395" t="str">
        <f t="shared" si="10"/>
        <v>2022Continuing</v>
      </c>
      <c r="I56" s="396">
        <v>2022</v>
      </c>
      <c r="J56" s="397" t="s">
        <v>581</v>
      </c>
      <c r="K56" s="426">
        <v>0.17</v>
      </c>
      <c r="L56" s="298"/>
      <c r="M56" s="298"/>
      <c r="O56" s="237" t="s">
        <v>920</v>
      </c>
      <c r="P56" s="238" t="s">
        <v>921</v>
      </c>
      <c r="T56" s="11" t="s">
        <v>555</v>
      </c>
      <c r="U56" s="244" t="s">
        <v>718</v>
      </c>
      <c r="V56" s="265" t="s">
        <v>922</v>
      </c>
      <c r="W56" s="266" t="s">
        <v>553</v>
      </c>
      <c r="X56" s="238">
        <f>VLOOKUP(W56,'Currency Rates'!A:C,2,FALSE)</f>
        <v>0.65101799999999999</v>
      </c>
      <c r="Y56" s="238">
        <f>VLOOKUP(W56,'Currency Rates'!A:C,3,FALSE)</f>
        <v>1.5360560000000001</v>
      </c>
      <c r="Z56" s="11" t="s">
        <v>555</v>
      </c>
      <c r="AA56" s="11" t="s">
        <v>555</v>
      </c>
      <c r="AB56" s="11" t="s">
        <v>555</v>
      </c>
      <c r="AC56" s="496" t="s">
        <v>1038</v>
      </c>
      <c r="AD56" s="496" t="s">
        <v>1039</v>
      </c>
      <c r="AE56" s="496" t="s">
        <v>1040</v>
      </c>
      <c r="AF56" s="496" t="s">
        <v>1041</v>
      </c>
      <c r="AG56" s="496" t="s">
        <v>646</v>
      </c>
      <c r="AH56" s="496" t="s">
        <v>647</v>
      </c>
      <c r="AI56" s="11" t="s">
        <v>555</v>
      </c>
      <c r="AJ56" s="367" t="str">
        <f t="shared" si="3"/>
        <v>CCH_H1_5_88</v>
      </c>
      <c r="AK56" s="11" t="s">
        <v>555</v>
      </c>
      <c r="AL56" s="11" t="s">
        <v>555</v>
      </c>
      <c r="AM56" s="11" t="s">
        <v>555</v>
      </c>
      <c r="AN56" s="11" t="s">
        <v>555</v>
      </c>
      <c r="AO56" s="11" t="s">
        <v>555</v>
      </c>
      <c r="AP56" s="516"/>
    </row>
    <row r="57" spans="2:42" x14ac:dyDescent="0.3">
      <c r="B57" s="238" t="str">
        <f t="shared" si="9"/>
        <v>FortnightProfessionalUOM 6.2</v>
      </c>
      <c r="C57" s="238" t="s">
        <v>576</v>
      </c>
      <c r="D57" s="238" t="s">
        <v>767</v>
      </c>
      <c r="E57" s="238" t="s">
        <v>925</v>
      </c>
      <c r="F57" s="212">
        <v>100852</v>
      </c>
      <c r="G57" s="298"/>
      <c r="H57" s="395" t="str">
        <f t="shared" si="10"/>
        <v>2022Fixed-Term</v>
      </c>
      <c r="I57" s="396">
        <v>2022</v>
      </c>
      <c r="J57" s="387" t="s">
        <v>593</v>
      </c>
      <c r="K57" s="426">
        <v>0.17</v>
      </c>
      <c r="L57" s="298"/>
      <c r="M57" s="298"/>
      <c r="O57" s="237" t="s">
        <v>926</v>
      </c>
      <c r="P57" s="238" t="s">
        <v>927</v>
      </c>
      <c r="T57" s="11" t="s">
        <v>555</v>
      </c>
      <c r="Z57" s="11" t="s">
        <v>555</v>
      </c>
      <c r="AA57" s="11" t="s">
        <v>555</v>
      </c>
      <c r="AB57" s="11" t="s">
        <v>555</v>
      </c>
      <c r="AC57" s="496" t="s">
        <v>1043</v>
      </c>
      <c r="AD57" s="496" t="s">
        <v>1044</v>
      </c>
      <c r="AE57" s="496" t="s">
        <v>1040</v>
      </c>
      <c r="AF57" s="496" t="s">
        <v>1041</v>
      </c>
      <c r="AG57" s="496" t="s">
        <v>646</v>
      </c>
      <c r="AH57" s="496" t="s">
        <v>647</v>
      </c>
      <c r="AI57" s="11" t="s">
        <v>555</v>
      </c>
      <c r="AJ57" s="367" t="str">
        <f t="shared" si="3"/>
        <v>CCH_H1_5_89</v>
      </c>
      <c r="AK57" s="11" t="s">
        <v>555</v>
      </c>
      <c r="AL57" s="11" t="s">
        <v>555</v>
      </c>
      <c r="AM57" s="11" t="s">
        <v>555</v>
      </c>
      <c r="AN57" s="11" t="s">
        <v>555</v>
      </c>
      <c r="AO57" s="11" t="s">
        <v>555</v>
      </c>
      <c r="AP57" s="516"/>
    </row>
    <row r="58" spans="2:42" ht="15.6" x14ac:dyDescent="0.3">
      <c r="B58" s="238" t="str">
        <f t="shared" si="9"/>
        <v>FortnightProfessionalUOM 6.3</v>
      </c>
      <c r="C58" s="238" t="s">
        <v>576</v>
      </c>
      <c r="D58" s="238" t="s">
        <v>767</v>
      </c>
      <c r="E58" s="238" t="s">
        <v>930</v>
      </c>
      <c r="F58" s="212">
        <v>102860</v>
      </c>
      <c r="G58" s="298"/>
      <c r="H58" s="395" t="str">
        <f t="shared" si="10"/>
        <v>2022Casual</v>
      </c>
      <c r="I58" s="396">
        <v>2022</v>
      </c>
      <c r="J58" s="388" t="s">
        <v>601</v>
      </c>
      <c r="K58" s="426">
        <v>0.1</v>
      </c>
      <c r="L58" s="298"/>
      <c r="M58" s="298"/>
      <c r="O58" s="237" t="s">
        <v>931</v>
      </c>
      <c r="P58" s="238" t="s">
        <v>932</v>
      </c>
      <c r="R58" s="232" t="s">
        <v>933</v>
      </c>
      <c r="S58" s="232"/>
      <c r="T58" s="11" t="s">
        <v>555</v>
      </c>
      <c r="Z58" s="11" t="s">
        <v>555</v>
      </c>
      <c r="AA58" s="11" t="s">
        <v>555</v>
      </c>
      <c r="AB58" s="11" t="s">
        <v>555</v>
      </c>
      <c r="AC58" s="496" t="s">
        <v>1046</v>
      </c>
      <c r="AD58" s="496" t="s">
        <v>1047</v>
      </c>
      <c r="AE58" s="496" t="s">
        <v>1048</v>
      </c>
      <c r="AF58" s="496" t="s">
        <v>1049</v>
      </c>
      <c r="AG58" s="496" t="s">
        <v>646</v>
      </c>
      <c r="AH58" s="496" t="s">
        <v>647</v>
      </c>
      <c r="AI58" s="11" t="s">
        <v>555</v>
      </c>
      <c r="AJ58" s="367" t="str">
        <f t="shared" si="3"/>
        <v>CCH_H1_5_90</v>
      </c>
      <c r="AK58" s="11" t="s">
        <v>555</v>
      </c>
      <c r="AL58" s="11" t="s">
        <v>555</v>
      </c>
      <c r="AM58" s="11" t="s">
        <v>555</v>
      </c>
      <c r="AN58" s="11" t="s">
        <v>555</v>
      </c>
      <c r="AO58" s="11" t="s">
        <v>555</v>
      </c>
      <c r="AP58" s="516"/>
    </row>
    <row r="59" spans="2:42" ht="28.8" x14ac:dyDescent="0.3">
      <c r="B59" s="238" t="str">
        <f t="shared" si="9"/>
        <v>FortnightProfessionalUOM 6.4</v>
      </c>
      <c r="C59" s="238" t="s">
        <v>576</v>
      </c>
      <c r="D59" s="238" t="s">
        <v>767</v>
      </c>
      <c r="E59" s="238" t="s">
        <v>936</v>
      </c>
      <c r="F59" s="212">
        <v>104921</v>
      </c>
      <c r="G59" s="298"/>
      <c r="H59" s="395" t="str">
        <f t="shared" si="10"/>
        <v>2023Continuing</v>
      </c>
      <c r="I59" s="396">
        <v>2023</v>
      </c>
      <c r="J59" s="397" t="s">
        <v>581</v>
      </c>
      <c r="K59" s="426">
        <v>0.17</v>
      </c>
      <c r="L59" s="298"/>
      <c r="M59" s="298"/>
      <c r="O59" s="237" t="s">
        <v>937</v>
      </c>
      <c r="P59" s="238" t="s">
        <v>938</v>
      </c>
      <c r="R59" s="235" t="s">
        <v>939</v>
      </c>
      <c r="S59" s="378"/>
      <c r="T59" s="11" t="s">
        <v>555</v>
      </c>
      <c r="Z59" s="11" t="s">
        <v>555</v>
      </c>
      <c r="AA59" s="11" t="s">
        <v>555</v>
      </c>
      <c r="AB59" s="11" t="s">
        <v>555</v>
      </c>
      <c r="AC59" s="496" t="s">
        <v>1050</v>
      </c>
      <c r="AD59" s="496" t="s">
        <v>1051</v>
      </c>
      <c r="AE59" s="496" t="s">
        <v>1048</v>
      </c>
      <c r="AF59" s="496" t="s">
        <v>1049</v>
      </c>
      <c r="AG59" s="496" t="s">
        <v>646</v>
      </c>
      <c r="AH59" s="496" t="s">
        <v>647</v>
      </c>
      <c r="AI59" s="11" t="s">
        <v>555</v>
      </c>
      <c r="AJ59" s="367" t="str">
        <f t="shared" si="3"/>
        <v>CCH_H1_5_91</v>
      </c>
      <c r="AK59" s="11" t="s">
        <v>555</v>
      </c>
      <c r="AL59" s="11" t="s">
        <v>555</v>
      </c>
      <c r="AM59" s="11" t="s">
        <v>555</v>
      </c>
      <c r="AN59" s="11" t="s">
        <v>555</v>
      </c>
      <c r="AO59" s="11" t="s">
        <v>555</v>
      </c>
      <c r="AP59" s="516"/>
    </row>
    <row r="60" spans="2:42" x14ac:dyDescent="0.3">
      <c r="B60" s="238" t="str">
        <f t="shared" si="9"/>
        <v>FortnightProfessionalUOM 6.5</v>
      </c>
      <c r="C60" s="238" t="s">
        <v>576</v>
      </c>
      <c r="D60" s="238" t="s">
        <v>767</v>
      </c>
      <c r="E60" s="238" t="s">
        <v>942</v>
      </c>
      <c r="F60" s="212">
        <v>107023</v>
      </c>
      <c r="G60" s="298"/>
      <c r="H60" s="395" t="str">
        <f t="shared" si="10"/>
        <v>2023Fixed-Term</v>
      </c>
      <c r="I60" s="396">
        <v>2023</v>
      </c>
      <c r="J60" s="387" t="s">
        <v>593</v>
      </c>
      <c r="K60" s="426">
        <v>0.17</v>
      </c>
      <c r="L60" s="298"/>
      <c r="M60" s="298"/>
      <c r="O60" s="247" t="s">
        <v>943</v>
      </c>
      <c r="P60" s="244" t="s">
        <v>944</v>
      </c>
      <c r="R60" s="238"/>
      <c r="S60" s="249"/>
      <c r="T60" s="11" t="s">
        <v>555</v>
      </c>
      <c r="Z60" s="11" t="s">
        <v>555</v>
      </c>
      <c r="AA60" s="11" t="s">
        <v>555</v>
      </c>
      <c r="AB60" s="11" t="s">
        <v>555</v>
      </c>
      <c r="AC60" s="496" t="s">
        <v>1052</v>
      </c>
      <c r="AD60" s="496" t="s">
        <v>1053</v>
      </c>
      <c r="AE60" s="496" t="s">
        <v>1054</v>
      </c>
      <c r="AF60" s="496" t="s">
        <v>1055</v>
      </c>
      <c r="AG60" s="496" t="s">
        <v>646</v>
      </c>
      <c r="AH60" s="496" t="s">
        <v>647</v>
      </c>
      <c r="AI60" s="11" t="s">
        <v>555</v>
      </c>
      <c r="AJ60" s="367" t="str">
        <f t="shared" si="3"/>
        <v>CCH_H1_5_92</v>
      </c>
      <c r="AK60" s="11" t="s">
        <v>555</v>
      </c>
      <c r="AL60" s="11" t="s">
        <v>555</v>
      </c>
      <c r="AM60" s="11" t="s">
        <v>555</v>
      </c>
      <c r="AN60" s="11" t="s">
        <v>555</v>
      </c>
      <c r="AO60" s="11" t="s">
        <v>555</v>
      </c>
      <c r="AP60" s="516"/>
    </row>
    <row r="61" spans="2:42" x14ac:dyDescent="0.3">
      <c r="B61" s="238" t="str">
        <f t="shared" si="9"/>
        <v>FortnightProfessionalUOM 7.1</v>
      </c>
      <c r="C61" s="238" t="s">
        <v>576</v>
      </c>
      <c r="D61" s="238" t="s">
        <v>767</v>
      </c>
      <c r="E61" s="238" t="s">
        <v>948</v>
      </c>
      <c r="F61" s="212">
        <v>109093</v>
      </c>
      <c r="G61" s="298"/>
      <c r="H61" s="395" t="str">
        <f t="shared" si="10"/>
        <v>2023Casual</v>
      </c>
      <c r="I61" s="396">
        <v>2023</v>
      </c>
      <c r="J61" s="388" t="s">
        <v>601</v>
      </c>
      <c r="K61" s="426">
        <v>0.105</v>
      </c>
      <c r="L61" s="298"/>
      <c r="M61" s="298"/>
      <c r="R61" s="238" t="s">
        <v>945</v>
      </c>
      <c r="S61" s="249"/>
      <c r="T61" s="11" t="s">
        <v>555</v>
      </c>
      <c r="Z61" s="11" t="s">
        <v>555</v>
      </c>
      <c r="AA61" s="11" t="s">
        <v>555</v>
      </c>
      <c r="AB61" s="11" t="s">
        <v>555</v>
      </c>
      <c r="AC61" s="496" t="s">
        <v>1056</v>
      </c>
      <c r="AD61" s="496" t="s">
        <v>1057</v>
      </c>
      <c r="AE61" s="496" t="s">
        <v>1054</v>
      </c>
      <c r="AF61" s="496" t="s">
        <v>1055</v>
      </c>
      <c r="AG61" s="496" t="s">
        <v>646</v>
      </c>
      <c r="AH61" s="496" t="s">
        <v>647</v>
      </c>
      <c r="AI61" s="11" t="s">
        <v>555</v>
      </c>
      <c r="AJ61" s="367" t="str">
        <f t="shared" si="3"/>
        <v>CCH_H1_5_93</v>
      </c>
      <c r="AK61" s="11" t="s">
        <v>555</v>
      </c>
      <c r="AL61" s="11" t="s">
        <v>555</v>
      </c>
      <c r="AM61" s="11" t="s">
        <v>555</v>
      </c>
      <c r="AN61" s="11" t="s">
        <v>555</v>
      </c>
      <c r="AO61" s="11" t="s">
        <v>555</v>
      </c>
      <c r="AP61" s="516"/>
    </row>
    <row r="62" spans="2:42" x14ac:dyDescent="0.3">
      <c r="B62" s="238" t="str">
        <f t="shared" si="9"/>
        <v>FortnightProfessionalUOM 7.2</v>
      </c>
      <c r="C62" s="238" t="s">
        <v>576</v>
      </c>
      <c r="D62" s="238" t="s">
        <v>767</v>
      </c>
      <c r="E62" s="238" t="s">
        <v>950</v>
      </c>
      <c r="F62" s="212">
        <v>111280</v>
      </c>
      <c r="G62" s="298"/>
      <c r="H62" s="395" t="str">
        <f t="shared" si="10"/>
        <v>2024Continuing</v>
      </c>
      <c r="I62" s="396">
        <v>2024</v>
      </c>
      <c r="J62" s="397" t="s">
        <v>581</v>
      </c>
      <c r="K62" s="426">
        <v>0.17</v>
      </c>
      <c r="L62" s="298"/>
      <c r="M62" s="298"/>
      <c r="R62" s="238" t="s">
        <v>949</v>
      </c>
      <c r="S62" s="249"/>
      <c r="T62" s="11" t="s">
        <v>555</v>
      </c>
      <c r="Z62" s="11" t="s">
        <v>555</v>
      </c>
      <c r="AA62" s="11" t="s">
        <v>555</v>
      </c>
      <c r="AB62" s="11" t="s">
        <v>555</v>
      </c>
      <c r="AC62" s="496" t="s">
        <v>1058</v>
      </c>
      <c r="AD62" s="496" t="s">
        <v>1059</v>
      </c>
      <c r="AE62" s="496" t="s">
        <v>1054</v>
      </c>
      <c r="AF62" s="496" t="s">
        <v>1055</v>
      </c>
      <c r="AG62" s="496" t="s">
        <v>646</v>
      </c>
      <c r="AH62" s="496" t="s">
        <v>647</v>
      </c>
      <c r="AI62" s="11" t="s">
        <v>555</v>
      </c>
      <c r="AJ62" s="367" t="str">
        <f t="shared" si="3"/>
        <v>CCH_H1_5_94</v>
      </c>
      <c r="AK62" s="11" t="s">
        <v>555</v>
      </c>
      <c r="AL62" s="11" t="s">
        <v>555</v>
      </c>
      <c r="AM62" s="11" t="s">
        <v>555</v>
      </c>
      <c r="AN62" s="11" t="s">
        <v>555</v>
      </c>
      <c r="AO62" s="11" t="s">
        <v>555</v>
      </c>
      <c r="AP62" s="516"/>
    </row>
    <row r="63" spans="2:42" ht="15.6" x14ac:dyDescent="0.3">
      <c r="B63" s="238" t="str">
        <f t="shared" si="9"/>
        <v>FortnightProfessionalUOM 7.3</v>
      </c>
      <c r="C63" s="238" t="s">
        <v>576</v>
      </c>
      <c r="D63" s="238" t="s">
        <v>767</v>
      </c>
      <c r="E63" s="238" t="s">
        <v>952</v>
      </c>
      <c r="F63" s="212">
        <v>113502</v>
      </c>
      <c r="G63" s="298"/>
      <c r="H63" s="395" t="str">
        <f t="shared" si="10"/>
        <v>2024Fixed-Term</v>
      </c>
      <c r="I63" s="396">
        <v>2024</v>
      </c>
      <c r="J63" s="387" t="s">
        <v>593</v>
      </c>
      <c r="K63" s="426">
        <v>0.17</v>
      </c>
      <c r="L63" s="298"/>
      <c r="M63" s="298"/>
      <c r="O63" s="232" t="s">
        <v>953</v>
      </c>
      <c r="R63" s="238" t="s">
        <v>951</v>
      </c>
      <c r="S63" s="249"/>
      <c r="T63" s="11" t="s">
        <v>555</v>
      </c>
      <c r="U63" s="232" t="s">
        <v>955</v>
      </c>
      <c r="V63" s="232"/>
      <c r="Z63" s="11" t="s">
        <v>555</v>
      </c>
      <c r="AA63" s="11" t="s">
        <v>555</v>
      </c>
      <c r="AB63" s="11" t="s">
        <v>555</v>
      </c>
      <c r="AC63" s="496" t="s">
        <v>1060</v>
      </c>
      <c r="AD63" s="496" t="s">
        <v>1061</v>
      </c>
      <c r="AE63" s="496" t="s">
        <v>1054</v>
      </c>
      <c r="AF63" s="496" t="s">
        <v>1055</v>
      </c>
      <c r="AG63" s="496" t="s">
        <v>646</v>
      </c>
      <c r="AH63" s="496" t="s">
        <v>647</v>
      </c>
      <c r="AI63" s="11" t="s">
        <v>555</v>
      </c>
      <c r="AJ63" s="367" t="str">
        <f t="shared" si="3"/>
        <v>CCH_H1_5_95</v>
      </c>
      <c r="AK63" s="11" t="s">
        <v>555</v>
      </c>
      <c r="AL63" s="11" t="s">
        <v>555</v>
      </c>
      <c r="AM63" s="11" t="s">
        <v>555</v>
      </c>
      <c r="AN63" s="11" t="s">
        <v>555</v>
      </c>
      <c r="AO63" s="11" t="s">
        <v>555</v>
      </c>
      <c r="AP63" s="516"/>
    </row>
    <row r="64" spans="2:42" x14ac:dyDescent="0.3">
      <c r="B64" s="238" t="str">
        <f t="shared" si="9"/>
        <v>FortnightProfessionalUOM 7.4</v>
      </c>
      <c r="C64" s="238" t="s">
        <v>576</v>
      </c>
      <c r="D64" s="238" t="s">
        <v>767</v>
      </c>
      <c r="E64" s="238" t="s">
        <v>958</v>
      </c>
      <c r="F64" s="212">
        <v>115771</v>
      </c>
      <c r="G64" s="298"/>
      <c r="H64" s="395" t="str">
        <f t="shared" si="10"/>
        <v>2024Casual</v>
      </c>
      <c r="I64" s="396">
        <v>2024</v>
      </c>
      <c r="J64" s="388" t="s">
        <v>601</v>
      </c>
      <c r="K64" s="426">
        <v>0.11</v>
      </c>
      <c r="L64" s="298"/>
      <c r="M64" s="298"/>
      <c r="O64" s="235"/>
      <c r="P64" s="235" t="s">
        <v>58</v>
      </c>
      <c r="R64" s="238" t="s">
        <v>954</v>
      </c>
      <c r="S64" s="249"/>
      <c r="T64" s="11" t="s">
        <v>555</v>
      </c>
      <c r="U64" s="235" t="s">
        <v>960</v>
      </c>
      <c r="V64" s="235" t="s">
        <v>961</v>
      </c>
      <c r="W64" s="235" t="s">
        <v>962</v>
      </c>
      <c r="Z64" s="11" t="s">
        <v>555</v>
      </c>
      <c r="AA64" s="11" t="s">
        <v>555</v>
      </c>
      <c r="AB64" s="11" t="s">
        <v>555</v>
      </c>
      <c r="AC64" s="496" t="s">
        <v>1197</v>
      </c>
      <c r="AD64" s="496" t="s">
        <v>1198</v>
      </c>
      <c r="AE64" s="496" t="s">
        <v>1199</v>
      </c>
      <c r="AF64" s="496" t="s">
        <v>1200</v>
      </c>
      <c r="AG64" s="496" t="s">
        <v>1201</v>
      </c>
      <c r="AH64" s="496" t="s">
        <v>1202</v>
      </c>
      <c r="AI64" s="11" t="s">
        <v>555</v>
      </c>
      <c r="AJ64" s="367" t="str">
        <f t="shared" si="3"/>
        <v>CCH_H1_5_10</v>
      </c>
      <c r="AK64" s="11" t="s">
        <v>555</v>
      </c>
      <c r="AL64" s="11" t="s">
        <v>555</v>
      </c>
      <c r="AM64" s="11" t="s">
        <v>555</v>
      </c>
      <c r="AN64" s="11" t="s">
        <v>555</v>
      </c>
      <c r="AO64" s="11" t="s">
        <v>555</v>
      </c>
    </row>
    <row r="65" spans="2:41" x14ac:dyDescent="0.3">
      <c r="B65" s="238" t="str">
        <f t="shared" si="9"/>
        <v>FortnightProfessionalUOM 7.5</v>
      </c>
      <c r="C65" s="238" t="s">
        <v>576</v>
      </c>
      <c r="D65" s="238" t="s">
        <v>767</v>
      </c>
      <c r="E65" s="238" t="s">
        <v>965</v>
      </c>
      <c r="F65" s="212">
        <v>118091</v>
      </c>
      <c r="G65" s="413"/>
      <c r="H65" s="395" t="str">
        <f t="shared" si="10"/>
        <v>2025Continuing</v>
      </c>
      <c r="I65" s="396">
        <v>2025</v>
      </c>
      <c r="J65" s="397" t="s">
        <v>581</v>
      </c>
      <c r="K65" s="426">
        <v>0.17</v>
      </c>
      <c r="L65" s="298"/>
      <c r="M65" s="298"/>
      <c r="O65" s="252"/>
      <c r="P65" s="236" t="s">
        <v>966</v>
      </c>
      <c r="R65" s="238" t="s">
        <v>959</v>
      </c>
      <c r="S65" s="249"/>
      <c r="T65" s="11" t="s">
        <v>555</v>
      </c>
      <c r="U65" s="519" t="s">
        <v>20</v>
      </c>
      <c r="V65" s="519">
        <v>1</v>
      </c>
      <c r="W65" s="519" t="str">
        <f>CONCATENATE(TEXT(V65,"00"),"_",UPPER(LEFT(U65,3)))</f>
        <v>01_JAN</v>
      </c>
      <c r="Z65" s="11" t="s">
        <v>555</v>
      </c>
      <c r="AA65" s="11" t="s">
        <v>555</v>
      </c>
      <c r="AB65" s="11" t="s">
        <v>555</v>
      </c>
      <c r="AC65" s="496" t="s">
        <v>1203</v>
      </c>
      <c r="AD65" s="496" t="s">
        <v>1204</v>
      </c>
      <c r="AE65" s="496" t="s">
        <v>1199</v>
      </c>
      <c r="AF65" s="496" t="s">
        <v>1200</v>
      </c>
      <c r="AG65" s="496" t="s">
        <v>1201</v>
      </c>
      <c r="AH65" s="496" t="s">
        <v>1202</v>
      </c>
      <c r="AI65" s="11" t="s">
        <v>555</v>
      </c>
      <c r="AJ65" s="367" t="str">
        <f t="shared" si="3"/>
        <v>CCH_H1_5_11</v>
      </c>
      <c r="AK65" s="11" t="s">
        <v>555</v>
      </c>
      <c r="AL65" s="11" t="s">
        <v>555</v>
      </c>
      <c r="AM65" s="11" t="s">
        <v>555</v>
      </c>
      <c r="AN65" s="11" t="s">
        <v>555</v>
      </c>
      <c r="AO65" s="11" t="s">
        <v>555</v>
      </c>
    </row>
    <row r="66" spans="2:41" x14ac:dyDescent="0.3">
      <c r="B66" s="238" t="str">
        <f t="shared" si="9"/>
        <v>FortnightProfessionalUOM 8.1</v>
      </c>
      <c r="C66" s="238" t="s">
        <v>576</v>
      </c>
      <c r="D66" s="238" t="s">
        <v>767</v>
      </c>
      <c r="E66" s="238" t="s">
        <v>969</v>
      </c>
      <c r="F66" s="212">
        <v>122736</v>
      </c>
      <c r="G66" s="413"/>
      <c r="H66" s="395" t="str">
        <f t="shared" si="10"/>
        <v>2025Fixed-Term</v>
      </c>
      <c r="I66" s="396">
        <v>2025</v>
      </c>
      <c r="J66" s="387" t="s">
        <v>593</v>
      </c>
      <c r="K66" s="426">
        <v>0.17</v>
      </c>
      <c r="L66" s="298"/>
      <c r="M66" s="298"/>
      <c r="O66" s="247"/>
      <c r="P66" s="244" t="s">
        <v>970</v>
      </c>
      <c r="R66" s="238" t="s">
        <v>967</v>
      </c>
      <c r="S66" s="249"/>
      <c r="T66" s="11" t="s">
        <v>555</v>
      </c>
      <c r="U66" s="238" t="s">
        <v>971</v>
      </c>
      <c r="V66" s="519">
        <v>2</v>
      </c>
      <c r="W66" s="519" t="str">
        <f t="shared" ref="W66:W76" si="11">CONCATENATE(TEXT(V66,"00"),"_",UPPER(LEFT(U66,3)))</f>
        <v>02_FEB</v>
      </c>
      <c r="Z66" s="11" t="s">
        <v>555</v>
      </c>
      <c r="AA66" s="11" t="s">
        <v>555</v>
      </c>
      <c r="AB66" s="11" t="s">
        <v>555</v>
      </c>
      <c r="AC66" s="496" t="s">
        <v>1205</v>
      </c>
      <c r="AD66" s="496" t="s">
        <v>1206</v>
      </c>
      <c r="AE66" s="496" t="s">
        <v>1199</v>
      </c>
      <c r="AF66" s="496" t="s">
        <v>1200</v>
      </c>
      <c r="AG66" s="496" t="s">
        <v>1201</v>
      </c>
      <c r="AH66" s="496" t="s">
        <v>1202</v>
      </c>
      <c r="AI66" s="11" t="s">
        <v>555</v>
      </c>
      <c r="AJ66" s="367" t="str">
        <f t="shared" si="3"/>
        <v>CCH_H1_5_12</v>
      </c>
      <c r="AK66" s="11" t="s">
        <v>555</v>
      </c>
      <c r="AL66" s="11" t="s">
        <v>555</v>
      </c>
      <c r="AM66" s="11" t="s">
        <v>555</v>
      </c>
      <c r="AN66" s="11" t="s">
        <v>555</v>
      </c>
      <c r="AO66" s="11" t="s">
        <v>555</v>
      </c>
    </row>
    <row r="67" spans="2:41" x14ac:dyDescent="0.3">
      <c r="B67" s="238" t="str">
        <f t="shared" si="9"/>
        <v>FortnightProfessionalUOM 8.2</v>
      </c>
      <c r="C67" s="238" t="s">
        <v>576</v>
      </c>
      <c r="D67" s="238" t="s">
        <v>767</v>
      </c>
      <c r="E67" s="238" t="s">
        <v>974</v>
      </c>
      <c r="F67" s="212">
        <v>125187</v>
      </c>
      <c r="G67" s="298"/>
      <c r="H67" s="398" t="str">
        <f t="shared" si="10"/>
        <v>2025Casual</v>
      </c>
      <c r="I67" s="399">
        <v>2025</v>
      </c>
      <c r="J67" s="400" t="s">
        <v>601</v>
      </c>
      <c r="K67" s="427">
        <v>0.115</v>
      </c>
      <c r="L67" s="298"/>
      <c r="M67" s="298"/>
      <c r="R67" s="238"/>
      <c r="S67" s="249"/>
      <c r="T67" s="11" t="s">
        <v>555</v>
      </c>
      <c r="U67" s="238" t="s">
        <v>975</v>
      </c>
      <c r="V67" s="519">
        <v>3</v>
      </c>
      <c r="W67" s="519" t="str">
        <f t="shared" si="11"/>
        <v>03_MAR</v>
      </c>
      <c r="X67" s="11" t="s">
        <v>555</v>
      </c>
      <c r="Y67" s="11" t="s">
        <v>555</v>
      </c>
      <c r="Z67" s="11" t="s">
        <v>555</v>
      </c>
      <c r="AA67" s="11" t="s">
        <v>555</v>
      </c>
      <c r="AB67" s="11" t="s">
        <v>555</v>
      </c>
      <c r="AC67" s="496" t="s">
        <v>1207</v>
      </c>
      <c r="AD67" s="496" t="s">
        <v>1208</v>
      </c>
      <c r="AE67" s="496" t="s">
        <v>1209</v>
      </c>
      <c r="AF67" s="496" t="s">
        <v>1210</v>
      </c>
      <c r="AG67" s="496" t="s">
        <v>1201</v>
      </c>
      <c r="AH67" s="496" t="s">
        <v>1202</v>
      </c>
      <c r="AI67" s="11" t="s">
        <v>555</v>
      </c>
      <c r="AJ67" s="367" t="str">
        <f t="shared" si="3"/>
        <v>CCH_H1_5_121</v>
      </c>
      <c r="AK67" s="11" t="s">
        <v>555</v>
      </c>
      <c r="AL67" s="11" t="s">
        <v>555</v>
      </c>
      <c r="AM67" s="11" t="s">
        <v>555</v>
      </c>
      <c r="AN67" s="11" t="s">
        <v>555</v>
      </c>
      <c r="AO67" s="11" t="s">
        <v>555</v>
      </c>
    </row>
    <row r="68" spans="2:41" x14ac:dyDescent="0.3">
      <c r="B68" s="238" t="str">
        <f t="shared" si="9"/>
        <v>FortnightProfessionalUOM 8.3</v>
      </c>
      <c r="C68" s="238" t="s">
        <v>576</v>
      </c>
      <c r="D68" s="238" t="s">
        <v>767</v>
      </c>
      <c r="E68" s="238" t="s">
        <v>976</v>
      </c>
      <c r="F68" s="212">
        <v>127688</v>
      </c>
      <c r="G68" s="298"/>
      <c r="H68" s="389"/>
      <c r="I68" s="390"/>
      <c r="J68" s="386"/>
      <c r="K68" s="298" t="s">
        <v>555</v>
      </c>
      <c r="L68" s="298"/>
      <c r="M68" s="298"/>
      <c r="R68" s="238"/>
      <c r="S68" s="249"/>
      <c r="T68" s="11" t="s">
        <v>555</v>
      </c>
      <c r="U68" s="238" t="s">
        <v>977</v>
      </c>
      <c r="V68" s="519">
        <v>4</v>
      </c>
      <c r="W68" s="519" t="str">
        <f t="shared" si="11"/>
        <v>04_APR</v>
      </c>
      <c r="X68" s="11" t="s">
        <v>555</v>
      </c>
      <c r="Y68" s="11" t="s">
        <v>555</v>
      </c>
      <c r="Z68" s="11" t="s">
        <v>555</v>
      </c>
      <c r="AA68" s="11" t="s">
        <v>555</v>
      </c>
      <c r="AB68" s="11" t="s">
        <v>555</v>
      </c>
      <c r="AC68" s="496" t="s">
        <v>1211</v>
      </c>
      <c r="AD68" s="496" t="s">
        <v>1212</v>
      </c>
      <c r="AE68" s="496" t="s">
        <v>1209</v>
      </c>
      <c r="AF68" s="496" t="s">
        <v>1210</v>
      </c>
      <c r="AG68" s="496" t="s">
        <v>1201</v>
      </c>
      <c r="AH68" s="496" t="s">
        <v>1202</v>
      </c>
      <c r="AI68" s="11" t="s">
        <v>555</v>
      </c>
      <c r="AJ68" s="367" t="str">
        <f t="shared" si="3"/>
        <v>CCH_H1_5_122</v>
      </c>
      <c r="AK68" s="11" t="s">
        <v>555</v>
      </c>
      <c r="AL68" s="11" t="s">
        <v>555</v>
      </c>
      <c r="AM68" s="11" t="s">
        <v>555</v>
      </c>
      <c r="AN68" s="11" t="s">
        <v>555</v>
      </c>
      <c r="AO68" s="11" t="s">
        <v>555</v>
      </c>
    </row>
    <row r="69" spans="2:41" x14ac:dyDescent="0.3">
      <c r="B69" s="238" t="str">
        <f t="shared" si="9"/>
        <v>FortnightProfessionalUOM 8.4</v>
      </c>
      <c r="C69" s="238" t="s">
        <v>576</v>
      </c>
      <c r="D69" s="238" t="s">
        <v>767</v>
      </c>
      <c r="E69" s="238" t="s">
        <v>982</v>
      </c>
      <c r="F69" s="212">
        <v>130244</v>
      </c>
      <c r="G69" s="298"/>
      <c r="H69" s="389"/>
      <c r="I69" s="390"/>
      <c r="J69" s="386"/>
      <c r="K69" s="298" t="s">
        <v>555</v>
      </c>
      <c r="L69" s="298"/>
      <c r="M69" s="298"/>
      <c r="R69" s="238"/>
      <c r="S69" s="249"/>
      <c r="T69" s="11" t="s">
        <v>555</v>
      </c>
      <c r="U69" s="238" t="s">
        <v>983</v>
      </c>
      <c r="V69" s="519">
        <v>5</v>
      </c>
      <c r="W69" s="519" t="str">
        <f t="shared" si="11"/>
        <v>05_MAY</v>
      </c>
      <c r="X69" s="11" t="s">
        <v>555</v>
      </c>
      <c r="Y69" s="11" t="s">
        <v>555</v>
      </c>
      <c r="Z69" s="11" t="s">
        <v>555</v>
      </c>
      <c r="AA69" s="11" t="s">
        <v>555</v>
      </c>
      <c r="AB69" s="11" t="s">
        <v>555</v>
      </c>
      <c r="AC69" s="496" t="s">
        <v>1213</v>
      </c>
      <c r="AD69" s="496" t="s">
        <v>1214</v>
      </c>
      <c r="AE69" s="496" t="s">
        <v>1209</v>
      </c>
      <c r="AF69" s="496" t="s">
        <v>1210</v>
      </c>
      <c r="AG69" s="496" t="s">
        <v>1201</v>
      </c>
      <c r="AH69" s="496" t="s">
        <v>1202</v>
      </c>
      <c r="AI69" s="11" t="s">
        <v>555</v>
      </c>
      <c r="AJ69" s="367" t="str">
        <f t="shared" ref="AJ69:AJ132" si="12">AD69</f>
        <v>CCH_H1_5_123</v>
      </c>
      <c r="AK69" s="11" t="s">
        <v>555</v>
      </c>
      <c r="AL69" s="11" t="s">
        <v>555</v>
      </c>
      <c r="AM69" s="11" t="s">
        <v>555</v>
      </c>
      <c r="AN69" s="11" t="s">
        <v>555</v>
      </c>
      <c r="AO69" s="11" t="s">
        <v>555</v>
      </c>
    </row>
    <row r="70" spans="2:41" x14ac:dyDescent="0.3">
      <c r="B70" s="238" t="str">
        <f t="shared" si="9"/>
        <v>FortnightProfessionalUOM 8.5</v>
      </c>
      <c r="C70" s="238" t="s">
        <v>576</v>
      </c>
      <c r="D70" s="238" t="s">
        <v>767</v>
      </c>
      <c r="E70" s="238" t="s">
        <v>988</v>
      </c>
      <c r="F70" s="212">
        <v>132847</v>
      </c>
      <c r="G70" s="298"/>
      <c r="H70" s="389"/>
      <c r="I70" s="390"/>
      <c r="J70" s="386"/>
      <c r="K70" s="298" t="s">
        <v>555</v>
      </c>
      <c r="L70" s="298"/>
      <c r="M70" s="298"/>
      <c r="R70" s="238"/>
      <c r="S70" s="249"/>
      <c r="T70" s="11" t="s">
        <v>555</v>
      </c>
      <c r="U70" s="238" t="s">
        <v>989</v>
      </c>
      <c r="V70" s="519">
        <v>6</v>
      </c>
      <c r="W70" s="519" t="str">
        <f t="shared" si="11"/>
        <v>06_JUN</v>
      </c>
      <c r="X70" s="11" t="s">
        <v>555</v>
      </c>
      <c r="Y70" s="11" t="s">
        <v>555</v>
      </c>
      <c r="Z70" s="11" t="s">
        <v>555</v>
      </c>
      <c r="AA70" s="11" t="s">
        <v>555</v>
      </c>
      <c r="AB70" s="11" t="s">
        <v>555</v>
      </c>
      <c r="AC70" s="496" t="s">
        <v>1215</v>
      </c>
      <c r="AD70" s="496" t="s">
        <v>1216</v>
      </c>
      <c r="AE70" s="496" t="s">
        <v>1217</v>
      </c>
      <c r="AF70" s="496" t="s">
        <v>1218</v>
      </c>
      <c r="AG70" s="496" t="s">
        <v>1201</v>
      </c>
      <c r="AH70" s="496" t="s">
        <v>1202</v>
      </c>
      <c r="AI70" s="11" t="s">
        <v>555</v>
      </c>
      <c r="AJ70" s="367" t="str">
        <f t="shared" si="12"/>
        <v>CCH_H1_5_124</v>
      </c>
      <c r="AK70" s="11" t="s">
        <v>555</v>
      </c>
      <c r="AL70" s="11" t="s">
        <v>555</v>
      </c>
      <c r="AM70" s="11" t="s">
        <v>555</v>
      </c>
      <c r="AN70" s="11" t="s">
        <v>555</v>
      </c>
      <c r="AO70" s="11" t="s">
        <v>555</v>
      </c>
    </row>
    <row r="71" spans="2:41" x14ac:dyDescent="0.3">
      <c r="B71" s="238" t="str">
        <f t="shared" si="9"/>
        <v>FortnightProfessionalUOM 9.1</v>
      </c>
      <c r="C71" s="238" t="s">
        <v>576</v>
      </c>
      <c r="D71" s="238" t="s">
        <v>767</v>
      </c>
      <c r="E71" s="238" t="s">
        <v>990</v>
      </c>
      <c r="F71" s="212">
        <v>143185</v>
      </c>
      <c r="G71" s="298"/>
      <c r="H71" s="389"/>
      <c r="I71" s="390"/>
      <c r="J71" s="386"/>
      <c r="K71" s="298" t="s">
        <v>555</v>
      </c>
      <c r="L71" s="298"/>
      <c r="M71" s="298"/>
      <c r="S71" s="249"/>
      <c r="T71" s="11" t="s">
        <v>555</v>
      </c>
      <c r="U71" s="238" t="s">
        <v>991</v>
      </c>
      <c r="V71" s="519">
        <v>7</v>
      </c>
      <c r="W71" s="519" t="str">
        <f t="shared" si="11"/>
        <v>07_JUL</v>
      </c>
      <c r="X71" s="11" t="s">
        <v>555</v>
      </c>
      <c r="Y71" s="11" t="s">
        <v>555</v>
      </c>
      <c r="Z71" s="11" t="s">
        <v>555</v>
      </c>
      <c r="AA71" s="11" t="s">
        <v>555</v>
      </c>
      <c r="AB71" s="11" t="s">
        <v>555</v>
      </c>
      <c r="AC71" s="496" t="s">
        <v>1219</v>
      </c>
      <c r="AD71" s="496" t="s">
        <v>1220</v>
      </c>
      <c r="AE71" s="496" t="s">
        <v>1217</v>
      </c>
      <c r="AF71" s="496" t="s">
        <v>1218</v>
      </c>
      <c r="AG71" s="496" t="s">
        <v>1201</v>
      </c>
      <c r="AH71" s="496" t="s">
        <v>1202</v>
      </c>
      <c r="AI71" s="11" t="s">
        <v>555</v>
      </c>
      <c r="AJ71" s="367" t="str">
        <f t="shared" si="12"/>
        <v>CCH_H1_5_125</v>
      </c>
      <c r="AK71" s="11" t="s">
        <v>555</v>
      </c>
      <c r="AL71" s="11" t="s">
        <v>555</v>
      </c>
      <c r="AM71" s="11" t="s">
        <v>555</v>
      </c>
      <c r="AN71" s="11" t="s">
        <v>555</v>
      </c>
      <c r="AO71" s="11" t="s">
        <v>555</v>
      </c>
    </row>
    <row r="72" spans="2:41" ht="15.6" x14ac:dyDescent="0.3">
      <c r="B72" s="238" t="str">
        <f t="shared" si="9"/>
        <v>FortnightProfessionalUOM 9.2</v>
      </c>
      <c r="C72" s="238" t="s">
        <v>576</v>
      </c>
      <c r="D72" s="238" t="s">
        <v>767</v>
      </c>
      <c r="E72" s="238" t="s">
        <v>992</v>
      </c>
      <c r="F72" s="212">
        <v>146043</v>
      </c>
      <c r="G72" s="298"/>
      <c r="H72" s="391" t="s">
        <v>993</v>
      </c>
      <c r="I72" s="390"/>
      <c r="J72" s="386"/>
      <c r="K72" s="298" t="s">
        <v>555</v>
      </c>
      <c r="L72" s="298"/>
      <c r="M72" s="298"/>
      <c r="R72" s="244"/>
      <c r="T72" s="11" t="s">
        <v>555</v>
      </c>
      <c r="U72" s="238" t="s">
        <v>994</v>
      </c>
      <c r="V72" s="519">
        <v>8</v>
      </c>
      <c r="W72" s="519" t="str">
        <f t="shared" si="11"/>
        <v>08_AUG</v>
      </c>
      <c r="X72" s="11" t="s">
        <v>555</v>
      </c>
      <c r="Y72" s="11" t="s">
        <v>555</v>
      </c>
      <c r="Z72" s="11" t="s">
        <v>555</v>
      </c>
      <c r="AA72" s="11" t="s">
        <v>555</v>
      </c>
      <c r="AB72" s="11" t="s">
        <v>555</v>
      </c>
      <c r="AC72" s="496" t="s">
        <v>1221</v>
      </c>
      <c r="AD72" s="496" t="s">
        <v>1222</v>
      </c>
      <c r="AE72" s="496" t="s">
        <v>1217</v>
      </c>
      <c r="AF72" s="496" t="s">
        <v>1218</v>
      </c>
      <c r="AG72" s="496" t="s">
        <v>1201</v>
      </c>
      <c r="AH72" s="496" t="s">
        <v>1202</v>
      </c>
      <c r="AI72" s="11" t="s">
        <v>555</v>
      </c>
      <c r="AJ72" s="367" t="str">
        <f t="shared" si="12"/>
        <v>CCH_H1_5_126</v>
      </c>
      <c r="AK72" s="11" t="s">
        <v>555</v>
      </c>
      <c r="AL72" s="11" t="s">
        <v>555</v>
      </c>
      <c r="AM72" s="11" t="s">
        <v>555</v>
      </c>
      <c r="AN72" s="11" t="s">
        <v>555</v>
      </c>
      <c r="AO72" s="11" t="s">
        <v>555</v>
      </c>
    </row>
    <row r="73" spans="2:41" x14ac:dyDescent="0.3">
      <c r="B73" s="238" t="str">
        <f t="shared" si="9"/>
        <v>FortnightProfessionalUOM 9.3</v>
      </c>
      <c r="C73" s="238" t="s">
        <v>576</v>
      </c>
      <c r="D73" s="238" t="s">
        <v>767</v>
      </c>
      <c r="E73" s="238" t="s">
        <v>997</v>
      </c>
      <c r="F73" s="212">
        <v>148972</v>
      </c>
      <c r="G73" s="298"/>
      <c r="H73" s="235" t="s">
        <v>834</v>
      </c>
      <c r="I73" s="295" t="s">
        <v>993</v>
      </c>
      <c r="J73" s="386"/>
      <c r="K73" s="298" t="s">
        <v>555</v>
      </c>
      <c r="L73" s="298"/>
      <c r="M73" s="298"/>
      <c r="T73" s="11" t="s">
        <v>555</v>
      </c>
      <c r="U73" s="238" t="s">
        <v>998</v>
      </c>
      <c r="V73" s="519">
        <v>9</v>
      </c>
      <c r="W73" s="519" t="str">
        <f t="shared" si="11"/>
        <v>09_SEP</v>
      </c>
      <c r="X73" s="11" t="s">
        <v>555</v>
      </c>
      <c r="Y73" s="11" t="s">
        <v>555</v>
      </c>
      <c r="Z73" s="11" t="s">
        <v>555</v>
      </c>
      <c r="AA73" s="11" t="s">
        <v>555</v>
      </c>
      <c r="AB73" s="11" t="s">
        <v>555</v>
      </c>
      <c r="AC73" s="496" t="s">
        <v>1223</v>
      </c>
      <c r="AD73" s="496" t="s">
        <v>1224</v>
      </c>
      <c r="AE73" s="496" t="s">
        <v>1217</v>
      </c>
      <c r="AF73" s="496" t="s">
        <v>1218</v>
      </c>
      <c r="AG73" s="496" t="s">
        <v>1201</v>
      </c>
      <c r="AH73" s="496" t="s">
        <v>1202</v>
      </c>
      <c r="AI73" s="11" t="s">
        <v>555</v>
      </c>
      <c r="AJ73" s="367" t="str">
        <f t="shared" si="12"/>
        <v>CCH_H1_5_127</v>
      </c>
      <c r="AK73" s="11" t="s">
        <v>555</v>
      </c>
      <c r="AL73" s="11" t="s">
        <v>555</v>
      </c>
      <c r="AM73" s="11" t="s">
        <v>555</v>
      </c>
      <c r="AN73" s="11" t="s">
        <v>555</v>
      </c>
      <c r="AO73" s="11" t="s">
        <v>555</v>
      </c>
    </row>
    <row r="74" spans="2:41" x14ac:dyDescent="0.3">
      <c r="B74" s="238" t="str">
        <f t="shared" si="9"/>
        <v>FortnightProfessionalUOM 10</v>
      </c>
      <c r="C74" s="238" t="s">
        <v>576</v>
      </c>
      <c r="D74" s="238" t="s">
        <v>767</v>
      </c>
      <c r="E74" s="238" t="s">
        <v>715</v>
      </c>
      <c r="F74" s="212">
        <v>153412</v>
      </c>
      <c r="G74" s="298"/>
      <c r="H74" s="401" t="s">
        <v>581</v>
      </c>
      <c r="I74" s="428">
        <v>1.34E-2</v>
      </c>
      <c r="J74" s="386"/>
      <c r="K74" s="298" t="s">
        <v>555</v>
      </c>
      <c r="L74" s="298"/>
      <c r="M74" s="298"/>
      <c r="T74" s="11" t="s">
        <v>555</v>
      </c>
      <c r="U74" s="238" t="s">
        <v>1001</v>
      </c>
      <c r="V74" s="519">
        <v>10</v>
      </c>
      <c r="W74" s="519" t="str">
        <f t="shared" si="11"/>
        <v>10_OCT</v>
      </c>
      <c r="X74" s="11" t="s">
        <v>555</v>
      </c>
      <c r="Y74" s="11" t="s">
        <v>555</v>
      </c>
      <c r="Z74" s="11" t="s">
        <v>555</v>
      </c>
      <c r="AA74" s="11" t="s">
        <v>555</v>
      </c>
      <c r="AB74" s="11" t="s">
        <v>555</v>
      </c>
      <c r="AC74" s="496" t="s">
        <v>1225</v>
      </c>
      <c r="AD74" s="496" t="s">
        <v>1226</v>
      </c>
      <c r="AE74" s="496" t="s">
        <v>1217</v>
      </c>
      <c r="AF74" s="496" t="s">
        <v>1218</v>
      </c>
      <c r="AG74" s="496" t="s">
        <v>1201</v>
      </c>
      <c r="AH74" s="496" t="s">
        <v>1202</v>
      </c>
      <c r="AI74" s="11" t="s">
        <v>555</v>
      </c>
      <c r="AJ74" s="367" t="str">
        <f t="shared" si="12"/>
        <v>CCH_H1_5_128</v>
      </c>
      <c r="AK74" s="11" t="s">
        <v>555</v>
      </c>
      <c r="AL74" s="11" t="s">
        <v>555</v>
      </c>
      <c r="AM74" s="11" t="s">
        <v>555</v>
      </c>
      <c r="AN74" s="11" t="s">
        <v>555</v>
      </c>
      <c r="AO74" s="11" t="s">
        <v>555</v>
      </c>
    </row>
    <row r="75" spans="2:41" x14ac:dyDescent="0.3">
      <c r="B75" s="238" t="str">
        <f t="shared" si="9"/>
        <v>CasualProfessionalUOM 1.1</v>
      </c>
      <c r="C75" s="238" t="s">
        <v>601</v>
      </c>
      <c r="D75" s="238" t="s">
        <v>767</v>
      </c>
      <c r="E75" s="238" t="s">
        <v>768</v>
      </c>
      <c r="F75" s="212">
        <v>39.04</v>
      </c>
      <c r="G75" s="298"/>
      <c r="H75" s="402" t="s">
        <v>593</v>
      </c>
      <c r="I75" s="429">
        <v>1.34E-2</v>
      </c>
      <c r="J75" s="386"/>
      <c r="K75" s="298" t="s">
        <v>555</v>
      </c>
      <c r="L75" s="298"/>
      <c r="M75" s="298"/>
      <c r="T75" s="11" t="s">
        <v>555</v>
      </c>
      <c r="U75" s="238" t="s">
        <v>1004</v>
      </c>
      <c r="V75" s="519">
        <v>11</v>
      </c>
      <c r="W75" s="519" t="str">
        <f t="shared" si="11"/>
        <v>11_NOV</v>
      </c>
      <c r="X75" s="11" t="s">
        <v>555</v>
      </c>
      <c r="Y75" s="11" t="s">
        <v>555</v>
      </c>
      <c r="Z75" s="11" t="s">
        <v>555</v>
      </c>
      <c r="AA75" s="11" t="s">
        <v>555</v>
      </c>
      <c r="AB75" s="11" t="s">
        <v>555</v>
      </c>
      <c r="AC75" s="496" t="s">
        <v>1227</v>
      </c>
      <c r="AD75" s="496" t="s">
        <v>1228</v>
      </c>
      <c r="AE75" s="496" t="s">
        <v>1229</v>
      </c>
      <c r="AF75" s="496" t="s">
        <v>1230</v>
      </c>
      <c r="AG75" s="496" t="s">
        <v>1201</v>
      </c>
      <c r="AH75" s="496" t="s">
        <v>1202</v>
      </c>
      <c r="AI75" s="11" t="s">
        <v>555</v>
      </c>
      <c r="AJ75" s="367" t="str">
        <f t="shared" si="12"/>
        <v>CCH_H1_5_129</v>
      </c>
      <c r="AK75" s="11" t="s">
        <v>555</v>
      </c>
      <c r="AL75" s="11" t="s">
        <v>555</v>
      </c>
      <c r="AM75" s="11" t="s">
        <v>555</v>
      </c>
      <c r="AN75" s="11" t="s">
        <v>555</v>
      </c>
      <c r="AO75" s="11" t="s">
        <v>555</v>
      </c>
    </row>
    <row r="76" spans="2:41" x14ac:dyDescent="0.3">
      <c r="B76" s="238" t="str">
        <f t="shared" si="9"/>
        <v>CasualProfessionalUOM 1.2</v>
      </c>
      <c r="C76" s="238" t="s">
        <v>601</v>
      </c>
      <c r="D76" s="238" t="s">
        <v>767</v>
      </c>
      <c r="E76" s="238" t="s">
        <v>774</v>
      </c>
      <c r="F76" s="212">
        <v>39.83</v>
      </c>
      <c r="G76" s="298"/>
      <c r="H76" s="403" t="s">
        <v>601</v>
      </c>
      <c r="I76" s="404">
        <v>0</v>
      </c>
      <c r="J76" s="386"/>
      <c r="K76" s="298" t="s">
        <v>555</v>
      </c>
      <c r="L76" s="298"/>
      <c r="M76" s="298"/>
      <c r="T76" s="11" t="s">
        <v>555</v>
      </c>
      <c r="U76" s="244" t="s">
        <v>21</v>
      </c>
      <c r="V76" s="519">
        <v>12</v>
      </c>
      <c r="W76" s="519" t="str">
        <f t="shared" si="11"/>
        <v>12_DEC</v>
      </c>
      <c r="X76" s="11" t="s">
        <v>555</v>
      </c>
      <c r="Y76" s="11" t="s">
        <v>555</v>
      </c>
      <c r="Z76" s="11" t="s">
        <v>555</v>
      </c>
      <c r="AA76" s="11" t="s">
        <v>555</v>
      </c>
      <c r="AB76" s="11" t="s">
        <v>555</v>
      </c>
      <c r="AC76" s="496" t="s">
        <v>1231</v>
      </c>
      <c r="AD76" s="496" t="s">
        <v>1232</v>
      </c>
      <c r="AE76" s="496" t="s">
        <v>1199</v>
      </c>
      <c r="AF76" s="496" t="s">
        <v>1200</v>
      </c>
      <c r="AG76" s="496" t="s">
        <v>1201</v>
      </c>
      <c r="AH76" s="496" t="s">
        <v>1202</v>
      </c>
      <c r="AI76" s="11" t="s">
        <v>555</v>
      </c>
      <c r="AJ76" s="367" t="str">
        <f t="shared" si="12"/>
        <v>CCH_H1_5_13</v>
      </c>
      <c r="AK76" s="11" t="s">
        <v>555</v>
      </c>
      <c r="AL76" s="11" t="s">
        <v>555</v>
      </c>
      <c r="AM76" s="11" t="s">
        <v>555</v>
      </c>
      <c r="AN76" s="11" t="s">
        <v>555</v>
      </c>
      <c r="AO76" s="11" t="s">
        <v>555</v>
      </c>
    </row>
    <row r="77" spans="2:41" x14ac:dyDescent="0.3">
      <c r="B77" s="238" t="str">
        <f t="shared" si="9"/>
        <v>CasualProfessionalUOM 1.3</v>
      </c>
      <c r="C77" s="238" t="s">
        <v>601</v>
      </c>
      <c r="D77" s="238" t="s">
        <v>767</v>
      </c>
      <c r="E77" s="238" t="s">
        <v>780</v>
      </c>
      <c r="F77" s="212">
        <v>40.619999999999997</v>
      </c>
      <c r="G77" s="298"/>
      <c r="H77" s="389"/>
      <c r="I77" s="390"/>
      <c r="J77" s="405"/>
      <c r="K77" s="298" t="s">
        <v>555</v>
      </c>
      <c r="L77" s="298"/>
      <c r="M77" s="298"/>
      <c r="T77" s="11" t="s">
        <v>555</v>
      </c>
      <c r="U77" s="11" t="s">
        <v>555</v>
      </c>
      <c r="V77" s="519"/>
      <c r="W77" s="519"/>
      <c r="X77" s="11" t="s">
        <v>555</v>
      </c>
      <c r="Y77" s="11" t="s">
        <v>555</v>
      </c>
      <c r="Z77" s="11" t="s">
        <v>555</v>
      </c>
      <c r="AA77" s="11" t="s">
        <v>555</v>
      </c>
      <c r="AB77" s="11" t="s">
        <v>555</v>
      </c>
      <c r="AC77" s="496" t="s">
        <v>1233</v>
      </c>
      <c r="AD77" s="496" t="s">
        <v>1234</v>
      </c>
      <c r="AE77" s="496" t="s">
        <v>1229</v>
      </c>
      <c r="AF77" s="496" t="s">
        <v>1230</v>
      </c>
      <c r="AG77" s="496" t="s">
        <v>1201</v>
      </c>
      <c r="AH77" s="496" t="s">
        <v>1202</v>
      </c>
      <c r="AI77" s="11" t="s">
        <v>555</v>
      </c>
      <c r="AJ77" s="367" t="str">
        <f t="shared" si="12"/>
        <v>CCH_H1_5_130</v>
      </c>
      <c r="AK77" s="11" t="s">
        <v>555</v>
      </c>
      <c r="AL77" s="11" t="s">
        <v>555</v>
      </c>
      <c r="AM77" s="11" t="s">
        <v>555</v>
      </c>
      <c r="AN77" s="11" t="s">
        <v>555</v>
      </c>
      <c r="AO77" s="11" t="s">
        <v>555</v>
      </c>
    </row>
    <row r="78" spans="2:41" x14ac:dyDescent="0.3">
      <c r="B78" s="238" t="str">
        <f t="shared" si="9"/>
        <v>CasualProfessionalUOM 2.1</v>
      </c>
      <c r="C78" s="238" t="s">
        <v>601</v>
      </c>
      <c r="D78" s="238" t="s">
        <v>767</v>
      </c>
      <c r="E78" s="238" t="s">
        <v>785</v>
      </c>
      <c r="F78" s="212">
        <v>42.37</v>
      </c>
      <c r="G78" s="298"/>
      <c r="H78" s="389"/>
      <c r="I78" s="390"/>
      <c r="J78" s="405"/>
      <c r="K78" s="298" t="s">
        <v>555</v>
      </c>
      <c r="L78" s="298"/>
      <c r="M78" s="298"/>
      <c r="T78" s="11" t="s">
        <v>555</v>
      </c>
      <c r="U78" s="11" t="s">
        <v>555</v>
      </c>
      <c r="X78" s="11" t="s">
        <v>555</v>
      </c>
      <c r="Y78" s="11" t="s">
        <v>555</v>
      </c>
      <c r="Z78" s="11" t="s">
        <v>555</v>
      </c>
      <c r="AA78" s="11" t="s">
        <v>555</v>
      </c>
      <c r="AB78" s="11" t="s">
        <v>555</v>
      </c>
      <c r="AC78" s="496" t="s">
        <v>1235</v>
      </c>
      <c r="AD78" s="496" t="s">
        <v>1236</v>
      </c>
      <c r="AE78" s="496" t="s">
        <v>1229</v>
      </c>
      <c r="AF78" s="496" t="s">
        <v>1230</v>
      </c>
      <c r="AG78" s="496" t="s">
        <v>1201</v>
      </c>
      <c r="AH78" s="496" t="s">
        <v>1202</v>
      </c>
      <c r="AI78" s="11" t="s">
        <v>555</v>
      </c>
      <c r="AJ78" s="367" t="str">
        <f t="shared" si="12"/>
        <v>CCH_H1_5_131</v>
      </c>
      <c r="AK78" s="11" t="s">
        <v>555</v>
      </c>
      <c r="AL78" s="11" t="s">
        <v>555</v>
      </c>
      <c r="AM78" s="11" t="s">
        <v>555</v>
      </c>
      <c r="AN78" s="11" t="s">
        <v>555</v>
      </c>
      <c r="AO78" s="11" t="s">
        <v>555</v>
      </c>
    </row>
    <row r="79" spans="2:41" ht="15.6" x14ac:dyDescent="0.3">
      <c r="B79" s="238" t="str">
        <f t="shared" si="9"/>
        <v>CasualProfessionalUOM 2.2</v>
      </c>
      <c r="C79" s="238" t="s">
        <v>601</v>
      </c>
      <c r="D79" s="238" t="s">
        <v>767</v>
      </c>
      <c r="E79" s="238" t="s">
        <v>795</v>
      </c>
      <c r="F79" s="212">
        <v>43.22</v>
      </c>
      <c r="G79" s="298"/>
      <c r="H79" s="391" t="s">
        <v>316</v>
      </c>
      <c r="I79" s="390"/>
      <c r="J79" s="405"/>
      <c r="K79" s="298" t="s">
        <v>555</v>
      </c>
      <c r="L79" s="298"/>
      <c r="M79" s="298"/>
      <c r="T79" s="11" t="s">
        <v>555</v>
      </c>
      <c r="U79" s="11" t="s">
        <v>555</v>
      </c>
      <c r="X79" s="11" t="s">
        <v>555</v>
      </c>
      <c r="Y79" s="11" t="s">
        <v>555</v>
      </c>
      <c r="Z79" s="11" t="s">
        <v>555</v>
      </c>
      <c r="AA79" s="11" t="s">
        <v>555</v>
      </c>
      <c r="AB79" s="11" t="s">
        <v>555</v>
      </c>
      <c r="AC79" s="496" t="s">
        <v>1237</v>
      </c>
      <c r="AD79" s="496" t="s">
        <v>1238</v>
      </c>
      <c r="AE79" s="496" t="s">
        <v>1229</v>
      </c>
      <c r="AF79" s="496" t="s">
        <v>1230</v>
      </c>
      <c r="AG79" s="496" t="s">
        <v>1201</v>
      </c>
      <c r="AH79" s="496" t="s">
        <v>1202</v>
      </c>
      <c r="AI79" s="11" t="s">
        <v>555</v>
      </c>
      <c r="AJ79" s="367" t="str">
        <f t="shared" si="12"/>
        <v>CCH_H1_5_132</v>
      </c>
      <c r="AK79" s="11" t="s">
        <v>555</v>
      </c>
      <c r="AL79" s="11" t="s">
        <v>555</v>
      </c>
      <c r="AM79" s="11" t="s">
        <v>555</v>
      </c>
      <c r="AN79" s="11" t="s">
        <v>555</v>
      </c>
      <c r="AO79" s="11" t="s">
        <v>555</v>
      </c>
    </row>
    <row r="80" spans="2:41" x14ac:dyDescent="0.3">
      <c r="B80" s="238" t="str">
        <f t="shared" si="9"/>
        <v>CasualProfessionalUOM 2.3</v>
      </c>
      <c r="C80" s="238" t="s">
        <v>601</v>
      </c>
      <c r="D80" s="238" t="s">
        <v>767</v>
      </c>
      <c r="E80" s="238" t="s">
        <v>798</v>
      </c>
      <c r="F80" s="212">
        <v>44.08</v>
      </c>
      <c r="G80" s="298"/>
      <c r="H80" s="235" t="s">
        <v>565</v>
      </c>
      <c r="I80" s="295" t="s">
        <v>316</v>
      </c>
      <c r="J80" s="405"/>
      <c r="K80" s="298" t="s">
        <v>555</v>
      </c>
      <c r="L80" s="298"/>
      <c r="M80" s="298"/>
      <c r="T80" s="11" t="s">
        <v>555</v>
      </c>
      <c r="Y80" s="11" t="s">
        <v>555</v>
      </c>
      <c r="Z80" s="11" t="s">
        <v>555</v>
      </c>
      <c r="AA80" s="11" t="s">
        <v>555</v>
      </c>
      <c r="AB80" s="11" t="s">
        <v>555</v>
      </c>
      <c r="AC80" s="496" t="s">
        <v>1239</v>
      </c>
      <c r="AD80" s="496" t="s">
        <v>1240</v>
      </c>
      <c r="AE80" s="496" t="s">
        <v>1241</v>
      </c>
      <c r="AF80" s="496" t="s">
        <v>1242</v>
      </c>
      <c r="AG80" s="496" t="s">
        <v>1201</v>
      </c>
      <c r="AH80" s="496" t="s">
        <v>1202</v>
      </c>
      <c r="AI80" s="11" t="s">
        <v>555</v>
      </c>
      <c r="AJ80" s="367" t="str">
        <f t="shared" si="12"/>
        <v>CCH_H1_5_133</v>
      </c>
      <c r="AK80" s="11" t="s">
        <v>555</v>
      </c>
      <c r="AL80" s="11" t="s">
        <v>555</v>
      </c>
      <c r="AM80" s="11" t="s">
        <v>555</v>
      </c>
      <c r="AN80" s="11" t="s">
        <v>555</v>
      </c>
      <c r="AO80" s="11" t="s">
        <v>555</v>
      </c>
    </row>
    <row r="81" spans="2:36" x14ac:dyDescent="0.3">
      <c r="B81" s="238" t="str">
        <f t="shared" si="9"/>
        <v>CasualProfessionalUOM 3.1</v>
      </c>
      <c r="C81" s="238" t="s">
        <v>601</v>
      </c>
      <c r="D81" s="238" t="s">
        <v>767</v>
      </c>
      <c r="E81" s="238" t="s">
        <v>803</v>
      </c>
      <c r="F81" s="212">
        <v>44.32</v>
      </c>
      <c r="G81" s="298"/>
      <c r="H81" s="414">
        <v>2023</v>
      </c>
      <c r="I81" s="430">
        <v>5.8500000000000003E-2</v>
      </c>
      <c r="J81" s="405"/>
      <c r="K81" s="298" t="s">
        <v>555</v>
      </c>
      <c r="L81" s="298"/>
      <c r="M81" s="298"/>
      <c r="AC81" s="496" t="s">
        <v>1243</v>
      </c>
      <c r="AD81" s="496" t="s">
        <v>1244</v>
      </c>
      <c r="AE81" s="496" t="s">
        <v>1241</v>
      </c>
      <c r="AF81" s="496" t="s">
        <v>1242</v>
      </c>
      <c r="AG81" s="496" t="s">
        <v>1201</v>
      </c>
      <c r="AH81" s="496" t="s">
        <v>1202</v>
      </c>
      <c r="AJ81" s="367" t="str">
        <f t="shared" si="12"/>
        <v>CCH_H1_5_135</v>
      </c>
    </row>
    <row r="82" spans="2:36" x14ac:dyDescent="0.3">
      <c r="B82" s="238" t="str">
        <f t="shared" si="9"/>
        <v>CasualProfessionalUOM 3.2</v>
      </c>
      <c r="C82" s="238" t="s">
        <v>601</v>
      </c>
      <c r="D82" s="238" t="s">
        <v>767</v>
      </c>
      <c r="E82" s="238" t="s">
        <v>813</v>
      </c>
      <c r="F82" s="212">
        <v>45.2</v>
      </c>
      <c r="G82" s="298"/>
      <c r="H82" s="415">
        <f>H81+1</f>
        <v>2024</v>
      </c>
      <c r="I82" s="431">
        <v>5.8500000000000003E-2</v>
      </c>
      <c r="J82" s="405"/>
      <c r="K82" s="298" t="s">
        <v>555</v>
      </c>
      <c r="L82" s="298"/>
      <c r="M82" s="298"/>
      <c r="AC82" s="496" t="s">
        <v>1245</v>
      </c>
      <c r="AD82" s="496" t="s">
        <v>1246</v>
      </c>
      <c r="AE82" s="496" t="s">
        <v>1241</v>
      </c>
      <c r="AF82" s="496" t="s">
        <v>1242</v>
      </c>
      <c r="AG82" s="496" t="s">
        <v>1201</v>
      </c>
      <c r="AH82" s="496" t="s">
        <v>1202</v>
      </c>
      <c r="AJ82" s="367" t="str">
        <f t="shared" si="12"/>
        <v>CCH_H1_5_136</v>
      </c>
    </row>
    <row r="83" spans="2:36" x14ac:dyDescent="0.3">
      <c r="B83" s="238" t="str">
        <f t="shared" si="9"/>
        <v>CasualProfessionalUOM 3.3</v>
      </c>
      <c r="C83" s="238" t="s">
        <v>601</v>
      </c>
      <c r="D83" s="238" t="s">
        <v>767</v>
      </c>
      <c r="E83" s="238" t="s">
        <v>819</v>
      </c>
      <c r="F83" s="212">
        <v>46.1</v>
      </c>
      <c r="G83" s="298"/>
      <c r="H83" s="416">
        <f>H82+1</f>
        <v>2025</v>
      </c>
      <c r="I83" s="432">
        <v>5.8500000000000003E-2</v>
      </c>
      <c r="J83" s="405"/>
      <c r="K83" s="298" t="s">
        <v>555</v>
      </c>
      <c r="L83" s="298"/>
      <c r="M83" s="298"/>
      <c r="AC83" s="496" t="s">
        <v>1247</v>
      </c>
      <c r="AD83" s="496" t="s">
        <v>1248</v>
      </c>
      <c r="AE83" s="496" t="s">
        <v>1241</v>
      </c>
      <c r="AF83" s="496" t="s">
        <v>1242</v>
      </c>
      <c r="AG83" s="496" t="s">
        <v>1201</v>
      </c>
      <c r="AH83" s="496" t="s">
        <v>1202</v>
      </c>
      <c r="AJ83" s="367" t="str">
        <f t="shared" si="12"/>
        <v>CCH_H1_5_138</v>
      </c>
    </row>
    <row r="84" spans="2:36" x14ac:dyDescent="0.3">
      <c r="B84" s="238" t="str">
        <f t="shared" si="9"/>
        <v>CasualProfessionalUOM 3.4</v>
      </c>
      <c r="C84" s="238" t="s">
        <v>601</v>
      </c>
      <c r="D84" s="238" t="s">
        <v>767</v>
      </c>
      <c r="E84" s="238" t="s">
        <v>827</v>
      </c>
      <c r="F84" s="212">
        <v>47.03</v>
      </c>
      <c r="G84" s="298"/>
      <c r="H84" s="389"/>
      <c r="I84" s="407"/>
      <c r="J84" s="405"/>
      <c r="K84" s="298" t="s">
        <v>555</v>
      </c>
      <c r="L84" s="298"/>
      <c r="M84" s="298"/>
      <c r="AC84" s="496" t="s">
        <v>1249</v>
      </c>
      <c r="AD84" s="496" t="s">
        <v>1250</v>
      </c>
      <c r="AE84" s="496" t="s">
        <v>1199</v>
      </c>
      <c r="AF84" s="496" t="s">
        <v>1200</v>
      </c>
      <c r="AG84" s="496" t="s">
        <v>1201</v>
      </c>
      <c r="AH84" s="496" t="s">
        <v>1202</v>
      </c>
      <c r="AJ84" s="367" t="str">
        <f t="shared" si="12"/>
        <v>CCH_H1_5_14</v>
      </c>
    </row>
    <row r="85" spans="2:36" x14ac:dyDescent="0.3">
      <c r="B85" s="238" t="str">
        <f t="shared" si="9"/>
        <v>CasualProfessionalUOM 3.5</v>
      </c>
      <c r="C85" s="238" t="s">
        <v>601</v>
      </c>
      <c r="D85" s="238" t="s">
        <v>767</v>
      </c>
      <c r="E85" s="238" t="s">
        <v>833</v>
      </c>
      <c r="F85" s="212">
        <v>47.97</v>
      </c>
      <c r="G85" s="298"/>
      <c r="H85" s="389"/>
      <c r="I85" s="407"/>
      <c r="J85" s="405"/>
      <c r="K85" s="298" t="s">
        <v>555</v>
      </c>
      <c r="L85" s="298"/>
      <c r="M85" s="298"/>
      <c r="AC85" s="496" t="s">
        <v>1251</v>
      </c>
      <c r="AD85" s="496" t="s">
        <v>1252</v>
      </c>
      <c r="AE85" s="496" t="s">
        <v>1241</v>
      </c>
      <c r="AF85" s="496" t="s">
        <v>1242</v>
      </c>
      <c r="AG85" s="496" t="s">
        <v>1201</v>
      </c>
      <c r="AH85" s="496" t="s">
        <v>1202</v>
      </c>
      <c r="AJ85" s="367" t="str">
        <f t="shared" si="12"/>
        <v>CCH_H1_5_140</v>
      </c>
    </row>
    <row r="86" spans="2:36" ht="15.6" x14ac:dyDescent="0.3">
      <c r="B86" s="238" t="str">
        <f t="shared" si="9"/>
        <v>CasualProfessionalUOM 3.6</v>
      </c>
      <c r="C86" s="238" t="s">
        <v>601</v>
      </c>
      <c r="D86" s="238" t="s">
        <v>767</v>
      </c>
      <c r="E86" s="238" t="s">
        <v>840</v>
      </c>
      <c r="F86" s="212">
        <v>48.93</v>
      </c>
      <c r="G86" s="298"/>
      <c r="H86" s="391" t="s">
        <v>1027</v>
      </c>
      <c r="I86" s="390"/>
      <c r="J86" s="405"/>
      <c r="K86" s="298" t="s">
        <v>555</v>
      </c>
      <c r="L86" s="298"/>
      <c r="M86" s="298"/>
      <c r="AC86" s="496" t="s">
        <v>1253</v>
      </c>
      <c r="AD86" s="496" t="s">
        <v>1254</v>
      </c>
      <c r="AE86" s="496" t="s">
        <v>1255</v>
      </c>
      <c r="AF86" s="496" t="s">
        <v>1256</v>
      </c>
      <c r="AG86" s="496" t="s">
        <v>1201</v>
      </c>
      <c r="AH86" s="496" t="s">
        <v>1202</v>
      </c>
      <c r="AJ86" s="367" t="str">
        <f t="shared" si="12"/>
        <v>CCH_H1_5_141</v>
      </c>
    </row>
    <row r="87" spans="2:36" x14ac:dyDescent="0.3">
      <c r="B87" s="238" t="str">
        <f t="shared" si="9"/>
        <v>CasualProfessionalUOM 4.1</v>
      </c>
      <c r="C87" s="238" t="s">
        <v>601</v>
      </c>
      <c r="D87" s="238" t="s">
        <v>767</v>
      </c>
      <c r="E87" s="238" t="s">
        <v>847</v>
      </c>
      <c r="F87" s="212">
        <v>51.22</v>
      </c>
      <c r="G87" s="298"/>
      <c r="H87" s="235" t="s">
        <v>834</v>
      </c>
      <c r="I87" s="295" t="s">
        <v>1027</v>
      </c>
      <c r="J87" s="405"/>
      <c r="K87" s="298" t="s">
        <v>555</v>
      </c>
      <c r="L87" s="298"/>
      <c r="M87" s="298"/>
      <c r="AC87" s="496" t="s">
        <v>1257</v>
      </c>
      <c r="AD87" s="496" t="s">
        <v>1258</v>
      </c>
      <c r="AE87" s="496" t="s">
        <v>1255</v>
      </c>
      <c r="AF87" s="496" t="s">
        <v>1256</v>
      </c>
      <c r="AG87" s="496" t="s">
        <v>1201</v>
      </c>
      <c r="AH87" s="496" t="s">
        <v>1202</v>
      </c>
      <c r="AJ87" s="367" t="str">
        <f t="shared" si="12"/>
        <v>CCH_H1_5_142</v>
      </c>
    </row>
    <row r="88" spans="2:36" x14ac:dyDescent="0.3">
      <c r="B88" s="238" t="str">
        <f t="shared" si="9"/>
        <v>CasualProfessionalUOM 4.2</v>
      </c>
      <c r="C88" s="238" t="s">
        <v>601</v>
      </c>
      <c r="D88" s="238" t="s">
        <v>767</v>
      </c>
      <c r="E88" s="238" t="s">
        <v>852</v>
      </c>
      <c r="F88" s="212">
        <v>52.24</v>
      </c>
      <c r="G88" s="298"/>
      <c r="H88" s="401" t="s">
        <v>581</v>
      </c>
      <c r="I88" s="428">
        <v>5.0000000000000001E-3</v>
      </c>
      <c r="J88" s="405"/>
      <c r="K88" s="298" t="s">
        <v>555</v>
      </c>
      <c r="L88" s="298"/>
      <c r="M88" s="298"/>
      <c r="AC88" s="496" t="s">
        <v>1259</v>
      </c>
      <c r="AD88" s="496" t="s">
        <v>1260</v>
      </c>
      <c r="AE88" s="496" t="s">
        <v>1255</v>
      </c>
      <c r="AF88" s="496" t="s">
        <v>1256</v>
      </c>
      <c r="AG88" s="496" t="s">
        <v>1201</v>
      </c>
      <c r="AH88" s="496" t="s">
        <v>1202</v>
      </c>
      <c r="AJ88" s="367" t="str">
        <f t="shared" si="12"/>
        <v>CCH_H1_5_143</v>
      </c>
    </row>
    <row r="89" spans="2:36" x14ac:dyDescent="0.3">
      <c r="B89" s="238" t="str">
        <f t="shared" si="9"/>
        <v>CasualProfessionalUOM 4.3</v>
      </c>
      <c r="C89" s="238" t="s">
        <v>601</v>
      </c>
      <c r="D89" s="238" t="s">
        <v>767</v>
      </c>
      <c r="E89" s="238" t="s">
        <v>856</v>
      </c>
      <c r="F89" s="212">
        <v>53.29</v>
      </c>
      <c r="G89" s="298"/>
      <c r="H89" s="402" t="s">
        <v>593</v>
      </c>
      <c r="I89" s="429">
        <v>5.0000000000000001E-3</v>
      </c>
      <c r="J89" s="405"/>
      <c r="K89" s="298" t="s">
        <v>555</v>
      </c>
      <c r="L89" s="298"/>
      <c r="M89" s="298"/>
      <c r="AC89" s="496" t="s">
        <v>1261</v>
      </c>
      <c r="AD89" s="496" t="s">
        <v>1262</v>
      </c>
      <c r="AE89" s="496" t="s">
        <v>1255</v>
      </c>
      <c r="AF89" s="496" t="s">
        <v>1256</v>
      </c>
      <c r="AG89" s="496" t="s">
        <v>1201</v>
      </c>
      <c r="AH89" s="496" t="s">
        <v>1202</v>
      </c>
      <c r="AJ89" s="367" t="str">
        <f t="shared" si="12"/>
        <v>CCH_H1_5_144</v>
      </c>
    </row>
    <row r="90" spans="2:36" x14ac:dyDescent="0.3">
      <c r="B90" s="238" t="str">
        <f t="shared" si="9"/>
        <v>CasualProfessionalUOM 4.4</v>
      </c>
      <c r="C90" s="238" t="s">
        <v>601</v>
      </c>
      <c r="D90" s="238" t="s">
        <v>767</v>
      </c>
      <c r="E90" s="238" t="s">
        <v>860</v>
      </c>
      <c r="F90" s="212">
        <v>54.35</v>
      </c>
      <c r="G90" s="298"/>
      <c r="H90" s="403" t="s">
        <v>601</v>
      </c>
      <c r="I90" s="406">
        <v>5.0000000000000001E-3</v>
      </c>
      <c r="J90" s="405"/>
      <c r="K90" s="298" t="s">
        <v>555</v>
      </c>
      <c r="L90" s="298"/>
      <c r="M90" s="298"/>
      <c r="AC90" s="496" t="s">
        <v>1263</v>
      </c>
      <c r="AD90" s="496" t="s">
        <v>1264</v>
      </c>
      <c r="AE90" s="496" t="s">
        <v>1255</v>
      </c>
      <c r="AF90" s="496" t="s">
        <v>1256</v>
      </c>
      <c r="AG90" s="496" t="s">
        <v>1201</v>
      </c>
      <c r="AH90" s="496" t="s">
        <v>1202</v>
      </c>
      <c r="AJ90" s="367" t="str">
        <f t="shared" si="12"/>
        <v>CCH_H1_5_145</v>
      </c>
    </row>
    <row r="91" spans="2:36" x14ac:dyDescent="0.3">
      <c r="B91" s="238" t="str">
        <f t="shared" si="9"/>
        <v>CasualProfessionalUOM 5.1</v>
      </c>
      <c r="C91" s="238" t="s">
        <v>601</v>
      </c>
      <c r="D91" s="238" t="s">
        <v>767</v>
      </c>
      <c r="E91" s="238" t="s">
        <v>868</v>
      </c>
      <c r="F91" s="212">
        <v>55.39</v>
      </c>
      <c r="G91" s="298"/>
      <c r="H91" s="389"/>
      <c r="I91" s="407"/>
      <c r="J91" s="405"/>
      <c r="K91" s="298" t="s">
        <v>555</v>
      </c>
      <c r="L91" s="298"/>
      <c r="M91" s="298"/>
      <c r="AC91" s="496" t="s">
        <v>1265</v>
      </c>
      <c r="AD91" s="496" t="s">
        <v>1266</v>
      </c>
      <c r="AE91" s="496" t="s">
        <v>1267</v>
      </c>
      <c r="AF91" s="496" t="s">
        <v>1268</v>
      </c>
      <c r="AG91" s="496" t="s">
        <v>1201</v>
      </c>
      <c r="AH91" s="496" t="s">
        <v>1202</v>
      </c>
      <c r="AJ91" s="367" t="str">
        <f t="shared" si="12"/>
        <v>CCH_H1_5_146</v>
      </c>
    </row>
    <row r="92" spans="2:36" ht="15.6" x14ac:dyDescent="0.3">
      <c r="B92" s="238" t="str">
        <f t="shared" si="9"/>
        <v>CasualProfessionalUOM 5.2</v>
      </c>
      <c r="C92" s="238" t="s">
        <v>601</v>
      </c>
      <c r="D92" s="238" t="s">
        <v>767</v>
      </c>
      <c r="E92" s="238" t="s">
        <v>871</v>
      </c>
      <c r="F92" s="212">
        <v>56.49</v>
      </c>
      <c r="G92" s="298"/>
      <c r="H92" s="391" t="s">
        <v>1042</v>
      </c>
      <c r="I92" s="390"/>
      <c r="J92" s="405"/>
      <c r="K92" s="298" t="s">
        <v>555</v>
      </c>
      <c r="L92" s="298"/>
      <c r="M92" s="298"/>
      <c r="AC92" s="496" t="s">
        <v>1269</v>
      </c>
      <c r="AD92" s="496" t="s">
        <v>1270</v>
      </c>
      <c r="AE92" s="496" t="s">
        <v>1267</v>
      </c>
      <c r="AF92" s="496" t="s">
        <v>1268</v>
      </c>
      <c r="AG92" s="496" t="s">
        <v>1201</v>
      </c>
      <c r="AH92" s="496" t="s">
        <v>1202</v>
      </c>
      <c r="AJ92" s="367" t="str">
        <f t="shared" si="12"/>
        <v>CCH_H1_5_147</v>
      </c>
    </row>
    <row r="93" spans="2:36" x14ac:dyDescent="0.3">
      <c r="B93" s="238" t="str">
        <f t="shared" si="9"/>
        <v>CasualProfessionalUOM 5.3</v>
      </c>
      <c r="C93" s="238" t="s">
        <v>601</v>
      </c>
      <c r="D93" s="238" t="s">
        <v>767</v>
      </c>
      <c r="E93" s="238" t="s">
        <v>878</v>
      </c>
      <c r="F93" s="212">
        <v>57.62</v>
      </c>
      <c r="G93" s="298"/>
      <c r="H93" s="235" t="s">
        <v>834</v>
      </c>
      <c r="I93" s="295" t="s">
        <v>1045</v>
      </c>
      <c r="J93" s="405"/>
      <c r="K93" s="298" t="s">
        <v>555</v>
      </c>
      <c r="L93" s="298"/>
      <c r="M93" s="298"/>
      <c r="AC93" s="496" t="s">
        <v>1271</v>
      </c>
      <c r="AD93" s="496" t="s">
        <v>1272</v>
      </c>
      <c r="AE93" s="496" t="s">
        <v>1267</v>
      </c>
      <c r="AF93" s="496" t="s">
        <v>1268</v>
      </c>
      <c r="AG93" s="496" t="s">
        <v>1201</v>
      </c>
      <c r="AH93" s="496" t="s">
        <v>1202</v>
      </c>
      <c r="AJ93" s="367" t="str">
        <f t="shared" si="12"/>
        <v>CCH_H1_5_148</v>
      </c>
    </row>
    <row r="94" spans="2:36" x14ac:dyDescent="0.3">
      <c r="B94" s="238" t="str">
        <f t="shared" si="9"/>
        <v>CasualProfessionalUOM 5.4</v>
      </c>
      <c r="C94" s="238" t="s">
        <v>601</v>
      </c>
      <c r="D94" s="238" t="s">
        <v>767</v>
      </c>
      <c r="E94" s="238" t="s">
        <v>882</v>
      </c>
      <c r="F94" s="212">
        <v>58.78</v>
      </c>
      <c r="G94" s="298"/>
      <c r="H94" s="401" t="s">
        <v>581</v>
      </c>
      <c r="I94" s="428">
        <v>0.01</v>
      </c>
      <c r="J94" s="405"/>
      <c r="K94" s="298" t="s">
        <v>555</v>
      </c>
      <c r="L94" s="298"/>
      <c r="M94" s="298"/>
      <c r="AC94" s="496" t="s">
        <v>1273</v>
      </c>
      <c r="AD94" s="496" t="s">
        <v>1274</v>
      </c>
      <c r="AE94" s="496" t="s">
        <v>1199</v>
      </c>
      <c r="AF94" s="496" t="s">
        <v>1200</v>
      </c>
      <c r="AG94" s="496" t="s">
        <v>1201</v>
      </c>
      <c r="AH94" s="496" t="s">
        <v>1202</v>
      </c>
      <c r="AJ94" s="367" t="str">
        <f t="shared" si="12"/>
        <v>CCH_H1_5_15</v>
      </c>
    </row>
    <row r="95" spans="2:36" x14ac:dyDescent="0.3">
      <c r="B95" s="238" t="str">
        <f t="shared" si="9"/>
        <v>CasualProfessionalUOM 5.5</v>
      </c>
      <c r="C95" s="238" t="s">
        <v>601</v>
      </c>
      <c r="D95" s="238" t="s">
        <v>767</v>
      </c>
      <c r="E95" s="238" t="s">
        <v>890</v>
      </c>
      <c r="F95" s="212">
        <v>59.95</v>
      </c>
      <c r="G95" s="298"/>
      <c r="H95" s="402" t="s">
        <v>593</v>
      </c>
      <c r="I95" s="429">
        <v>0.01</v>
      </c>
      <c r="J95" s="405"/>
      <c r="K95" s="298" t="s">
        <v>555</v>
      </c>
      <c r="L95" s="298"/>
      <c r="M95" s="298"/>
      <c r="AC95" s="496" t="s">
        <v>1275</v>
      </c>
      <c r="AD95" s="497" t="s">
        <v>1276</v>
      </c>
      <c r="AE95" s="496" t="s">
        <v>1267</v>
      </c>
      <c r="AF95" s="496" t="s">
        <v>1268</v>
      </c>
      <c r="AG95" s="496" t="s">
        <v>1201</v>
      </c>
      <c r="AH95" s="496" t="s">
        <v>1202</v>
      </c>
      <c r="AJ95" s="367" t="str">
        <f t="shared" si="12"/>
        <v>CCH_H1_5_150</v>
      </c>
    </row>
    <row r="96" spans="2:36" x14ac:dyDescent="0.3">
      <c r="B96" s="238" t="str">
        <f t="shared" si="9"/>
        <v>CasualProfessionalUOM 5.6</v>
      </c>
      <c r="C96" s="238" t="s">
        <v>601</v>
      </c>
      <c r="D96" s="238" t="s">
        <v>767</v>
      </c>
      <c r="E96" s="238" t="s">
        <v>899</v>
      </c>
      <c r="F96" s="212">
        <v>61.15</v>
      </c>
      <c r="G96" s="298"/>
      <c r="H96" s="403" t="s">
        <v>601</v>
      </c>
      <c r="I96" s="404">
        <v>0</v>
      </c>
      <c r="J96" s="405"/>
      <c r="K96" s="298" t="s">
        <v>555</v>
      </c>
      <c r="L96" s="298"/>
      <c r="M96" s="298"/>
      <c r="AC96" s="496" t="s">
        <v>1277</v>
      </c>
      <c r="AD96" s="496" t="s">
        <v>1278</v>
      </c>
      <c r="AE96" s="496" t="s">
        <v>1267</v>
      </c>
      <c r="AF96" s="496" t="s">
        <v>1268</v>
      </c>
      <c r="AG96" s="496" t="s">
        <v>1201</v>
      </c>
      <c r="AH96" s="496" t="s">
        <v>1202</v>
      </c>
      <c r="AJ96" s="367" t="str">
        <f t="shared" si="12"/>
        <v>CCH_H1_5_151</v>
      </c>
    </row>
    <row r="97" spans="2:36" x14ac:dyDescent="0.3">
      <c r="B97" s="238" t="str">
        <f t="shared" si="9"/>
        <v>CasualProfessionalUOM 5.7</v>
      </c>
      <c r="C97" s="238" t="s">
        <v>601</v>
      </c>
      <c r="D97" s="238" t="s">
        <v>767</v>
      </c>
      <c r="E97" s="238" t="s">
        <v>905</v>
      </c>
      <c r="F97" s="212">
        <v>62.37</v>
      </c>
      <c r="G97" s="298"/>
      <c r="H97" s="389"/>
      <c r="I97" s="407"/>
      <c r="J97" s="405"/>
      <c r="K97" s="298" t="s">
        <v>555</v>
      </c>
      <c r="L97" s="298"/>
      <c r="M97" s="298"/>
      <c r="AC97" s="496" t="s">
        <v>1279</v>
      </c>
      <c r="AD97" s="496" t="s">
        <v>1280</v>
      </c>
      <c r="AE97" s="496" t="s">
        <v>1267</v>
      </c>
      <c r="AF97" s="496" t="s">
        <v>1268</v>
      </c>
      <c r="AG97" s="496" t="s">
        <v>1201</v>
      </c>
      <c r="AH97" s="496" t="s">
        <v>1202</v>
      </c>
      <c r="AJ97" s="367" t="str">
        <f t="shared" si="12"/>
        <v>CCH_H1_5_152</v>
      </c>
    </row>
    <row r="98" spans="2:36" x14ac:dyDescent="0.3">
      <c r="B98" s="238" t="str">
        <f t="shared" si="9"/>
        <v>CasualProfessionalUOM 5.8</v>
      </c>
      <c r="C98" s="238" t="s">
        <v>601</v>
      </c>
      <c r="D98" s="238" t="s">
        <v>767</v>
      </c>
      <c r="E98" s="238" t="s">
        <v>912</v>
      </c>
      <c r="F98" s="212">
        <v>63.62</v>
      </c>
      <c r="G98" s="298"/>
      <c r="H98" s="389"/>
      <c r="I98" s="407"/>
      <c r="J98" s="405"/>
      <c r="K98" s="298" t="s">
        <v>555</v>
      </c>
      <c r="L98" s="298"/>
      <c r="M98" s="298"/>
      <c r="AC98" s="496" t="s">
        <v>1281</v>
      </c>
      <c r="AD98" s="496" t="s">
        <v>1282</v>
      </c>
      <c r="AE98" s="496" t="s">
        <v>1267</v>
      </c>
      <c r="AF98" s="496" t="s">
        <v>1268</v>
      </c>
      <c r="AG98" s="496" t="s">
        <v>1201</v>
      </c>
      <c r="AH98" s="496" t="s">
        <v>1202</v>
      </c>
      <c r="AJ98" s="367" t="str">
        <f t="shared" si="12"/>
        <v>CCH_H1_5_154</v>
      </c>
    </row>
    <row r="99" spans="2:36" ht="15.6" x14ac:dyDescent="0.3">
      <c r="B99" s="238" t="str">
        <f t="shared" si="9"/>
        <v>CasualProfessionalUOM 6.1</v>
      </c>
      <c r="C99" s="238" t="s">
        <v>601</v>
      </c>
      <c r="D99" s="238" t="s">
        <v>767</v>
      </c>
      <c r="E99" s="238" t="s">
        <v>919</v>
      </c>
      <c r="F99" s="212">
        <v>64.239999999999995</v>
      </c>
      <c r="G99" s="298"/>
      <c r="H99" s="391" t="s">
        <v>1062</v>
      </c>
      <c r="I99" s="390"/>
      <c r="J99" s="405"/>
      <c r="K99" s="298" t="s">
        <v>555</v>
      </c>
      <c r="L99" s="298"/>
      <c r="M99" s="298"/>
      <c r="AC99" s="496" t="s">
        <v>1283</v>
      </c>
      <c r="AD99" s="496" t="s">
        <v>1284</v>
      </c>
      <c r="AE99" s="496" t="s">
        <v>1199</v>
      </c>
      <c r="AF99" s="496" t="s">
        <v>1200</v>
      </c>
      <c r="AG99" s="496" t="s">
        <v>1201</v>
      </c>
      <c r="AH99" s="496" t="s">
        <v>1202</v>
      </c>
      <c r="AJ99" s="367" t="str">
        <f t="shared" si="12"/>
        <v>CCH_H1_5_16</v>
      </c>
    </row>
    <row r="100" spans="2:36" x14ac:dyDescent="0.3">
      <c r="B100" s="238" t="str">
        <f t="shared" si="9"/>
        <v>CasualProfessionalUOM 6.2</v>
      </c>
      <c r="C100" s="238" t="s">
        <v>601</v>
      </c>
      <c r="D100" s="238" t="s">
        <v>767</v>
      </c>
      <c r="E100" s="238" t="s">
        <v>925</v>
      </c>
      <c r="F100" s="212">
        <v>65.53</v>
      </c>
      <c r="G100" s="298"/>
      <c r="H100" s="235" t="s">
        <v>834</v>
      </c>
      <c r="I100" s="295" t="s">
        <v>1062</v>
      </c>
      <c r="J100" s="405"/>
      <c r="K100" s="298" t="s">
        <v>555</v>
      </c>
      <c r="L100" s="298"/>
      <c r="M100" s="298"/>
      <c r="AC100" s="496" t="s">
        <v>1285</v>
      </c>
      <c r="AD100" s="496" t="s">
        <v>1286</v>
      </c>
      <c r="AE100" s="496" t="s">
        <v>1199</v>
      </c>
      <c r="AF100" s="496" t="s">
        <v>1200</v>
      </c>
      <c r="AG100" s="496" t="s">
        <v>1201</v>
      </c>
      <c r="AH100" s="496" t="s">
        <v>1202</v>
      </c>
      <c r="AJ100" s="367" t="str">
        <f t="shared" si="12"/>
        <v>CCH_H1_5_17</v>
      </c>
    </row>
    <row r="101" spans="2:36" x14ac:dyDescent="0.3">
      <c r="B101" s="238" t="str">
        <f t="shared" si="9"/>
        <v>CasualProfessionalUOM 6.3</v>
      </c>
      <c r="C101" s="238" t="s">
        <v>601</v>
      </c>
      <c r="D101" s="238" t="s">
        <v>767</v>
      </c>
      <c r="E101" s="238" t="s">
        <v>930</v>
      </c>
      <c r="F101" s="212">
        <v>66.84</v>
      </c>
      <c r="G101" s="298"/>
      <c r="H101" s="401" t="s">
        <v>581</v>
      </c>
      <c r="I101" s="428">
        <v>5.0000000000000001E-3</v>
      </c>
      <c r="J101" s="405"/>
      <c r="K101" s="298" t="s">
        <v>555</v>
      </c>
      <c r="L101" s="298"/>
      <c r="M101" s="298"/>
      <c r="AC101" s="496" t="s">
        <v>1287</v>
      </c>
      <c r="AD101" s="496" t="s">
        <v>1288</v>
      </c>
      <c r="AE101" s="496" t="s">
        <v>1199</v>
      </c>
      <c r="AF101" s="496" t="s">
        <v>1200</v>
      </c>
      <c r="AG101" s="496" t="s">
        <v>1201</v>
      </c>
      <c r="AH101" s="496" t="s">
        <v>1202</v>
      </c>
      <c r="AJ101" s="367" t="str">
        <f t="shared" si="12"/>
        <v>CCH_H1_5_18</v>
      </c>
    </row>
    <row r="102" spans="2:36" x14ac:dyDescent="0.3">
      <c r="B102" s="238" t="str">
        <f t="shared" si="9"/>
        <v>CasualProfessionalUOM 6.4</v>
      </c>
      <c r="C102" s="238" t="s">
        <v>601</v>
      </c>
      <c r="D102" s="238" t="s">
        <v>767</v>
      </c>
      <c r="E102" s="238" t="s">
        <v>936</v>
      </c>
      <c r="F102" s="212">
        <v>68.180000000000007</v>
      </c>
      <c r="G102" s="298"/>
      <c r="H102" s="402" t="s">
        <v>593</v>
      </c>
      <c r="I102" s="429">
        <v>5.0000000000000001E-3</v>
      </c>
      <c r="J102" s="405"/>
      <c r="K102" s="298" t="s">
        <v>555</v>
      </c>
      <c r="L102" s="298"/>
      <c r="M102" s="298"/>
      <c r="AC102" s="496" t="s">
        <v>1289</v>
      </c>
      <c r="AD102" s="496" t="s">
        <v>1290</v>
      </c>
      <c r="AE102" s="496" t="s">
        <v>1199</v>
      </c>
      <c r="AF102" s="496" t="s">
        <v>1200</v>
      </c>
      <c r="AG102" s="496" t="s">
        <v>1201</v>
      </c>
      <c r="AH102" s="496" t="s">
        <v>1202</v>
      </c>
      <c r="AJ102" s="367" t="str">
        <f t="shared" si="12"/>
        <v>CCH_H1_5_19</v>
      </c>
    </row>
    <row r="103" spans="2:36" x14ac:dyDescent="0.3">
      <c r="B103" s="238" t="str">
        <f t="shared" si="9"/>
        <v>CasualProfessionalUOM 6.5</v>
      </c>
      <c r="C103" s="238" t="s">
        <v>601</v>
      </c>
      <c r="D103" s="238" t="s">
        <v>767</v>
      </c>
      <c r="E103" s="238" t="s">
        <v>942</v>
      </c>
      <c r="F103" s="212">
        <v>69.540000000000006</v>
      </c>
      <c r="G103" s="298"/>
      <c r="H103" s="403" t="s">
        <v>601</v>
      </c>
      <c r="I103" s="406">
        <v>0</v>
      </c>
      <c r="J103" s="405"/>
      <c r="K103" s="298" t="s">
        <v>555</v>
      </c>
      <c r="L103" s="298"/>
      <c r="M103" s="298"/>
      <c r="AC103" s="496" t="s">
        <v>1291</v>
      </c>
      <c r="AD103" s="496" t="s">
        <v>1292</v>
      </c>
      <c r="AE103" s="496" t="s">
        <v>1199</v>
      </c>
      <c r="AF103" s="496" t="s">
        <v>1200</v>
      </c>
      <c r="AG103" s="496" t="s">
        <v>1201</v>
      </c>
      <c r="AH103" s="496" t="s">
        <v>1202</v>
      </c>
      <c r="AJ103" s="367" t="str">
        <f t="shared" si="12"/>
        <v>CCH_H1_5_20</v>
      </c>
    </row>
    <row r="104" spans="2:36" x14ac:dyDescent="0.3">
      <c r="B104" s="238" t="str">
        <f t="shared" si="9"/>
        <v>CasualProfessionalUOM 7.1</v>
      </c>
      <c r="C104" s="238" t="s">
        <v>601</v>
      </c>
      <c r="D104" s="238" t="s">
        <v>767</v>
      </c>
      <c r="E104" s="238" t="s">
        <v>948</v>
      </c>
      <c r="F104" s="212">
        <v>70.89</v>
      </c>
      <c r="G104" s="298"/>
      <c r="H104" s="389"/>
      <c r="I104" s="407"/>
      <c r="J104" s="405"/>
      <c r="K104" s="298" t="s">
        <v>555</v>
      </c>
      <c r="L104" s="298"/>
      <c r="M104" s="298"/>
      <c r="AC104" s="496" t="s">
        <v>1293</v>
      </c>
      <c r="AD104" s="496" t="s">
        <v>1294</v>
      </c>
      <c r="AE104" s="496" t="s">
        <v>1199</v>
      </c>
      <c r="AF104" s="496" t="s">
        <v>1200</v>
      </c>
      <c r="AG104" s="496" t="s">
        <v>1201</v>
      </c>
      <c r="AH104" s="496" t="s">
        <v>1202</v>
      </c>
      <c r="AJ104" s="367" t="str">
        <f t="shared" si="12"/>
        <v>CCH_H1_5_21</v>
      </c>
    </row>
    <row r="105" spans="2:36" ht="15.6" x14ac:dyDescent="0.3">
      <c r="B105" s="238" t="str">
        <f t="shared" si="9"/>
        <v>CasualProfessionalUOM 7.2</v>
      </c>
      <c r="C105" s="238" t="s">
        <v>601</v>
      </c>
      <c r="D105" s="238" t="s">
        <v>767</v>
      </c>
      <c r="E105" s="238" t="s">
        <v>950</v>
      </c>
      <c r="F105" s="212">
        <v>72.3</v>
      </c>
      <c r="G105" s="298"/>
      <c r="H105" s="408" t="s">
        <v>1085</v>
      </c>
      <c r="I105" s="390"/>
      <c r="J105" s="405"/>
      <c r="K105" s="298" t="s">
        <v>555</v>
      </c>
      <c r="L105" s="298"/>
      <c r="M105" s="298"/>
      <c r="AC105" s="496" t="s">
        <v>719</v>
      </c>
      <c r="AD105" s="496" t="s">
        <v>720</v>
      </c>
      <c r="AE105" s="496" t="s">
        <v>721</v>
      </c>
      <c r="AF105" s="496" t="s">
        <v>722</v>
      </c>
      <c r="AG105" s="496" t="s">
        <v>723</v>
      </c>
      <c r="AH105" s="496" t="s">
        <v>724</v>
      </c>
      <c r="AJ105" s="367" t="str">
        <f t="shared" si="12"/>
        <v>CCH_H1_5_22</v>
      </c>
    </row>
    <row r="106" spans="2:36" x14ac:dyDescent="0.3">
      <c r="B106" s="238" t="str">
        <f t="shared" si="9"/>
        <v>CasualProfessionalUOM 7.3</v>
      </c>
      <c r="C106" s="238" t="s">
        <v>601</v>
      </c>
      <c r="D106" s="238" t="s">
        <v>767</v>
      </c>
      <c r="E106" s="238" t="s">
        <v>952</v>
      </c>
      <c r="F106" s="212">
        <v>73.75</v>
      </c>
      <c r="G106" s="298"/>
      <c r="H106" s="235" t="s">
        <v>834</v>
      </c>
      <c r="I106" s="295" t="s">
        <v>1090</v>
      </c>
      <c r="J106" s="405"/>
      <c r="K106" s="298" t="s">
        <v>555</v>
      </c>
      <c r="L106" s="298"/>
      <c r="M106" s="298"/>
      <c r="AC106" s="496" t="s">
        <v>730</v>
      </c>
      <c r="AD106" s="496" t="s">
        <v>731</v>
      </c>
      <c r="AE106" s="496" t="s">
        <v>721</v>
      </c>
      <c r="AF106" s="496" t="s">
        <v>722</v>
      </c>
      <c r="AG106" s="496" t="s">
        <v>723</v>
      </c>
      <c r="AH106" s="496" t="s">
        <v>724</v>
      </c>
      <c r="AJ106" s="367" t="str">
        <f t="shared" si="12"/>
        <v>CCH_H1_5_23</v>
      </c>
    </row>
    <row r="107" spans="2:36" x14ac:dyDescent="0.3">
      <c r="B107" s="238" t="str">
        <f t="shared" si="9"/>
        <v>CasualProfessionalUOM 7.4</v>
      </c>
      <c r="C107" s="238" t="s">
        <v>601</v>
      </c>
      <c r="D107" s="238" t="s">
        <v>767</v>
      </c>
      <c r="E107" s="238" t="s">
        <v>958</v>
      </c>
      <c r="F107" s="212">
        <v>75.23</v>
      </c>
      <c r="G107" s="298"/>
      <c r="H107" s="401" t="s">
        <v>581</v>
      </c>
      <c r="I107" s="428">
        <v>0.12</v>
      </c>
      <c r="J107" s="405"/>
      <c r="K107" s="298" t="s">
        <v>555</v>
      </c>
      <c r="L107" s="298"/>
      <c r="M107" s="298"/>
      <c r="AC107" s="496" t="s">
        <v>737</v>
      </c>
      <c r="AD107" s="496" t="s">
        <v>738</v>
      </c>
      <c r="AE107" s="496" t="s">
        <v>739</v>
      </c>
      <c r="AF107" s="496" t="s">
        <v>740</v>
      </c>
      <c r="AG107" s="496" t="s">
        <v>723</v>
      </c>
      <c r="AH107" s="496" t="s">
        <v>724</v>
      </c>
      <c r="AJ107" s="367" t="str">
        <f t="shared" si="12"/>
        <v>CCH_H1_5_24</v>
      </c>
    </row>
    <row r="108" spans="2:36" x14ac:dyDescent="0.3">
      <c r="B108" s="238" t="str">
        <f t="shared" si="9"/>
        <v>CasualProfessionalUOM 7.5</v>
      </c>
      <c r="C108" s="238" t="s">
        <v>601</v>
      </c>
      <c r="D108" s="238" t="s">
        <v>767</v>
      </c>
      <c r="E108" s="238" t="s">
        <v>965</v>
      </c>
      <c r="F108" s="212">
        <v>76.73</v>
      </c>
      <c r="G108" s="298"/>
      <c r="H108" s="402" t="s">
        <v>593</v>
      </c>
      <c r="I108" s="429">
        <v>0.12</v>
      </c>
      <c r="J108" s="405"/>
      <c r="K108" s="298" t="s">
        <v>555</v>
      </c>
      <c r="L108" s="298"/>
      <c r="M108" s="298"/>
      <c r="AC108" s="496" t="s">
        <v>748</v>
      </c>
      <c r="AD108" s="496" t="s">
        <v>749</v>
      </c>
      <c r="AE108" s="496" t="s">
        <v>750</v>
      </c>
      <c r="AF108" s="496" t="s">
        <v>751</v>
      </c>
      <c r="AG108" s="496" t="s">
        <v>752</v>
      </c>
      <c r="AH108" s="496" t="s">
        <v>753</v>
      </c>
      <c r="AJ108" s="367" t="str">
        <f t="shared" si="12"/>
        <v>CCH_H1_5_26</v>
      </c>
    </row>
    <row r="109" spans="2:36" x14ac:dyDescent="0.3">
      <c r="B109" s="238" t="str">
        <f t="shared" si="9"/>
        <v>CasualProfessionalUOM 8.1</v>
      </c>
      <c r="C109" s="238" t="s">
        <v>601</v>
      </c>
      <c r="D109" s="238" t="s">
        <v>767</v>
      </c>
      <c r="E109" s="238" t="s">
        <v>969</v>
      </c>
      <c r="F109" s="212">
        <v>79.75</v>
      </c>
      <c r="G109" s="298"/>
      <c r="H109" s="403" t="s">
        <v>601</v>
      </c>
      <c r="I109" s="406">
        <v>0</v>
      </c>
      <c r="J109" s="405"/>
      <c r="K109" s="298" t="s">
        <v>555</v>
      </c>
      <c r="L109" s="298"/>
      <c r="M109" s="298"/>
      <c r="AC109" s="496" t="s">
        <v>757</v>
      </c>
      <c r="AD109" s="496" t="s">
        <v>758</v>
      </c>
      <c r="AE109" s="496" t="s">
        <v>750</v>
      </c>
      <c r="AF109" s="496" t="s">
        <v>751</v>
      </c>
      <c r="AG109" s="496" t="s">
        <v>752</v>
      </c>
      <c r="AH109" s="496" t="s">
        <v>753</v>
      </c>
      <c r="AJ109" s="367" t="str">
        <f t="shared" si="12"/>
        <v>CCH_H1_5_27</v>
      </c>
    </row>
    <row r="110" spans="2:36" x14ac:dyDescent="0.3">
      <c r="B110" s="238" t="str">
        <f t="shared" si="9"/>
        <v>CasualProfessionalUOM 8.2</v>
      </c>
      <c r="C110" s="238" t="s">
        <v>601</v>
      </c>
      <c r="D110" s="238" t="s">
        <v>767</v>
      </c>
      <c r="E110" s="238" t="s">
        <v>974</v>
      </c>
      <c r="F110" s="212">
        <v>81.34</v>
      </c>
      <c r="G110" s="298"/>
      <c r="H110" s="389"/>
      <c r="I110" s="407"/>
      <c r="J110" s="405"/>
      <c r="K110" s="298" t="s">
        <v>555</v>
      </c>
      <c r="L110" s="298"/>
      <c r="M110" s="298"/>
      <c r="AC110" s="496" t="s">
        <v>762</v>
      </c>
      <c r="AD110" s="496" t="s">
        <v>763</v>
      </c>
      <c r="AE110" s="496" t="s">
        <v>764</v>
      </c>
      <c r="AF110" s="496" t="s">
        <v>765</v>
      </c>
      <c r="AG110" s="496" t="s">
        <v>752</v>
      </c>
      <c r="AH110" s="496" t="s">
        <v>753</v>
      </c>
      <c r="AJ110" s="367" t="str">
        <f t="shared" si="12"/>
        <v>CCH_H1_5_28</v>
      </c>
    </row>
    <row r="111" spans="2:36" x14ac:dyDescent="0.3">
      <c r="B111" s="238" t="str">
        <f t="shared" si="9"/>
        <v>CasualProfessionalUOM 8.3</v>
      </c>
      <c r="C111" s="238" t="s">
        <v>601</v>
      </c>
      <c r="D111" s="238" t="s">
        <v>767</v>
      </c>
      <c r="E111" s="238" t="s">
        <v>976</v>
      </c>
      <c r="F111" s="212">
        <v>82.97</v>
      </c>
      <c r="G111" s="298"/>
      <c r="H111" s="389"/>
      <c r="I111" s="407"/>
      <c r="J111" s="405"/>
      <c r="K111" s="298" t="s">
        <v>555</v>
      </c>
      <c r="L111" s="298"/>
      <c r="M111" s="298"/>
      <c r="AC111" s="496" t="s">
        <v>772</v>
      </c>
      <c r="AD111" s="496" t="s">
        <v>773</v>
      </c>
      <c r="AE111" s="496" t="s">
        <v>764</v>
      </c>
      <c r="AF111" s="496" t="s">
        <v>765</v>
      </c>
      <c r="AG111" s="496" t="s">
        <v>752</v>
      </c>
      <c r="AH111" s="496" t="s">
        <v>753</v>
      </c>
      <c r="AJ111" s="367" t="str">
        <f t="shared" si="12"/>
        <v>CCH_H1_5_29</v>
      </c>
    </row>
    <row r="112" spans="2:36" x14ac:dyDescent="0.3">
      <c r="B112" s="238" t="str">
        <f t="shared" si="9"/>
        <v>CasualProfessionalUOM 8.4</v>
      </c>
      <c r="C112" s="238" t="s">
        <v>601</v>
      </c>
      <c r="D112" s="238" t="s">
        <v>767</v>
      </c>
      <c r="E112" s="238" t="s">
        <v>982</v>
      </c>
      <c r="F112" s="212">
        <v>84.63</v>
      </c>
      <c r="G112" s="298"/>
      <c r="H112" s="389"/>
      <c r="I112" s="407"/>
      <c r="J112" s="405"/>
      <c r="K112" s="298" t="s">
        <v>555</v>
      </c>
      <c r="L112" s="298"/>
      <c r="M112" s="298"/>
      <c r="AC112" s="496" t="s">
        <v>777</v>
      </c>
      <c r="AD112" s="496" t="s">
        <v>778</v>
      </c>
      <c r="AE112" s="496" t="s">
        <v>764</v>
      </c>
      <c r="AF112" s="496" t="s">
        <v>765</v>
      </c>
      <c r="AG112" s="496" t="s">
        <v>752</v>
      </c>
      <c r="AH112" s="496" t="s">
        <v>753</v>
      </c>
      <c r="AJ112" s="367" t="str">
        <f t="shared" si="12"/>
        <v>CCH_H1_5_30</v>
      </c>
    </row>
    <row r="113" spans="2:36" ht="15.6" x14ac:dyDescent="0.3">
      <c r="B113" s="238" t="str">
        <f t="shared" ref="B113:B145" si="13">CONCATENATE(C113,D113,E113)</f>
        <v>CasualProfessionalUOM 8.5</v>
      </c>
      <c r="C113" s="238" t="s">
        <v>601</v>
      </c>
      <c r="D113" s="238" t="s">
        <v>767</v>
      </c>
      <c r="E113" s="238" t="s">
        <v>988</v>
      </c>
      <c r="F113" s="212">
        <v>86.32</v>
      </c>
      <c r="G113" s="298"/>
      <c r="H113" s="409" t="s">
        <v>1108</v>
      </c>
      <c r="I113" s="407"/>
      <c r="J113" s="405"/>
      <c r="K113" s="298" t="s">
        <v>555</v>
      </c>
      <c r="L113" s="298"/>
      <c r="M113" s="298"/>
      <c r="AC113" s="496" t="s">
        <v>783</v>
      </c>
      <c r="AD113" s="496" t="s">
        <v>784</v>
      </c>
      <c r="AE113" s="496" t="s">
        <v>764</v>
      </c>
      <c r="AF113" s="496" t="s">
        <v>765</v>
      </c>
      <c r="AG113" s="496" t="s">
        <v>752</v>
      </c>
      <c r="AH113" s="496" t="s">
        <v>753</v>
      </c>
      <c r="AJ113" s="367" t="str">
        <f t="shared" si="12"/>
        <v>CCH_H1_5_31</v>
      </c>
    </row>
    <row r="114" spans="2:36" x14ac:dyDescent="0.3">
      <c r="B114" s="238" t="str">
        <f t="shared" si="13"/>
        <v>CasualProfessionalUOM 9.1</v>
      </c>
      <c r="C114" s="238" t="s">
        <v>601</v>
      </c>
      <c r="D114" s="238" t="s">
        <v>767</v>
      </c>
      <c r="E114" s="238" t="s">
        <v>990</v>
      </c>
      <c r="F114" s="212">
        <v>93.04</v>
      </c>
      <c r="G114" s="298"/>
      <c r="H114" s="235" t="s">
        <v>1112</v>
      </c>
      <c r="I114" s="407"/>
      <c r="J114" s="405"/>
      <c r="K114" s="298" t="s">
        <v>555</v>
      </c>
      <c r="L114" s="298"/>
      <c r="M114" s="298"/>
      <c r="AC114" s="496" t="s">
        <v>793</v>
      </c>
      <c r="AD114" s="496" t="s">
        <v>794</v>
      </c>
      <c r="AE114" s="496" t="s">
        <v>764</v>
      </c>
      <c r="AF114" s="496" t="s">
        <v>765</v>
      </c>
      <c r="AG114" s="496" t="s">
        <v>752</v>
      </c>
      <c r="AH114" s="496" t="s">
        <v>753</v>
      </c>
      <c r="AJ114" s="367" t="str">
        <f t="shared" si="12"/>
        <v>CCH_H1_5_32</v>
      </c>
    </row>
    <row r="115" spans="2:36" x14ac:dyDescent="0.3">
      <c r="B115" s="238" t="str">
        <f t="shared" si="13"/>
        <v>CasualProfessionalUOM 9.2</v>
      </c>
      <c r="C115" s="238" t="s">
        <v>601</v>
      </c>
      <c r="D115" s="238" t="s">
        <v>767</v>
      </c>
      <c r="E115" s="238" t="s">
        <v>992</v>
      </c>
      <c r="F115" s="212">
        <v>94.89</v>
      </c>
      <c r="G115" s="298"/>
      <c r="H115" s="410">
        <v>260.892</v>
      </c>
      <c r="I115" s="407"/>
      <c r="J115" s="405"/>
      <c r="K115" s="298" t="s">
        <v>555</v>
      </c>
      <c r="L115" s="298"/>
      <c r="M115" s="298"/>
      <c r="AC115" s="496" t="s">
        <v>1136</v>
      </c>
      <c r="AD115" s="496" t="s">
        <v>1137</v>
      </c>
      <c r="AE115" s="496" t="s">
        <v>825</v>
      </c>
      <c r="AF115" s="496" t="s">
        <v>826</v>
      </c>
      <c r="AG115" s="496" t="s">
        <v>811</v>
      </c>
      <c r="AH115" s="496" t="s">
        <v>812</v>
      </c>
      <c r="AJ115" s="367" t="str">
        <f t="shared" si="12"/>
        <v>CCH_H1_5_197</v>
      </c>
    </row>
    <row r="116" spans="2:36" x14ac:dyDescent="0.3">
      <c r="B116" s="238" t="str">
        <f t="shared" si="13"/>
        <v>CasualProfessionalUOM 9.3</v>
      </c>
      <c r="C116" s="238" t="s">
        <v>601</v>
      </c>
      <c r="D116" s="238" t="s">
        <v>767</v>
      </c>
      <c r="E116" s="238" t="s">
        <v>997</v>
      </c>
      <c r="F116" s="212">
        <v>96.79</v>
      </c>
      <c r="G116" s="298"/>
      <c r="H116" s="389"/>
      <c r="I116" s="407"/>
      <c r="J116" s="405"/>
      <c r="K116" s="298" t="s">
        <v>555</v>
      </c>
      <c r="L116" s="298"/>
      <c r="M116" s="298"/>
      <c r="AC116" s="496" t="s">
        <v>807</v>
      </c>
      <c r="AD116" s="496" t="s">
        <v>808</v>
      </c>
      <c r="AE116" s="496" t="s">
        <v>809</v>
      </c>
      <c r="AF116" s="496" t="s">
        <v>810</v>
      </c>
      <c r="AG116" s="496" t="s">
        <v>811</v>
      </c>
      <c r="AH116" s="496" t="s">
        <v>812</v>
      </c>
      <c r="AJ116" s="367" t="str">
        <f t="shared" si="12"/>
        <v>CCH_H1_5_35</v>
      </c>
    </row>
    <row r="117" spans="2:36" x14ac:dyDescent="0.3">
      <c r="B117" s="238" t="str">
        <f t="shared" si="13"/>
        <v>CasualProfessionalUOM 10</v>
      </c>
      <c r="C117" s="238" t="s">
        <v>601</v>
      </c>
      <c r="D117" s="238" t="s">
        <v>767</v>
      </c>
      <c r="E117" s="238" t="s">
        <v>715</v>
      </c>
      <c r="F117" s="212">
        <v>99.68</v>
      </c>
      <c r="G117" s="298"/>
      <c r="H117" s="389"/>
      <c r="I117" s="407"/>
      <c r="J117" s="405"/>
      <c r="K117" s="298" t="s">
        <v>555</v>
      </c>
      <c r="L117" s="298"/>
      <c r="M117" s="298"/>
      <c r="AC117" s="496" t="s">
        <v>817</v>
      </c>
      <c r="AD117" s="496" t="s">
        <v>818</v>
      </c>
      <c r="AE117" s="496" t="s">
        <v>809</v>
      </c>
      <c r="AF117" s="496" t="s">
        <v>810</v>
      </c>
      <c r="AG117" s="496" t="s">
        <v>811</v>
      </c>
      <c r="AH117" s="496" t="s">
        <v>812</v>
      </c>
      <c r="AJ117" s="367" t="str">
        <f t="shared" si="12"/>
        <v>CCH_H1_5_36</v>
      </c>
    </row>
    <row r="118" spans="2:36" ht="15.6" x14ac:dyDescent="0.3">
      <c r="B118" s="238" t="str">
        <f t="shared" si="13"/>
        <v>CasualAcademicRA Grade 1.1</v>
      </c>
      <c r="C118" s="238" t="s">
        <v>601</v>
      </c>
      <c r="D118" s="238" t="s">
        <v>577</v>
      </c>
      <c r="E118" s="238" t="s">
        <v>578</v>
      </c>
      <c r="F118" s="212">
        <v>50.77</v>
      </c>
      <c r="G118" s="298"/>
      <c r="H118" s="409" t="s">
        <v>1124</v>
      </c>
      <c r="I118" s="407"/>
      <c r="J118" s="405"/>
      <c r="K118" s="298" t="s">
        <v>555</v>
      </c>
      <c r="L118" s="298"/>
      <c r="M118" s="298"/>
      <c r="AC118" s="496" t="s">
        <v>823</v>
      </c>
      <c r="AD118" s="496" t="s">
        <v>824</v>
      </c>
      <c r="AE118" s="496" t="s">
        <v>825</v>
      </c>
      <c r="AF118" s="496" t="s">
        <v>826</v>
      </c>
      <c r="AG118" s="496" t="s">
        <v>811</v>
      </c>
      <c r="AH118" s="496" t="s">
        <v>812</v>
      </c>
      <c r="AJ118" s="367" t="str">
        <f t="shared" si="12"/>
        <v>CCH_H1_5_37</v>
      </c>
    </row>
    <row r="119" spans="2:36" ht="18" customHeight="1" x14ac:dyDescent="0.3">
      <c r="B119" s="238" t="str">
        <f t="shared" si="13"/>
        <v>CasualAcademicRA Grade 1.2</v>
      </c>
      <c r="C119" s="238" t="s">
        <v>601</v>
      </c>
      <c r="D119" s="238" t="s">
        <v>577</v>
      </c>
      <c r="E119" s="238" t="s">
        <v>588</v>
      </c>
      <c r="F119" s="212">
        <v>52.42</v>
      </c>
      <c r="G119" s="298"/>
      <c r="H119" s="235" t="s">
        <v>1127</v>
      </c>
      <c r="I119" s="407"/>
      <c r="J119" s="405"/>
      <c r="K119" s="298" t="s">
        <v>555</v>
      </c>
      <c r="L119" s="298"/>
      <c r="M119" s="298"/>
      <c r="AC119" s="496" t="s">
        <v>831</v>
      </c>
      <c r="AD119" s="496" t="s">
        <v>832</v>
      </c>
      <c r="AE119" s="496" t="s">
        <v>825</v>
      </c>
      <c r="AF119" s="496" t="s">
        <v>826</v>
      </c>
      <c r="AG119" s="496" t="s">
        <v>811</v>
      </c>
      <c r="AH119" s="496" t="s">
        <v>812</v>
      </c>
      <c r="AJ119" s="367" t="str">
        <f t="shared" si="12"/>
        <v>CCH_H1_5_38</v>
      </c>
    </row>
    <row r="120" spans="2:36" x14ac:dyDescent="0.3">
      <c r="B120" s="238" t="str">
        <f t="shared" si="13"/>
        <v>CasualAcademicRA Grade 1.3</v>
      </c>
      <c r="C120" s="238" t="s">
        <v>601</v>
      </c>
      <c r="D120" s="238" t="s">
        <v>577</v>
      </c>
      <c r="E120" s="238" t="s">
        <v>598</v>
      </c>
      <c r="F120" s="212">
        <v>55.59</v>
      </c>
      <c r="G120" s="298"/>
      <c r="H120" s="1124">
        <v>1611.3</v>
      </c>
      <c r="I120" s="407"/>
      <c r="J120" s="405"/>
      <c r="K120" s="298" t="s">
        <v>555</v>
      </c>
      <c r="L120" s="298"/>
      <c r="M120" s="298"/>
      <c r="AC120" s="496" t="s">
        <v>836</v>
      </c>
      <c r="AD120" s="496" t="s">
        <v>837</v>
      </c>
      <c r="AE120" s="496" t="s">
        <v>838</v>
      </c>
      <c r="AF120" s="496" t="s">
        <v>839</v>
      </c>
      <c r="AG120" s="496" t="s">
        <v>811</v>
      </c>
      <c r="AH120" s="496" t="s">
        <v>812</v>
      </c>
      <c r="AJ120" s="367" t="str">
        <f t="shared" si="12"/>
        <v>CCH_H1_5_39</v>
      </c>
    </row>
    <row r="121" spans="2:36" x14ac:dyDescent="0.3">
      <c r="B121" s="238" t="str">
        <f t="shared" si="13"/>
        <v>CasualAcademicLevel A.1</v>
      </c>
      <c r="C121" s="238" t="s">
        <v>601</v>
      </c>
      <c r="D121" s="238" t="s">
        <v>577</v>
      </c>
      <c r="E121" s="238" t="s">
        <v>603</v>
      </c>
      <c r="F121" s="212">
        <v>55.59</v>
      </c>
      <c r="G121" s="298"/>
      <c r="H121" s="389"/>
      <c r="I121" s="407"/>
      <c r="J121" s="405"/>
      <c r="K121" s="298" t="s">
        <v>555</v>
      </c>
      <c r="L121" s="298"/>
      <c r="M121" s="298"/>
      <c r="AC121" s="496" t="s">
        <v>843</v>
      </c>
      <c r="AD121" s="496" t="s">
        <v>844</v>
      </c>
      <c r="AE121" s="496" t="s">
        <v>845</v>
      </c>
      <c r="AF121" s="496" t="s">
        <v>846</v>
      </c>
      <c r="AG121" s="496" t="s">
        <v>811</v>
      </c>
      <c r="AH121" s="496" t="s">
        <v>812</v>
      </c>
      <c r="AJ121" s="367" t="str">
        <f t="shared" si="12"/>
        <v>CCH_H1_5_40</v>
      </c>
    </row>
    <row r="122" spans="2:36" x14ac:dyDescent="0.3">
      <c r="B122" s="238" t="str">
        <f t="shared" si="13"/>
        <v>CasualAcademicLevel A.2</v>
      </c>
      <c r="C122" s="238" t="s">
        <v>601</v>
      </c>
      <c r="D122" s="238" t="s">
        <v>577</v>
      </c>
      <c r="E122" s="238" t="s">
        <v>609</v>
      </c>
      <c r="F122" s="212">
        <v>58.77</v>
      </c>
      <c r="H122" s="19"/>
      <c r="I122" s="268"/>
      <c r="J122" s="267"/>
      <c r="K122" s="11" t="s">
        <v>555</v>
      </c>
      <c r="AC122" s="496" t="s">
        <v>850</v>
      </c>
      <c r="AD122" s="496" t="s">
        <v>851</v>
      </c>
      <c r="AE122" s="496" t="s">
        <v>845</v>
      </c>
      <c r="AF122" s="496" t="s">
        <v>846</v>
      </c>
      <c r="AG122" s="496" t="s">
        <v>811</v>
      </c>
      <c r="AH122" s="496" t="s">
        <v>812</v>
      </c>
      <c r="AJ122" s="367" t="str">
        <f t="shared" si="12"/>
        <v>CCH_H1_5_41</v>
      </c>
    </row>
    <row r="123" spans="2:36" ht="15.6" x14ac:dyDescent="0.3">
      <c r="B123" s="238" t="str">
        <f t="shared" si="13"/>
        <v>CasualAcademicLevel A.3</v>
      </c>
      <c r="C123" s="238" t="s">
        <v>601</v>
      </c>
      <c r="D123" s="238" t="s">
        <v>577</v>
      </c>
      <c r="E123" s="238" t="s">
        <v>615</v>
      </c>
      <c r="F123" s="212">
        <v>61.94</v>
      </c>
      <c r="H123" s="232" t="s">
        <v>1128</v>
      </c>
      <c r="I123" s="268"/>
      <c r="J123" s="267"/>
      <c r="K123" s="11" t="s">
        <v>555</v>
      </c>
      <c r="AC123" s="496" t="s">
        <v>854</v>
      </c>
      <c r="AD123" s="496" t="s">
        <v>855</v>
      </c>
      <c r="AE123" s="496" t="s">
        <v>845</v>
      </c>
      <c r="AF123" s="496" t="s">
        <v>846</v>
      </c>
      <c r="AG123" s="496" t="s">
        <v>811</v>
      </c>
      <c r="AH123" s="496" t="s">
        <v>812</v>
      </c>
      <c r="AJ123" s="367" t="str">
        <f t="shared" si="12"/>
        <v>CCH_H1_5_42</v>
      </c>
    </row>
    <row r="124" spans="2:36" ht="28.8" x14ac:dyDescent="0.3">
      <c r="B124" s="238" t="str">
        <f t="shared" si="13"/>
        <v>CasualAcademicLevel A.4</v>
      </c>
      <c r="C124" s="238" t="s">
        <v>601</v>
      </c>
      <c r="D124" s="238" t="s">
        <v>577</v>
      </c>
      <c r="E124" s="238" t="s">
        <v>624</v>
      </c>
      <c r="F124" s="212">
        <v>65.12</v>
      </c>
      <c r="H124" s="257" t="s">
        <v>404</v>
      </c>
      <c r="I124" s="257" t="s">
        <v>16</v>
      </c>
      <c r="J124" s="257" t="s">
        <v>405</v>
      </c>
      <c r="K124" s="257" t="s">
        <v>18</v>
      </c>
      <c r="L124" s="257" t="s">
        <v>1129</v>
      </c>
      <c r="M124" s="380" t="s">
        <v>1130</v>
      </c>
      <c r="N124" s="380" t="s">
        <v>1131</v>
      </c>
      <c r="O124" s="380" t="s">
        <v>1132</v>
      </c>
      <c r="AC124" s="496" t="s">
        <v>858</v>
      </c>
      <c r="AD124" s="496" t="s">
        <v>859</v>
      </c>
      <c r="AE124" s="496" t="s">
        <v>845</v>
      </c>
      <c r="AF124" s="496" t="s">
        <v>846</v>
      </c>
      <c r="AG124" s="496" t="s">
        <v>811</v>
      </c>
      <c r="AH124" s="496" t="s">
        <v>812</v>
      </c>
      <c r="AJ124" s="367" t="str">
        <f t="shared" si="12"/>
        <v>CCH_H1_5_43</v>
      </c>
    </row>
    <row r="125" spans="2:36" x14ac:dyDescent="0.3">
      <c r="B125" s="238" t="str">
        <f t="shared" si="13"/>
        <v>CasualAcademicLevel A.5</v>
      </c>
      <c r="C125" s="238" t="s">
        <v>601</v>
      </c>
      <c r="D125" s="238" t="s">
        <v>577</v>
      </c>
      <c r="E125" s="238" t="s">
        <v>631</v>
      </c>
      <c r="F125" s="212">
        <v>67.7</v>
      </c>
      <c r="H125" s="381">
        <f>Start_Year</f>
        <v>2026</v>
      </c>
      <c r="I125" s="296" t="str">
        <f>Start_Month</f>
        <v>January</v>
      </c>
      <c r="J125" s="381">
        <f>pEndYear</f>
        <v>2030</v>
      </c>
      <c r="K125" s="296" t="str">
        <f>End_Month</f>
        <v>December</v>
      </c>
      <c r="L125" s="296">
        <f>IF(H125&gt;J125,0,IF(H125=J125,VLOOKUP(K125,U65:V76,2,FALSE)-VLOOKUP(I125,U65:V76,2,FALSE)+1,12-VLOOKUP(I125,U65:V76,2,FALSE)+1))</f>
        <v>12</v>
      </c>
      <c r="M125" s="381">
        <f>IF(H125&gt;J125,0,VLOOKUP(K125,U65:V76,2,FALSE))</f>
        <v>12</v>
      </c>
      <c r="N125" s="381">
        <f>IF(H125&gt;J125,0,J125-H125+1)</f>
        <v>5</v>
      </c>
      <c r="O125" s="381">
        <f>L125+(J125-H125-1)*12+M125</f>
        <v>60</v>
      </c>
      <c r="AC125" s="496" t="s">
        <v>862</v>
      </c>
      <c r="AD125" s="496" t="s">
        <v>863</v>
      </c>
      <c r="AE125" s="496" t="s">
        <v>864</v>
      </c>
      <c r="AF125" s="496" t="s">
        <v>865</v>
      </c>
      <c r="AG125" s="496" t="s">
        <v>866</v>
      </c>
      <c r="AH125" s="496" t="s">
        <v>867</v>
      </c>
      <c r="AJ125" s="367" t="str">
        <f t="shared" si="12"/>
        <v>CCH_H1_5_44</v>
      </c>
    </row>
    <row r="126" spans="2:36" x14ac:dyDescent="0.3">
      <c r="B126" s="238" t="str">
        <f t="shared" si="13"/>
        <v>CasualAcademicLevel A.6</v>
      </c>
      <c r="C126" s="238" t="s">
        <v>601</v>
      </c>
      <c r="D126" s="238" t="s">
        <v>577</v>
      </c>
      <c r="E126" s="238" t="s">
        <v>637</v>
      </c>
      <c r="F126" s="212">
        <v>70.28</v>
      </c>
      <c r="H126" s="19"/>
      <c r="I126" s="268"/>
      <c r="J126" s="267"/>
      <c r="K126" s="11" t="s">
        <v>555</v>
      </c>
      <c r="AC126" s="496" t="s">
        <v>874</v>
      </c>
      <c r="AD126" s="496" t="s">
        <v>875</v>
      </c>
      <c r="AE126" s="496" t="s">
        <v>876</v>
      </c>
      <c r="AF126" s="496" t="s">
        <v>877</v>
      </c>
      <c r="AG126" s="496" t="s">
        <v>866</v>
      </c>
      <c r="AH126" s="496" t="s">
        <v>867</v>
      </c>
      <c r="AJ126" s="367" t="str">
        <f t="shared" si="12"/>
        <v>CCH_H1_5_46</v>
      </c>
    </row>
    <row r="127" spans="2:36" x14ac:dyDescent="0.3">
      <c r="B127" s="238" t="str">
        <f t="shared" si="13"/>
        <v>CasualAcademicLevel A.7</v>
      </c>
      <c r="C127" s="238" t="s">
        <v>601</v>
      </c>
      <c r="D127" s="238" t="s">
        <v>577</v>
      </c>
      <c r="E127" s="238" t="s">
        <v>648</v>
      </c>
      <c r="F127" s="212">
        <v>72.849999999999994</v>
      </c>
      <c r="H127" s="19"/>
      <c r="I127" s="268"/>
      <c r="J127" s="267"/>
      <c r="K127" s="11" t="s">
        <v>555</v>
      </c>
      <c r="AC127" s="496" t="s">
        <v>880</v>
      </c>
      <c r="AD127" s="496" t="s">
        <v>881</v>
      </c>
      <c r="AE127" s="496" t="s">
        <v>876</v>
      </c>
      <c r="AF127" s="496" t="s">
        <v>877</v>
      </c>
      <c r="AG127" s="496" t="s">
        <v>866</v>
      </c>
      <c r="AH127" s="496" t="s">
        <v>867</v>
      </c>
      <c r="AJ127" s="367" t="str">
        <f t="shared" si="12"/>
        <v>CCH_H1_5_47</v>
      </c>
    </row>
    <row r="128" spans="2:36" x14ac:dyDescent="0.3">
      <c r="B128" s="238" t="str">
        <f t="shared" si="13"/>
        <v>CasualAcademicLevel A.8</v>
      </c>
      <c r="C128" s="238" t="s">
        <v>601</v>
      </c>
      <c r="D128" s="238" t="s">
        <v>577</v>
      </c>
      <c r="E128" s="238" t="s">
        <v>654</v>
      </c>
      <c r="F128" s="212">
        <v>75.430000000000007</v>
      </c>
      <c r="H128" s="19"/>
      <c r="I128" s="268"/>
      <c r="J128" s="267"/>
      <c r="K128" s="11" t="s">
        <v>555</v>
      </c>
      <c r="AC128" s="496" t="s">
        <v>1079</v>
      </c>
      <c r="AD128" s="496" t="s">
        <v>1080</v>
      </c>
      <c r="AE128" s="496" t="s">
        <v>1077</v>
      </c>
      <c r="AF128" s="496" t="s">
        <v>1078</v>
      </c>
      <c r="AG128" s="496" t="s">
        <v>1067</v>
      </c>
      <c r="AH128" s="496" t="s">
        <v>1068</v>
      </c>
      <c r="AJ128" s="367" t="str">
        <f t="shared" si="12"/>
        <v>CCH_H1_5_100</v>
      </c>
    </row>
    <row r="129" spans="2:36" x14ac:dyDescent="0.3">
      <c r="B129" s="238" t="str">
        <f t="shared" si="13"/>
        <v>CasualAcademicLevel B.1</v>
      </c>
      <c r="C129" s="238" t="s">
        <v>601</v>
      </c>
      <c r="D129" s="238" t="s">
        <v>577</v>
      </c>
      <c r="E129" s="238" t="s">
        <v>659</v>
      </c>
      <c r="F129" s="212">
        <v>79.400000000000006</v>
      </c>
      <c r="H129" s="19"/>
      <c r="I129" s="268"/>
      <c r="J129" s="267"/>
      <c r="K129" s="11" t="s">
        <v>555</v>
      </c>
      <c r="AC129" s="496" t="s">
        <v>1081</v>
      </c>
      <c r="AD129" s="496" t="s">
        <v>1082</v>
      </c>
      <c r="AE129" s="496" t="s">
        <v>1083</v>
      </c>
      <c r="AF129" s="496" t="s">
        <v>1084</v>
      </c>
      <c r="AG129" s="496" t="s">
        <v>1067</v>
      </c>
      <c r="AH129" s="496" t="s">
        <v>1068</v>
      </c>
      <c r="AJ129" s="367" t="str">
        <f t="shared" si="12"/>
        <v>CCH_H1_5_101</v>
      </c>
    </row>
    <row r="130" spans="2:36" x14ac:dyDescent="0.3">
      <c r="B130" s="238" t="str">
        <f t="shared" si="13"/>
        <v>CasualAcademicLevel B.2</v>
      </c>
      <c r="C130" s="238" t="s">
        <v>601</v>
      </c>
      <c r="D130" s="238" t="s">
        <v>577</v>
      </c>
      <c r="E130" s="238" t="s">
        <v>665</v>
      </c>
      <c r="F130" s="212">
        <v>82.38</v>
      </c>
      <c r="H130" s="11" t="s">
        <v>180</v>
      </c>
      <c r="AC130" s="496" t="s">
        <v>1086</v>
      </c>
      <c r="AD130" s="496" t="s">
        <v>1087</v>
      </c>
      <c r="AE130" s="496" t="s">
        <v>1088</v>
      </c>
      <c r="AF130" s="496" t="s">
        <v>1089</v>
      </c>
      <c r="AG130" s="496" t="s">
        <v>1067</v>
      </c>
      <c r="AH130" s="496" t="s">
        <v>1068</v>
      </c>
      <c r="AJ130" s="367" t="str">
        <f t="shared" si="12"/>
        <v>CCH_H1_5_103</v>
      </c>
    </row>
    <row r="131" spans="2:36" x14ac:dyDescent="0.3">
      <c r="B131" s="238" t="str">
        <f t="shared" si="13"/>
        <v>CasualAcademicLevel B.3</v>
      </c>
      <c r="C131" s="238" t="s">
        <v>601</v>
      </c>
      <c r="D131" s="238" t="s">
        <v>577</v>
      </c>
      <c r="E131" s="238" t="s">
        <v>670</v>
      </c>
      <c r="F131" s="212">
        <v>85.37</v>
      </c>
      <c r="H131" s="257" t="s">
        <v>1133</v>
      </c>
      <c r="I131" s="257" t="s">
        <v>1134</v>
      </c>
      <c r="AC131" s="496" t="s">
        <v>1091</v>
      </c>
      <c r="AD131" s="496" t="s">
        <v>1092</v>
      </c>
      <c r="AE131" s="496" t="s">
        <v>1088</v>
      </c>
      <c r="AF131" s="496" t="s">
        <v>1089</v>
      </c>
      <c r="AG131" s="496" t="s">
        <v>1067</v>
      </c>
      <c r="AH131" s="496" t="s">
        <v>1068</v>
      </c>
      <c r="AJ131" s="367" t="str">
        <f t="shared" si="12"/>
        <v>CCH_H1_5_104</v>
      </c>
    </row>
    <row r="132" spans="2:36" x14ac:dyDescent="0.3">
      <c r="B132" s="238" t="str">
        <f t="shared" si="13"/>
        <v>CasualAcademicLevel B.4</v>
      </c>
      <c r="C132" s="238" t="s">
        <v>601</v>
      </c>
      <c r="D132" s="238" t="s">
        <v>577</v>
      </c>
      <c r="E132" s="238" t="s">
        <v>675</v>
      </c>
      <c r="F132" s="212">
        <v>88.34</v>
      </c>
      <c r="H132" s="513" t="s">
        <v>83</v>
      </c>
      <c r="I132" s="513" t="s">
        <v>85</v>
      </c>
      <c r="AC132" s="496" t="s">
        <v>1093</v>
      </c>
      <c r="AD132" s="496" t="s">
        <v>1094</v>
      </c>
      <c r="AE132" s="496" t="s">
        <v>1095</v>
      </c>
      <c r="AF132" s="496" t="s">
        <v>1096</v>
      </c>
      <c r="AG132" s="496" t="s">
        <v>1067</v>
      </c>
      <c r="AH132" s="496" t="s">
        <v>1068</v>
      </c>
      <c r="AJ132" s="367" t="str">
        <f t="shared" si="12"/>
        <v>CCH_H1_5_105</v>
      </c>
    </row>
    <row r="133" spans="2:36" x14ac:dyDescent="0.3">
      <c r="B133" s="238" t="str">
        <f t="shared" si="13"/>
        <v>CasualAcademicLevel B.5</v>
      </c>
      <c r="C133" s="238" t="s">
        <v>601</v>
      </c>
      <c r="D133" s="238" t="s">
        <v>577</v>
      </c>
      <c r="E133" s="238" t="s">
        <v>680</v>
      </c>
      <c r="F133" s="212">
        <v>91.32</v>
      </c>
      <c r="H133" s="513" t="s">
        <v>90</v>
      </c>
      <c r="I133" s="513" t="s">
        <v>92</v>
      </c>
      <c r="AC133" s="496" t="s">
        <v>1097</v>
      </c>
      <c r="AD133" s="496" t="s">
        <v>1098</v>
      </c>
      <c r="AE133" s="496" t="s">
        <v>1095</v>
      </c>
      <c r="AF133" s="496" t="s">
        <v>1096</v>
      </c>
      <c r="AG133" s="496" t="s">
        <v>1067</v>
      </c>
      <c r="AH133" s="496" t="s">
        <v>1068</v>
      </c>
      <c r="AJ133" s="367" t="str">
        <f t="shared" ref="AJ133:AJ177" si="14">AD133</f>
        <v>CCH_H1_5_106</v>
      </c>
    </row>
    <row r="134" spans="2:36" x14ac:dyDescent="0.3">
      <c r="B134" s="238" t="str">
        <f t="shared" si="13"/>
        <v>CasualAcademicLevel B.6</v>
      </c>
      <c r="C134" s="238" t="s">
        <v>601</v>
      </c>
      <c r="D134" s="238" t="s">
        <v>577</v>
      </c>
      <c r="E134" s="238" t="s">
        <v>686</v>
      </c>
      <c r="F134" s="212">
        <v>94.29</v>
      </c>
      <c r="H134" s="513" t="s">
        <v>90</v>
      </c>
      <c r="I134" s="513" t="s">
        <v>94</v>
      </c>
      <c r="AC134" s="496" t="s">
        <v>1099</v>
      </c>
      <c r="AD134" s="496" t="s">
        <v>1100</v>
      </c>
      <c r="AE134" s="496" t="s">
        <v>1101</v>
      </c>
      <c r="AF134" s="496" t="s">
        <v>1102</v>
      </c>
      <c r="AG134" s="496" t="s">
        <v>1067</v>
      </c>
      <c r="AH134" s="496" t="s">
        <v>1068</v>
      </c>
      <c r="AJ134" s="367" t="str">
        <f t="shared" si="14"/>
        <v>CCH_H1_5_107</v>
      </c>
    </row>
    <row r="135" spans="2:36" x14ac:dyDescent="0.3">
      <c r="B135" s="238" t="str">
        <f t="shared" si="13"/>
        <v>CasualAcademicLevel C.1</v>
      </c>
      <c r="C135" s="238" t="s">
        <v>601</v>
      </c>
      <c r="D135" s="238" t="s">
        <v>577</v>
      </c>
      <c r="E135" s="238" t="s">
        <v>691</v>
      </c>
      <c r="F135" s="212">
        <v>97.27</v>
      </c>
      <c r="H135" s="513" t="s">
        <v>96</v>
      </c>
      <c r="I135" s="513" t="s">
        <v>1135</v>
      </c>
      <c r="AC135" s="496" t="s">
        <v>1103</v>
      </c>
      <c r="AD135" s="496" t="s">
        <v>1104</v>
      </c>
      <c r="AE135" s="496" t="s">
        <v>1101</v>
      </c>
      <c r="AF135" s="496" t="s">
        <v>1102</v>
      </c>
      <c r="AG135" s="496" t="s">
        <v>1067</v>
      </c>
      <c r="AH135" s="496" t="s">
        <v>1068</v>
      </c>
      <c r="AJ135" s="367" t="str">
        <f t="shared" si="14"/>
        <v>CCH_H1_5_108</v>
      </c>
    </row>
    <row r="136" spans="2:36" x14ac:dyDescent="0.3">
      <c r="B136" s="238" t="str">
        <f t="shared" si="13"/>
        <v>CasualAcademicLevel C.2</v>
      </c>
      <c r="C136" s="238" t="s">
        <v>601</v>
      </c>
      <c r="D136" s="238" t="s">
        <v>577</v>
      </c>
      <c r="E136" s="238" t="s">
        <v>697</v>
      </c>
      <c r="F136" s="212">
        <v>100.25</v>
      </c>
      <c r="H136" s="513" t="s">
        <v>96</v>
      </c>
      <c r="I136" s="513" t="s">
        <v>98</v>
      </c>
      <c r="AC136" s="496" t="s">
        <v>1185</v>
      </c>
      <c r="AD136" s="496" t="s">
        <v>1105</v>
      </c>
      <c r="AE136" s="496" t="s">
        <v>1186</v>
      </c>
      <c r="AF136" s="496" t="s">
        <v>1106</v>
      </c>
      <c r="AG136" s="496" t="s">
        <v>1067</v>
      </c>
      <c r="AH136" s="496" t="s">
        <v>1068</v>
      </c>
      <c r="AJ136" s="367" t="str">
        <f t="shared" si="14"/>
        <v>CCH_H1_5_109</v>
      </c>
    </row>
    <row r="137" spans="2:36" x14ac:dyDescent="0.3">
      <c r="B137" s="238" t="str">
        <f t="shared" si="13"/>
        <v>CasualAcademicLevel C.3</v>
      </c>
      <c r="C137" s="238" t="s">
        <v>601</v>
      </c>
      <c r="D137" s="238" t="s">
        <v>577</v>
      </c>
      <c r="E137" s="238" t="s">
        <v>702</v>
      </c>
      <c r="F137" s="212">
        <v>103.23</v>
      </c>
      <c r="H137" s="513" t="s">
        <v>100</v>
      </c>
      <c r="I137" s="513" t="s">
        <v>102</v>
      </c>
      <c r="AC137" s="496" t="s">
        <v>1187</v>
      </c>
      <c r="AD137" s="496" t="s">
        <v>1107</v>
      </c>
      <c r="AE137" s="496" t="s">
        <v>1186</v>
      </c>
      <c r="AF137" s="496" t="s">
        <v>1106</v>
      </c>
      <c r="AG137" s="496" t="s">
        <v>1067</v>
      </c>
      <c r="AH137" s="496" t="s">
        <v>1068</v>
      </c>
      <c r="AJ137" s="367" t="str">
        <f t="shared" si="14"/>
        <v>CCH_H1_5_110</v>
      </c>
    </row>
    <row r="138" spans="2:36" x14ac:dyDescent="0.3">
      <c r="B138" s="238" t="str">
        <f t="shared" si="13"/>
        <v>CasualAcademicLevel C.4</v>
      </c>
      <c r="C138" s="238" t="s">
        <v>601</v>
      </c>
      <c r="D138" s="238" t="s">
        <v>577</v>
      </c>
      <c r="E138" s="238" t="s">
        <v>708</v>
      </c>
      <c r="F138" s="212">
        <v>106.2</v>
      </c>
      <c r="H138" s="513" t="s">
        <v>100</v>
      </c>
      <c r="I138" s="513" t="s">
        <v>103</v>
      </c>
      <c r="AC138" s="496" t="s">
        <v>1063</v>
      </c>
      <c r="AD138" s="496" t="s">
        <v>1064</v>
      </c>
      <c r="AE138" s="496" t="s">
        <v>1065</v>
      </c>
      <c r="AF138" s="496" t="s">
        <v>1066</v>
      </c>
      <c r="AG138" s="496" t="s">
        <v>1067</v>
      </c>
      <c r="AH138" s="496" t="s">
        <v>1068</v>
      </c>
      <c r="AJ138" s="367" t="str">
        <f t="shared" si="14"/>
        <v>CCH_H1_5_96</v>
      </c>
    </row>
    <row r="139" spans="2:36" x14ac:dyDescent="0.3">
      <c r="B139" s="238" t="str">
        <f t="shared" si="13"/>
        <v>CasualAcademicLevel C.5</v>
      </c>
      <c r="C139" s="238" t="s">
        <v>601</v>
      </c>
      <c r="D139" s="238" t="s">
        <v>577</v>
      </c>
      <c r="E139" s="238" t="s">
        <v>713</v>
      </c>
      <c r="F139" s="212">
        <v>109.18</v>
      </c>
      <c r="H139" s="513" t="s">
        <v>100</v>
      </c>
      <c r="I139" s="513" t="s">
        <v>104</v>
      </c>
      <c r="AC139" s="496" t="s">
        <v>1069</v>
      </c>
      <c r="AD139" s="496" t="s">
        <v>1070</v>
      </c>
      <c r="AE139" s="496" t="s">
        <v>1065</v>
      </c>
      <c r="AF139" s="496" t="s">
        <v>1066</v>
      </c>
      <c r="AG139" s="496" t="s">
        <v>1067</v>
      </c>
      <c r="AH139" s="496" t="s">
        <v>1068</v>
      </c>
      <c r="AJ139" s="367" t="str">
        <f t="shared" si="14"/>
        <v>CCH_H1_5_97</v>
      </c>
    </row>
    <row r="140" spans="2:36" x14ac:dyDescent="0.3">
      <c r="B140" s="238" t="str">
        <f t="shared" si="13"/>
        <v>CasualAcademicLevel C.6</v>
      </c>
      <c r="C140" s="238" t="s">
        <v>601</v>
      </c>
      <c r="D140" s="238" t="s">
        <v>577</v>
      </c>
      <c r="E140" s="238" t="s">
        <v>726</v>
      </c>
      <c r="F140" s="212">
        <v>112.15</v>
      </c>
      <c r="H140" s="513" t="s">
        <v>100</v>
      </c>
      <c r="I140" s="513" t="s">
        <v>105</v>
      </c>
      <c r="AC140" s="496" t="s">
        <v>1071</v>
      </c>
      <c r="AD140" s="496" t="s">
        <v>1072</v>
      </c>
      <c r="AE140" s="496" t="s">
        <v>1073</v>
      </c>
      <c r="AF140" s="496" t="s">
        <v>1074</v>
      </c>
      <c r="AG140" s="496" t="s">
        <v>1067</v>
      </c>
      <c r="AH140" s="496" t="s">
        <v>1068</v>
      </c>
      <c r="AJ140" s="367" t="str">
        <f t="shared" si="14"/>
        <v>CCH_H1_5_98</v>
      </c>
    </row>
    <row r="141" spans="2:36" x14ac:dyDescent="0.3">
      <c r="B141" s="238" t="str">
        <f t="shared" si="13"/>
        <v>CasualAcademicLevel D.1</v>
      </c>
      <c r="C141" s="238" t="s">
        <v>601</v>
      </c>
      <c r="D141" s="238" t="s">
        <v>577</v>
      </c>
      <c r="E141" s="238" t="s">
        <v>732</v>
      </c>
      <c r="F141" s="212">
        <v>117.12</v>
      </c>
      <c r="H141" s="513" t="s">
        <v>100</v>
      </c>
      <c r="I141" s="513" t="s">
        <v>106</v>
      </c>
      <c r="AC141" s="496" t="s">
        <v>1075</v>
      </c>
      <c r="AD141" s="496" t="s">
        <v>1076</v>
      </c>
      <c r="AE141" s="496" t="s">
        <v>1077</v>
      </c>
      <c r="AF141" s="496" t="s">
        <v>1078</v>
      </c>
      <c r="AG141" s="496" t="s">
        <v>1067</v>
      </c>
      <c r="AH141" s="496" t="s">
        <v>1068</v>
      </c>
      <c r="AJ141" s="367" t="str">
        <f t="shared" si="14"/>
        <v>CCH_H1_5_99</v>
      </c>
    </row>
    <row r="142" spans="2:36" x14ac:dyDescent="0.3">
      <c r="B142" s="238" t="str">
        <f t="shared" si="13"/>
        <v>CasualAcademicLevel D.2</v>
      </c>
      <c r="C142" s="238" t="s">
        <v>601</v>
      </c>
      <c r="D142" s="238" t="s">
        <v>577</v>
      </c>
      <c r="E142" s="238" t="s">
        <v>741</v>
      </c>
      <c r="F142" s="212">
        <v>121.09</v>
      </c>
      <c r="H142" s="513" t="s">
        <v>107</v>
      </c>
      <c r="I142" s="513" t="s">
        <v>109</v>
      </c>
      <c r="AC142" s="496" t="s">
        <v>1138</v>
      </c>
      <c r="AD142" s="496" t="s">
        <v>1109</v>
      </c>
      <c r="AE142" s="496" t="s">
        <v>1139</v>
      </c>
      <c r="AF142" s="496" t="s">
        <v>1110</v>
      </c>
      <c r="AG142" s="496" t="s">
        <v>1140</v>
      </c>
      <c r="AH142" s="496" t="s">
        <v>1111</v>
      </c>
      <c r="AJ142" s="367" t="str">
        <f t="shared" si="14"/>
        <v>CCH_H1_5_111</v>
      </c>
    </row>
    <row r="143" spans="2:36" x14ac:dyDescent="0.3">
      <c r="B143" s="238" t="str">
        <f t="shared" si="13"/>
        <v>CasualAcademicLevel D.3</v>
      </c>
      <c r="C143" s="238" t="s">
        <v>601</v>
      </c>
      <c r="D143" s="238" t="s">
        <v>577</v>
      </c>
      <c r="E143" s="238" t="s">
        <v>745</v>
      </c>
      <c r="F143" s="212">
        <v>125.05</v>
      </c>
      <c r="H143" s="513" t="s">
        <v>107</v>
      </c>
      <c r="I143" s="513" t="s">
        <v>111</v>
      </c>
      <c r="AC143" s="496" t="s">
        <v>1188</v>
      </c>
      <c r="AD143" s="496" t="s">
        <v>1113</v>
      </c>
      <c r="AE143" s="496" t="s">
        <v>1139</v>
      </c>
      <c r="AF143" s="496" t="s">
        <v>1110</v>
      </c>
      <c r="AG143" s="496" t="s">
        <v>1140</v>
      </c>
      <c r="AH143" s="496" t="s">
        <v>1111</v>
      </c>
      <c r="AJ143" s="367" t="str">
        <f t="shared" si="14"/>
        <v>CCH_H1_5_112</v>
      </c>
    </row>
    <row r="144" spans="2:36" x14ac:dyDescent="0.3">
      <c r="B144" s="238" t="str">
        <f t="shared" si="13"/>
        <v>CasualAcademicLevel D.4</v>
      </c>
      <c r="C144" s="238" t="s">
        <v>601</v>
      </c>
      <c r="D144" s="238" t="s">
        <v>577</v>
      </c>
      <c r="E144" s="238" t="s">
        <v>754</v>
      </c>
      <c r="F144" s="212">
        <v>129.03</v>
      </c>
      <c r="H144" s="513" t="s">
        <v>107</v>
      </c>
      <c r="I144" s="513" t="s">
        <v>113</v>
      </c>
      <c r="AC144" s="496" t="s">
        <v>1189</v>
      </c>
      <c r="AD144" s="496" t="s">
        <v>1114</v>
      </c>
      <c r="AE144" s="496" t="s">
        <v>1190</v>
      </c>
      <c r="AF144" s="496" t="s">
        <v>1115</v>
      </c>
      <c r="AG144" s="496" t="s">
        <v>1140</v>
      </c>
      <c r="AH144" s="496" t="s">
        <v>1111</v>
      </c>
      <c r="AJ144" s="367" t="str">
        <f t="shared" si="14"/>
        <v>CCH_H1_5_113</v>
      </c>
    </row>
    <row r="145" spans="2:36" x14ac:dyDescent="0.3">
      <c r="B145" s="238" t="str">
        <f t="shared" si="13"/>
        <v>CasualAcademicLevel E.1</v>
      </c>
      <c r="C145" s="238" t="s">
        <v>601</v>
      </c>
      <c r="D145" s="238" t="s">
        <v>577</v>
      </c>
      <c r="E145" s="238" t="s">
        <v>759</v>
      </c>
      <c r="F145" s="212">
        <v>150.85</v>
      </c>
      <c r="H145" s="513" t="s">
        <v>107</v>
      </c>
      <c r="I145" s="513" t="s">
        <v>115</v>
      </c>
      <c r="AC145" s="496" t="s">
        <v>1116</v>
      </c>
      <c r="AD145" s="496" t="s">
        <v>1117</v>
      </c>
      <c r="AE145" s="496" t="s">
        <v>1118</v>
      </c>
      <c r="AF145" s="496" t="s">
        <v>1119</v>
      </c>
      <c r="AG145" s="496" t="s">
        <v>1120</v>
      </c>
      <c r="AH145" s="496" t="s">
        <v>1121</v>
      </c>
      <c r="AJ145" s="367" t="str">
        <f t="shared" si="14"/>
        <v>CCH_H1_5_114</v>
      </c>
    </row>
    <row r="146" spans="2:36" x14ac:dyDescent="0.3">
      <c r="H146" s="513" t="s">
        <v>117</v>
      </c>
      <c r="I146" s="513" t="s">
        <v>119</v>
      </c>
      <c r="J146" s="267"/>
      <c r="AC146" s="496" t="s">
        <v>1122</v>
      </c>
      <c r="AD146" s="496" t="s">
        <v>1123</v>
      </c>
      <c r="AE146" s="496" t="s">
        <v>1118</v>
      </c>
      <c r="AF146" s="496" t="s">
        <v>1119</v>
      </c>
      <c r="AG146" s="496" t="s">
        <v>1120</v>
      </c>
      <c r="AH146" s="496" t="s">
        <v>1121</v>
      </c>
      <c r="AJ146" s="367" t="str">
        <f t="shared" si="14"/>
        <v>CCH_H1_5_115</v>
      </c>
    </row>
    <row r="147" spans="2:36" x14ac:dyDescent="0.3">
      <c r="H147" s="513" t="s">
        <v>117</v>
      </c>
      <c r="I147" s="513" t="s">
        <v>121</v>
      </c>
      <c r="J147" s="267"/>
      <c r="AC147" s="496" t="s">
        <v>1125</v>
      </c>
      <c r="AD147" s="496" t="s">
        <v>1126</v>
      </c>
      <c r="AE147" s="496" t="s">
        <v>1118</v>
      </c>
      <c r="AF147" s="496" t="s">
        <v>1119</v>
      </c>
      <c r="AG147" s="496" t="s">
        <v>1120</v>
      </c>
      <c r="AH147" s="496" t="s">
        <v>1121</v>
      </c>
      <c r="AJ147" s="367" t="str">
        <f t="shared" si="14"/>
        <v>CCH_H1_5_116</v>
      </c>
    </row>
    <row r="148" spans="2:36" x14ac:dyDescent="0.3">
      <c r="H148" s="513" t="s">
        <v>123</v>
      </c>
      <c r="I148" s="513" t="s">
        <v>125</v>
      </c>
      <c r="J148" s="267"/>
      <c r="AC148" s="496" t="s">
        <v>1295</v>
      </c>
      <c r="AD148" s="496" t="s">
        <v>1296</v>
      </c>
      <c r="AE148" s="496" t="s">
        <v>1297</v>
      </c>
      <c r="AF148" s="496" t="s">
        <v>1298</v>
      </c>
      <c r="AG148" s="496" t="s">
        <v>1299</v>
      </c>
      <c r="AH148" s="496" t="s">
        <v>1300</v>
      </c>
      <c r="AJ148" s="367" t="str">
        <f t="shared" si="14"/>
        <v>CCH_H1_5_118</v>
      </c>
    </row>
    <row r="149" spans="2:36" x14ac:dyDescent="0.3">
      <c r="H149" s="513" t="s">
        <v>128</v>
      </c>
      <c r="I149" s="513" t="s">
        <v>130</v>
      </c>
      <c r="J149" s="267"/>
      <c r="K149" s="11" t="s">
        <v>555</v>
      </c>
      <c r="AC149" s="496" t="s">
        <v>1301</v>
      </c>
      <c r="AD149" s="496" t="s">
        <v>1302</v>
      </c>
      <c r="AE149" s="496" t="s">
        <v>1297</v>
      </c>
      <c r="AF149" s="496" t="s">
        <v>1298</v>
      </c>
      <c r="AG149" s="496" t="s">
        <v>1299</v>
      </c>
      <c r="AH149" s="496" t="s">
        <v>1300</v>
      </c>
      <c r="AJ149" s="367" t="str">
        <f t="shared" si="14"/>
        <v>CCH_H1_5_119</v>
      </c>
    </row>
    <row r="150" spans="2:36" x14ac:dyDescent="0.3">
      <c r="H150" s="513" t="s">
        <v>132</v>
      </c>
      <c r="I150" s="513" t="s">
        <v>134</v>
      </c>
      <c r="J150" s="267"/>
      <c r="K150" s="11" t="s">
        <v>555</v>
      </c>
      <c r="AC150" s="496" t="s">
        <v>1303</v>
      </c>
      <c r="AD150" s="496" t="s">
        <v>1304</v>
      </c>
      <c r="AE150" s="496" t="s">
        <v>1297</v>
      </c>
      <c r="AF150" s="496" t="s">
        <v>1298</v>
      </c>
      <c r="AG150" s="496" t="s">
        <v>1299</v>
      </c>
      <c r="AH150" s="496" t="s">
        <v>1300</v>
      </c>
      <c r="AJ150" s="367" t="str">
        <f t="shared" si="14"/>
        <v>CCH_H1_5_120</v>
      </c>
    </row>
    <row r="151" spans="2:36" x14ac:dyDescent="0.3">
      <c r="H151" s="513" t="s">
        <v>132</v>
      </c>
      <c r="I151" s="513" t="s">
        <v>136</v>
      </c>
      <c r="J151" s="267"/>
      <c r="K151" s="11" t="s">
        <v>555</v>
      </c>
      <c r="AC151" s="496" t="s">
        <v>1305</v>
      </c>
      <c r="AD151" s="496" t="s">
        <v>1306</v>
      </c>
      <c r="AE151" s="496" t="s">
        <v>1307</v>
      </c>
      <c r="AF151" s="496" t="s">
        <v>1308</v>
      </c>
      <c r="AG151" s="496" t="s">
        <v>1309</v>
      </c>
      <c r="AH151" s="496" t="s">
        <v>1310</v>
      </c>
      <c r="AJ151" s="367" t="str">
        <f t="shared" si="14"/>
        <v>CCH_H1_5_155</v>
      </c>
    </row>
    <row r="152" spans="2:36" x14ac:dyDescent="0.3">
      <c r="H152" s="19"/>
      <c r="I152" s="268"/>
      <c r="J152" s="267"/>
      <c r="K152" s="11" t="s">
        <v>555</v>
      </c>
      <c r="AC152" s="496" t="s">
        <v>1311</v>
      </c>
      <c r="AD152" s="496" t="s">
        <v>1312</v>
      </c>
      <c r="AE152" s="496" t="s">
        <v>1307</v>
      </c>
      <c r="AF152" s="496" t="s">
        <v>1308</v>
      </c>
      <c r="AG152" s="496" t="s">
        <v>1309</v>
      </c>
      <c r="AH152" s="496" t="s">
        <v>1310</v>
      </c>
      <c r="AJ152" s="367" t="str">
        <f t="shared" si="14"/>
        <v>CCH_H1_5_162</v>
      </c>
    </row>
    <row r="153" spans="2:36" x14ac:dyDescent="0.3">
      <c r="H153" s="19"/>
      <c r="I153" s="268"/>
      <c r="J153" s="267"/>
      <c r="K153" s="11" t="s">
        <v>555</v>
      </c>
      <c r="AC153" s="496" t="s">
        <v>1313</v>
      </c>
      <c r="AD153" s="496" t="s">
        <v>1314</v>
      </c>
      <c r="AE153" s="496" t="s">
        <v>1307</v>
      </c>
      <c r="AF153" s="496" t="s">
        <v>1308</v>
      </c>
      <c r="AG153" s="496" t="s">
        <v>1309</v>
      </c>
      <c r="AH153" s="496" t="s">
        <v>1310</v>
      </c>
      <c r="AJ153" s="367" t="str">
        <f t="shared" si="14"/>
        <v>CCH_H1_5_164</v>
      </c>
    </row>
    <row r="154" spans="2:36" x14ac:dyDescent="0.3">
      <c r="H154" s="19"/>
      <c r="I154" s="268"/>
      <c r="J154" s="267"/>
      <c r="K154" s="11" t="s">
        <v>555</v>
      </c>
      <c r="AC154" s="496" t="s">
        <v>1315</v>
      </c>
      <c r="AD154" s="496" t="s">
        <v>1316</v>
      </c>
      <c r="AE154" s="496" t="s">
        <v>1307</v>
      </c>
      <c r="AF154" s="496" t="s">
        <v>1308</v>
      </c>
      <c r="AG154" s="496" t="s">
        <v>1309</v>
      </c>
      <c r="AH154" s="496" t="s">
        <v>1310</v>
      </c>
      <c r="AJ154" s="367" t="str">
        <f t="shared" si="14"/>
        <v>CCH_H1_5_202</v>
      </c>
    </row>
    <row r="155" spans="2:36" x14ac:dyDescent="0.3">
      <c r="H155" s="19"/>
      <c r="I155" s="268"/>
      <c r="J155" s="267"/>
      <c r="K155" s="11" t="s">
        <v>555</v>
      </c>
      <c r="AC155" s="496" t="s">
        <v>1317</v>
      </c>
      <c r="AD155" s="496" t="s">
        <v>1318</v>
      </c>
      <c r="AE155" s="496" t="s">
        <v>1307</v>
      </c>
      <c r="AF155" s="496" t="s">
        <v>1308</v>
      </c>
      <c r="AG155" s="496" t="s">
        <v>1309</v>
      </c>
      <c r="AH155" s="496" t="s">
        <v>1310</v>
      </c>
      <c r="AJ155" s="367" t="str">
        <f t="shared" si="14"/>
        <v>CCH_H1_5_203</v>
      </c>
    </row>
    <row r="156" spans="2:36" x14ac:dyDescent="0.3">
      <c r="H156" s="19"/>
      <c r="I156" s="268"/>
      <c r="J156" s="267"/>
      <c r="K156" s="11" t="s">
        <v>555</v>
      </c>
      <c r="AC156" s="496" t="s">
        <v>1319</v>
      </c>
      <c r="AD156" s="496" t="s">
        <v>1320</v>
      </c>
      <c r="AE156" s="496" t="s">
        <v>1321</v>
      </c>
      <c r="AF156" s="496" t="s">
        <v>1322</v>
      </c>
      <c r="AG156" s="496" t="s">
        <v>1323</v>
      </c>
      <c r="AH156" s="496" t="s">
        <v>1324</v>
      </c>
      <c r="AJ156" s="367" t="str">
        <f t="shared" si="14"/>
        <v>CCH_H1_5_170</v>
      </c>
    </row>
    <row r="157" spans="2:36" x14ac:dyDescent="0.3">
      <c r="H157" s="19"/>
      <c r="I157" s="268"/>
      <c r="J157" s="267"/>
      <c r="K157" s="11" t="s">
        <v>555</v>
      </c>
      <c r="AC157" s="496" t="s">
        <v>1325</v>
      </c>
      <c r="AD157" s="496" t="s">
        <v>1326</v>
      </c>
      <c r="AE157" s="496" t="s">
        <v>1321</v>
      </c>
      <c r="AF157" s="496" t="s">
        <v>1322</v>
      </c>
      <c r="AG157" s="496" t="s">
        <v>1323</v>
      </c>
      <c r="AH157" s="496" t="s">
        <v>1324</v>
      </c>
      <c r="AJ157" s="367" t="str">
        <f t="shared" si="14"/>
        <v>CCH_H1_5_171</v>
      </c>
    </row>
    <row r="158" spans="2:36" x14ac:dyDescent="0.3">
      <c r="H158" s="19"/>
      <c r="I158" s="268"/>
      <c r="J158" s="267"/>
      <c r="K158" s="11" t="s">
        <v>555</v>
      </c>
      <c r="AC158" s="496" t="s">
        <v>1327</v>
      </c>
      <c r="AD158" s="496" t="s">
        <v>1328</v>
      </c>
      <c r="AE158" s="496" t="s">
        <v>1321</v>
      </c>
      <c r="AF158" s="496" t="s">
        <v>1322</v>
      </c>
      <c r="AG158" s="496" t="s">
        <v>1323</v>
      </c>
      <c r="AH158" s="496" t="s">
        <v>1324</v>
      </c>
      <c r="AJ158" s="367" t="str">
        <f t="shared" si="14"/>
        <v>CCH_H1_5_172</v>
      </c>
    </row>
    <row r="159" spans="2:36" x14ac:dyDescent="0.3">
      <c r="H159" s="19"/>
      <c r="I159" s="268"/>
      <c r="J159" s="267"/>
      <c r="K159" s="11" t="s">
        <v>555</v>
      </c>
      <c r="AC159" s="496" t="s">
        <v>1329</v>
      </c>
      <c r="AD159" s="496" t="s">
        <v>1330</v>
      </c>
      <c r="AE159" s="496" t="s">
        <v>1321</v>
      </c>
      <c r="AF159" s="496" t="s">
        <v>1322</v>
      </c>
      <c r="AG159" s="496" t="s">
        <v>1323</v>
      </c>
      <c r="AH159" s="496" t="s">
        <v>1324</v>
      </c>
      <c r="AJ159" s="367" t="str">
        <f t="shared" si="14"/>
        <v>CCH_H1_5_173</v>
      </c>
    </row>
    <row r="160" spans="2:36" x14ac:dyDescent="0.3">
      <c r="H160" s="19"/>
      <c r="I160" s="268"/>
      <c r="J160" s="267"/>
      <c r="K160" s="11" t="s">
        <v>555</v>
      </c>
      <c r="AC160" s="496" t="s">
        <v>1331</v>
      </c>
      <c r="AD160" s="496" t="s">
        <v>1332</v>
      </c>
      <c r="AE160" s="496" t="s">
        <v>1321</v>
      </c>
      <c r="AF160" s="496" t="s">
        <v>1322</v>
      </c>
      <c r="AG160" s="496" t="s">
        <v>1323</v>
      </c>
      <c r="AH160" s="496" t="s">
        <v>1324</v>
      </c>
      <c r="AJ160" s="367" t="str">
        <f t="shared" si="14"/>
        <v>CCH_H1_5_188</v>
      </c>
    </row>
    <row r="161" spans="8:36" x14ac:dyDescent="0.3">
      <c r="H161" s="19"/>
      <c r="I161" s="268"/>
      <c r="J161" s="267"/>
      <c r="K161" s="11" t="s">
        <v>555</v>
      </c>
      <c r="AC161" s="496" t="s">
        <v>1333</v>
      </c>
      <c r="AD161" s="496" t="s">
        <v>1334</v>
      </c>
      <c r="AE161" s="496" t="s">
        <v>1321</v>
      </c>
      <c r="AF161" s="496" t="s">
        <v>1322</v>
      </c>
      <c r="AG161" s="496" t="s">
        <v>1323</v>
      </c>
      <c r="AH161" s="496" t="s">
        <v>1324</v>
      </c>
      <c r="AJ161" s="367" t="str">
        <f t="shared" si="14"/>
        <v>CCH_H1_5_198</v>
      </c>
    </row>
    <row r="162" spans="8:36" x14ac:dyDescent="0.3">
      <c r="H162" s="19"/>
      <c r="I162" s="268"/>
      <c r="J162" s="267"/>
      <c r="K162" s="11" t="s">
        <v>555</v>
      </c>
      <c r="AC162" s="496" t="s">
        <v>1335</v>
      </c>
      <c r="AD162" s="496" t="s">
        <v>1336</v>
      </c>
      <c r="AE162" s="496" t="s">
        <v>1321</v>
      </c>
      <c r="AF162" s="496" t="s">
        <v>1322</v>
      </c>
      <c r="AG162" s="496" t="s">
        <v>1323</v>
      </c>
      <c r="AH162" s="496" t="s">
        <v>1324</v>
      </c>
      <c r="AJ162" s="367" t="str">
        <f t="shared" si="14"/>
        <v>CCH_H1_5_34</v>
      </c>
    </row>
    <row r="163" spans="8:36" x14ac:dyDescent="0.3">
      <c r="H163" s="19"/>
      <c r="I163" s="268"/>
      <c r="J163" s="267"/>
      <c r="K163" s="11" t="s">
        <v>555</v>
      </c>
      <c r="AC163" s="496" t="s">
        <v>1337</v>
      </c>
      <c r="AD163" s="496" t="s">
        <v>1338</v>
      </c>
      <c r="AE163" s="496" t="s">
        <v>1339</v>
      </c>
      <c r="AF163" s="496" t="s">
        <v>1340</v>
      </c>
      <c r="AG163" s="496" t="s">
        <v>1341</v>
      </c>
      <c r="AH163" s="496" t="s">
        <v>1342</v>
      </c>
      <c r="AJ163" s="367" t="str">
        <f t="shared" si="14"/>
        <v>CCH_H1_5_174</v>
      </c>
    </row>
    <row r="164" spans="8:36" x14ac:dyDescent="0.3">
      <c r="H164" s="19"/>
      <c r="I164" s="268"/>
      <c r="J164" s="267"/>
      <c r="K164" s="11" t="s">
        <v>555</v>
      </c>
      <c r="AC164" s="496" t="s">
        <v>1343</v>
      </c>
      <c r="AD164" s="496" t="s">
        <v>1344</v>
      </c>
      <c r="AE164" s="496" t="s">
        <v>1345</v>
      </c>
      <c r="AF164" s="496" t="s">
        <v>1346</v>
      </c>
      <c r="AG164" s="496" t="s">
        <v>1347</v>
      </c>
      <c r="AH164" s="496" t="s">
        <v>1348</v>
      </c>
      <c r="AJ164" s="367" t="str">
        <f t="shared" si="14"/>
        <v>CCH_H1_5_175</v>
      </c>
    </row>
    <row r="165" spans="8:36" x14ac:dyDescent="0.3">
      <c r="H165" s="19"/>
      <c r="I165" s="268"/>
      <c r="J165" s="267"/>
      <c r="K165" s="11" t="s">
        <v>555</v>
      </c>
      <c r="AC165" s="496" t="s">
        <v>1349</v>
      </c>
      <c r="AD165" s="496" t="s">
        <v>1350</v>
      </c>
      <c r="AE165" s="496" t="s">
        <v>1345</v>
      </c>
      <c r="AF165" s="496" t="s">
        <v>1346</v>
      </c>
      <c r="AG165" s="496" t="s">
        <v>1347</v>
      </c>
      <c r="AH165" s="496" t="s">
        <v>1348</v>
      </c>
      <c r="AJ165" s="367" t="str">
        <f t="shared" si="14"/>
        <v>CCH_H1_5_176</v>
      </c>
    </row>
    <row r="166" spans="8:36" x14ac:dyDescent="0.3">
      <c r="H166" s="19"/>
      <c r="I166" s="268"/>
      <c r="J166" s="267"/>
      <c r="K166" s="11" t="s">
        <v>555</v>
      </c>
      <c r="AC166" s="496" t="s">
        <v>1351</v>
      </c>
      <c r="AD166" s="496" t="s">
        <v>1352</v>
      </c>
      <c r="AE166" s="496" t="s">
        <v>1345</v>
      </c>
      <c r="AF166" s="496" t="s">
        <v>1346</v>
      </c>
      <c r="AG166" s="496" t="s">
        <v>1347</v>
      </c>
      <c r="AH166" s="496" t="s">
        <v>1348</v>
      </c>
      <c r="AJ166" s="367" t="str">
        <f t="shared" si="14"/>
        <v>CCH_H1_5_178</v>
      </c>
    </row>
    <row r="167" spans="8:36" x14ac:dyDescent="0.3">
      <c r="H167" s="19"/>
      <c r="I167" s="268"/>
      <c r="J167" s="267"/>
      <c r="K167" s="11" t="s">
        <v>555</v>
      </c>
      <c r="AC167" s="496" t="s">
        <v>1353</v>
      </c>
      <c r="AD167" s="496" t="s">
        <v>1354</v>
      </c>
      <c r="AE167" s="496" t="s">
        <v>1355</v>
      </c>
      <c r="AF167" s="496" t="s">
        <v>1356</v>
      </c>
      <c r="AG167" s="496" t="s">
        <v>1357</v>
      </c>
      <c r="AH167" s="496" t="s">
        <v>1358</v>
      </c>
      <c r="AJ167" s="367" t="str">
        <f t="shared" si="14"/>
        <v>CCH_H1_5_184</v>
      </c>
    </row>
    <row r="168" spans="8:36" x14ac:dyDescent="0.3">
      <c r="H168" s="19"/>
      <c r="I168" s="268"/>
      <c r="J168" s="267"/>
      <c r="K168" s="11" t="s">
        <v>555</v>
      </c>
      <c r="AC168" s="496" t="s">
        <v>1359</v>
      </c>
      <c r="AD168" s="496" t="s">
        <v>1360</v>
      </c>
      <c r="AE168" s="496" t="s">
        <v>1355</v>
      </c>
      <c r="AF168" s="496" t="s">
        <v>1356</v>
      </c>
      <c r="AG168" s="496" t="s">
        <v>1357</v>
      </c>
      <c r="AH168" s="496" t="s">
        <v>1358</v>
      </c>
      <c r="AJ168" s="367" t="str">
        <f t="shared" si="14"/>
        <v>CCH_H1_5_185</v>
      </c>
    </row>
    <row r="169" spans="8:36" x14ac:dyDescent="0.3">
      <c r="H169" s="19"/>
      <c r="I169" s="268"/>
      <c r="J169" s="267"/>
      <c r="K169" s="11" t="s">
        <v>555</v>
      </c>
      <c r="AC169" s="496" t="s">
        <v>1361</v>
      </c>
      <c r="AD169" s="496" t="s">
        <v>1362</v>
      </c>
      <c r="AE169" s="496" t="s">
        <v>1363</v>
      </c>
      <c r="AF169" s="496" t="s">
        <v>1364</v>
      </c>
      <c r="AG169" s="496" t="s">
        <v>1365</v>
      </c>
      <c r="AH169" s="496" t="s">
        <v>1366</v>
      </c>
      <c r="AJ169" s="367" t="str">
        <f t="shared" si="14"/>
        <v>CCH_H1_5_187</v>
      </c>
    </row>
    <row r="170" spans="8:36" x14ac:dyDescent="0.3">
      <c r="H170" s="19"/>
      <c r="I170" s="268"/>
      <c r="J170" s="267"/>
      <c r="K170" s="11" t="s">
        <v>555</v>
      </c>
      <c r="AC170" s="496" t="s">
        <v>1367</v>
      </c>
      <c r="AD170" s="496" t="s">
        <v>1368</v>
      </c>
      <c r="AE170" s="496" t="s">
        <v>1369</v>
      </c>
      <c r="AF170" s="496" t="s">
        <v>1370</v>
      </c>
      <c r="AG170" s="496" t="s">
        <v>1371</v>
      </c>
      <c r="AH170" s="496" t="s">
        <v>1372</v>
      </c>
      <c r="AJ170" s="367" t="str">
        <f t="shared" si="14"/>
        <v>CCH_H1_5_189</v>
      </c>
    </row>
    <row r="171" spans="8:36" x14ac:dyDescent="0.3">
      <c r="H171" s="19"/>
      <c r="I171" s="268"/>
      <c r="J171" s="267"/>
      <c r="K171" s="11" t="s">
        <v>555</v>
      </c>
      <c r="AC171" s="496" t="s">
        <v>1373</v>
      </c>
      <c r="AD171" s="496" t="s">
        <v>1374</v>
      </c>
      <c r="AE171" s="496" t="s">
        <v>1375</v>
      </c>
      <c r="AF171" s="496" t="s">
        <v>1376</v>
      </c>
      <c r="AG171" s="496" t="s">
        <v>1377</v>
      </c>
      <c r="AH171" s="496" t="s">
        <v>1378</v>
      </c>
      <c r="AJ171" s="367" t="str">
        <f t="shared" si="14"/>
        <v>CCH_H1_5_190</v>
      </c>
    </row>
    <row r="172" spans="8:36" x14ac:dyDescent="0.3">
      <c r="H172" s="19"/>
      <c r="I172" s="268"/>
      <c r="J172" s="267"/>
      <c r="K172" s="11" t="s">
        <v>555</v>
      </c>
      <c r="AC172" s="496" t="s">
        <v>1379</v>
      </c>
      <c r="AD172" s="496" t="s">
        <v>1380</v>
      </c>
      <c r="AE172" s="496" t="s">
        <v>1381</v>
      </c>
      <c r="AF172" s="496" t="s">
        <v>1382</v>
      </c>
      <c r="AG172" s="496" t="s">
        <v>1383</v>
      </c>
      <c r="AH172" s="496" t="s">
        <v>1384</v>
      </c>
      <c r="AJ172" s="367" t="str">
        <f t="shared" si="14"/>
        <v>CCH_H1_5_191</v>
      </c>
    </row>
    <row r="173" spans="8:36" x14ac:dyDescent="0.3">
      <c r="H173" s="19"/>
      <c r="I173" s="268"/>
      <c r="J173" s="267"/>
      <c r="K173" s="11" t="s">
        <v>555</v>
      </c>
      <c r="AC173" s="496" t="s">
        <v>1385</v>
      </c>
      <c r="AD173" s="496" t="s">
        <v>1386</v>
      </c>
      <c r="AE173" s="496" t="s">
        <v>1387</v>
      </c>
      <c r="AF173" s="496" t="s">
        <v>1388</v>
      </c>
      <c r="AG173" s="496" t="s">
        <v>1389</v>
      </c>
      <c r="AH173" s="496" t="s">
        <v>1390</v>
      </c>
      <c r="AJ173" s="367" t="str">
        <f t="shared" si="14"/>
        <v>CCH_H1_5_192</v>
      </c>
    </row>
    <row r="174" spans="8:36" x14ac:dyDescent="0.3">
      <c r="H174" s="19"/>
      <c r="I174" s="268"/>
      <c r="J174" s="267"/>
      <c r="K174" s="11" t="s">
        <v>555</v>
      </c>
      <c r="AC174" s="496" t="s">
        <v>1391</v>
      </c>
      <c r="AD174" s="496" t="s">
        <v>1392</v>
      </c>
      <c r="AE174" s="496" t="s">
        <v>1393</v>
      </c>
      <c r="AF174" s="496" t="s">
        <v>1394</v>
      </c>
      <c r="AG174" s="496" t="s">
        <v>1395</v>
      </c>
      <c r="AH174" s="496" t="s">
        <v>1396</v>
      </c>
      <c r="AJ174" s="367" t="str">
        <f t="shared" si="14"/>
        <v>CCH_H1_5_193</v>
      </c>
    </row>
    <row r="175" spans="8:36" x14ac:dyDescent="0.3">
      <c r="H175" s="19"/>
      <c r="I175" s="268"/>
      <c r="J175" s="267"/>
      <c r="K175" s="11" t="s">
        <v>555</v>
      </c>
      <c r="AC175" s="496" t="s">
        <v>1397</v>
      </c>
      <c r="AD175" s="496" t="s">
        <v>1398</v>
      </c>
      <c r="AE175" s="496" t="s">
        <v>1399</v>
      </c>
      <c r="AF175" s="496" t="s">
        <v>1400</v>
      </c>
      <c r="AG175" s="496" t="s">
        <v>1401</v>
      </c>
      <c r="AH175" s="496" t="s">
        <v>1402</v>
      </c>
      <c r="AJ175" s="367" t="str">
        <f t="shared" si="14"/>
        <v>CCH_H1_5_194</v>
      </c>
    </row>
    <row r="176" spans="8:36" x14ac:dyDescent="0.3">
      <c r="H176" s="19"/>
      <c r="I176" s="268"/>
      <c r="J176" s="267"/>
      <c r="K176" s="11" t="s">
        <v>555</v>
      </c>
      <c r="AC176" s="496" t="s">
        <v>1403</v>
      </c>
      <c r="AD176" s="496" t="s">
        <v>1404</v>
      </c>
      <c r="AE176" s="496" t="s">
        <v>1405</v>
      </c>
      <c r="AF176" s="496" t="s">
        <v>1406</v>
      </c>
      <c r="AG176" s="496" t="s">
        <v>1407</v>
      </c>
      <c r="AH176" s="496" t="s">
        <v>1408</v>
      </c>
      <c r="AJ176" s="367" t="str">
        <f t="shared" si="14"/>
        <v>CCH_H1_5_195</v>
      </c>
    </row>
    <row r="177" spans="8:36" x14ac:dyDescent="0.3">
      <c r="H177" s="19"/>
      <c r="I177" s="268"/>
      <c r="J177" s="267"/>
      <c r="K177" s="11" t="s">
        <v>555</v>
      </c>
      <c r="AC177" s="496" t="s">
        <v>1409</v>
      </c>
      <c r="AD177" s="496" t="s">
        <v>1410</v>
      </c>
      <c r="AE177" s="496" t="s">
        <v>1411</v>
      </c>
      <c r="AF177" s="496" t="s">
        <v>1412</v>
      </c>
      <c r="AG177" s="496" t="s">
        <v>1413</v>
      </c>
      <c r="AH177" s="496" t="s">
        <v>1414</v>
      </c>
      <c r="AJ177" s="367" t="str">
        <f t="shared" si="14"/>
        <v>CCH_H1_5_196</v>
      </c>
    </row>
    <row r="178" spans="8:36" x14ac:dyDescent="0.3">
      <c r="H178" s="19"/>
      <c r="I178" s="268"/>
      <c r="J178" s="267"/>
      <c r="K178" s="11" t="s">
        <v>555</v>
      </c>
      <c r="AC178" s="496"/>
      <c r="AD178" s="496"/>
      <c r="AE178" s="496"/>
      <c r="AF178" s="496"/>
      <c r="AG178" s="496"/>
      <c r="AH178" s="496"/>
      <c r="AJ178" s="367"/>
    </row>
    <row r="179" spans="8:36" x14ac:dyDescent="0.3">
      <c r="H179" s="19"/>
      <c r="I179" s="268"/>
      <c r="J179" s="267"/>
      <c r="K179" s="11" t="s">
        <v>555</v>
      </c>
      <c r="AC179" s="496"/>
      <c r="AD179" s="496"/>
      <c r="AE179" s="496"/>
      <c r="AF179" s="496"/>
      <c r="AG179" s="496"/>
      <c r="AH179" s="496"/>
      <c r="AJ179" s="367"/>
    </row>
    <row r="180" spans="8:36" x14ac:dyDescent="0.3">
      <c r="H180" s="19"/>
      <c r="I180" s="268"/>
      <c r="J180" s="267"/>
      <c r="K180" s="11" t="s">
        <v>555</v>
      </c>
      <c r="AC180" s="496"/>
      <c r="AD180" s="496"/>
      <c r="AE180" s="496"/>
      <c r="AF180" s="496"/>
      <c r="AG180" s="496"/>
      <c r="AH180" s="496"/>
      <c r="AJ180" s="367"/>
    </row>
    <row r="181" spans="8:36" x14ac:dyDescent="0.3">
      <c r="H181" s="19"/>
      <c r="I181" s="268"/>
      <c r="J181" s="267"/>
      <c r="K181" s="11" t="s">
        <v>555</v>
      </c>
      <c r="AC181" s="496"/>
      <c r="AD181" s="496"/>
      <c r="AE181" s="496"/>
      <c r="AF181" s="496"/>
      <c r="AG181" s="496"/>
      <c r="AH181" s="496"/>
      <c r="AJ181" s="367"/>
    </row>
    <row r="182" spans="8:36" x14ac:dyDescent="0.3">
      <c r="H182" s="19"/>
      <c r="I182" s="268"/>
      <c r="J182" s="267"/>
      <c r="K182" s="11" t="s">
        <v>555</v>
      </c>
      <c r="AC182" s="496"/>
      <c r="AD182" s="496"/>
      <c r="AE182" s="496"/>
      <c r="AF182" s="496"/>
      <c r="AG182" s="496"/>
      <c r="AH182" s="496"/>
      <c r="AJ182" s="367"/>
    </row>
    <row r="183" spans="8:36" x14ac:dyDescent="0.3">
      <c r="H183" s="19"/>
      <c r="I183" s="268"/>
      <c r="J183" s="267"/>
      <c r="K183" s="11" t="s">
        <v>555</v>
      </c>
      <c r="AC183" s="496"/>
      <c r="AD183" s="496"/>
      <c r="AE183" s="496"/>
      <c r="AF183" s="496"/>
      <c r="AG183" s="496"/>
      <c r="AH183" s="496"/>
      <c r="AJ183" s="367"/>
    </row>
    <row r="184" spans="8:36" x14ac:dyDescent="0.3">
      <c r="H184" s="19"/>
      <c r="I184" s="268"/>
      <c r="J184" s="267"/>
      <c r="K184" s="11" t="s">
        <v>555</v>
      </c>
      <c r="AC184" s="496"/>
      <c r="AD184" s="496"/>
      <c r="AE184" s="496"/>
      <c r="AF184" s="496"/>
      <c r="AG184" s="496"/>
      <c r="AH184" s="496"/>
      <c r="AJ184" s="367"/>
    </row>
    <row r="185" spans="8:36" x14ac:dyDescent="0.3">
      <c r="H185" s="19"/>
      <c r="I185" s="268"/>
      <c r="J185" s="267"/>
      <c r="K185" s="11" t="s">
        <v>555</v>
      </c>
      <c r="AC185" s="496"/>
      <c r="AD185" s="496"/>
      <c r="AE185" s="496"/>
      <c r="AF185" s="496"/>
      <c r="AG185" s="496"/>
      <c r="AH185" s="496"/>
      <c r="AJ185" s="367"/>
    </row>
    <row r="186" spans="8:36" x14ac:dyDescent="0.3">
      <c r="H186" s="19"/>
      <c r="I186" s="268"/>
      <c r="J186" s="267"/>
      <c r="K186" s="11" t="s">
        <v>555</v>
      </c>
      <c r="AC186" s="496"/>
      <c r="AD186" s="496"/>
      <c r="AE186" s="496"/>
      <c r="AF186" s="496"/>
      <c r="AG186" s="496"/>
      <c r="AH186" s="496"/>
      <c r="AJ186" s="367"/>
    </row>
    <row r="187" spans="8:36" x14ac:dyDescent="0.3">
      <c r="H187" s="19"/>
      <c r="I187" s="268"/>
      <c r="J187" s="267"/>
      <c r="K187" s="11" t="s">
        <v>555</v>
      </c>
      <c r="AC187" s="496"/>
      <c r="AD187" s="496"/>
      <c r="AE187" s="496"/>
      <c r="AF187" s="496"/>
      <c r="AG187" s="496"/>
      <c r="AH187" s="496"/>
      <c r="AJ187" s="367"/>
    </row>
    <row r="188" spans="8:36" x14ac:dyDescent="0.3">
      <c r="H188" s="19"/>
      <c r="I188" s="268"/>
      <c r="J188" s="267"/>
      <c r="K188" s="11" t="s">
        <v>555</v>
      </c>
      <c r="AC188" s="496"/>
      <c r="AD188" s="496"/>
      <c r="AE188" s="496"/>
      <c r="AF188" s="496"/>
      <c r="AG188" s="496"/>
      <c r="AH188" s="496"/>
      <c r="AJ188" s="367"/>
    </row>
    <row r="189" spans="8:36" x14ac:dyDescent="0.3">
      <c r="H189" s="19"/>
      <c r="I189" s="268"/>
      <c r="J189" s="267"/>
      <c r="K189" s="11" t="s">
        <v>555</v>
      </c>
      <c r="AC189" s="496"/>
      <c r="AD189" s="496"/>
      <c r="AE189" s="496"/>
      <c r="AF189" s="496"/>
      <c r="AG189" s="496"/>
      <c r="AH189" s="496"/>
      <c r="AJ189" s="367"/>
    </row>
    <row r="190" spans="8:36" x14ac:dyDescent="0.3">
      <c r="H190" s="19"/>
      <c r="I190" s="268"/>
      <c r="J190" s="267"/>
      <c r="K190" s="11" t="s">
        <v>555</v>
      </c>
      <c r="AC190" s="496"/>
      <c r="AD190" s="496"/>
      <c r="AE190" s="496"/>
      <c r="AF190" s="496"/>
      <c r="AG190" s="496"/>
      <c r="AH190" s="496"/>
      <c r="AJ190" s="367"/>
    </row>
    <row r="191" spans="8:36" x14ac:dyDescent="0.3">
      <c r="H191" s="19"/>
      <c r="I191" s="268"/>
      <c r="J191" s="267"/>
      <c r="K191" s="11" t="s">
        <v>555</v>
      </c>
      <c r="AC191" s="496"/>
      <c r="AD191" s="496"/>
      <c r="AE191" s="496"/>
      <c r="AF191" s="496"/>
      <c r="AG191" s="496"/>
      <c r="AH191" s="496"/>
      <c r="AJ191" s="367"/>
    </row>
    <row r="192" spans="8:36" x14ac:dyDescent="0.3">
      <c r="H192" s="19"/>
      <c r="I192" s="268"/>
      <c r="J192" s="267"/>
      <c r="K192" s="11" t="s">
        <v>555</v>
      </c>
      <c r="AC192" s="496"/>
      <c r="AD192" s="496"/>
      <c r="AE192" s="496"/>
      <c r="AF192" s="496"/>
      <c r="AG192" s="496"/>
      <c r="AH192" s="496"/>
      <c r="AJ192" s="367"/>
    </row>
    <row r="193" spans="8:36" x14ac:dyDescent="0.3">
      <c r="H193" s="19"/>
      <c r="I193" s="268"/>
      <c r="J193" s="267"/>
      <c r="K193" s="11" t="s">
        <v>555</v>
      </c>
      <c r="AC193" s="496"/>
      <c r="AD193" s="496"/>
      <c r="AE193" s="496"/>
      <c r="AF193" s="496"/>
      <c r="AG193" s="496"/>
      <c r="AH193" s="496"/>
      <c r="AJ193" s="367"/>
    </row>
    <row r="194" spans="8:36" x14ac:dyDescent="0.3">
      <c r="H194" s="19"/>
      <c r="I194" s="268"/>
      <c r="J194" s="267"/>
      <c r="K194" s="11" t="s">
        <v>555</v>
      </c>
      <c r="AC194" s="496"/>
      <c r="AD194" s="496"/>
      <c r="AE194" s="496"/>
      <c r="AF194" s="496"/>
      <c r="AG194" s="496"/>
      <c r="AH194" s="496"/>
      <c r="AJ194" s="367"/>
    </row>
    <row r="195" spans="8:36" x14ac:dyDescent="0.3">
      <c r="H195" s="19"/>
      <c r="I195" s="268"/>
      <c r="J195" s="267"/>
      <c r="K195" s="11" t="s">
        <v>555</v>
      </c>
      <c r="AC195" s="496"/>
      <c r="AD195" s="496"/>
      <c r="AE195" s="496"/>
      <c r="AF195" s="496"/>
      <c r="AG195" s="496"/>
      <c r="AH195" s="496"/>
      <c r="AJ195" s="367"/>
    </row>
    <row r="196" spans="8:36" x14ac:dyDescent="0.3">
      <c r="H196" s="19"/>
      <c r="I196" s="268"/>
      <c r="J196" s="267"/>
      <c r="K196" s="11" t="s">
        <v>555</v>
      </c>
      <c r="AC196" s="496"/>
      <c r="AD196" s="496"/>
      <c r="AE196" s="496"/>
      <c r="AF196" s="496"/>
      <c r="AG196" s="496"/>
      <c r="AH196" s="496"/>
      <c r="AJ196" s="367"/>
    </row>
    <row r="197" spans="8:36" x14ac:dyDescent="0.3">
      <c r="H197" s="19"/>
      <c r="I197" s="268"/>
      <c r="J197" s="267"/>
      <c r="K197" s="11" t="s">
        <v>555</v>
      </c>
      <c r="AC197" s="496"/>
      <c r="AD197" s="496"/>
      <c r="AE197" s="496"/>
      <c r="AF197" s="496"/>
      <c r="AG197" s="496"/>
      <c r="AH197" s="496"/>
      <c r="AJ197" s="367"/>
    </row>
    <row r="198" spans="8:36" x14ac:dyDescent="0.3">
      <c r="H198" s="19"/>
      <c r="I198" s="268"/>
      <c r="J198" s="267"/>
      <c r="K198" s="11" t="s">
        <v>555</v>
      </c>
      <c r="AC198" s="496"/>
      <c r="AD198" s="496"/>
      <c r="AE198" s="496"/>
      <c r="AF198" s="496"/>
      <c r="AG198" s="496"/>
      <c r="AH198" s="496"/>
      <c r="AJ198" s="367"/>
    </row>
    <row r="199" spans="8:36" x14ac:dyDescent="0.3">
      <c r="H199" s="19"/>
      <c r="I199" s="268"/>
      <c r="J199" s="267"/>
      <c r="K199" s="11" t="s">
        <v>555</v>
      </c>
      <c r="AC199" s="496"/>
      <c r="AD199" s="496"/>
      <c r="AE199" s="496"/>
      <c r="AF199" s="496"/>
      <c r="AG199" s="496"/>
      <c r="AH199" s="496"/>
      <c r="AJ199" s="367"/>
    </row>
    <row r="200" spans="8:36" x14ac:dyDescent="0.3">
      <c r="AC200" s="496"/>
      <c r="AD200" s="496"/>
      <c r="AE200" s="496"/>
      <c r="AF200" s="496"/>
      <c r="AG200" s="496"/>
      <c r="AH200" s="496"/>
      <c r="AJ200" s="367"/>
    </row>
    <row r="201" spans="8:36" x14ac:dyDescent="0.3">
      <c r="AC201" s="496"/>
      <c r="AD201" s="496"/>
      <c r="AE201" s="496"/>
      <c r="AF201" s="496"/>
      <c r="AG201" s="496"/>
      <c r="AH201" s="496"/>
      <c r="AJ201" s="367"/>
    </row>
    <row r="202" spans="8:36" x14ac:dyDescent="0.3">
      <c r="AC202" s="496"/>
      <c r="AD202" s="496"/>
      <c r="AE202" s="496"/>
      <c r="AF202" s="496"/>
      <c r="AG202" s="496"/>
      <c r="AH202" s="496"/>
      <c r="AJ202" s="367"/>
    </row>
    <row r="203" spans="8:36" x14ac:dyDescent="0.3">
      <c r="AC203" s="496"/>
      <c r="AD203" s="496"/>
      <c r="AE203" s="496"/>
      <c r="AF203" s="496"/>
      <c r="AG203" s="496"/>
      <c r="AH203" s="496"/>
      <c r="AJ203" s="367"/>
    </row>
    <row r="204" spans="8:36" x14ac:dyDescent="0.3">
      <c r="AC204" s="496"/>
      <c r="AD204" s="496"/>
      <c r="AE204" s="496"/>
      <c r="AF204" s="496"/>
      <c r="AG204" s="496"/>
      <c r="AH204" s="496"/>
      <c r="AJ204" s="367"/>
    </row>
    <row r="205" spans="8:36" x14ac:dyDescent="0.3">
      <c r="AC205" s="496"/>
      <c r="AD205" s="496"/>
      <c r="AE205" s="496"/>
      <c r="AF205" s="496"/>
      <c r="AG205" s="496"/>
      <c r="AH205" s="496"/>
      <c r="AJ205" s="367"/>
    </row>
    <row r="206" spans="8:36" x14ac:dyDescent="0.3">
      <c r="AC206" s="496"/>
      <c r="AD206" s="496"/>
      <c r="AE206" s="496"/>
      <c r="AF206" s="496"/>
      <c r="AG206" s="496"/>
      <c r="AH206" s="496"/>
      <c r="AJ206" s="367"/>
    </row>
    <row r="207" spans="8:36" x14ac:dyDescent="0.3">
      <c r="AC207" s="496"/>
      <c r="AD207" s="496"/>
      <c r="AE207" s="496"/>
      <c r="AF207" s="496"/>
      <c r="AG207" s="496"/>
      <c r="AH207" s="496"/>
      <c r="AJ207" s="367"/>
    </row>
  </sheetData>
  <sheetProtection selectLockedCells="1" selectUnlockedCells="1"/>
  <sortState xmlns:xlrd2="http://schemas.microsoft.com/office/spreadsheetml/2017/richdata2" ref="AC4:AH105">
    <sortCondition ref="AC4:AC105"/>
  </sortState>
  <customSheetViews>
    <customSheetView guid="{14CC7D48-F74C-409C-986F-C21E8F9D3A08}" scale="85" showGridLines="0" state="hidden">
      <selection activeCell="M14" sqref="M14"/>
      <pageMargins left="0" right="0" top="0" bottom="0" header="0" footer="0"/>
      <pageSetup paperSize="9" orientation="portrait" r:id="rId1"/>
    </customSheetView>
  </customSheetViews>
  <mergeCells count="5">
    <mergeCell ref="U25:X25"/>
    <mergeCell ref="U26:X26"/>
    <mergeCell ref="L38:M38"/>
    <mergeCell ref="L39:M39"/>
    <mergeCell ref="AJ2:AK2"/>
  </mergeCells>
  <phoneticPr fontId="80" type="noConversion"/>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78987-8EC1-472C-A7EE-BF3402A190B9}">
  <sheetPr codeName="Sheet18"/>
  <dimension ref="A1:F23"/>
  <sheetViews>
    <sheetView workbookViewId="0">
      <selection activeCell="F4" sqref="F4"/>
    </sheetView>
  </sheetViews>
  <sheetFormatPr defaultRowHeight="14.4" x14ac:dyDescent="0.3"/>
  <cols>
    <col min="1" max="1" width="15.77734375" bestFit="1" customWidth="1"/>
    <col min="2" max="2" width="17" style="291" bestFit="1" customWidth="1"/>
    <col min="5" max="5" width="35" bestFit="1" customWidth="1"/>
  </cols>
  <sheetData>
    <row r="1" spans="1:6" x14ac:dyDescent="0.3">
      <c r="A1" t="s">
        <v>1142</v>
      </c>
      <c r="B1" s="291" t="s">
        <v>1143</v>
      </c>
      <c r="E1" t="str">
        <f ca="1">_xlfn.CONCAT("Research Costing and Pricing tool v",VLOOKUP(TODAY(),Version_History[#All],2,TRUE))</f>
        <v>Research Costing and Pricing tool v4.3</v>
      </c>
    </row>
    <row r="2" spans="1:6" x14ac:dyDescent="0.3">
      <c r="A2" s="279">
        <v>44054</v>
      </c>
      <c r="B2" s="291" t="s">
        <v>1144</v>
      </c>
    </row>
    <row r="3" spans="1:6" x14ac:dyDescent="0.3">
      <c r="A3" s="279">
        <v>44057</v>
      </c>
      <c r="B3" s="291" t="s">
        <v>1145</v>
      </c>
    </row>
    <row r="4" spans="1:6" x14ac:dyDescent="0.3">
      <c r="A4" s="279"/>
      <c r="B4" s="291" t="s">
        <v>1146</v>
      </c>
      <c r="F4" s="113" t="s">
        <v>1147</v>
      </c>
    </row>
    <row r="5" spans="1:6" x14ac:dyDescent="0.3">
      <c r="A5" s="279">
        <v>44088</v>
      </c>
      <c r="B5" s="291" t="s">
        <v>1148</v>
      </c>
    </row>
    <row r="6" spans="1:6" x14ac:dyDescent="0.3">
      <c r="A6" s="279">
        <v>44139</v>
      </c>
      <c r="B6" s="291" t="s">
        <v>1149</v>
      </c>
    </row>
    <row r="7" spans="1:6" x14ac:dyDescent="0.3">
      <c r="A7" s="279">
        <v>44179</v>
      </c>
      <c r="B7" s="291" t="s">
        <v>1150</v>
      </c>
    </row>
    <row r="8" spans="1:6" x14ac:dyDescent="0.3">
      <c r="A8" s="279">
        <v>44278</v>
      </c>
      <c r="B8" s="291" t="s">
        <v>1151</v>
      </c>
    </row>
    <row r="9" spans="1:6" x14ac:dyDescent="0.3">
      <c r="A9" s="279">
        <v>44393</v>
      </c>
      <c r="B9" s="291" t="s">
        <v>1152</v>
      </c>
    </row>
    <row r="10" spans="1:6" x14ac:dyDescent="0.3">
      <c r="A10" s="279">
        <v>44525</v>
      </c>
      <c r="B10" s="291" t="s">
        <v>1153</v>
      </c>
    </row>
    <row r="11" spans="1:6" x14ac:dyDescent="0.3">
      <c r="A11" s="279">
        <v>44538</v>
      </c>
      <c r="B11" s="291" t="s">
        <v>1154</v>
      </c>
    </row>
    <row r="12" spans="1:6" x14ac:dyDescent="0.3">
      <c r="A12" s="279">
        <v>44596</v>
      </c>
      <c r="B12" s="291" t="s">
        <v>1155</v>
      </c>
    </row>
    <row r="13" spans="1:6" x14ac:dyDescent="0.3">
      <c r="A13" s="279">
        <v>44637</v>
      </c>
      <c r="B13" s="291" t="s">
        <v>1156</v>
      </c>
    </row>
    <row r="14" spans="1:6" x14ac:dyDescent="0.3">
      <c r="A14" s="279">
        <v>44680</v>
      </c>
      <c r="B14" s="291" t="s">
        <v>1157</v>
      </c>
    </row>
    <row r="15" spans="1:6" x14ac:dyDescent="0.3">
      <c r="A15" s="279">
        <v>44705</v>
      </c>
      <c r="B15" s="291" t="s">
        <v>1158</v>
      </c>
    </row>
    <row r="16" spans="1:6" x14ac:dyDescent="0.3">
      <c r="A16" s="279">
        <v>45044</v>
      </c>
      <c r="B16" s="291" t="s">
        <v>1159</v>
      </c>
    </row>
    <row r="17" spans="1:2" x14ac:dyDescent="0.3">
      <c r="A17" s="279">
        <v>45054</v>
      </c>
      <c r="B17" s="291" t="s">
        <v>1160</v>
      </c>
    </row>
    <row r="18" spans="1:2" x14ac:dyDescent="0.3">
      <c r="A18" s="279">
        <v>45268</v>
      </c>
      <c r="B18" s="291" t="s">
        <v>1161</v>
      </c>
    </row>
    <row r="19" spans="1:2" x14ac:dyDescent="0.3">
      <c r="A19" s="279">
        <v>45541</v>
      </c>
      <c r="B19" s="291" t="s">
        <v>1162</v>
      </c>
    </row>
    <row r="20" spans="1:2" x14ac:dyDescent="0.3">
      <c r="A20" s="279">
        <v>45751</v>
      </c>
      <c r="B20" s="291" t="s">
        <v>1165</v>
      </c>
    </row>
    <row r="21" spans="1:2" x14ac:dyDescent="0.3">
      <c r="A21" s="279">
        <v>45807</v>
      </c>
      <c r="B21" s="291" t="s">
        <v>1419</v>
      </c>
    </row>
    <row r="22" spans="1:2" x14ac:dyDescent="0.3">
      <c r="A22" s="279">
        <v>45835</v>
      </c>
      <c r="B22" s="291" t="s">
        <v>1422</v>
      </c>
    </row>
    <row r="23" spans="1:2" x14ac:dyDescent="0.3">
      <c r="A23" s="279">
        <v>45849</v>
      </c>
      <c r="B23" s="291" t="s">
        <v>1423</v>
      </c>
    </row>
  </sheetData>
  <hyperlinks>
    <hyperlink ref="F4" location="'PART A Project Details'!A1" display="Go back" xr:uid="{E224C264-B917-4904-BCF7-1A2FB584EFDB}"/>
  </hyperlinks>
  <pageMargins left="0.7" right="0.7" top="0.75" bottom="0.75" header="0.3" footer="0.3"/>
  <pageSetup orientation="portrait" horizontalDpi="1200" verticalDpi="12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ED5972552F7044A47F3B06BCD5D90D" ma:contentTypeVersion="14" ma:contentTypeDescription="Create a new document." ma:contentTypeScope="" ma:versionID="63e216e3851d4ae1e23ecbb490286861">
  <xsd:schema xmlns:xsd="http://www.w3.org/2001/XMLSchema" xmlns:xs="http://www.w3.org/2001/XMLSchema" xmlns:p="http://schemas.microsoft.com/office/2006/metadata/properties" xmlns:ns2="d63a1784-3b97-4083-be2a-91f9f85d2347" xmlns:ns3="9471a790-e1bd-4c02-aed4-0dfb18cac8b2" targetNamespace="http://schemas.microsoft.com/office/2006/metadata/properties" ma:root="true" ma:fieldsID="ad8085c9b03ed9d86f9787d84ffaf6cc" ns2:_="" ns3:_="">
    <xsd:import namespace="d63a1784-3b97-4083-be2a-91f9f85d2347"/>
    <xsd:import namespace="9471a790-e1bd-4c02-aed4-0dfb18cac8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3a1784-3b97-4083-be2a-91f9f85d23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471a790-e1bd-4c02-aed4-0dfb18cac8b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471a790-e1bd-4c02-aed4-0dfb18cac8b2">
      <UserInfo>
        <DisplayName>Research Budget Calculator Revamp Members</DisplayName>
        <AccountId>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ED76024E-FEFD-421C-9ACD-5AB82D90C7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3a1784-3b97-4083-be2a-91f9f85d2347"/>
    <ds:schemaRef ds:uri="9471a790-e1bd-4c02-aed4-0dfb18cac8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AF6044-D14E-4751-8B86-197201B55780}">
  <ds:schemaRefs>
    <ds:schemaRef ds:uri="http://schemas.microsoft.com/office/2006/documentManagement/types"/>
    <ds:schemaRef ds:uri="http://purl.org/dc/terms/"/>
    <ds:schemaRef ds:uri="d63a1784-3b97-4083-be2a-91f9f85d2347"/>
    <ds:schemaRef ds:uri="http://schemas.microsoft.com/office/2006/metadata/properties"/>
    <ds:schemaRef ds:uri="9471a790-e1bd-4c02-aed4-0dfb18cac8b2"/>
    <ds:schemaRef ds:uri="http://www.w3.org/XML/1998/namespace"/>
    <ds:schemaRef ds:uri="http://purl.org/dc/elements/1.1/"/>
    <ds:schemaRef ds:uri="http://schemas.microsoft.com/office/infopath/2007/PartnerControl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AE923E68-7BCE-464D-BD76-A4FE77E46286}">
  <ds:schemaRefs>
    <ds:schemaRef ds:uri="http://schemas.microsoft.com/sharepoint/v3/contenttype/forms"/>
  </ds:schemaRefs>
</ds:datastoreItem>
</file>

<file path=customXml/itemProps4.xml><?xml version="1.0" encoding="utf-8"?>
<ds:datastoreItem xmlns:ds="http://schemas.openxmlformats.org/officeDocument/2006/customXml" ds:itemID="{18CA9803-7288-4D5B-A6F6-EF8FAD2D61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242</vt:i4>
      </vt:variant>
    </vt:vector>
  </HeadingPairs>
  <TitlesOfParts>
    <vt:vector size="260" baseType="lpstr">
      <vt:lpstr>PART A Project Details</vt:lpstr>
      <vt:lpstr>PART B Staff Costs</vt:lpstr>
      <vt:lpstr>PART C Non-Staff Costs</vt:lpstr>
      <vt:lpstr>Summary of Price</vt:lpstr>
      <vt:lpstr>Budget Form</vt:lpstr>
      <vt:lpstr>On cost calculator</vt:lpstr>
      <vt:lpstr>TR1F</vt:lpstr>
      <vt:lpstr>Indicative offer letter</vt:lpstr>
      <vt:lpstr>Research Office Use - WD Budget</vt:lpstr>
      <vt:lpstr>EIB Staging</vt:lpstr>
      <vt:lpstr>EIB - Import Budget High Volume</vt:lpstr>
      <vt:lpstr>EIB - Budget Lines</vt:lpstr>
      <vt:lpstr>WorkDayEIB - Budget Lines</vt:lpstr>
      <vt:lpstr>Budget Form - AUD amounts</vt:lpstr>
      <vt:lpstr>Currency Rates</vt:lpstr>
      <vt:lpstr>Lookup Tables</vt:lpstr>
      <vt:lpstr>MASTER Lookup Tables</vt:lpstr>
      <vt:lpstr>Version History</vt:lpstr>
      <vt:lpstr>'Lookup Tables'!_FilterDatabase</vt:lpstr>
      <vt:lpstr>'Indicative offer letter'!_Hlk43805235</vt:lpstr>
      <vt:lpstr>'MASTER Lookup Tables'!_mFilterDatabase</vt:lpstr>
      <vt:lpstr>'PART C Non-Staff Costs'!a_contingency</vt:lpstr>
      <vt:lpstr>a_contingency</vt:lpstr>
      <vt:lpstr>a_nonstaff_costs</vt:lpstr>
      <vt:lpstr>'PART C Non-Staff Costs'!a_nonstaffcosts</vt:lpstr>
      <vt:lpstr>'PART C Non-Staff Costs'!a_supplies</vt:lpstr>
      <vt:lpstr>Advertising_and_marketing</vt:lpstr>
      <vt:lpstr>bf_activity</vt:lpstr>
      <vt:lpstr>bf_agreement_admin</vt:lpstr>
      <vt:lpstr>bf_chief_inv</vt:lpstr>
      <vt:lpstr>bf_company</vt:lpstr>
      <vt:lpstr>bf_cost_centre</vt:lpstr>
      <vt:lpstr>bf_department</vt:lpstr>
      <vt:lpstr>bf_end_year</vt:lpstr>
      <vt:lpstr>bf_external_party</vt:lpstr>
      <vt:lpstr>bf_location</vt:lpstr>
      <vt:lpstr>bf_lpc</vt:lpstr>
      <vt:lpstr>bf_project</vt:lpstr>
      <vt:lpstr>bf_project_details</vt:lpstr>
      <vt:lpstr>Chk_CI_Costs</vt:lpstr>
      <vt:lpstr>chk_indirect_nonstaff_Costs</vt:lpstr>
      <vt:lpstr>chk_no_cost_rec</vt:lpstr>
      <vt:lpstr>'Summary of Price'!chk_oncosts</vt:lpstr>
      <vt:lpstr>chk_override_mult</vt:lpstr>
      <vt:lpstr>chk_xrate</vt:lpstr>
      <vt:lpstr>Ci_Cost_Centre</vt:lpstr>
      <vt:lpstr>CI_Costs_Confirmation</vt:lpstr>
      <vt:lpstr>CI_email</vt:lpstr>
      <vt:lpstr>CI_Justification</vt:lpstr>
      <vt:lpstr>Ci_percentage</vt:lpstr>
      <vt:lpstr>CI_phone</vt:lpstr>
      <vt:lpstr>CI_question</vt:lpstr>
      <vt:lpstr>CI_Title</vt:lpstr>
      <vt:lpstr>Consumable_goods_and_supplies</vt:lpstr>
      <vt:lpstr>currency_Check</vt:lpstr>
      <vt:lpstr>d_currency_refresh</vt:lpstr>
      <vt:lpstr>d_project_year_count</vt:lpstr>
      <vt:lpstr>dActivity</vt:lpstr>
      <vt:lpstr>Data_Management</vt:lpstr>
      <vt:lpstr>dCasAcaClass</vt:lpstr>
      <vt:lpstr>dCasProClass</vt:lpstr>
      <vt:lpstr>dCasTime</vt:lpstr>
      <vt:lpstr>dcost_multi_msg</vt:lpstr>
      <vt:lpstr>dCurrency</vt:lpstr>
      <vt:lpstr>dCurrencyRates</vt:lpstr>
      <vt:lpstr>dDeliverableType</vt:lpstr>
      <vt:lpstr>dean_approval_message</vt:lpstr>
      <vt:lpstr>default_xrate</vt:lpstr>
      <vt:lpstr>Dept_percentage</vt:lpstr>
      <vt:lpstr>dExternalParty</vt:lpstr>
      <vt:lpstr>dFortAcaClass</vt:lpstr>
      <vt:lpstr>dFortProClass</vt:lpstr>
      <vt:lpstr>dFortTime</vt:lpstr>
      <vt:lpstr>dfullrecovery</vt:lpstr>
      <vt:lpstr>dLocation</vt:lpstr>
      <vt:lpstr>dMonth</vt:lpstr>
      <vt:lpstr>dResearchType</vt:lpstr>
      <vt:lpstr>dYear</vt:lpstr>
      <vt:lpstr>eib_costcentre</vt:lpstr>
      <vt:lpstr>'Research Office Use - WD Budget'!eib_ext_party</vt:lpstr>
      <vt:lpstr>eib_ext_party</vt:lpstr>
      <vt:lpstr>eib_month_concat</vt:lpstr>
      <vt:lpstr>eib_other_ext_party_category</vt:lpstr>
      <vt:lpstr>eib_other_party_name</vt:lpstr>
      <vt:lpstr>eib_salary_aft_end_month</vt:lpstr>
      <vt:lpstr>eib_salary_aft_end_row</vt:lpstr>
      <vt:lpstr>eib_salary_aft_end_year</vt:lpstr>
      <vt:lpstr>eib_salary_aft_start_mon</vt:lpstr>
      <vt:lpstr>eib_salary_aft_start_row</vt:lpstr>
      <vt:lpstr>eib_salary_aft_start_year</vt:lpstr>
      <vt:lpstr>End_Month</vt:lpstr>
      <vt:lpstr>Equipment_and_maintenance_and_utilities</vt:lpstr>
      <vt:lpstr>Expert_services_and_consultants_and_contractors</vt:lpstr>
      <vt:lpstr>'Currency Rates'!ExternalData_10</vt:lpstr>
      <vt:lpstr>'Currency Rates'!ExternalData_11</vt:lpstr>
      <vt:lpstr>'Currency Rates'!ExternalData_12</vt:lpstr>
      <vt:lpstr>'Currency Rates'!ExternalData_13</vt:lpstr>
      <vt:lpstr>'Currency Rates'!ExternalData_14</vt:lpstr>
      <vt:lpstr>'Currency Rates'!ExternalData_15</vt:lpstr>
      <vt:lpstr>'Currency Rates'!ExternalData_16</vt:lpstr>
      <vt:lpstr>'Currency Rates'!ExternalData_17</vt:lpstr>
      <vt:lpstr>'Currency Rates'!ExternalData_18</vt:lpstr>
      <vt:lpstr>'Currency Rates'!ExternalData_3</vt:lpstr>
      <vt:lpstr>'Currency Rates'!ExternalData_4</vt:lpstr>
      <vt:lpstr>'Currency Rates'!ExternalData_5</vt:lpstr>
      <vt:lpstr>'Currency Rates'!ExternalData_6</vt:lpstr>
      <vt:lpstr>'Currency Rates'!ExternalData_7</vt:lpstr>
      <vt:lpstr>'Currency Rates'!ExternalData_8</vt:lpstr>
      <vt:lpstr>'Currency Rates'!ExternalData_9</vt:lpstr>
      <vt:lpstr>Faculty_percentage</vt:lpstr>
      <vt:lpstr>First_year_fraction</vt:lpstr>
      <vt:lpstr>full_tool_name_and_current_version</vt:lpstr>
      <vt:lpstr>Funder_contact_name</vt:lpstr>
      <vt:lpstr>head_label</vt:lpstr>
      <vt:lpstr>hod_name</vt:lpstr>
      <vt:lpstr>hod_position</vt:lpstr>
      <vt:lpstr>justification</vt:lpstr>
      <vt:lpstr>justification_label</vt:lpstr>
      <vt:lpstr>justification_long</vt:lpstr>
      <vt:lpstr>Justification_Options</vt:lpstr>
      <vt:lpstr>Last_Year_Fraction</vt:lpstr>
      <vt:lpstr>lb_bform_gst_price_aud</vt:lpstr>
      <vt:lpstr>lb_bform_gst_price_foreign</vt:lpstr>
      <vt:lpstr>'Summary of Price'!lbl_price_inc_gst</vt:lpstr>
      <vt:lpstr>letter_date</vt:lpstr>
      <vt:lpstr>list_departments</vt:lpstr>
      <vt:lpstr>lookup_activity</vt:lpstr>
      <vt:lpstr>lookup_cost_recovery_multiplier</vt:lpstr>
      <vt:lpstr>lookup_currency</vt:lpstr>
      <vt:lpstr>lookup_Dept_List</vt:lpstr>
      <vt:lpstr>lookup_eba_increase</vt:lpstr>
      <vt:lpstr>lookup_locations</vt:lpstr>
      <vt:lpstr>lookup_oncost_percentages</vt:lpstr>
      <vt:lpstr>lookup_PG_stipend</vt:lpstr>
      <vt:lpstr>lookup_revenue_categories</vt:lpstr>
      <vt:lpstr>lookup_salary_multipliers</vt:lpstr>
      <vt:lpstr>lookup_salary_rates</vt:lpstr>
      <vt:lpstr>lookup_superannualtion</vt:lpstr>
      <vt:lpstr>lv_annual_leave</vt:lpstr>
      <vt:lpstr>lv_annual_leave_firstcell</vt:lpstr>
      <vt:lpstr>lv_Leave_Loading</vt:lpstr>
      <vt:lpstr>lv_Leave_Loading_firstcell</vt:lpstr>
      <vt:lpstr>lv_long_service</vt:lpstr>
      <vt:lpstr>lv_long_service_firstcell</vt:lpstr>
      <vt:lpstr>lv_master_oncosts_range</vt:lpstr>
      <vt:lpstr>lv_month</vt:lpstr>
      <vt:lpstr>lv_oncost_range_Start</vt:lpstr>
      <vt:lpstr>lv_parental_leave</vt:lpstr>
      <vt:lpstr>lv_parental_leave_firstcell</vt:lpstr>
      <vt:lpstr>lv_Payroll_Tax</vt:lpstr>
      <vt:lpstr>lv_Payroll_Tax_firstcell</vt:lpstr>
      <vt:lpstr>lv_super_table2</vt:lpstr>
      <vt:lpstr>lv_super_table2_firstcell</vt:lpstr>
      <vt:lpstr>lv_Superannuation</vt:lpstr>
      <vt:lpstr>lv_superannuation_firstcell</vt:lpstr>
      <vt:lpstr>lv_workcover</vt:lpstr>
      <vt:lpstr>lv_workcover_firstcell</vt:lpstr>
      <vt:lpstr>'MASTER Lookup Tables'!m_Z_14CC7D48_F74C_409C_986F_C21E8F9D3A08_.wvu.FilterData</vt:lpstr>
      <vt:lpstr>new_xrate</vt:lpstr>
      <vt:lpstr>Other_consumable_service</vt:lpstr>
      <vt:lpstr>Other_Cost_Centre</vt:lpstr>
      <vt:lpstr>Other_percentage</vt:lpstr>
      <vt:lpstr>Other_Project</vt:lpstr>
      <vt:lpstr>PART_F_Themis_Allocation_of_Indirect_Costs</vt:lpstr>
      <vt:lpstr>PartE_Comments</vt:lpstr>
      <vt:lpstr>pCRInKind</vt:lpstr>
      <vt:lpstr>pCRNonSalaries</vt:lpstr>
      <vt:lpstr>pCRSalaries</vt:lpstr>
      <vt:lpstr>pEndYear</vt:lpstr>
      <vt:lpstr>PhD_stipends</vt:lpstr>
      <vt:lpstr>pRateDate</vt:lpstr>
      <vt:lpstr>'Budget Form'!Print_Area</vt:lpstr>
      <vt:lpstr>'Indicative offer letter'!Print_Area</vt:lpstr>
      <vt:lpstr>'PART A Project Details'!Print_Area</vt:lpstr>
      <vt:lpstr>'PART B Staff Costs'!Print_Area</vt:lpstr>
      <vt:lpstr>'PART C Non-Staff Costs'!Print_Area</vt:lpstr>
      <vt:lpstr>'Summary of Price'!Print_Area</vt:lpstr>
      <vt:lpstr>TR1F!Print_Area</vt:lpstr>
      <vt:lpstr>'PART C Non-Staff Costs'!Print_Titles</vt:lpstr>
      <vt:lpstr>Project_title</vt:lpstr>
      <vt:lpstr>pStartYear</vt:lpstr>
      <vt:lpstr>research_type</vt:lpstr>
      <vt:lpstr>School_percentage</vt:lpstr>
      <vt:lpstr>Shared_grant_payments</vt:lpstr>
      <vt:lpstr>Start_Month</vt:lpstr>
      <vt:lpstr>Start_Year</vt:lpstr>
      <vt:lpstr>tb_cost_mult</vt:lpstr>
      <vt:lpstr>tb_currency_list</vt:lpstr>
      <vt:lpstr>tb_Org_Units</vt:lpstr>
      <vt:lpstr>tb_Other_Ext_party</vt:lpstr>
      <vt:lpstr>tb_xrate</vt:lpstr>
      <vt:lpstr>tbAccountString</vt:lpstr>
      <vt:lpstr>tbActivity</vt:lpstr>
      <vt:lpstr>tbAnnualLeaveProvision</vt:lpstr>
      <vt:lpstr>tbBudgetCurrency</vt:lpstr>
      <vt:lpstr>tbChiefInvestigator1</vt:lpstr>
      <vt:lpstr>tbCompany</vt:lpstr>
      <vt:lpstr>tbCostCentre</vt:lpstr>
      <vt:lpstr>tbDepartment</vt:lpstr>
      <vt:lpstr>tbExternalParty1</vt:lpstr>
      <vt:lpstr>tbLeaveLoading</vt:lpstr>
      <vt:lpstr>tbLocation</vt:lpstr>
      <vt:lpstr>tbLongServiceLeave</vt:lpstr>
      <vt:lpstr>tbParentalLeave</vt:lpstr>
      <vt:lpstr>tbPayrollTax</vt:lpstr>
      <vt:lpstr>tbPG_stipend_rate</vt:lpstr>
      <vt:lpstr>tbProjectTitle</vt:lpstr>
      <vt:lpstr>tbSuperannuation</vt:lpstr>
      <vt:lpstr>tbSuperannuation2026onwards</vt:lpstr>
      <vt:lpstr>tbWorkCover</vt:lpstr>
      <vt:lpstr>tcostmultiplier</vt:lpstr>
      <vt:lpstr>tEBA</vt:lpstr>
      <vt:lpstr>tOnCosts</vt:lpstr>
      <vt:lpstr>tOnCosts_NewEBA</vt:lpstr>
      <vt:lpstr>tool_name_and_version</vt:lpstr>
      <vt:lpstr>Travel_and_entertainment</vt:lpstr>
      <vt:lpstr>tSalaryMax</vt:lpstr>
      <vt:lpstr>tSalaryRate</vt:lpstr>
      <vt:lpstr>tSalaryRateMultiplier</vt:lpstr>
      <vt:lpstr>vl_academic_casual_cost</vt:lpstr>
      <vt:lpstr>vl_academic_cont_cost</vt:lpstr>
      <vt:lpstr>vl_academic_fixed_cost</vt:lpstr>
      <vt:lpstr>vl_budget_unit</vt:lpstr>
      <vt:lpstr>vl_cash_benefit_or_cost</vt:lpstr>
      <vt:lpstr>vl_contract_val_ex_gst</vt:lpstr>
      <vt:lpstr>vl_contract_val_inc_gst</vt:lpstr>
      <vt:lpstr>'PART C Non-Staff Costs'!vl_currency_rate_nonstaffcosts</vt:lpstr>
      <vt:lpstr>vl_end_mon_num</vt:lpstr>
      <vt:lpstr>vl_external_income_ledger_id</vt:lpstr>
      <vt:lpstr>vl_externally_funded_income_cat</vt:lpstr>
      <vt:lpstr>vl_full_project_cost</vt:lpstr>
      <vt:lpstr>vl_gst_flag</vt:lpstr>
      <vt:lpstr>vl_Max_Leave_Loading</vt:lpstr>
      <vt:lpstr>vl_MaxPayrollTax</vt:lpstr>
      <vt:lpstr>vl_min_allowed_multiplier</vt:lpstr>
      <vt:lpstr>vl_nonstaff_costs_category</vt:lpstr>
      <vt:lpstr>vl_nonstaff_costs_subcategory</vt:lpstr>
      <vt:lpstr>vl_nonstaff_indirect_cost</vt:lpstr>
      <vt:lpstr>vl_nonstaff_indirect_inkind_cost</vt:lpstr>
      <vt:lpstr>vl_other_ext_party_cats</vt:lpstr>
      <vt:lpstr>vl_overridden_uom_oncosts_per</vt:lpstr>
      <vt:lpstr>vl_PG_Stipend_bookmark</vt:lpstr>
      <vt:lpstr>vl_prof_casual_cost</vt:lpstr>
      <vt:lpstr>vl_prof_cont_cost</vt:lpstr>
      <vt:lpstr>vl_prof_fixed_cost</vt:lpstr>
      <vt:lpstr>vl_project_attribute_string</vt:lpstr>
      <vt:lpstr>vl_project_cost</vt:lpstr>
      <vt:lpstr>vl_start_mon_num</vt:lpstr>
      <vt:lpstr>vl_total_cash_contri</vt:lpstr>
      <vt:lpstr>vl_total_in_kind_contri</vt:lpstr>
      <vt:lpstr>vl_total_non_staff_costs</vt:lpstr>
      <vt:lpstr>vl_total_project_months</vt:lpstr>
      <vt:lpstr>vl_total_staff_costs</vt:lpstr>
      <vt:lpstr>vl_uni_position</vt:lpstr>
      <vt:lpstr>vl_working_days_per_year</vt:lpstr>
      <vt:lpstr>'Budget Form'!Z_14CC7D48_F74C_409C_986F_C21E8F9D3A08_.wvu.Cols</vt:lpstr>
      <vt:lpstr>'PART B Staff Costs'!Z_14CC7D48_F74C_409C_986F_C21E8F9D3A08_.wvu.Cols</vt:lpstr>
      <vt:lpstr>'PART C Non-Staff Costs'!Z_14CC7D48_F74C_409C_986F_C21E8F9D3A08_.wvu.Cols</vt:lpstr>
      <vt:lpstr>'Lookup Tables'!Z_14CC7D48_F74C_409C_986F_C21E8F9D3A08_.wvu.FilterData</vt:lpstr>
      <vt:lpstr>'PART B Staff Costs'!Z_14CC7D48_F74C_409C_986F_C21E8F9D3A08_.wvu.Rows</vt:lpstr>
    </vt:vector>
  </TitlesOfParts>
  <Manager/>
  <Company>The University of Melbourne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Roop Kanwal</dc:creator>
  <cp:keywords/>
  <dc:description/>
  <cp:lastModifiedBy>Roop Kanwal</cp:lastModifiedBy>
  <cp:revision/>
  <cp:lastPrinted>2025-04-07T07:04:14Z</cp:lastPrinted>
  <dcterms:created xsi:type="dcterms:W3CDTF">2015-12-16T01:24:23Z</dcterms:created>
  <dcterms:modified xsi:type="dcterms:W3CDTF">2025-08-15T07:31:35Z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0x01010032ED5972552F7044A47F3B06BCD5D90D</vt:lpwstr>
  </property>
</Properties>
</file>