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K27" i="1"/>
  <c r="Q36" i="1"/>
  <c r="Q35" i="1"/>
  <c r="Q34" i="1"/>
  <c r="Q33" i="1"/>
  <c r="O36" i="1"/>
  <c r="P36" i="1" s="1"/>
  <c r="O35" i="1"/>
  <c r="P35" i="1" s="1"/>
  <c r="O34" i="1"/>
  <c r="O33" i="1"/>
  <c r="P33" i="1"/>
  <c r="P34" i="1"/>
  <c r="M27" i="1"/>
  <c r="M26" i="1"/>
  <c r="O24" i="1"/>
  <c r="O22" i="1"/>
  <c r="G24" i="1"/>
  <c r="K26" i="1"/>
  <c r="D33" i="1"/>
  <c r="H26" i="1" l="1"/>
  <c r="K35" i="1"/>
  <c r="L35" i="1"/>
  <c r="M35" i="1"/>
  <c r="K36" i="1"/>
  <c r="L36" i="1"/>
  <c r="M36" i="1"/>
  <c r="K34" i="1"/>
  <c r="N34" i="1" s="1"/>
  <c r="L34" i="1"/>
  <c r="M34" i="1"/>
  <c r="I12" i="1"/>
  <c r="K9" i="1"/>
  <c r="R10" i="2"/>
  <c r="Q4" i="2"/>
  <c r="M18" i="2"/>
  <c r="L18" i="2"/>
  <c r="K18" i="2"/>
  <c r="J18" i="2"/>
  <c r="N18" i="2" s="1"/>
  <c r="M17" i="2"/>
  <c r="L17" i="2"/>
  <c r="K17" i="2"/>
  <c r="J17" i="2"/>
  <c r="N17" i="2" s="1"/>
  <c r="M16" i="2"/>
  <c r="L16" i="2"/>
  <c r="K16" i="2"/>
  <c r="J16" i="2"/>
  <c r="N16" i="2" s="1"/>
  <c r="M15" i="2"/>
  <c r="L15" i="2"/>
  <c r="K15" i="2"/>
  <c r="J15" i="2"/>
  <c r="N15" i="2" s="1"/>
  <c r="M14" i="2"/>
  <c r="L14" i="2"/>
  <c r="K14" i="2"/>
  <c r="J14" i="2"/>
  <c r="N14" i="2" s="1"/>
  <c r="E15" i="2"/>
  <c r="D15" i="2"/>
  <c r="C15" i="2"/>
  <c r="D14" i="2"/>
  <c r="G20" i="2"/>
  <c r="F20" i="2"/>
  <c r="E20" i="2"/>
  <c r="D20" i="2"/>
  <c r="C20" i="2"/>
  <c r="F19" i="2"/>
  <c r="E19" i="2"/>
  <c r="D19" i="2"/>
  <c r="C19" i="2"/>
  <c r="G19" i="2" s="1"/>
  <c r="F18" i="2"/>
  <c r="E18" i="2"/>
  <c r="D18" i="2"/>
  <c r="C18" i="2"/>
  <c r="G18" i="2" s="1"/>
  <c r="F17" i="2"/>
  <c r="E17" i="2"/>
  <c r="D17" i="2"/>
  <c r="C17" i="2"/>
  <c r="G17" i="2" s="1"/>
  <c r="F16" i="2"/>
  <c r="E16" i="2"/>
  <c r="D16" i="2"/>
  <c r="C16" i="2"/>
  <c r="G16" i="2" s="1"/>
  <c r="F15" i="2"/>
  <c r="G15" i="2"/>
  <c r="F14" i="2"/>
  <c r="E14" i="2"/>
  <c r="C14" i="2"/>
  <c r="G14" i="2" s="1"/>
  <c r="F10" i="1"/>
  <c r="G12" i="1"/>
  <c r="K12" i="1"/>
  <c r="E12" i="1"/>
  <c r="M12" i="1"/>
  <c r="C12" i="1"/>
  <c r="L9" i="2"/>
  <c r="J9" i="2"/>
  <c r="H9" i="2"/>
  <c r="F9" i="2"/>
  <c r="D9" i="2"/>
  <c r="B9" i="2"/>
  <c r="D6" i="2"/>
  <c r="D5" i="2"/>
  <c r="N35" i="1" l="1"/>
  <c r="N36" i="1"/>
  <c r="M33" i="1"/>
  <c r="L33" i="1"/>
  <c r="K33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N16" i="1"/>
  <c r="L16" i="1"/>
  <c r="K16" i="1"/>
  <c r="N20" i="1"/>
  <c r="N19" i="1"/>
  <c r="N18" i="1"/>
  <c r="N17" i="1"/>
  <c r="E22" i="1"/>
  <c r="D22" i="1"/>
  <c r="C22" i="1"/>
  <c r="E21" i="1"/>
  <c r="D21" i="1"/>
  <c r="C21" i="1"/>
  <c r="G9" i="1"/>
  <c r="I9" i="1"/>
  <c r="M9" i="1"/>
  <c r="C9" i="1"/>
  <c r="E20" i="1"/>
  <c r="D20" i="1"/>
  <c r="C20" i="1"/>
  <c r="E19" i="1"/>
  <c r="D19" i="1"/>
  <c r="C19" i="1"/>
  <c r="E18" i="1"/>
  <c r="D18" i="1"/>
  <c r="C18" i="1"/>
  <c r="E6" i="1"/>
  <c r="E5" i="1"/>
  <c r="E16" i="1"/>
  <c r="D16" i="1"/>
  <c r="C16" i="1"/>
  <c r="E17" i="1"/>
  <c r="D17" i="1"/>
  <c r="C17" i="1"/>
  <c r="F17" i="1"/>
  <c r="F18" i="1"/>
  <c r="F19" i="1"/>
  <c r="F20" i="1"/>
  <c r="F21" i="1"/>
  <c r="F22" i="1"/>
  <c r="F16" i="1"/>
  <c r="O20" i="1" l="1"/>
  <c r="P20" i="1" s="1"/>
  <c r="O19" i="1"/>
  <c r="P19" i="1" s="1"/>
  <c r="G20" i="1"/>
  <c r="H20" i="1" s="1"/>
  <c r="G16" i="1"/>
  <c r="H16" i="1" s="1"/>
  <c r="O16" i="1"/>
  <c r="P16" i="1" s="1"/>
  <c r="O18" i="1"/>
  <c r="P18" i="1" s="1"/>
  <c r="N33" i="1"/>
  <c r="O17" i="1"/>
  <c r="P17" i="1" s="1"/>
  <c r="G22" i="1"/>
  <c r="H22" i="1" s="1"/>
  <c r="G17" i="1"/>
  <c r="H17" i="1" s="1"/>
  <c r="E9" i="1"/>
  <c r="D10" i="1" s="1"/>
  <c r="G21" i="1"/>
  <c r="H21" i="1" s="1"/>
  <c r="G19" i="1"/>
  <c r="H19" i="1" s="1"/>
  <c r="G18" i="1"/>
  <c r="H18" i="1" s="1"/>
  <c r="H25" i="1" l="1"/>
</calcChain>
</file>

<file path=xl/sharedStrings.xml><?xml version="1.0" encoding="utf-8"?>
<sst xmlns="http://schemas.openxmlformats.org/spreadsheetml/2006/main" count="156" uniqueCount="55">
  <si>
    <t>фи</t>
  </si>
  <si>
    <t>F, Н</t>
  </si>
  <si>
    <t xml:space="preserve">k = </t>
  </si>
  <si>
    <t>r, м</t>
  </si>
  <si>
    <t>l, м</t>
  </si>
  <si>
    <t>T1, c</t>
  </si>
  <si>
    <t>T2, c</t>
  </si>
  <si>
    <t>l^2, м^2</t>
  </si>
  <si>
    <t>T3, с</t>
  </si>
  <si>
    <t>M, Н*м  (3*pi/2)</t>
  </si>
  <si>
    <t xml:space="preserve">Таблица 2. Теорема Гюйгенса-Штейнера для штанги с грузами </t>
  </si>
  <si>
    <t>Таблица 3. Теорема Гюйгенса-Штейнера для диска с отверстиями</t>
  </si>
  <si>
    <t>Таблица 1. Определение коэффициента угловой жескости пружины</t>
  </si>
  <si>
    <t>T(ср)^2, с^2</t>
  </si>
  <si>
    <t xml:space="preserve">Объект </t>
  </si>
  <si>
    <t>Шар</t>
  </si>
  <si>
    <t>I, кг*м^2</t>
  </si>
  <si>
    <t>I(т), кг*м^2</t>
  </si>
  <si>
    <t>Таблица 4. Центральные моменты инерции объектов измерения</t>
  </si>
  <si>
    <t>расст между отверстиями диска, м</t>
  </si>
  <si>
    <t>посередине, м</t>
  </si>
  <si>
    <t>пи</t>
  </si>
  <si>
    <t>M, Н*м  (-3*pi/2)</t>
  </si>
  <si>
    <t>M, Н*м  (-pi)</t>
  </si>
  <si>
    <t>M, Н*м (-pi/2)</t>
  </si>
  <si>
    <t>M, Н*м (pi/2)</t>
  </si>
  <si>
    <t>M, Н*м  (pi)</t>
  </si>
  <si>
    <t>+-</t>
  </si>
  <si>
    <t>Массы, г</t>
  </si>
  <si>
    <t>Диаметры, м</t>
  </si>
  <si>
    <t>Высоты, м</t>
  </si>
  <si>
    <t>-</t>
  </si>
  <si>
    <t>Тело</t>
  </si>
  <si>
    <t>Исходные данные</t>
  </si>
  <si>
    <t>Штанга</t>
  </si>
  <si>
    <t>Полый цилиндр</t>
  </si>
  <si>
    <t>Сплошной цилиндр</t>
  </si>
  <si>
    <t>Диск</t>
  </si>
  <si>
    <t>Часы</t>
  </si>
  <si>
    <t>Грузы</t>
  </si>
  <si>
    <t>I_rod</t>
  </si>
  <si>
    <t>Сплошной диск</t>
  </si>
  <si>
    <t>Массы, кг</t>
  </si>
  <si>
    <t>a, кг/(Н*м)</t>
  </si>
  <si>
    <t>m</t>
  </si>
  <si>
    <t>Ic</t>
  </si>
  <si>
    <t>г*м^2</t>
  </si>
  <si>
    <t>I кг*м^2</t>
  </si>
  <si>
    <t>I_rod, теор</t>
  </si>
  <si>
    <t>b,  с^2</t>
  </si>
  <si>
    <t>I_c</t>
  </si>
  <si>
    <t>I_c, теор</t>
  </si>
  <si>
    <t>Delta I, г*м^2</t>
  </si>
  <si>
    <t>I, г*м^2</t>
  </si>
  <si>
    <t>I(т), г*м^2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</si>
</sst>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"/>
    <numFmt numFmtId="165" formatCode="0.000000"/>
    <numFmt numFmtId="166" formatCode="0.00000"/>
    <numFmt numFmtId="167" formatCode="0.0000"/>
    <numFmt numFmtId="168" formatCode="0.000"/>
    <numFmt numFmtId="171" formatCode="0.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4" xfId="0" applyBorder="1" applyAlignment="1"/>
    <xf numFmtId="2" fontId="0" fillId="0" borderId="1" xfId="0" applyNumberFormat="1" applyBorder="1"/>
    <xf numFmtId="0" fontId="0" fillId="0" borderId="0" xfId="0" applyBorder="1"/>
    <xf numFmtId="0" fontId="0" fillId="0" borderId="2" xfId="0" applyBorder="1"/>
    <xf numFmtId="2" fontId="0" fillId="0" borderId="6" xfId="0" applyNumberFormat="1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3" xfId="0" applyBorder="1" applyAlignment="1"/>
    <xf numFmtId="0" fontId="0" fillId="0" borderId="5" xfId="0" applyBorder="1" applyAlignment="1"/>
    <xf numFmtId="0" fontId="0" fillId="0" borderId="3" xfId="0" quotePrefix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/>
    <xf numFmtId="167" fontId="0" fillId="0" borderId="1" xfId="0" applyNumberFormat="1" applyBorder="1"/>
    <xf numFmtId="0" fontId="1" fillId="0" borderId="0" xfId="0" applyFont="1"/>
    <xf numFmtId="166" fontId="0" fillId="0" borderId="0" xfId="0" applyNumberFormat="1"/>
    <xf numFmtId="164" fontId="0" fillId="0" borderId="0" xfId="0" applyNumberFormat="1"/>
    <xf numFmtId="0" fontId="0" fillId="0" borderId="11" xfId="0" applyFill="1" applyBorder="1"/>
    <xf numFmtId="167" fontId="0" fillId="0" borderId="6" xfId="0" applyNumberFormat="1" applyBorder="1"/>
    <xf numFmtId="0" fontId="0" fillId="0" borderId="0" xfId="0" applyAlignment="1">
      <alignment horizontal="center" vertic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8" fontId="0" fillId="0" borderId="0" xfId="0" applyNumberFormat="1"/>
    <xf numFmtId="0" fontId="0" fillId="0" borderId="4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/>
    <xf numFmtId="165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171" fontId="1" fillId="0" borderId="1" xfId="0" applyNumberFormat="1" applyFont="1" applyBorder="1"/>
    <xf numFmtId="165" fontId="0" fillId="0" borderId="0" xfId="0" applyNumberFormat="1" applyFill="1" applyBorder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tabSelected="1" topLeftCell="J25" workbookViewId="0">
      <selection activeCell="Q38" sqref="Q38"/>
    </sheetView>
  </sheetViews>
  <sheetFormatPr defaultRowHeight="14.4" x14ac:dyDescent="0.3"/>
  <cols>
    <col min="2" max="2" width="12.77734375" customWidth="1"/>
    <col min="3" max="3" width="14.21875" customWidth="1"/>
    <col min="4" max="4" width="12.109375" customWidth="1"/>
    <col min="7" max="7" width="12" customWidth="1"/>
    <col min="8" max="8" width="11.88671875" customWidth="1"/>
    <col min="9" max="9" width="10" customWidth="1"/>
    <col min="10" max="10" width="14.88671875" customWidth="1"/>
    <col min="11" max="11" width="10.5546875" customWidth="1"/>
    <col min="13" max="13" width="10.77734375" customWidth="1"/>
    <col min="14" max="14" width="13" customWidth="1"/>
    <col min="15" max="15" width="11.109375" customWidth="1"/>
    <col min="16" max="16" width="14" customWidth="1"/>
    <col min="17" max="17" width="10.6640625" customWidth="1"/>
    <col min="19" max="19" width="20.109375" customWidth="1"/>
  </cols>
  <sheetData>
    <row r="2" spans="2:19" ht="15" thickBot="1" x14ac:dyDescent="0.35">
      <c r="C2" s="37" t="s">
        <v>12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2:19" ht="15" thickBot="1" x14ac:dyDescent="0.35">
      <c r="B3" t="s">
        <v>0</v>
      </c>
      <c r="C3" s="38">
        <v>-270</v>
      </c>
      <c r="D3" s="39"/>
      <c r="E3" s="38">
        <v>-180</v>
      </c>
      <c r="F3" s="39"/>
      <c r="G3" s="38">
        <v>-90</v>
      </c>
      <c r="H3" s="39"/>
      <c r="I3" s="38">
        <v>90</v>
      </c>
      <c r="J3" s="39"/>
      <c r="K3" s="38">
        <v>180</v>
      </c>
      <c r="L3" s="39"/>
      <c r="M3" s="38">
        <v>270</v>
      </c>
      <c r="N3" s="39"/>
      <c r="P3" s="9" t="s">
        <v>21</v>
      </c>
      <c r="Q3" s="10">
        <v>3.1415926535000001</v>
      </c>
    </row>
    <row r="4" spans="2:19" x14ac:dyDescent="0.3">
      <c r="C4" s="1" t="s">
        <v>1</v>
      </c>
      <c r="D4" s="1" t="s">
        <v>3</v>
      </c>
      <c r="E4" s="1" t="s">
        <v>1</v>
      </c>
      <c r="F4" s="1" t="s">
        <v>3</v>
      </c>
      <c r="G4" s="1" t="s">
        <v>1</v>
      </c>
      <c r="H4" s="1" t="s">
        <v>3</v>
      </c>
      <c r="I4" s="1" t="s">
        <v>1</v>
      </c>
      <c r="J4" s="1" t="s">
        <v>3</v>
      </c>
      <c r="K4" s="1" t="s">
        <v>1</v>
      </c>
      <c r="L4" s="1" t="s">
        <v>3</v>
      </c>
      <c r="M4" s="1" t="s">
        <v>1</v>
      </c>
      <c r="N4" s="1" t="s">
        <v>3</v>
      </c>
    </row>
    <row r="5" spans="2:19" x14ac:dyDescent="0.3">
      <c r="C5" s="1">
        <v>0.36</v>
      </c>
      <c r="D5" s="1">
        <v>0.28999999999999998</v>
      </c>
      <c r="E5" s="1">
        <f>0.24</f>
        <v>0.24</v>
      </c>
      <c r="F5" s="1">
        <v>0.28999999999999998</v>
      </c>
      <c r="G5" s="1">
        <v>0.12</v>
      </c>
      <c r="H5" s="1">
        <v>0.28999999999999998</v>
      </c>
      <c r="I5" s="1">
        <v>0.13</v>
      </c>
      <c r="J5" s="1">
        <v>0.28999999999999998</v>
      </c>
      <c r="K5" s="1">
        <v>0.23</v>
      </c>
      <c r="L5" s="1">
        <v>0.28999999999999998</v>
      </c>
      <c r="M5" s="1">
        <v>0.36</v>
      </c>
      <c r="N5" s="1">
        <v>0.28999999999999998</v>
      </c>
    </row>
    <row r="6" spans="2:19" x14ac:dyDescent="0.3">
      <c r="C6" s="1">
        <v>0.53</v>
      </c>
      <c r="D6" s="1">
        <v>0.19</v>
      </c>
      <c r="E6" s="1">
        <f>0.36</f>
        <v>0.36</v>
      </c>
      <c r="F6" s="1">
        <v>0.19</v>
      </c>
      <c r="G6" s="1">
        <v>0.19</v>
      </c>
      <c r="H6" s="1">
        <v>0.19</v>
      </c>
      <c r="I6" s="1">
        <v>0.21</v>
      </c>
      <c r="J6" s="1">
        <v>0.19</v>
      </c>
      <c r="K6" s="1">
        <v>0.36</v>
      </c>
      <c r="L6" s="1">
        <v>0.19</v>
      </c>
      <c r="M6" s="1">
        <v>0.54</v>
      </c>
      <c r="N6" s="1">
        <v>0.19</v>
      </c>
    </row>
    <row r="7" spans="2:19" x14ac:dyDescent="0.3">
      <c r="C7" s="1">
        <v>1.21</v>
      </c>
      <c r="D7" s="1">
        <v>0.09</v>
      </c>
      <c r="E7" s="1">
        <v>0.76</v>
      </c>
      <c r="F7" s="1">
        <v>0.09</v>
      </c>
      <c r="G7" s="1">
        <v>0.4</v>
      </c>
      <c r="H7" s="1">
        <v>0.09</v>
      </c>
      <c r="I7" s="1">
        <v>0.43</v>
      </c>
      <c r="J7" s="1">
        <v>0.09</v>
      </c>
      <c r="K7" s="1">
        <v>0.76</v>
      </c>
      <c r="L7" s="1">
        <v>0.09</v>
      </c>
      <c r="M7" s="1">
        <v>1.2</v>
      </c>
      <c r="N7" s="1">
        <v>0.09</v>
      </c>
    </row>
    <row r="8" spans="2:19" x14ac:dyDescent="0.3">
      <c r="C8" s="38" t="s">
        <v>22</v>
      </c>
      <c r="D8" s="39"/>
      <c r="E8" s="38" t="s">
        <v>23</v>
      </c>
      <c r="F8" s="39"/>
      <c r="G8" s="38" t="s">
        <v>24</v>
      </c>
      <c r="H8" s="39"/>
      <c r="I8" s="38" t="s">
        <v>25</v>
      </c>
      <c r="J8" s="39"/>
      <c r="K8" s="38" t="s">
        <v>26</v>
      </c>
      <c r="L8" s="39"/>
      <c r="M8" s="38" t="s">
        <v>9</v>
      </c>
      <c r="N8" s="39"/>
    </row>
    <row r="9" spans="2:19" x14ac:dyDescent="0.3">
      <c r="C9" s="35">
        <f>(C5*D5+C6*D6+C7*D7)/3</f>
        <v>0.10466666666666667</v>
      </c>
      <c r="D9" s="36"/>
      <c r="E9" s="35">
        <f>(E5*F5+E6*F6+E7*F7)/3</f>
        <v>6.8800000000000014E-2</v>
      </c>
      <c r="F9" s="36"/>
      <c r="G9" s="35">
        <f>(G5*H5+G6*H6+G7*H7)/3</f>
        <v>3.5633333333333329E-2</v>
      </c>
      <c r="H9" s="36"/>
      <c r="I9" s="35">
        <f>(I5*J5+I6*J6+I7*J7)/3</f>
        <v>3.8766666666666665E-2</v>
      </c>
      <c r="J9" s="36"/>
      <c r="K9" s="35">
        <f>(K5*L5+K6*L6+K7*L7)/3</f>
        <v>6.7833333333333343E-2</v>
      </c>
      <c r="L9" s="36"/>
      <c r="M9" s="35">
        <f>(M5*N5+M6*N6+M7*N7)/3</f>
        <v>0.105</v>
      </c>
      <c r="N9" s="36"/>
    </row>
    <row r="10" spans="2:19" x14ac:dyDescent="0.3">
      <c r="C10" s="2" t="s">
        <v>2</v>
      </c>
      <c r="D10" s="11">
        <f>(C9/(3*Q3/2)+E9/Q3+G9/(Q3/2)+I9/(Q3/2)+K9/Q3+M9/(3*Q3/2))/6</f>
        <v>2.2558150064288251E-2</v>
      </c>
      <c r="E10" s="13" t="s">
        <v>27</v>
      </c>
      <c r="F10" s="16">
        <f>3.495*0.000278</f>
        <v>9.7160999999999992E-4</v>
      </c>
      <c r="G10" s="11"/>
      <c r="H10" s="11"/>
      <c r="I10" s="11"/>
      <c r="J10" s="11"/>
      <c r="K10" s="11"/>
      <c r="L10" s="11"/>
      <c r="M10" s="11"/>
      <c r="N10" s="12"/>
    </row>
    <row r="12" spans="2:19" ht="27.6" customHeight="1" x14ac:dyDescent="0.3">
      <c r="C12" s="35">
        <f>-3*$Q$3/2</f>
        <v>-4.7123889802500001</v>
      </c>
      <c r="D12" s="36"/>
      <c r="E12" s="35">
        <f>-Q3</f>
        <v>-3.1415926535000001</v>
      </c>
      <c r="F12" s="36"/>
      <c r="G12" s="35">
        <f>-Q3/2</f>
        <v>-1.57079632675</v>
      </c>
      <c r="H12" s="36"/>
      <c r="I12" s="35">
        <f>Q3/2</f>
        <v>1.57079632675</v>
      </c>
      <c r="J12" s="36"/>
      <c r="K12" s="35">
        <f>Q3</f>
        <v>3.1415926535000001</v>
      </c>
      <c r="L12" s="36"/>
      <c r="M12" s="35">
        <f>3*$Q$3/2</f>
        <v>4.7123889802500001</v>
      </c>
      <c r="N12" s="36"/>
      <c r="P12" s="8"/>
      <c r="S12" s="8"/>
    </row>
    <row r="14" spans="2:19" x14ac:dyDescent="0.3">
      <c r="B14" s="37" t="s">
        <v>10</v>
      </c>
      <c r="C14" s="37"/>
      <c r="D14" s="37"/>
      <c r="E14" s="37"/>
      <c r="F14" s="37"/>
      <c r="G14" s="37"/>
      <c r="J14" s="37" t="s">
        <v>11</v>
      </c>
      <c r="K14" s="37"/>
      <c r="L14" s="37"/>
      <c r="M14" s="37"/>
      <c r="N14" s="37"/>
      <c r="O14" s="37"/>
    </row>
    <row r="15" spans="2:19" x14ac:dyDescent="0.3">
      <c r="B15" s="1" t="s">
        <v>4</v>
      </c>
      <c r="C15" s="1" t="s">
        <v>5</v>
      </c>
      <c r="D15" s="1" t="s">
        <v>6</v>
      </c>
      <c r="E15" s="1" t="s">
        <v>8</v>
      </c>
      <c r="F15" s="1" t="s">
        <v>7</v>
      </c>
      <c r="G15" s="1" t="s">
        <v>13</v>
      </c>
      <c r="H15" s="32" t="s">
        <v>47</v>
      </c>
      <c r="J15" s="1" t="s">
        <v>4</v>
      </c>
      <c r="K15" s="1" t="s">
        <v>5</v>
      </c>
      <c r="L15" s="1" t="s">
        <v>6</v>
      </c>
      <c r="M15" s="1" t="s">
        <v>8</v>
      </c>
      <c r="N15" s="1" t="s">
        <v>7</v>
      </c>
      <c r="O15" s="1" t="s">
        <v>13</v>
      </c>
      <c r="P15" s="32" t="s">
        <v>47</v>
      </c>
    </row>
    <row r="16" spans="2:19" x14ac:dyDescent="0.3">
      <c r="B16" s="3">
        <v>0</v>
      </c>
      <c r="C16" s="3">
        <f>7.75/3</f>
        <v>2.5833333333333335</v>
      </c>
      <c r="D16" s="3">
        <f>7.69/3</f>
        <v>2.5633333333333335</v>
      </c>
      <c r="E16" s="3">
        <f>7.82/3</f>
        <v>2.6066666666666669</v>
      </c>
      <c r="F16" s="27">
        <f>B16^2</f>
        <v>0</v>
      </c>
      <c r="G16" s="3">
        <f>AVERAGE(C16:E16)^2</f>
        <v>6.6793530864197548</v>
      </c>
      <c r="H16">
        <f>$K$29*G16/(4*$K$28^2)</f>
        <v>3.8166131878549902E-3</v>
      </c>
      <c r="J16" s="17">
        <v>0</v>
      </c>
      <c r="K16" s="3">
        <f>7.78/3</f>
        <v>2.5933333333333333</v>
      </c>
      <c r="L16" s="3">
        <f>7.94/3</f>
        <v>2.6466666666666669</v>
      </c>
      <c r="M16" s="3">
        <f>7.94/3</f>
        <v>2.6466666666666669</v>
      </c>
      <c r="N16" s="28">
        <f>J16^2</f>
        <v>0</v>
      </c>
      <c r="O16" s="3">
        <f>AVERAGE(K16:M16)^2</f>
        <v>6.9110567901234576</v>
      </c>
      <c r="P16" s="30">
        <f>$K$29*O16/(4*$K$28^2)</f>
        <v>3.9490097537781743E-3</v>
      </c>
    </row>
    <row r="17" spans="2:17" x14ac:dyDescent="0.3">
      <c r="B17" s="3">
        <v>0.06</v>
      </c>
      <c r="C17" s="3">
        <f>9.25/3</f>
        <v>3.0833333333333335</v>
      </c>
      <c r="D17" s="3">
        <f>9.19/3</f>
        <v>3.063333333333333</v>
      </c>
      <c r="E17" s="3">
        <f>9.25/3</f>
        <v>3.0833333333333335</v>
      </c>
      <c r="F17" s="28">
        <f t="shared" ref="F17:F22" si="0">B17^2</f>
        <v>3.5999999999999999E-3</v>
      </c>
      <c r="G17" s="3">
        <f t="shared" ref="G17:G22" si="1">AVERAGE(C17:E17)^2</f>
        <v>9.4658777777777772</v>
      </c>
      <c r="H17">
        <f>$K$29*G17/(4*$K$28^2)</f>
        <v>5.4088462600882124E-3</v>
      </c>
      <c r="J17" s="17">
        <v>0.03</v>
      </c>
      <c r="K17" s="3">
        <f>8.37/3</f>
        <v>2.7899999999999996</v>
      </c>
      <c r="L17" s="3">
        <f>8.31/3</f>
        <v>2.77</v>
      </c>
      <c r="M17" s="3">
        <f>8.35/3</f>
        <v>2.7833333333333332</v>
      </c>
      <c r="N17" s="28">
        <f t="shared" ref="N17:N20" si="2">J17^2</f>
        <v>8.9999999999999998E-4</v>
      </c>
      <c r="O17" s="3">
        <f t="shared" ref="O17:O20" si="3">AVERAGE(K17:M17)^2</f>
        <v>7.7345790123456792</v>
      </c>
      <c r="P17" s="30">
        <f>$K$29*O17/(4*$K$28^2)</f>
        <v>4.4195741532280786E-3</v>
      </c>
    </row>
    <row r="18" spans="2:17" x14ac:dyDescent="0.3">
      <c r="B18" s="3">
        <v>0.08</v>
      </c>
      <c r="C18" s="3">
        <f>10.29/3</f>
        <v>3.4299999999999997</v>
      </c>
      <c r="D18" s="3">
        <f>10.28/3</f>
        <v>3.4266666666666663</v>
      </c>
      <c r="E18" s="3">
        <f>10.06/3</f>
        <v>3.3533333333333335</v>
      </c>
      <c r="F18" s="28">
        <f t="shared" si="0"/>
        <v>6.4000000000000003E-3</v>
      </c>
      <c r="G18" s="3">
        <f t="shared" si="1"/>
        <v>11.582677777777775</v>
      </c>
      <c r="H18">
        <f>$K$29*G18/(4*$K$28^2)</f>
        <v>6.6183955519915575E-3</v>
      </c>
      <c r="J18" s="17">
        <v>0.06</v>
      </c>
      <c r="K18" s="3">
        <f>9.38/3</f>
        <v>3.1266666666666669</v>
      </c>
      <c r="L18" s="3">
        <f>9.41/3</f>
        <v>3.1366666666666667</v>
      </c>
      <c r="M18" s="3">
        <f>9.25/3</f>
        <v>3.0833333333333335</v>
      </c>
      <c r="N18" s="28">
        <f t="shared" si="2"/>
        <v>3.5999999999999999E-3</v>
      </c>
      <c r="O18" s="3">
        <f t="shared" si="3"/>
        <v>9.7066864197530887</v>
      </c>
      <c r="P18" s="30">
        <f>$K$29*O18/(4*$K$28^2)</f>
        <v>5.5464454297714343E-3</v>
      </c>
    </row>
    <row r="19" spans="2:17" x14ac:dyDescent="0.3">
      <c r="B19" s="3">
        <v>0.1</v>
      </c>
      <c r="C19" s="3">
        <f>11.37/3</f>
        <v>3.7899999999999996</v>
      </c>
      <c r="D19" s="3">
        <f>11.41/3</f>
        <v>3.8033333333333332</v>
      </c>
      <c r="E19" s="3">
        <f>11.31/3</f>
        <v>3.77</v>
      </c>
      <c r="F19" s="28">
        <f t="shared" si="0"/>
        <v>1.0000000000000002E-2</v>
      </c>
      <c r="G19" s="3">
        <f t="shared" si="1"/>
        <v>14.347260493827161</v>
      </c>
      <c r="H19">
        <f>$K$29*G19/(4*$K$28^2)</f>
        <v>8.1980908782414465E-3</v>
      </c>
      <c r="J19" s="17">
        <v>0.09</v>
      </c>
      <c r="K19" s="3">
        <f>10.53/3</f>
        <v>3.51</v>
      </c>
      <c r="L19" s="3">
        <f>10.5/3</f>
        <v>3.5</v>
      </c>
      <c r="M19" s="3">
        <f>10.44/3</f>
        <v>3.48</v>
      </c>
      <c r="N19" s="28">
        <f t="shared" si="2"/>
        <v>8.0999999999999996E-3</v>
      </c>
      <c r="O19" s="3">
        <f>AVERAGE(K19:M19)^2</f>
        <v>12.226677777777777</v>
      </c>
      <c r="P19" s="30">
        <f>$K$29*O19/(4*$K$28^2)</f>
        <v>6.9863801249251166E-3</v>
      </c>
    </row>
    <row r="20" spans="2:17" x14ac:dyDescent="0.3">
      <c r="B20" s="3">
        <v>0.12</v>
      </c>
      <c r="C20" s="3">
        <f>12.53/3</f>
        <v>4.1766666666666667</v>
      </c>
      <c r="D20" s="3">
        <f>12.5/3</f>
        <v>4.166666666666667</v>
      </c>
      <c r="E20" s="3">
        <f>12.5/3</f>
        <v>4.166666666666667</v>
      </c>
      <c r="F20" s="28">
        <f t="shared" si="0"/>
        <v>1.44E-2</v>
      </c>
      <c r="G20" s="3">
        <f>AVERAGE(C20:E20)^2</f>
        <v>17.388900000000007</v>
      </c>
      <c r="H20">
        <f>$K$29*G20/(4*$K$28^2)</f>
        <v>9.9360977333607815E-3</v>
      </c>
      <c r="J20" s="17">
        <v>0.12</v>
      </c>
      <c r="K20" s="6">
        <f>12.28/3</f>
        <v>4.0933333333333328</v>
      </c>
      <c r="L20" s="6">
        <f>12.22/3</f>
        <v>4.0733333333333333</v>
      </c>
      <c r="M20" s="6">
        <f>12/3</f>
        <v>4</v>
      </c>
      <c r="N20" s="33">
        <f t="shared" si="2"/>
        <v>1.44E-2</v>
      </c>
      <c r="O20" s="3">
        <f t="shared" si="3"/>
        <v>16.447530864197528</v>
      </c>
      <c r="P20" s="30">
        <f>$K$29*O20/(4*$K$28^2)</f>
        <v>9.3981950634677569E-3</v>
      </c>
    </row>
    <row r="21" spans="2:17" x14ac:dyDescent="0.3">
      <c r="B21" s="3">
        <v>0.14000000000000001</v>
      </c>
      <c r="C21" s="3">
        <f>14.09/3</f>
        <v>4.6966666666666663</v>
      </c>
      <c r="D21" s="3">
        <f>14.03/3</f>
        <v>4.6766666666666667</v>
      </c>
      <c r="E21" s="3">
        <f>14.06/3</f>
        <v>4.6866666666666665</v>
      </c>
      <c r="F21" s="28">
        <f t="shared" si="0"/>
        <v>1.9600000000000003E-2</v>
      </c>
      <c r="G21" s="3">
        <f t="shared" si="1"/>
        <v>21.964844444444442</v>
      </c>
      <c r="H21">
        <f>$K$29*G21/(4*$K$28^2)</f>
        <v>1.2550813513107009E-2</v>
      </c>
      <c r="K21" s="5"/>
      <c r="L21" s="5"/>
      <c r="M21" s="5"/>
      <c r="N21" s="5"/>
      <c r="O21" s="5"/>
      <c r="P21" s="4"/>
    </row>
    <row r="22" spans="2:17" x14ac:dyDescent="0.3">
      <c r="B22" s="3">
        <v>0.16</v>
      </c>
      <c r="C22" s="3">
        <f>15.72/3</f>
        <v>5.24</v>
      </c>
      <c r="D22" s="3">
        <f>15.25/3</f>
        <v>5.083333333333333</v>
      </c>
      <c r="E22" s="3">
        <f>15.4/3</f>
        <v>5.1333333333333337</v>
      </c>
      <c r="F22" s="28">
        <f t="shared" si="0"/>
        <v>2.5600000000000001E-2</v>
      </c>
      <c r="G22" s="3">
        <f t="shared" si="1"/>
        <v>26.545393827160492</v>
      </c>
      <c r="H22">
        <f>$K$29*G22/(4*$K$28^2)</f>
        <v>1.5168160575839676E-2</v>
      </c>
      <c r="J22" t="s">
        <v>43</v>
      </c>
      <c r="K22" s="29">
        <v>649.16980000000001</v>
      </c>
      <c r="L22" s="20" t="s">
        <v>27</v>
      </c>
      <c r="M22">
        <v>48.528500000000001</v>
      </c>
      <c r="N22" s="7" t="s">
        <v>44</v>
      </c>
      <c r="O22" s="56">
        <f>K22*K29/(4*K28^2)</f>
        <v>0.37093862051919724</v>
      </c>
    </row>
    <row r="23" spans="2:17" x14ac:dyDescent="0.3">
      <c r="H23" t="s">
        <v>46</v>
      </c>
      <c r="J23" t="s">
        <v>49</v>
      </c>
      <c r="K23" s="29">
        <v>7.1005000000000003</v>
      </c>
      <c r="L23" s="20" t="s">
        <v>27</v>
      </c>
      <c r="M23">
        <v>0.36749999999999999</v>
      </c>
      <c r="N23" s="7" t="s">
        <v>50</v>
      </c>
      <c r="O23">
        <f>K23*K29/(4*K28^2)</f>
        <v>4.0572584784390152E-3</v>
      </c>
    </row>
    <row r="24" spans="2:17" x14ac:dyDescent="0.3">
      <c r="B24" t="s">
        <v>43</v>
      </c>
      <c r="C24" s="29">
        <v>775.4289</v>
      </c>
      <c r="D24" s="20" t="s">
        <v>27</v>
      </c>
      <c r="E24">
        <v>21.417059999999999</v>
      </c>
      <c r="F24" s="7" t="s">
        <v>44</v>
      </c>
      <c r="G24" s="4">
        <f>C24*K29/(8*K28^2)</f>
        <v>0.22154182655810431</v>
      </c>
      <c r="N24" s="7" t="s">
        <v>51</v>
      </c>
      <c r="O24">
        <f>C35*(D35/2)^2/2</f>
        <v>4.9394052499999999E-3</v>
      </c>
    </row>
    <row r="25" spans="2:17" x14ac:dyDescent="0.3">
      <c r="B25" t="s">
        <v>49</v>
      </c>
      <c r="C25" s="29">
        <v>6.6079999999999997</v>
      </c>
      <c r="D25" s="20" t="s">
        <v>27</v>
      </c>
      <c r="E25">
        <v>0.30296000000000001</v>
      </c>
      <c r="F25" s="7" t="s">
        <v>45</v>
      </c>
      <c r="G25" s="29">
        <v>1.15E-4</v>
      </c>
      <c r="H25">
        <f>G25*1000</f>
        <v>0.115</v>
      </c>
    </row>
    <row r="26" spans="2:17" x14ac:dyDescent="0.3">
      <c r="D26" s="29">
        <v>6.8209999999999997</v>
      </c>
      <c r="G26" s="53">
        <v>1.34E-4</v>
      </c>
      <c r="H26" s="49">
        <f>G26*1000</f>
        <v>0.13400000000000001</v>
      </c>
      <c r="J26" s="14" t="s">
        <v>48</v>
      </c>
      <c r="K26" s="55">
        <f>C30/4*((D30/2)^2 + E30^2/3)</f>
        <v>5.2503937499999995E-3</v>
      </c>
      <c r="M26">
        <f>(E16-D16)/2</f>
        <v>2.1666666666666723E-2</v>
      </c>
    </row>
    <row r="27" spans="2:17" x14ac:dyDescent="0.3">
      <c r="G27" s="31"/>
      <c r="J27" s="14" t="s">
        <v>40</v>
      </c>
      <c r="K27" s="1">
        <f>D10*G16/(4*K28^2)</f>
        <v>3.816613187854982E-3</v>
      </c>
      <c r="L27" s="20" t="s">
        <v>27</v>
      </c>
      <c r="M27">
        <f>K27*((F10/D10)^2+(2*M26/G16^0.5))^0.5</f>
        <v>5.2082610583971932E-4</v>
      </c>
    </row>
    <row r="28" spans="2:17" x14ac:dyDescent="0.3">
      <c r="B28" s="34" t="s">
        <v>33</v>
      </c>
      <c r="C28" s="34"/>
      <c r="D28" s="34"/>
      <c r="E28" s="34"/>
      <c r="J28" s="1" t="s">
        <v>21</v>
      </c>
      <c r="K28" s="1">
        <v>3.1415926535000001</v>
      </c>
    </row>
    <row r="29" spans="2:17" x14ac:dyDescent="0.3">
      <c r="B29" s="15" t="s">
        <v>32</v>
      </c>
      <c r="C29" s="15" t="s">
        <v>42</v>
      </c>
      <c r="D29" s="15" t="s">
        <v>29</v>
      </c>
      <c r="E29" s="15" t="s">
        <v>30</v>
      </c>
      <c r="J29" s="1" t="s">
        <v>2</v>
      </c>
      <c r="K29" s="1">
        <v>2.2558150064288299E-2</v>
      </c>
    </row>
    <row r="30" spans="2:17" x14ac:dyDescent="0.3">
      <c r="B30" s="21" t="s">
        <v>34</v>
      </c>
      <c r="C30" s="15">
        <v>0.17499999999999999</v>
      </c>
      <c r="D30" s="15">
        <v>6.0000000000000001E-3</v>
      </c>
      <c r="E30" s="52">
        <v>0.6</v>
      </c>
    </row>
    <row r="31" spans="2:17" x14ac:dyDescent="0.3">
      <c r="B31" s="21" t="s">
        <v>15</v>
      </c>
      <c r="C31" s="15">
        <v>0.92300000000000004</v>
      </c>
      <c r="D31" s="19">
        <v>0.1384</v>
      </c>
      <c r="E31" s="50" t="s">
        <v>31</v>
      </c>
      <c r="F31" s="51"/>
      <c r="J31" s="37" t="s">
        <v>18</v>
      </c>
      <c r="K31" s="37"/>
      <c r="L31" s="37"/>
      <c r="M31" s="37"/>
      <c r="N31" s="37"/>
      <c r="O31" s="37"/>
      <c r="P31" s="37"/>
    </row>
    <row r="32" spans="2:17" ht="28.8" x14ac:dyDescent="0.3">
      <c r="B32" s="23" t="s">
        <v>35</v>
      </c>
      <c r="C32" s="15">
        <v>0.36299999999999999</v>
      </c>
      <c r="D32" s="15">
        <v>9.9699999999999997E-2</v>
      </c>
      <c r="E32" s="15">
        <v>0.1008</v>
      </c>
      <c r="J32" s="1" t="s">
        <v>14</v>
      </c>
      <c r="K32" s="19" t="s">
        <v>5</v>
      </c>
      <c r="L32" s="19" t="s">
        <v>6</v>
      </c>
      <c r="M32" s="19" t="s">
        <v>8</v>
      </c>
      <c r="N32" s="19" t="s">
        <v>13</v>
      </c>
      <c r="O32" s="24" t="s">
        <v>53</v>
      </c>
      <c r="P32" s="24" t="s">
        <v>52</v>
      </c>
      <c r="Q32" s="24" t="s">
        <v>54</v>
      </c>
    </row>
    <row r="33" spans="2:17" ht="28.8" x14ac:dyDescent="0.3">
      <c r="B33" s="23" t="s">
        <v>36</v>
      </c>
      <c r="C33" s="15">
        <v>0.45800000000000002</v>
      </c>
      <c r="D33" s="19">
        <f>0.10075</f>
        <v>0.10075000000000001</v>
      </c>
      <c r="E33" s="15">
        <v>0.1008</v>
      </c>
      <c r="J33" s="1" t="s">
        <v>41</v>
      </c>
      <c r="K33" s="18">
        <f>4.72/3</f>
        <v>1.5733333333333333</v>
      </c>
      <c r="L33" s="18">
        <f>4.6/3</f>
        <v>1.5333333333333332</v>
      </c>
      <c r="M33" s="18">
        <f>4.63/3</f>
        <v>1.5433333333333332</v>
      </c>
      <c r="N33" s="18">
        <f>AVERAGE(K33:M33)^2</f>
        <v>2.4024999999999994</v>
      </c>
      <c r="O33" s="25">
        <f>1000*$K$29*N33/(4*$K$28^2)</f>
        <v>1.372799590796385</v>
      </c>
      <c r="P33" s="28">
        <f>O33*(($F$10/$D$10)^2+(2*(0.5*(MAX(K33:M33) - MIN(K33:M33)))/N33^0.5))^0.5</f>
        <v>0.22832093471537288</v>
      </c>
      <c r="Q33" s="26">
        <f>1000*C34*(D34/2)^2/2</f>
        <v>1.7061584400000003</v>
      </c>
    </row>
    <row r="34" spans="2:17" x14ac:dyDescent="0.3">
      <c r="B34" s="21" t="s">
        <v>37</v>
      </c>
      <c r="C34" s="15">
        <v>0.28799999999999998</v>
      </c>
      <c r="D34" s="15">
        <v>0.2177</v>
      </c>
      <c r="E34" s="22" t="s">
        <v>31</v>
      </c>
      <c r="J34" s="1" t="s">
        <v>35</v>
      </c>
      <c r="K34" s="18">
        <f>3.28/3</f>
        <v>1.0933333333333333</v>
      </c>
      <c r="L34" s="18">
        <f>3.15/3</f>
        <v>1.05</v>
      </c>
      <c r="M34" s="18">
        <f>3.31/3</f>
        <v>1.1033333333333333</v>
      </c>
      <c r="N34" s="18">
        <f>AVERAGE(K34:M34)^2</f>
        <v>1.1712049382716054</v>
      </c>
      <c r="O34" s="25">
        <f>1000*$K$29*N34/(4*$K$28^2)</f>
        <v>0.66923190842787339</v>
      </c>
      <c r="P34" s="28">
        <f t="shared" ref="P34:P36" si="4">O34*(($F$10/$D$10)^2+(2*(0.5*(MAX(K34:M34) - MIN(K34:M34)))/N34^0.5))^0.5</f>
        <v>0.15133589526431473</v>
      </c>
      <c r="Q34" s="26">
        <f>1000*C32*(D32/2)^2</f>
        <v>0.90206316749999993</v>
      </c>
    </row>
    <row r="35" spans="2:17" x14ac:dyDescent="0.3">
      <c r="B35" s="21" t="s">
        <v>38</v>
      </c>
      <c r="C35" s="15">
        <v>0.442</v>
      </c>
      <c r="D35" s="15">
        <v>0.29899999999999999</v>
      </c>
      <c r="E35" s="22" t="s">
        <v>31</v>
      </c>
      <c r="J35" s="1" t="s">
        <v>36</v>
      </c>
      <c r="K35" s="18">
        <f>2.62/3</f>
        <v>0.87333333333333341</v>
      </c>
      <c r="L35" s="18">
        <f>2.66/3</f>
        <v>0.88666666666666671</v>
      </c>
      <c r="M35" s="18">
        <f>2.66/3</f>
        <v>0.88666666666666671</v>
      </c>
      <c r="N35" s="18">
        <f>AVERAGE(K35:M35)^2</f>
        <v>0.77831604938271626</v>
      </c>
      <c r="O35" s="25">
        <f>1000*$K$29*N35/(4*$K$28^2)</f>
        <v>0.44473338360160336</v>
      </c>
      <c r="P35" s="28">
        <f t="shared" si="4"/>
        <v>5.793237684821767E-2</v>
      </c>
      <c r="Q35" s="26">
        <f>1000*(C33*(D33/2)^2)/2</f>
        <v>0.58111970312500016</v>
      </c>
    </row>
    <row r="36" spans="2:17" x14ac:dyDescent="0.3">
      <c r="B36" s="21" t="s">
        <v>39</v>
      </c>
      <c r="C36" s="15">
        <v>0.22900000000000001</v>
      </c>
      <c r="D36" s="15">
        <v>2.9000000000000001E-2</v>
      </c>
      <c r="E36" s="22">
        <v>0.04</v>
      </c>
      <c r="J36" s="1" t="s">
        <v>15</v>
      </c>
      <c r="K36" s="18">
        <f>4.57/3</f>
        <v>1.5233333333333334</v>
      </c>
      <c r="L36" s="18">
        <f>4.66/3</f>
        <v>1.5533333333333335</v>
      </c>
      <c r="M36" s="18">
        <f>4.59/3</f>
        <v>1.53</v>
      </c>
      <c r="N36" s="18">
        <f>AVERAGE(K36:M36)^2</f>
        <v>2.3579308641975314</v>
      </c>
      <c r="O36" s="25">
        <f>1000*$K$29*N36/(4*$K$28^2)</f>
        <v>1.347332580851837</v>
      </c>
      <c r="P36" s="28">
        <f t="shared" si="4"/>
        <v>0.19706112451826421</v>
      </c>
      <c r="Q36" s="26">
        <f>1000*2/5*C31*(D31/2)^2</f>
        <v>1.767965888</v>
      </c>
    </row>
  </sheetData>
  <mergeCells count="29">
    <mergeCell ref="G3:H3"/>
    <mergeCell ref="I3:J3"/>
    <mergeCell ref="K3:L3"/>
    <mergeCell ref="J31:P31"/>
    <mergeCell ref="C2:N2"/>
    <mergeCell ref="M8:N8"/>
    <mergeCell ref="E9:F9"/>
    <mergeCell ref="G9:H9"/>
    <mergeCell ref="I9:J9"/>
    <mergeCell ref="K9:L9"/>
    <mergeCell ref="M9:N9"/>
    <mergeCell ref="C8:D8"/>
    <mergeCell ref="C9:D9"/>
    <mergeCell ref="E8:F8"/>
    <mergeCell ref="G8:H8"/>
    <mergeCell ref="I8:J8"/>
    <mergeCell ref="M3:N3"/>
    <mergeCell ref="K8:L8"/>
    <mergeCell ref="C3:D3"/>
    <mergeCell ref="E3:F3"/>
    <mergeCell ref="K12:L12"/>
    <mergeCell ref="M12:N12"/>
    <mergeCell ref="B14:G14"/>
    <mergeCell ref="J14:O14"/>
    <mergeCell ref="B28:E28"/>
    <mergeCell ref="C12:D12"/>
    <mergeCell ref="E12:F12"/>
    <mergeCell ref="G12:H12"/>
    <mergeCell ref="I12:J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topLeftCell="H10" workbookViewId="0">
      <selection activeCell="V19" sqref="V19"/>
    </sheetView>
  </sheetViews>
  <sheetFormatPr defaultRowHeight="14.4" x14ac:dyDescent="0.3"/>
  <cols>
    <col min="7" max="7" width="12.44140625" customWidth="1"/>
    <col min="9" max="9" width="14.5546875" customWidth="1"/>
    <col min="13" max="13" width="12" bestFit="1" customWidth="1"/>
    <col min="14" max="14" width="10.77734375" bestFit="1" customWidth="1"/>
    <col min="15" max="15" width="12" bestFit="1" customWidth="1"/>
    <col min="16" max="16" width="21.21875" customWidth="1"/>
    <col min="17" max="17" width="12.44140625" bestFit="1" customWidth="1"/>
    <col min="18" max="18" width="14.5546875" customWidth="1"/>
    <col min="19" max="19" width="10.6640625" customWidth="1"/>
  </cols>
  <sheetData>
    <row r="2" spans="2:19" x14ac:dyDescent="0.3">
      <c r="B2" s="37" t="s">
        <v>12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2:19" x14ac:dyDescent="0.3">
      <c r="B3" s="47">
        <v>-270</v>
      </c>
      <c r="C3" s="48"/>
      <c r="D3" s="47">
        <v>-180</v>
      </c>
      <c r="E3" s="48"/>
      <c r="F3" s="47">
        <v>-90</v>
      </c>
      <c r="G3" s="48"/>
      <c r="H3" s="47">
        <v>90</v>
      </c>
      <c r="I3" s="48"/>
      <c r="J3" s="47">
        <v>180</v>
      </c>
      <c r="K3" s="48"/>
      <c r="L3" s="47">
        <v>270</v>
      </c>
      <c r="M3" s="48"/>
    </row>
    <row r="4" spans="2:19" ht="28.8" x14ac:dyDescent="0.3">
      <c r="B4" s="15" t="s">
        <v>1</v>
      </c>
      <c r="C4" s="15" t="s">
        <v>3</v>
      </c>
      <c r="D4" s="15" t="s">
        <v>1</v>
      </c>
      <c r="E4" s="15" t="s">
        <v>3</v>
      </c>
      <c r="F4" s="15" t="s">
        <v>1</v>
      </c>
      <c r="G4" s="15" t="s">
        <v>3</v>
      </c>
      <c r="H4" s="15" t="s">
        <v>1</v>
      </c>
      <c r="I4" s="15" t="s">
        <v>3</v>
      </c>
      <c r="J4" s="15" t="s">
        <v>1</v>
      </c>
      <c r="K4" s="15" t="s">
        <v>3</v>
      </c>
      <c r="L4" s="15" t="s">
        <v>1</v>
      </c>
      <c r="M4" s="15" t="s">
        <v>3</v>
      </c>
      <c r="P4" s="8" t="s">
        <v>19</v>
      </c>
      <c r="Q4">
        <f>0.03</f>
        <v>0.03</v>
      </c>
    </row>
    <row r="5" spans="2:19" x14ac:dyDescent="0.3">
      <c r="B5" s="15">
        <v>0.36</v>
      </c>
      <c r="C5" s="15">
        <v>0.28999999999999998</v>
      </c>
      <c r="D5" s="15">
        <f>0.24</f>
        <v>0.24</v>
      </c>
      <c r="E5" s="15">
        <v>0.28999999999999998</v>
      </c>
      <c r="F5" s="15">
        <v>0.12</v>
      </c>
      <c r="G5" s="15">
        <v>0.28999999999999998</v>
      </c>
      <c r="H5" s="15">
        <v>0.13</v>
      </c>
      <c r="I5" s="15">
        <v>0.28999999999999998</v>
      </c>
      <c r="J5" s="15">
        <v>0.23</v>
      </c>
      <c r="K5" s="15">
        <v>0.28999999999999998</v>
      </c>
      <c r="L5" s="15">
        <v>0.36</v>
      </c>
      <c r="M5" s="15">
        <v>0.28999999999999998</v>
      </c>
      <c r="P5" t="s">
        <v>20</v>
      </c>
      <c r="Q5">
        <v>0.06</v>
      </c>
    </row>
    <row r="6" spans="2:19" x14ac:dyDescent="0.3">
      <c r="B6" s="15">
        <v>0.53</v>
      </c>
      <c r="C6" s="15">
        <v>0.19</v>
      </c>
      <c r="D6" s="15">
        <f>0.36</f>
        <v>0.36</v>
      </c>
      <c r="E6" s="15">
        <v>0.19</v>
      </c>
      <c r="F6" s="15">
        <v>0.19</v>
      </c>
      <c r="G6" s="15">
        <v>0.19</v>
      </c>
      <c r="H6" s="15">
        <v>0.21</v>
      </c>
      <c r="I6" s="15">
        <v>0.19</v>
      </c>
      <c r="J6" s="15">
        <v>0.36</v>
      </c>
      <c r="K6" s="15">
        <v>0.19</v>
      </c>
      <c r="L6" s="15">
        <v>0.54</v>
      </c>
      <c r="M6" s="15">
        <v>0.19</v>
      </c>
    </row>
    <row r="7" spans="2:19" x14ac:dyDescent="0.3">
      <c r="B7" s="15">
        <v>1.21</v>
      </c>
      <c r="C7" s="15">
        <v>0.09</v>
      </c>
      <c r="D7" s="15">
        <v>0.76</v>
      </c>
      <c r="E7" s="15">
        <v>0.09</v>
      </c>
      <c r="F7" s="15">
        <v>0.4</v>
      </c>
      <c r="G7" s="15">
        <v>0.09</v>
      </c>
      <c r="H7" s="15">
        <v>0.43</v>
      </c>
      <c r="I7" s="15">
        <v>0.09</v>
      </c>
      <c r="J7" s="15">
        <v>0.76</v>
      </c>
      <c r="K7" s="15">
        <v>0.09</v>
      </c>
      <c r="L7" s="15">
        <v>1.2</v>
      </c>
      <c r="M7" s="15">
        <v>0.09</v>
      </c>
      <c r="P7" s="34" t="s">
        <v>33</v>
      </c>
      <c r="Q7" s="34"/>
      <c r="R7" s="34"/>
      <c r="S7" s="34"/>
    </row>
    <row r="8" spans="2:19" x14ac:dyDescent="0.3">
      <c r="B8" s="47" t="s">
        <v>22</v>
      </c>
      <c r="C8" s="48"/>
      <c r="D8" s="47" t="s">
        <v>23</v>
      </c>
      <c r="E8" s="48"/>
      <c r="F8" s="47" t="s">
        <v>24</v>
      </c>
      <c r="G8" s="48"/>
      <c r="H8" s="47" t="s">
        <v>25</v>
      </c>
      <c r="I8" s="48"/>
      <c r="J8" s="47" t="s">
        <v>26</v>
      </c>
      <c r="K8" s="48"/>
      <c r="L8" s="47" t="s">
        <v>9</v>
      </c>
      <c r="M8" s="48"/>
      <c r="P8" s="15" t="s">
        <v>32</v>
      </c>
      <c r="Q8" s="15" t="s">
        <v>28</v>
      </c>
      <c r="R8" s="15" t="s">
        <v>29</v>
      </c>
      <c r="S8" s="15" t="s">
        <v>30</v>
      </c>
    </row>
    <row r="9" spans="2:19" x14ac:dyDescent="0.3">
      <c r="B9" s="45">
        <f>(B5*C5+B6*C6+B7*C7)/3</f>
        <v>0.10466666666666667</v>
      </c>
      <c r="C9" s="46"/>
      <c r="D9" s="45">
        <f>(D5*E5+D6*E6+D7*E7)/3</f>
        <v>6.8800000000000014E-2</v>
      </c>
      <c r="E9" s="46"/>
      <c r="F9" s="45">
        <f>(F5*G5+F6*G6+F7*G7)/3</f>
        <v>3.5633333333333329E-2</v>
      </c>
      <c r="G9" s="46"/>
      <c r="H9" s="45">
        <f>(H5*I5+H6*I6+H7*I7)/3</f>
        <v>3.8766666666666665E-2</v>
      </c>
      <c r="I9" s="46"/>
      <c r="J9" s="45">
        <f>(J5*K5+J6*K6+J7*K7)/3</f>
        <v>6.7833333333333343E-2</v>
      </c>
      <c r="K9" s="46"/>
      <c r="L9" s="45">
        <f>(L5*M5+L6*M6+L7*M7)/3</f>
        <v>0.105</v>
      </c>
      <c r="M9" s="46"/>
      <c r="P9" s="21" t="s">
        <v>34</v>
      </c>
      <c r="Q9" s="15">
        <v>175</v>
      </c>
      <c r="R9" s="15">
        <v>6.0000000000000001E-3</v>
      </c>
      <c r="S9" s="22" t="s">
        <v>31</v>
      </c>
    </row>
    <row r="10" spans="2:19" x14ac:dyDescent="0.3">
      <c r="B10" s="40" t="s">
        <v>2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2"/>
      <c r="P10" s="21" t="s">
        <v>15</v>
      </c>
      <c r="Q10" s="15">
        <v>923</v>
      </c>
      <c r="R10" s="15">
        <f>0.10075</f>
        <v>0.10075000000000001</v>
      </c>
      <c r="S10" s="22" t="s">
        <v>31</v>
      </c>
    </row>
    <row r="11" spans="2:19" x14ac:dyDescent="0.3">
      <c r="P11" s="23" t="s">
        <v>35</v>
      </c>
      <c r="Q11" s="15">
        <v>363</v>
      </c>
      <c r="R11" s="15">
        <v>9.9699999999999997E-2</v>
      </c>
      <c r="S11" s="15">
        <v>0.1008</v>
      </c>
    </row>
    <row r="12" spans="2:19" x14ac:dyDescent="0.3">
      <c r="B12" s="43" t="s">
        <v>10</v>
      </c>
      <c r="C12" s="43"/>
      <c r="D12" s="43"/>
      <c r="E12" s="43"/>
      <c r="F12" s="43"/>
      <c r="G12" s="43"/>
      <c r="I12" s="44" t="s">
        <v>11</v>
      </c>
      <c r="J12" s="44"/>
      <c r="K12" s="44"/>
      <c r="L12" s="44"/>
      <c r="M12" s="44"/>
      <c r="N12" s="44"/>
      <c r="P12" s="23" t="s">
        <v>36</v>
      </c>
      <c r="Q12" s="15">
        <v>458</v>
      </c>
      <c r="R12" s="15">
        <v>0.1384</v>
      </c>
      <c r="S12" s="15">
        <v>0.1008</v>
      </c>
    </row>
    <row r="13" spans="2:19" x14ac:dyDescent="0.3">
      <c r="B13" s="15" t="s">
        <v>4</v>
      </c>
      <c r="C13" s="15" t="s">
        <v>5</v>
      </c>
      <c r="D13" s="15" t="s">
        <v>6</v>
      </c>
      <c r="E13" s="15" t="s">
        <v>8</v>
      </c>
      <c r="F13" s="15" t="s">
        <v>7</v>
      </c>
      <c r="G13" s="15" t="s">
        <v>13</v>
      </c>
      <c r="I13" s="15" t="s">
        <v>4</v>
      </c>
      <c r="J13" s="15" t="s">
        <v>5</v>
      </c>
      <c r="K13" s="15" t="s">
        <v>6</v>
      </c>
      <c r="L13" s="15" t="s">
        <v>8</v>
      </c>
      <c r="M13" s="15" t="s">
        <v>7</v>
      </c>
      <c r="N13" s="15" t="s">
        <v>13</v>
      </c>
      <c r="P13" s="21" t="s">
        <v>37</v>
      </c>
      <c r="Q13" s="15">
        <v>288</v>
      </c>
      <c r="R13" s="15">
        <v>0.2177</v>
      </c>
      <c r="S13" s="22" t="s">
        <v>31</v>
      </c>
    </row>
    <row r="14" spans="2:19" x14ac:dyDescent="0.3">
      <c r="B14" s="18">
        <v>0</v>
      </c>
      <c r="C14" s="18">
        <f>7.75/3</f>
        <v>2.5833333333333335</v>
      </c>
      <c r="D14" s="18">
        <f>7.69/3</f>
        <v>2.5633333333333335</v>
      </c>
      <c r="E14" s="18">
        <f>7.82/3</f>
        <v>2.6066666666666669</v>
      </c>
      <c r="F14" s="18">
        <f>B14^2</f>
        <v>0</v>
      </c>
      <c r="G14" s="18">
        <f>AVERAGE(C14:E14)^2</f>
        <v>6.6793530864197548</v>
      </c>
      <c r="I14" s="18">
        <v>0</v>
      </c>
      <c r="J14" s="18">
        <f>7.78/3</f>
        <v>2.5933333333333333</v>
      </c>
      <c r="K14" s="18">
        <f>7.94/3</f>
        <v>2.6466666666666669</v>
      </c>
      <c r="L14" s="18">
        <f>7.94/3</f>
        <v>2.6466666666666669</v>
      </c>
      <c r="M14" s="18">
        <f>I14^2</f>
        <v>0</v>
      </c>
      <c r="N14" s="18">
        <f>AVERAGE(J14:L14)^2</f>
        <v>6.9110567901234576</v>
      </c>
      <c r="P14" s="21" t="s">
        <v>38</v>
      </c>
      <c r="Q14" s="15">
        <v>442</v>
      </c>
      <c r="R14" s="15">
        <v>0.29899999999999999</v>
      </c>
      <c r="S14" s="22" t="s">
        <v>31</v>
      </c>
    </row>
    <row r="15" spans="2:19" x14ac:dyDescent="0.3">
      <c r="B15" s="18">
        <v>0.06</v>
      </c>
      <c r="C15" s="18">
        <f>9.25/3</f>
        <v>3.0833333333333335</v>
      </c>
      <c r="D15" s="18">
        <f>9.19/3</f>
        <v>3.063333333333333</v>
      </c>
      <c r="E15" s="18">
        <f>9.25/3</f>
        <v>3.0833333333333335</v>
      </c>
      <c r="F15" s="18">
        <f t="shared" ref="F15:F20" si="0">B15^2</f>
        <v>3.5999999999999999E-3</v>
      </c>
      <c r="G15" s="18">
        <f t="shared" ref="G15:G20" si="1">AVERAGE(C15:E15)^2</f>
        <v>9.4658777777777772</v>
      </c>
      <c r="I15" s="18">
        <v>0.03</v>
      </c>
      <c r="J15" s="18">
        <f>8.37/3</f>
        <v>2.7899999999999996</v>
      </c>
      <c r="K15" s="18">
        <f>8.31/3</f>
        <v>2.77</v>
      </c>
      <c r="L15" s="18">
        <f>8.35/3</f>
        <v>2.7833333333333332</v>
      </c>
      <c r="M15" s="18">
        <f t="shared" ref="M15:M18" si="2">I15^2</f>
        <v>8.9999999999999998E-4</v>
      </c>
      <c r="N15" s="18">
        <f t="shared" ref="N15:N18" si="3">AVERAGE(J15:L15)^2</f>
        <v>7.7345790123456792</v>
      </c>
      <c r="P15" s="21" t="s">
        <v>39</v>
      </c>
      <c r="Q15" s="15">
        <v>229</v>
      </c>
      <c r="R15" s="15">
        <v>2.9000000000000001E-2</v>
      </c>
      <c r="S15" s="22">
        <v>0.04</v>
      </c>
    </row>
    <row r="16" spans="2:19" x14ac:dyDescent="0.3">
      <c r="B16" s="18">
        <v>0.08</v>
      </c>
      <c r="C16" s="18">
        <f>10.29/3</f>
        <v>3.4299999999999997</v>
      </c>
      <c r="D16" s="18">
        <f>10.28/3</f>
        <v>3.4266666666666663</v>
      </c>
      <c r="E16" s="18">
        <f>10.06/3</f>
        <v>3.3533333333333335</v>
      </c>
      <c r="F16" s="18">
        <f t="shared" si="0"/>
        <v>6.4000000000000003E-3</v>
      </c>
      <c r="G16" s="18">
        <f t="shared" si="1"/>
        <v>11.582677777777775</v>
      </c>
      <c r="I16" s="18">
        <v>0.06</v>
      </c>
      <c r="J16" s="18">
        <f>9.38/3</f>
        <v>3.1266666666666669</v>
      </c>
      <c r="K16" s="18">
        <f>9.41/3</f>
        <v>3.1366666666666667</v>
      </c>
      <c r="L16" s="18">
        <f>9.25/3</f>
        <v>3.0833333333333335</v>
      </c>
      <c r="M16" s="18">
        <f t="shared" si="2"/>
        <v>3.5999999999999999E-3</v>
      </c>
      <c r="N16" s="18">
        <f t="shared" si="3"/>
        <v>9.7066864197530887</v>
      </c>
    </row>
    <row r="17" spans="2:17" x14ac:dyDescent="0.3">
      <c r="B17" s="18">
        <v>0.1</v>
      </c>
      <c r="C17" s="18">
        <f>11.37/3</f>
        <v>3.7899999999999996</v>
      </c>
      <c r="D17" s="18">
        <f>11.41/3</f>
        <v>3.8033333333333332</v>
      </c>
      <c r="E17" s="18">
        <f>11.31/3</f>
        <v>3.77</v>
      </c>
      <c r="F17" s="18">
        <f t="shared" si="0"/>
        <v>1.0000000000000002E-2</v>
      </c>
      <c r="G17" s="18">
        <f t="shared" si="1"/>
        <v>14.347260493827161</v>
      </c>
      <c r="I17" s="18">
        <v>0.09</v>
      </c>
      <c r="J17" s="18">
        <f>10.53/3</f>
        <v>3.51</v>
      </c>
      <c r="K17" s="18">
        <f>10.5/3</f>
        <v>3.5</v>
      </c>
      <c r="L17" s="18">
        <f>10.44/3</f>
        <v>3.48</v>
      </c>
      <c r="M17" s="18">
        <f t="shared" si="2"/>
        <v>8.0999999999999996E-3</v>
      </c>
      <c r="N17" s="18">
        <f t="shared" si="3"/>
        <v>12.226677777777777</v>
      </c>
    </row>
    <row r="18" spans="2:17" x14ac:dyDescent="0.3">
      <c r="B18" s="18">
        <v>0.12</v>
      </c>
      <c r="C18" s="18">
        <f>12.53/3</f>
        <v>4.1766666666666667</v>
      </c>
      <c r="D18" s="18">
        <f>12.5/3</f>
        <v>4.166666666666667</v>
      </c>
      <c r="E18" s="18">
        <f>12.5/3</f>
        <v>4.166666666666667</v>
      </c>
      <c r="F18" s="18">
        <f t="shared" si="0"/>
        <v>1.44E-2</v>
      </c>
      <c r="G18" s="18">
        <f t="shared" si="1"/>
        <v>17.388900000000007</v>
      </c>
      <c r="I18" s="18">
        <v>0.12</v>
      </c>
      <c r="J18" s="18">
        <f>12.28/3</f>
        <v>4.0933333333333328</v>
      </c>
      <c r="K18" s="18">
        <f>12.22/3</f>
        <v>4.0733333333333333</v>
      </c>
      <c r="L18" s="18">
        <f>12/3</f>
        <v>4</v>
      </c>
      <c r="M18" s="18">
        <f t="shared" si="2"/>
        <v>1.44E-2</v>
      </c>
      <c r="N18" s="18">
        <f t="shared" si="3"/>
        <v>16.447530864197528</v>
      </c>
    </row>
    <row r="19" spans="2:17" x14ac:dyDescent="0.3">
      <c r="B19" s="18">
        <v>0.14000000000000001</v>
      </c>
      <c r="C19" s="18">
        <f>14.09/3</f>
        <v>4.6966666666666663</v>
      </c>
      <c r="D19" s="18">
        <f>14.03/3</f>
        <v>4.6766666666666667</v>
      </c>
      <c r="E19" s="18">
        <f>14.06/3</f>
        <v>4.6866666666666665</v>
      </c>
      <c r="F19" s="18">
        <f t="shared" si="0"/>
        <v>1.9600000000000003E-2</v>
      </c>
      <c r="G19" s="18">
        <f t="shared" si="1"/>
        <v>21.964844444444442</v>
      </c>
    </row>
    <row r="20" spans="2:17" x14ac:dyDescent="0.3">
      <c r="B20" s="18">
        <v>0.16</v>
      </c>
      <c r="C20" s="18">
        <f>15.72/3</f>
        <v>5.24</v>
      </c>
      <c r="D20" s="18">
        <f>15.25/3</f>
        <v>5.083333333333333</v>
      </c>
      <c r="E20" s="18">
        <f>15.4/3</f>
        <v>5.1333333333333337</v>
      </c>
      <c r="F20" s="18">
        <f t="shared" si="0"/>
        <v>2.5600000000000001E-2</v>
      </c>
      <c r="G20" s="18">
        <f t="shared" si="1"/>
        <v>26.545393827160492</v>
      </c>
      <c r="I20" s="37" t="s">
        <v>18</v>
      </c>
      <c r="J20" s="37"/>
      <c r="K20" s="37"/>
      <c r="L20" s="37"/>
      <c r="M20" s="37"/>
      <c r="N20" s="37"/>
      <c r="O20" s="37"/>
    </row>
    <row r="21" spans="2:17" x14ac:dyDescent="0.3">
      <c r="I21" s="1" t="s">
        <v>14</v>
      </c>
      <c r="J21" s="19" t="s">
        <v>5</v>
      </c>
      <c r="K21" s="19" t="s">
        <v>6</v>
      </c>
      <c r="L21" s="19" t="s">
        <v>8</v>
      </c>
      <c r="M21" s="19" t="s">
        <v>13</v>
      </c>
      <c r="N21" s="19" t="s">
        <v>16</v>
      </c>
      <c r="O21" s="19" t="s">
        <v>17</v>
      </c>
    </row>
    <row r="22" spans="2:17" x14ac:dyDescent="0.3">
      <c r="I22" s="57" t="s">
        <v>41</v>
      </c>
      <c r="J22" s="58">
        <v>1.5733333333333333</v>
      </c>
      <c r="K22" s="58">
        <v>1.5333333333333332</v>
      </c>
      <c r="L22" s="58">
        <v>1.5433333333333332</v>
      </c>
      <c r="M22" s="58">
        <v>2.4024999999999994</v>
      </c>
      <c r="N22" s="25">
        <v>1.372799590796385E-3</v>
      </c>
      <c r="O22" s="25">
        <v>1.7061584400000001E-3</v>
      </c>
    </row>
    <row r="23" spans="2:17" ht="16.8" customHeight="1" x14ac:dyDescent="0.3">
      <c r="I23" s="57" t="s">
        <v>35</v>
      </c>
      <c r="J23" s="58">
        <v>1.0933333333333333</v>
      </c>
      <c r="K23" s="58">
        <v>1.05</v>
      </c>
      <c r="L23" s="58">
        <v>1.1033333333333333</v>
      </c>
      <c r="M23" s="58">
        <v>1.1712049382716054</v>
      </c>
      <c r="N23" s="25">
        <v>6.6923190842787335E-4</v>
      </c>
      <c r="O23" s="25">
        <v>9.020631674999998E-4</v>
      </c>
    </row>
    <row r="24" spans="2:17" ht="28.8" x14ac:dyDescent="0.3">
      <c r="I24" s="57" t="s">
        <v>36</v>
      </c>
      <c r="J24" s="58">
        <v>0.87333333333333341</v>
      </c>
      <c r="K24" s="58">
        <v>0.88666666666666671</v>
      </c>
      <c r="L24" s="58">
        <v>0.88666666666666671</v>
      </c>
      <c r="M24" s="58">
        <v>0.77831604938271626</v>
      </c>
      <c r="N24" s="25">
        <v>4.4473338360160339E-4</v>
      </c>
      <c r="O24" s="25">
        <v>5.8111970312500012E-4</v>
      </c>
    </row>
    <row r="25" spans="2:17" x14ac:dyDescent="0.3">
      <c r="I25" s="57" t="s">
        <v>15</v>
      </c>
      <c r="J25" s="58">
        <v>1.5233333333333334</v>
      </c>
      <c r="K25" s="58">
        <v>1.5533333333333335</v>
      </c>
      <c r="L25" s="58">
        <v>1.53</v>
      </c>
      <c r="M25" s="58">
        <v>2.3579308641975314</v>
      </c>
      <c r="N25" s="25">
        <v>1.347332580851837E-3</v>
      </c>
      <c r="O25" s="25">
        <v>1.767965888E-3</v>
      </c>
    </row>
    <row r="28" spans="2:17" x14ac:dyDescent="0.3">
      <c r="P28" s="54" t="s">
        <v>14</v>
      </c>
      <c r="Q28" s="19" t="s">
        <v>52</v>
      </c>
    </row>
    <row r="29" spans="2:17" x14ac:dyDescent="0.3">
      <c r="L29" s="8"/>
      <c r="P29" s="1" t="s">
        <v>41</v>
      </c>
      <c r="Q29" s="58">
        <v>0.22832093471537288</v>
      </c>
    </row>
    <row r="30" spans="2:17" x14ac:dyDescent="0.3">
      <c r="L30" s="8"/>
      <c r="P30" s="1" t="s">
        <v>35</v>
      </c>
      <c r="Q30" s="58">
        <v>0.15133589526431473</v>
      </c>
    </row>
    <row r="31" spans="2:17" x14ac:dyDescent="0.3">
      <c r="P31" s="1" t="s">
        <v>36</v>
      </c>
      <c r="Q31" s="58">
        <v>5.793237684821767E-2</v>
      </c>
    </row>
    <row r="32" spans="2:17" x14ac:dyDescent="0.3">
      <c r="P32" s="1" t="s">
        <v>15</v>
      </c>
      <c r="Q32" s="58">
        <v>0.19706112451826421</v>
      </c>
    </row>
  </sheetData>
  <mergeCells count="24">
    <mergeCell ref="I20:O20"/>
    <mergeCell ref="B2:M2"/>
    <mergeCell ref="B3:C3"/>
    <mergeCell ref="D3:E3"/>
    <mergeCell ref="F3:G3"/>
    <mergeCell ref="H3:I3"/>
    <mergeCell ref="J3:K3"/>
    <mergeCell ref="L3:M3"/>
    <mergeCell ref="B10:M10"/>
    <mergeCell ref="B12:G12"/>
    <mergeCell ref="I12:N12"/>
    <mergeCell ref="P7:S7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  <ignoredErrors>
    <ignoredError sqref="D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2021-11-29T15:14:10Z</dcterms:modified>
</cp:coreProperties>
</file>