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slicerCaches/slicerCache14.xml" ContentType="application/vnd.ms-excel.slicerCache+xml"/>
  <Override PartName="/xl/slicerCaches/slicerCache15.xml" ContentType="application/vnd.ms-excel.slicerCache+xml"/>
  <Override PartName="/xl/slicerCaches/slicerCache16.xml" ContentType="application/vnd.ms-excel.slicerCache+xml"/>
  <Override PartName="/xl/slicerCaches/slicerCache17.xml" ContentType="application/vnd.ms-excel.slicerCache+xml"/>
  <Override PartName="/xl/slicerCaches/slicerCache18.xml" ContentType="application/vnd.ms-excel.slicerCache+xml"/>
  <Override PartName="/xl/slicerCaches/slicerCache19.xml" ContentType="application/vnd.ms-excel.slicerCache+xml"/>
  <Override PartName="/xl/slicerCaches/slicerCache20.xml" ContentType="application/vnd.ms-excel.slicerCache+xml"/>
  <Override PartName="/xl/slicerCaches/slicerCache2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tables/table2.xml" ContentType="application/vnd.openxmlformats-officedocument.spreadsheetml.table+xml"/>
  <Override PartName="/xl/slicers/slicer2.xml" ContentType="application/vnd.ms-excel.slicer+xml"/>
  <Override PartName="/xl/tables/table3.xml" ContentType="application/vnd.openxmlformats-officedocument.spreadsheetml.table+xml"/>
  <Override PartName="/xl/pivotTables/pivotTable1.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pivotTables/pivotTable2.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pivotTables/pivotTable3.xml" ContentType="application/vnd.openxmlformats-officedocument.spreadsheetml.pivotTable+xml"/>
  <Override PartName="/xl/drawings/drawing6.xml" ContentType="application/vnd.openxmlformats-officedocument.drawing+xml"/>
  <Override PartName="/xl/slicers/slicer5.xml" ContentType="application/vnd.ms-excel.slicer+xml"/>
  <Override PartName="/xl/pivotTables/pivotTable4.xml" ContentType="application/vnd.openxmlformats-officedocument.spreadsheetml.pivotTable+xml"/>
  <Override PartName="/xl/drawings/drawing7.xml" ContentType="application/vnd.openxmlformats-officedocument.drawing+xml"/>
  <Override PartName="/xl/slicers/slicer6.xml" ContentType="application/vnd.ms-excel.slicer+xml"/>
  <Override PartName="/xl/pivotTables/pivotTable5.xml" ContentType="application/vnd.openxmlformats-officedocument.spreadsheetml.pivotTable+xml"/>
  <Override PartName="/xl/drawings/drawing8.xml" ContentType="application/vnd.openxmlformats-officedocument.drawing+xml"/>
  <Override PartName="/xl/slicers/slicer7.xml" ContentType="application/vnd.ms-excel.slicer+xml"/>
  <Override PartName="/xl/pivotTables/pivotTable6.xml" ContentType="application/vnd.openxmlformats-officedocument.spreadsheetml.pivotTable+xml"/>
  <Override PartName="/xl/tables/table4.xml" ContentType="application/vnd.openxmlformats-officedocument.spreadsheetml.table+xml"/>
  <Override PartName="/xl/pivotTables/pivotTable7.xml" ContentType="application/vnd.openxmlformats-officedocument.spreadsheetml.pivotTable+xml"/>
  <Override PartName="/xl/drawings/drawing9.xml" ContentType="application/vnd.openxmlformats-officedocument.drawing+xml"/>
  <Override PartName="/xl/slicers/slicer8.xml" ContentType="application/vnd.ms-excel.slicer+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2"/>
  <workbookPr hidePivotFieldList="1"/>
  <xr:revisionPtr revIDLastSave="0" documentId="8_{40A57CD1-177A-42E3-8943-13AFE595EA30}" xr6:coauthVersionLast="47" xr6:coauthVersionMax="47" xr10:uidLastSave="{00000000-0000-0000-0000-000000000000}"/>
  <bookViews>
    <workbookView xWindow="240" yWindow="105" windowWidth="14805" windowHeight="8010" xr2:uid="{00000000-000D-0000-FFFF-FFFF00000000}"/>
  </bookViews>
  <sheets>
    <sheet name="Car Data Table" sheetId="1" r:id="rId1"/>
    <sheet name="Charts and Graphs" sheetId="8" r:id="rId2"/>
    <sheet name="Heatmap Cost Table" sheetId="17" r:id="rId3"/>
    <sheet name="Car Cost Table" sheetId="11" r:id="rId4"/>
    <sheet name="Pivot - Brand&amp;Type by Costs" sheetId="9" r:id="rId5"/>
    <sheet name="G2 Pivot - Type by Costs" sheetId="12" r:id="rId6"/>
    <sheet name="Pivot - Cars by Tax Incentives" sheetId="4" r:id="rId7"/>
    <sheet name="Pivot - MSRP by Body&amp;Fuel" sheetId="5" r:id="rId8"/>
    <sheet name="G4 Pivot - Brand by Deprec" sheetId="6" r:id="rId9"/>
    <sheet name="Pivot - Type by Deprec" sheetId="10" r:id="rId10"/>
    <sheet name="Backend_Data_Scatter" sheetId="13" r:id="rId11"/>
    <sheet name="Backend_Data_Pie" sheetId="14" r:id="rId12"/>
    <sheet name="Backend_Data_Pie2" sheetId="15" r:id="rId13"/>
    <sheet name="Backend_Data_Heatmap" sheetId="16" r:id="rId14"/>
    <sheet name="Sources" sheetId="2" r:id="rId15"/>
  </sheets>
  <definedNames>
    <definedName name="Slicer_Body_Type">#N/A</definedName>
    <definedName name="Slicer_Body_Type__Sedan__SUV_etc_">#N/A</definedName>
    <definedName name="Slicer_Body_Type__Sedan__SUV_etc_1">#N/A</definedName>
    <definedName name="Slicer_Body_Type__Sedan__SUV_etc_2">#N/A</definedName>
    <definedName name="Slicer_Body_Type__Sedan__SUV_etc_3">#N/A</definedName>
    <definedName name="Slicer_Body_Type__Sedan__SUV_etc_5">#N/A</definedName>
    <definedName name="Slicer_Brand">#N/A</definedName>
    <definedName name="Slicer_Brand1">#N/A</definedName>
    <definedName name="Slicer_Brand2">#N/A</definedName>
    <definedName name="Slicer_Brand3">#N/A</definedName>
    <definedName name="Slicer_Brand4">#N/A</definedName>
    <definedName name="Slicer_Brand5">#N/A</definedName>
    <definedName name="Slicer_Fuel_Type">#N/A</definedName>
    <definedName name="Slicer_Fuel_Type__Gas_Hybrid_EV__etc_">#N/A</definedName>
    <definedName name="Slicer_Fuel_Type__Gas_Hybrid_EV__etc_1">#N/A</definedName>
    <definedName name="Slicer_Fuel_Type__Gas_Hybrid_EV__etc_2">#N/A</definedName>
    <definedName name="Slicer_Fuel_Type__Gas_Hybrid_EV__etc_3">#N/A</definedName>
    <definedName name="Slicer_Fuel_Type__Gas_Hybrid_EV__etc_4">#N/A</definedName>
    <definedName name="Slicer_Fuel_Type__Gas_Hybrid_EV__etc_5">#N/A</definedName>
    <definedName name="Slicer_Fuel_Type__Gas_Hybrid_EV__etc_6">#N/A</definedName>
    <definedName name="Slicer_Possible_Tax_Credit">#N/A</definedName>
  </definedNames>
  <calcPr calcId="191028"/>
  <pivotCaches>
    <pivotCache cacheId="1554" r:id="rId16"/>
  </pivotCaches>
  <extLst>
    <ext xmlns:x14="http://schemas.microsoft.com/office/spreadsheetml/2009/9/main" uri="{BBE1A952-AA13-448e-AADC-164F8A28A991}">
      <x14:slicerCaches>
        <x14:slicerCache r:id="rId17"/>
        <x14:slicerCache r:id="rId18"/>
        <x14:slicerCache r:id="rId19"/>
        <x14:slicerCache r:id="rId20"/>
        <x14:slicerCache r:id="rId21"/>
        <x14:slicerCache r:id="rId22"/>
        <x14:slicerCache r:id="rId23"/>
        <x14:slicerCache r:id="rId24"/>
        <x14:slicerCache r:id="rId25"/>
        <x14:slicerCache r:id="rId26"/>
        <x14:slicerCache r:id="rId27"/>
        <x14:slicerCache r:id="rId28"/>
        <x14:slicerCache r:id="rId29"/>
        <x14:slicerCache r:id="rId30"/>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1"/>
        <x14:slicerCache r:id="rId32"/>
        <x14:slicerCache r:id="rId33"/>
        <x14:slicerCache r:id="rId34"/>
        <x14:slicerCache r:id="rId35"/>
        <x14:slicerCache r:id="rId36"/>
        <x14:slicerCache r:id="rId37"/>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 i="16" l="1" a="1"/>
  <c r="A1" i="16"/>
  <c r="A1" i="13" a="1"/>
  <c r="A1" i="13"/>
  <c r="O19" i="1"/>
  <c r="O12" i="1"/>
  <c r="O13" i="1"/>
  <c r="O14" i="1"/>
  <c r="O15" i="1"/>
  <c r="O16" i="1"/>
  <c r="O17" i="1"/>
  <c r="O18" i="1"/>
  <c r="O20" i="1"/>
  <c r="O21" i="1"/>
  <c r="O22" i="1"/>
  <c r="O23" i="1"/>
  <c r="O24" i="1"/>
  <c r="O25" i="1"/>
  <c r="O26" i="1"/>
  <c r="O27" i="1"/>
  <c r="O28" i="1"/>
  <c r="O29" i="1"/>
  <c r="O30" i="1"/>
  <c r="O31" i="1"/>
  <c r="O32" i="1"/>
  <c r="O33" i="1"/>
  <c r="O34" i="1"/>
  <c r="O35" i="1"/>
  <c r="O36" i="1"/>
  <c r="O37" i="1"/>
  <c r="O38" i="1"/>
  <c r="O39" i="1"/>
  <c r="O40" i="1"/>
  <c r="O41" i="1"/>
  <c r="O42" i="1"/>
  <c r="O43" i="1"/>
  <c r="O44" i="1"/>
  <c r="O45" i="1"/>
  <c r="O46" i="1"/>
  <c r="O47" i="1"/>
  <c r="O48" i="1"/>
  <c r="O49" i="1"/>
  <c r="O50" i="1"/>
  <c r="O51" i="1"/>
  <c r="O52" i="1"/>
  <c r="O53" i="1"/>
  <c r="O54" i="1"/>
  <c r="O55" i="1"/>
  <c r="O56" i="1"/>
  <c r="O57" i="1"/>
  <c r="O58" i="1"/>
  <c r="O59" i="1"/>
  <c r="O60" i="1"/>
  <c r="O61" i="1"/>
  <c r="O62" i="1"/>
  <c r="O63" i="1"/>
  <c r="O64" i="1"/>
  <c r="O65" i="1"/>
  <c r="O66" i="1"/>
  <c r="O67" i="1"/>
  <c r="O68" i="1"/>
  <c r="O69" i="1"/>
  <c r="O70" i="1"/>
  <c r="O71" i="1"/>
  <c r="O72" i="1"/>
  <c r="O73" i="1"/>
  <c r="O74" i="1"/>
  <c r="O75" i="1"/>
  <c r="O76" i="1"/>
  <c r="O77" i="1"/>
  <c r="O78" i="1"/>
  <c r="O79" i="1"/>
  <c r="O80" i="1"/>
  <c r="O81" i="1"/>
  <c r="O82" i="1"/>
  <c r="O83" i="1"/>
  <c r="O84" i="1"/>
  <c r="O85" i="1"/>
  <c r="O86" i="1"/>
  <c r="O87" i="1"/>
  <c r="O88" i="1"/>
  <c r="O89" i="1"/>
  <c r="O90" i="1"/>
  <c r="O91" i="1"/>
  <c r="O92" i="1"/>
  <c r="O93" i="1"/>
  <c r="O94" i="1"/>
  <c r="O95" i="1"/>
  <c r="AA2" i="11" a="1"/>
  <c r="AA2" i="11"/>
  <c r="G39" i="11"/>
  <c r="G2" i="11"/>
  <c r="G3" i="11"/>
  <c r="G4" i="11"/>
  <c r="G5" i="11"/>
  <c r="G6" i="11"/>
  <c r="G7" i="11"/>
  <c r="G8" i="11"/>
  <c r="G9" i="11"/>
  <c r="G10" i="11"/>
  <c r="G11" i="11"/>
  <c r="G12" i="11"/>
  <c r="G13" i="11"/>
  <c r="G14" i="11"/>
  <c r="G15" i="11"/>
  <c r="G16" i="11"/>
  <c r="G17" i="11"/>
  <c r="G18" i="11"/>
  <c r="G19" i="11"/>
  <c r="G20" i="11"/>
  <c r="G21" i="11"/>
  <c r="G22" i="11"/>
  <c r="G23" i="11"/>
  <c r="G24" i="11"/>
  <c r="G25" i="11"/>
  <c r="G26" i="11"/>
  <c r="G27" i="11"/>
  <c r="G28" i="11"/>
  <c r="G29" i="11"/>
  <c r="G30" i="11"/>
  <c r="G31" i="11"/>
  <c r="G32" i="11"/>
  <c r="G33" i="11"/>
  <c r="G34" i="11"/>
  <c r="G35" i="11"/>
  <c r="G36" i="11"/>
  <c r="G37" i="11"/>
  <c r="G38" i="11"/>
  <c r="G40" i="11"/>
  <c r="G41" i="11"/>
  <c r="G42" i="11"/>
  <c r="G43" i="11"/>
  <c r="G44" i="11"/>
  <c r="G45" i="11"/>
  <c r="G46" i="11"/>
  <c r="G47" i="11"/>
  <c r="G48" i="11"/>
  <c r="G49" i="11"/>
  <c r="G50" i="11"/>
  <c r="G51" i="11"/>
  <c r="G52" i="11"/>
  <c r="G53" i="11"/>
  <c r="G54" i="11"/>
  <c r="G55" i="11"/>
  <c r="G56" i="11"/>
  <c r="G57" i="11"/>
  <c r="G58" i="11"/>
  <c r="G59" i="11"/>
  <c r="G60" i="11"/>
  <c r="G61" i="11"/>
  <c r="G62" i="11"/>
  <c r="G63" i="11"/>
  <c r="G64" i="11"/>
  <c r="G65" i="11"/>
  <c r="G66" i="11"/>
  <c r="G67" i="11"/>
  <c r="G68" i="11"/>
  <c r="G69" i="11"/>
  <c r="G70" i="11"/>
  <c r="G71" i="11"/>
  <c r="G72" i="11"/>
  <c r="G73" i="11"/>
  <c r="G74" i="11"/>
  <c r="G75" i="11"/>
  <c r="G76" i="11"/>
  <c r="G77" i="11"/>
  <c r="G78" i="11"/>
  <c r="G79" i="11"/>
  <c r="G80" i="11"/>
  <c r="G81" i="11"/>
  <c r="G82" i="11"/>
  <c r="G83" i="11"/>
  <c r="G84" i="11"/>
  <c r="G85" i="11"/>
  <c r="U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7" i="1"/>
  <c r="W58" i="1"/>
  <c r="W59" i="1"/>
  <c r="W60" i="1"/>
  <c r="W62" i="1"/>
  <c r="W63" i="1"/>
  <c r="W64" i="1"/>
  <c r="W65" i="1"/>
  <c r="W66" i="1"/>
  <c r="W67" i="1"/>
  <c r="W68" i="1"/>
  <c r="W69" i="1"/>
  <c r="W70" i="1"/>
  <c r="W71" i="1"/>
  <c r="W72" i="1"/>
  <c r="W73" i="1"/>
  <c r="W74" i="1"/>
  <c r="W75" i="1"/>
  <c r="W76" i="1"/>
  <c r="W77" i="1"/>
  <c r="W78" i="1"/>
  <c r="W79" i="1"/>
  <c r="W80" i="1"/>
  <c r="W81" i="1"/>
  <c r="W82" i="1"/>
  <c r="W83" i="1"/>
  <c r="W84" i="1"/>
  <c r="W85" i="1"/>
  <c r="W86" i="1"/>
  <c r="W87" i="1"/>
  <c r="W88" i="1"/>
  <c r="W89" i="1"/>
  <c r="W90" i="1"/>
  <c r="W91" i="1"/>
  <c r="W92" i="1"/>
  <c r="W93" i="1"/>
  <c r="W94" i="1"/>
  <c r="W95" i="1"/>
  <c r="W12" i="1"/>
  <c r="V13" i="1"/>
  <c r="V14" i="1"/>
  <c r="V15" i="1"/>
  <c r="V16" i="1"/>
  <c r="V17" i="1"/>
  <c r="V18" i="1"/>
  <c r="V19" i="1"/>
  <c r="V20" i="1"/>
  <c r="V21" i="1"/>
  <c r="V22" i="1"/>
  <c r="V23" i="1"/>
  <c r="V24" i="1"/>
  <c r="V25" i="1"/>
  <c r="V26" i="1"/>
  <c r="V27" i="1"/>
  <c r="V28" i="1"/>
  <c r="V29" i="1"/>
  <c r="V30" i="1"/>
  <c r="V31" i="1"/>
  <c r="V32" i="1"/>
  <c r="V33" i="1"/>
  <c r="V34" i="1"/>
  <c r="V35" i="1"/>
  <c r="V36" i="1"/>
  <c r="V37" i="1"/>
  <c r="V38" i="1"/>
  <c r="V39" i="1"/>
  <c r="V40" i="1"/>
  <c r="V41" i="1"/>
  <c r="V42" i="1"/>
  <c r="V43" i="1"/>
  <c r="V44" i="1"/>
  <c r="V45" i="1"/>
  <c r="V46" i="1"/>
  <c r="V47" i="1"/>
  <c r="V48" i="1"/>
  <c r="V49" i="1"/>
  <c r="V50" i="1"/>
  <c r="V51" i="1"/>
  <c r="V52" i="1"/>
  <c r="V53" i="1"/>
  <c r="V54" i="1"/>
  <c r="V55" i="1"/>
  <c r="V57" i="1"/>
  <c r="V58" i="1"/>
  <c r="V59" i="1"/>
  <c r="V60" i="1"/>
  <c r="V62" i="1"/>
  <c r="V63" i="1"/>
  <c r="V64" i="1"/>
  <c r="V65" i="1"/>
  <c r="V66" i="1"/>
  <c r="V67" i="1"/>
  <c r="V68" i="1"/>
  <c r="V69" i="1"/>
  <c r="V70" i="1"/>
  <c r="V71" i="1"/>
  <c r="V72" i="1"/>
  <c r="V73" i="1"/>
  <c r="V74" i="1"/>
  <c r="V75" i="1"/>
  <c r="V76" i="1"/>
  <c r="V77" i="1"/>
  <c r="V78" i="1"/>
  <c r="V79" i="1"/>
  <c r="V80" i="1"/>
  <c r="V81" i="1"/>
  <c r="V82" i="1"/>
  <c r="V83" i="1"/>
  <c r="V84" i="1"/>
  <c r="V85" i="1"/>
  <c r="V86" i="1"/>
  <c r="V87" i="1"/>
  <c r="V88" i="1"/>
  <c r="V89" i="1"/>
  <c r="V90" i="1"/>
  <c r="V91" i="1"/>
  <c r="V92" i="1"/>
  <c r="V93" i="1"/>
  <c r="V94" i="1"/>
  <c r="V95" i="1"/>
  <c r="V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7" i="1"/>
  <c r="U58" i="1"/>
  <c r="U59" i="1"/>
  <c r="U60" i="1"/>
  <c r="U62" i="1"/>
  <c r="U63" i="1"/>
  <c r="U64" i="1"/>
  <c r="U65" i="1"/>
  <c r="U66" i="1"/>
  <c r="U67" i="1"/>
  <c r="U68" i="1"/>
  <c r="U69" i="1"/>
  <c r="U71" i="1"/>
  <c r="U72" i="1"/>
  <c r="U73" i="1"/>
  <c r="U74" i="1"/>
  <c r="U75" i="1"/>
  <c r="U76" i="1"/>
  <c r="U77" i="1"/>
  <c r="U78" i="1"/>
  <c r="U79" i="1"/>
  <c r="U80" i="1"/>
  <c r="U81" i="1"/>
  <c r="U82" i="1"/>
  <c r="U83" i="1"/>
  <c r="U84" i="1"/>
  <c r="U86" i="1"/>
  <c r="U87" i="1"/>
  <c r="U88" i="1"/>
  <c r="U94" i="1"/>
  <c r="R95" i="1"/>
  <c r="U95" i="1" s="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7" i="1"/>
  <c r="M58" i="1"/>
  <c r="M59" i="1"/>
  <c r="M60"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12" i="1"/>
  <c r="P56" i="1"/>
  <c r="R56" i="1"/>
  <c r="P61" i="1"/>
  <c r="R61" i="1"/>
  <c r="R70" i="1"/>
  <c r="U70" i="1" s="1"/>
  <c r="R76" i="1"/>
  <c r="R85" i="1"/>
  <c r="U85" i="1" s="1"/>
  <c r="R89" i="1"/>
  <c r="U89" i="1" s="1"/>
  <c r="R90" i="1"/>
  <c r="U90" i="1" s="1"/>
  <c r="R91" i="1"/>
  <c r="U91" i="1" s="1"/>
  <c r="R92" i="1"/>
  <c r="U92" i="1" s="1"/>
  <c r="R93" i="1"/>
  <c r="U93" i="1" s="1"/>
  <c r="W61" i="1" l="1"/>
  <c r="V61" i="1"/>
  <c r="U61" i="1"/>
  <c r="W56" i="1"/>
  <c r="V56" i="1"/>
  <c r="U56" i="1"/>
  <c r="M61" i="1"/>
  <c r="M56"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<sst xmlns="http://schemas.openxmlformats.org/spreadsheetml/2006/main" count="1653" uniqueCount="240">
  <si>
    <t>Brand</t>
  </si>
  <si>
    <t>Model</t>
  </si>
  <si>
    <t>Body Type (Sedan/ SUV/etc)</t>
  </si>
  <si>
    <t>Fuel Type (Gas/Hybrid/EV/ etc)</t>
  </si>
  <si>
    <t>MSRP ($)</t>
  </si>
  <si>
    <t>MPG (City/Hwy)</t>
  </si>
  <si>
    <t>MPGe (Electric)</t>
  </si>
  <si>
    <t>Est. Range (miles)</t>
  </si>
  <si>
    <t>Annual Fuel Cost (Regular Gas)</t>
  </si>
  <si>
    <t>Annual Fuel Cost (Premium Gas)</t>
  </si>
  <si>
    <t>Annual Electricity Cost ($)</t>
  </si>
  <si>
    <t>Fuel Credits? (Fuel Cell)</t>
  </si>
  <si>
    <t>Annual Maintenance Cost ($)</t>
  </si>
  <si>
    <t>Battery Warranty</t>
  </si>
  <si>
    <t>5-Year Fuel Cost (Gas/Electric/etc)</t>
  </si>
  <si>
    <t>5-Year Maintenance Cost ($)</t>
  </si>
  <si>
    <t>MaintenanceWarranty Notes</t>
  </si>
  <si>
    <t>Depreciation After 5 Years ($)</t>
  </si>
  <si>
    <t>Insurance Costs After 5 Years ($)</t>
  </si>
  <si>
    <t>Possible Tax Credit ($)</t>
  </si>
  <si>
    <t>Total Cost of Ownership (TCO) Over 5 Years - Including Depreciation</t>
  </si>
  <si>
    <t>Total Running Cost Over 5 Years</t>
  </si>
  <si>
    <t>Total Money Spent Over 5 Years - Excluding Depreciation</t>
  </si>
  <si>
    <t>Honda</t>
  </si>
  <si>
    <t>HR-V</t>
  </si>
  <si>
    <t>SUV</t>
  </si>
  <si>
    <t>Gas</t>
  </si>
  <si>
    <t>26/32</t>
  </si>
  <si>
    <t>Default Insurance Cost:</t>
  </si>
  <si>
    <t>CR-V</t>
  </si>
  <si>
    <t>28/34</t>
  </si>
  <si>
    <t>CR-V Hybrid</t>
  </si>
  <si>
    <t>Hybrid EV</t>
  </si>
  <si>
    <t>43/36</t>
  </si>
  <si>
    <t>Passport</t>
  </si>
  <si>
    <t>19/25</t>
  </si>
  <si>
    <t>Pilot</t>
  </si>
  <si>
    <t>19/27</t>
  </si>
  <si>
    <t>Prologue</t>
  </si>
  <si>
    <t>Battery EV</t>
  </si>
  <si>
    <t>8 years / 100k miles</t>
  </si>
  <si>
    <t>CR-V e:FCEV</t>
  </si>
  <si>
    <t>Fuel Cell EV</t>
  </si>
  <si>
    <t>94/79</t>
  </si>
  <si>
    <t>Yes ($15,000)</t>
  </si>
  <si>
    <t>1 year</t>
  </si>
  <si>
    <t>Civic Sedan</t>
  </si>
  <si>
    <t>Sedan</t>
  </si>
  <si>
    <t>32/41</t>
  </si>
  <si>
    <t>Civic Sedan Hybrid</t>
  </si>
  <si>
    <t>50/47</t>
  </si>
  <si>
    <t>Civic Si Sedan</t>
  </si>
  <si>
    <t>27/37</t>
  </si>
  <si>
    <t>Accord</t>
  </si>
  <si>
    <t>29/37</t>
  </si>
  <si>
    <t>Accord Hybrid</t>
  </si>
  <si>
    <t>46/41</t>
  </si>
  <si>
    <t>Civic Hatchback</t>
  </si>
  <si>
    <t>Hatchback</t>
  </si>
  <si>
    <t>30/38</t>
  </si>
  <si>
    <t>Civic Hatchback Hybrid</t>
  </si>
  <si>
    <t>50/45</t>
  </si>
  <si>
    <t>Odyssey</t>
  </si>
  <si>
    <t>Minivan</t>
  </si>
  <si>
    <t>19/28</t>
  </si>
  <si>
    <t>Ridgeline</t>
  </si>
  <si>
    <t>Truck</t>
  </si>
  <si>
    <t>18/24</t>
  </si>
  <si>
    <t>Toyota</t>
  </si>
  <si>
    <t>Corolla</t>
  </si>
  <si>
    <t>Corolla Hybrid</t>
  </si>
  <si>
    <t>53/46</t>
  </si>
  <si>
    <t>Corolla Hatchback</t>
  </si>
  <si>
    <t>Prius</t>
  </si>
  <si>
    <t>57/56</t>
  </si>
  <si>
    <t>Prius Plug-in Hybrid</t>
  </si>
  <si>
    <t>Plug-in Hybrid EV</t>
  </si>
  <si>
    <t>53/51</t>
  </si>
  <si>
    <t>Camry</t>
  </si>
  <si>
    <t>46/46</t>
  </si>
  <si>
    <t>Toyota Crown</t>
  </si>
  <si>
    <t>42/41</t>
  </si>
  <si>
    <t>Mirai</t>
  </si>
  <si>
    <t>76/71</t>
  </si>
  <si>
    <t>Yes ($15,000 fuel / 6 years)</t>
  </si>
  <si>
    <t>3 year</t>
  </si>
  <si>
    <t>GR86</t>
  </si>
  <si>
    <t>20/26</t>
  </si>
  <si>
    <t>GR Corolla</t>
  </si>
  <si>
    <t>21/28</t>
  </si>
  <si>
    <t>GR Supra</t>
  </si>
  <si>
    <t>23/31</t>
  </si>
  <si>
    <t>Sienna</t>
  </si>
  <si>
    <t>36/36</t>
  </si>
  <si>
    <t>Tacoma</t>
  </si>
  <si>
    <t>19/24</t>
  </si>
  <si>
    <t>Tacoma i-FORCE MAX</t>
  </si>
  <si>
    <t>Tundra</t>
  </si>
  <si>
    <t>17/22</t>
  </si>
  <si>
    <t>Tundra i-FORCE MAX</t>
  </si>
  <si>
    <t>Corolla Cross</t>
  </si>
  <si>
    <t>31/33</t>
  </si>
  <si>
    <t>Corolla Cross Hybrid</t>
  </si>
  <si>
    <t>45/38</t>
  </si>
  <si>
    <t>RAV4</t>
  </si>
  <si>
    <t>25/33</t>
  </si>
  <si>
    <t>RAV4 Hybrid</t>
  </si>
  <si>
    <t>41/38</t>
  </si>
  <si>
    <t>RAV4 Plug-in Hybrid</t>
  </si>
  <si>
    <t>40/36</t>
  </si>
  <si>
    <t>Highlander</t>
  </si>
  <si>
    <t>22/29</t>
  </si>
  <si>
    <t>Highlander Hybrid</t>
  </si>
  <si>
    <t>35/35</t>
  </si>
  <si>
    <t>4Runner</t>
  </si>
  <si>
    <t>4Runner i-FORCE MAX</t>
  </si>
  <si>
    <t>bZ4X</t>
  </si>
  <si>
    <t>Grand Highlander</t>
  </si>
  <si>
    <t>Grand Highlander Hybrid</t>
  </si>
  <si>
    <t>36/32</t>
  </si>
  <si>
    <t>Toyata Crown Signia</t>
  </si>
  <si>
    <t>39/37</t>
  </si>
  <si>
    <t>Land Cruiser</t>
  </si>
  <si>
    <t>22/25</t>
  </si>
  <si>
    <t>Sequoia</t>
  </si>
  <si>
    <t>21/24</t>
  </si>
  <si>
    <t>Tesla</t>
  </si>
  <si>
    <t>Model 3 (Long Range All-Wheel Drive)</t>
  </si>
  <si>
    <t>145/128</t>
  </si>
  <si>
    <t>Model Y (Long Range All-Wheel Drive)</t>
  </si>
  <si>
    <t>134/117</t>
  </si>
  <si>
    <t>8 years / 120k miles</t>
  </si>
  <si>
    <t>Cybertruck (All-Wheel Drive)</t>
  </si>
  <si>
    <t>8 years / 150k miles</t>
  </si>
  <si>
    <t>Model X (All-Wheel Drive)</t>
  </si>
  <si>
    <t>107/97</t>
  </si>
  <si>
    <t>Model S (All-Wheel Drive)</t>
  </si>
  <si>
    <t>127/116</t>
  </si>
  <si>
    <t>Hyundai</t>
  </si>
  <si>
    <t>Venue</t>
  </si>
  <si>
    <t>29/33</t>
  </si>
  <si>
    <t>Kona</t>
  </si>
  <si>
    <t>29/34</t>
  </si>
  <si>
    <t>Kona Electric</t>
  </si>
  <si>
    <t>10 years / 100k miles</t>
  </si>
  <si>
    <t>Santa Cruz</t>
  </si>
  <si>
    <t>22/30</t>
  </si>
  <si>
    <t>Tucson</t>
  </si>
  <si>
    <t>Tucson Hybrid</t>
  </si>
  <si>
    <t>38/38</t>
  </si>
  <si>
    <t>Tucson Plug-in Hybrid</t>
  </si>
  <si>
    <t>Santa Fe</t>
  </si>
  <si>
    <t>20/29</t>
  </si>
  <si>
    <t>Santa Fe Hybrid</t>
  </si>
  <si>
    <t>36/35</t>
  </si>
  <si>
    <t>Palisade</t>
  </si>
  <si>
    <t>19/26</t>
  </si>
  <si>
    <t>Ioniq 5</t>
  </si>
  <si>
    <t>Ioniq 5 N</t>
  </si>
  <si>
    <t>120 month / 100k miles</t>
  </si>
  <si>
    <t>NEXO Fuel Cell</t>
  </si>
  <si>
    <t>Yes ($15,000 / 3 years)</t>
  </si>
  <si>
    <t>Elantra</t>
  </si>
  <si>
    <t>Elantra Hybrid</t>
  </si>
  <si>
    <t>51/58</t>
  </si>
  <si>
    <t>Elantra N</t>
  </si>
  <si>
    <t>21/29</t>
  </si>
  <si>
    <t>Sonata Gas &amp; Hybrid</t>
  </si>
  <si>
    <t>28/38</t>
  </si>
  <si>
    <t>Ioniq 6</t>
  </si>
  <si>
    <t>Ford</t>
  </si>
  <si>
    <t>Mustang</t>
  </si>
  <si>
    <t>21/32</t>
  </si>
  <si>
    <t>Escape Hybrid</t>
  </si>
  <si>
    <t>42/36</t>
  </si>
  <si>
    <t>Bronco Sport</t>
  </si>
  <si>
    <t>25/29</t>
  </si>
  <si>
    <t>Bronco</t>
  </si>
  <si>
    <t>Explorer</t>
  </si>
  <si>
    <t>18/25</t>
  </si>
  <si>
    <t>Edge</t>
  </si>
  <si>
    <t>Mustang Mach-E</t>
  </si>
  <si>
    <t>Expedition</t>
  </si>
  <si>
    <t>17/23</t>
  </si>
  <si>
    <t>Maverick</t>
  </si>
  <si>
    <t>23/30</t>
  </si>
  <si>
    <t>Ranger</t>
  </si>
  <si>
    <t>21/25</t>
  </si>
  <si>
    <t>F-150</t>
  </si>
  <si>
    <t>22/24</t>
  </si>
  <si>
    <t>E-Transit</t>
  </si>
  <si>
    <t>F-150 Lightning</t>
  </si>
  <si>
    <t>Transit</t>
  </si>
  <si>
    <t>15/19</t>
  </si>
  <si>
    <t>Body Type</t>
  </si>
  <si>
    <t>Fuel Type</t>
  </si>
  <si>
    <t>MSRP</t>
  </si>
  <si>
    <t>Total Cost Ownership 5YRS</t>
  </si>
  <si>
    <t>Total Running Costs 5YRS</t>
  </si>
  <si>
    <t>Possible Tax Credit</t>
  </si>
  <si>
    <t>Total $ Spent Over 5 Yrs</t>
  </si>
  <si>
    <t>Extra Costs Over 5 Yrs</t>
  </si>
  <si>
    <t/>
  </si>
  <si>
    <t>Count</t>
  </si>
  <si>
    <t>Avg MSRP</t>
  </si>
  <si>
    <t>Avg TCO 5yrs</t>
  </si>
  <si>
    <t>Avg Run Costs 5yrs</t>
  </si>
  <si>
    <t>Avg $ Spent 5 Years</t>
  </si>
  <si>
    <t>Ford Total</t>
  </si>
  <si>
    <t>Honda Total</t>
  </si>
  <si>
    <t>Hyundai Total</t>
  </si>
  <si>
    <t>Tesla Total</t>
  </si>
  <si>
    <t>Toyota Total</t>
  </si>
  <si>
    <t>Grand Total</t>
  </si>
  <si>
    <t>Average of MSRP ($)</t>
  </si>
  <si>
    <t>Average of 5-Year Fuel Cost (Gas/Electric/etc)</t>
  </si>
  <si>
    <t>Average of Insurance Costs After 5 Years ($)</t>
  </si>
  <si>
    <t>Average of Depreciation After 5 Years ($)</t>
  </si>
  <si>
    <t>(All)</t>
  </si>
  <si>
    <t>(Multiple Items)</t>
  </si>
  <si>
    <t>Count Tax Credit</t>
  </si>
  <si>
    <t>Max Tax Credit</t>
  </si>
  <si>
    <t>Average of 5-Year Maintenance Cost ($)</t>
  </si>
  <si>
    <t>Sources</t>
  </si>
  <si>
    <t>Uses</t>
  </si>
  <si>
    <t>Notes</t>
  </si>
  <si>
    <t>https://www.honda.com/</t>
  </si>
  <si>
    <t>brand, model, body type, fuel type, msrp, mpg, mpge, est range</t>
  </si>
  <si>
    <t>https://www.toyota.com/</t>
  </si>
  <si>
    <t>https://www.tesla.com/</t>
  </si>
  <si>
    <t>https://www.hyundaiusa.com/</t>
  </si>
  <si>
    <t>https://www.ford.com/</t>
  </si>
  <si>
    <t>https://www.fueleconomy.gov/</t>
  </si>
  <si>
    <t>fuel costs</t>
  </si>
  <si>
    <t>https://www.edmunds.com/tco.html</t>
  </si>
  <si>
    <t>5 year maintenance costs, 5 year depreciation values, 5 year insurance costs</t>
  </si>
  <si>
    <t>Gemini 2.0</t>
  </si>
  <si>
    <t>fuel credits for fuel cell EVs, fuel costs, 5 year maintenance costs, 5 year depreciation values, battery warranty details, maintenance warranty details for fuel cell EVs, Tesla MPG estimates, potential tax credits</t>
  </si>
  <si>
    <t xml:space="preserve">For missing or incomplete data in the above sources, Gemini 2.0 was used to estimate or supplement values. </t>
  </si>
  <si>
    <t>Disclaimer: This project is for personal and educational purposes only. All data, calculations, and visualizations are based on publicly available sources and estimations. The information presented should not be considered financial, automotive, or investment advice. Please conduct your own research or consult professionals before making any purchasing decisions.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</si>
</sst>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409]* #,##0.00_);_([$$-409]* \(#,##0.00\);_([$$-409]* &quot;-&quot;??_);_(@_)"/>
  </numFmts>
  <fonts count="7">
    <font>
      <sz val="11"/>
      <color theme="1"/>
      <name val="Aptos Narrow"/>
      <family val="2"/>
      <scheme val="minor"/>
    </font>
    <font>
      <sz val="11"/>
      <color rgb="FF000000"/>
      <name val="Aptos Narrow"/>
      <charset val="1"/>
    </font>
    <font>
      <u/>
      <sz val="11"/>
      <color theme="10"/>
      <name val="Aptos Narrow"/>
      <family val="2"/>
      <scheme val="minor"/>
    </font>
    <font>
      <b/>
      <sz val="11"/>
      <color theme="1"/>
      <name val="Aptos Display"/>
      <scheme val="major"/>
    </font>
    <font>
      <sz val="11"/>
      <color theme="1"/>
      <name val="Aptos Display"/>
      <scheme val="major"/>
    </font>
    <font>
      <sz val="11"/>
      <color rgb="FF000000"/>
      <name val="Aptos Display"/>
      <charset val="1"/>
    </font>
    <font>
      <b/>
      <sz val="11"/>
      <color theme="1"/>
      <name val="Aptos Narrow"/>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0" fontId="1" fillId="0" borderId="0" xfId="0" applyFont="1"/>
    <xf numFmtId="0" fontId="2" fillId="0" borderId="0" xfId="1"/>
    <xf numFmtId="0" fontId="3" fillId="0" borderId="0" xfId="0" applyFont="1" applyAlignment="1">
      <alignment horizontal="left" vertical="center" wrapText="1"/>
    </xf>
    <xf numFmtId="0" fontId="4" fillId="0" borderId="0" xfId="0" applyFont="1"/>
    <xf numFmtId="164" fontId="4" fillId="0" borderId="0" xfId="0" applyNumberFormat="1" applyFont="1"/>
    <xf numFmtId="49" fontId="4" fillId="0" borderId="0" xfId="0" applyNumberFormat="1" applyFont="1"/>
    <xf numFmtId="1" fontId="4" fillId="0" borderId="0" xfId="0" applyNumberFormat="1" applyFont="1"/>
    <xf numFmtId="49" fontId="5" fillId="0" borderId="0" xfId="0" applyNumberFormat="1" applyFont="1"/>
    <xf numFmtId="164" fontId="0" fillId="0" borderId="0" xfId="0" applyNumberFormat="1"/>
    <xf numFmtId="0" fontId="0" fillId="0" borderId="0" xfId="0" pivotButton="1"/>
    <xf numFmtId="0" fontId="6" fillId="2" borderId="0" xfId="0" applyFont="1" applyFill="1"/>
    <xf numFmtId="0" fontId="2" fillId="0" borderId="0" xfId="1" applyAlignment="1">
      <alignment horizontal="left" vertical="center"/>
    </xf>
    <xf numFmtId="0" fontId="0" fillId="0" borderId="0" xfId="0" applyAlignment="1">
      <alignment horizontal="left" vertical="center"/>
    </xf>
    <xf numFmtId="0" fontId="0" fillId="0" borderId="0" xfId="0" applyAlignment="1">
      <alignment horizontal="left" vertical="center" wrapText="1"/>
    </xf>
    <xf numFmtId="0" fontId="6" fillId="0" borderId="0" xfId="0" applyFont="1" applyAlignment="1">
      <alignment vertical="center"/>
    </xf>
    <xf numFmtId="0" fontId="6" fillId="0" borderId="0" xfId="0" applyFont="1"/>
    <xf numFmtId="0" fontId="0" fillId="0" borderId="0" xfId="0" applyAlignment="1">
      <alignment wrapText="1"/>
    </xf>
  </cellXfs>
  <cellStyles count="2">
    <cellStyle name="Hyperlink" xfId="1" builtinId="8"/>
    <cellStyle name="Normal" xfId="0" builtinId="0"/>
  </cellStyles>
  <dxfs count="52">
    <dxf>
      <alignment horizontal="left" vertical="center"/>
    </dxf>
    <dxf>
      <alignment horizontal="left" vertical="center"/>
    </dxf>
    <dxf>
      <alignment horizontal="left" vertical="center"/>
    </dxf>
    <dxf>
      <alignment horizontal="left" vertical="center"/>
    </dxf>
    <dxf>
      <font>
        <b/>
        <i val="0"/>
        <strike val="0"/>
        <condense val="0"/>
        <extend val="0"/>
        <outline val="0"/>
        <shadow val="0"/>
        <u val="none"/>
        <vertAlign val="baseline"/>
        <sz val="11"/>
        <color theme="1"/>
        <name val="Aptos Narrow"/>
        <family val="2"/>
        <scheme val="minor"/>
      </font>
      <fill>
        <patternFill patternType="solid">
          <fgColor indexed="64"/>
          <bgColor theme="2" tint="-9.9978637043366805E-2"/>
        </patternFill>
      </fill>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font>
        <b/>
      </font>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font>
        <b/>
        <i val="0"/>
        <strike val="0"/>
        <condense val="0"/>
        <extend val="0"/>
        <outline val="0"/>
        <shadow val="0"/>
        <u val="none"/>
        <vertAlign val="baseline"/>
        <sz val="11"/>
        <color theme="1"/>
        <name val="Aptos Narrow"/>
        <family val="2"/>
        <scheme val="minor"/>
      </font>
      <alignment vertical="center"/>
    </dxf>
    <dxf>
      <numFmt numFmtId="164" formatCode="_([$$-409]* #,##0.00_);_([$$-409]* \(#,##0.00\);_([$$-409]* &quot;-&quot;??_);_(@_)"/>
    </dxf>
    <dxf>
      <numFmt numFmtId="164" formatCode="_([$$-409]* #,##0.00_);_([$$-409]* \(#,##0.00\);_([$$-409]* &quot;-&quot;??_);_(@_)"/>
    </dxf>
    <dxf>
      <numFmt numFmtId="164" formatCode="_([$$-409]* #,##0.00_);_([$$-409]* \(#,##0.00\);_([$$-409]* &quot;-&quot;??_);_(@_)"/>
    </dxf>
    <dxf>
      <numFmt numFmtId="164" formatCode="_([$$-409]* #,##0.00_);_([$$-409]* \(#,##0.00\);_([$$-409]* &quot;-&quot;??_);_(@_)"/>
    </dxf>
    <dxf>
      <font>
        <b/>
      </font>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numFmt numFmtId="1" formatCode="0"/>
    </dxf>
    <dxf>
      <font>
        <b val="0"/>
        <i val="0"/>
        <strike val="0"/>
        <condense val="0"/>
        <extend val="0"/>
        <outline val="0"/>
        <shadow val="0"/>
        <u val="none"/>
        <vertAlign val="baseline"/>
        <sz val="11"/>
        <color theme="1"/>
        <name val="Aptos Display"/>
        <scheme val="major"/>
      </font>
      <numFmt numFmtId="30" formatCode="@"/>
    </dxf>
    <dxf>
      <font>
        <b val="0"/>
        <i val="0"/>
        <strike val="0"/>
        <condense val="0"/>
        <extend val="0"/>
        <outline val="0"/>
        <shadow val="0"/>
        <u val="none"/>
        <vertAlign val="baseline"/>
        <sz val="11"/>
        <color theme="1"/>
        <name val="Aptos Display"/>
        <scheme val="major"/>
      </font>
      <numFmt numFmtId="30" formatCode="@"/>
    </dxf>
    <dxf>
      <font>
        <b val="0"/>
        <i val="0"/>
        <strike val="0"/>
        <condense val="0"/>
        <extend val="0"/>
        <outline val="0"/>
        <shadow val="0"/>
        <u val="none"/>
        <vertAlign val="baseline"/>
        <sz val="11"/>
        <color theme="1"/>
        <name val="Aptos Display"/>
        <scheme val="major"/>
      </font>
      <numFmt numFmtId="164" formatCode="_([$$-409]* #,##0.00_);_([$$-409]* \(#,##0.00\);_([$$-409]* &quot;-&quot;??_);_(@_)"/>
    </dxf>
    <dxf>
      <font>
        <b val="0"/>
        <i val="0"/>
        <strike val="0"/>
        <condense val="0"/>
        <extend val="0"/>
        <outline val="0"/>
        <shadow val="0"/>
        <u val="none"/>
        <vertAlign val="baseline"/>
        <sz val="11"/>
        <color theme="1"/>
        <name val="Aptos Display"/>
        <scheme val="major"/>
      </font>
    </dxf>
    <dxf>
      <font>
        <b val="0"/>
        <i val="0"/>
        <strike val="0"/>
        <condense val="0"/>
        <extend val="0"/>
        <outline val="0"/>
        <shadow val="0"/>
        <u val="none"/>
        <vertAlign val="baseline"/>
        <sz val="11"/>
        <color theme="1"/>
        <name val="Aptos Display"/>
        <scheme val="major"/>
      </font>
    </dxf>
    <dxf>
      <font>
        <b val="0"/>
        <i val="0"/>
        <strike val="0"/>
        <condense val="0"/>
        <extend val="0"/>
        <outline val="0"/>
        <shadow val="0"/>
        <u val="none"/>
        <vertAlign val="baseline"/>
        <sz val="11"/>
        <color theme="1"/>
        <name val="Aptos Display"/>
        <scheme val="major"/>
      </font>
    </dxf>
    <dxf>
      <font>
        <b val="0"/>
        <i val="0"/>
        <strike val="0"/>
        <condense val="0"/>
        <extend val="0"/>
        <outline val="0"/>
        <shadow val="0"/>
        <u val="none"/>
        <vertAlign val="baseline"/>
        <sz val="11"/>
        <color theme="1"/>
        <name val="Aptos Display"/>
        <scheme val="major"/>
      </font>
    </dxf>
    <dxf>
      <font>
        <b val="0"/>
        <i val="0"/>
        <strike val="0"/>
        <condense val="0"/>
        <extend val="0"/>
        <outline val="0"/>
        <shadow val="0"/>
        <u val="none"/>
        <vertAlign val="baseline"/>
        <sz val="11"/>
        <color theme="1"/>
        <name val="Aptos Display"/>
        <scheme val="major"/>
      </font>
    </dxf>
    <dxf>
      <font>
        <b/>
        <i val="0"/>
        <strike val="0"/>
        <condense val="0"/>
        <extend val="0"/>
        <outline val="0"/>
        <shadow val="0"/>
        <u val="none"/>
        <vertAlign val="baseline"/>
        <sz val="11"/>
        <color theme="1"/>
        <name val="Aptos Display"/>
        <scheme val="major"/>
      </font>
      <alignment horizontal="left" vertical="center" textRotation="0" wrapText="1" indent="0" justifyLastLine="0" shrinkToFit="0" readingOrder="0"/>
    </dxf>
    <dxf>
      <font>
        <color theme="1"/>
      </font>
      <fill>
        <patternFill patternType="solid">
          <bgColor theme="7" tint="0.79998168889431442"/>
        </patternFill>
      </fill>
    </dxf>
    <dxf>
      <font>
        <color theme="1"/>
      </font>
      <fill>
        <patternFill patternType="solid">
          <bgColor theme="9" tint="0.79998168889431442"/>
        </patternFill>
      </fill>
    </dxf>
    <dxf>
      <font>
        <color rgb="FF9C0006"/>
      </font>
      <fill>
        <patternFill>
          <bgColor rgb="FFFFC7CE"/>
        </patternFill>
      </fill>
    </dxf>
    <dxf>
      <numFmt numFmtId="164" formatCode="_([$$-409]* #,##0.00_);_([$$-409]* \(#,##0.00\);_([$$-409]* &quot;-&quot;??_);_(@_)"/>
    </dxf>
    <dxf>
      <numFmt numFmtId="164" formatCode="_([$$-409]* #,##0.00_);_([$$-409]* \(#,##0.00\);_([$$-409]* &quot;-&quot;??_);_(@_)"/>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microsoft.com/office/2007/relationships/slicerCache" Target="slicerCaches/slicerCache2.xml"/><Relationship Id="rId26" Type="http://schemas.microsoft.com/office/2007/relationships/slicerCache" Target="slicerCaches/slicerCache10.xml"/><Relationship Id="rId39" Type="http://schemas.openxmlformats.org/officeDocument/2006/relationships/styles" Target="styles.xml"/><Relationship Id="rId21" Type="http://schemas.microsoft.com/office/2007/relationships/slicerCache" Target="slicerCaches/slicerCache5.xml"/><Relationship Id="rId34" Type="http://schemas.microsoft.com/office/2007/relationships/slicerCache" Target="slicerCaches/slicerCache18.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4.xml"/><Relationship Id="rId29" Type="http://schemas.microsoft.com/office/2007/relationships/slicerCache" Target="slicerCaches/slicerCache13.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8.xml"/><Relationship Id="rId32" Type="http://schemas.microsoft.com/office/2007/relationships/slicerCache" Target="slicerCaches/slicerCache16.xml"/><Relationship Id="rId37" Type="http://schemas.microsoft.com/office/2007/relationships/slicerCache" Target="slicerCaches/slicerCache21.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7.xml"/><Relationship Id="rId28" Type="http://schemas.microsoft.com/office/2007/relationships/slicerCache" Target="slicerCaches/slicerCache12.xml"/><Relationship Id="rId36" Type="http://schemas.microsoft.com/office/2007/relationships/slicerCache" Target="slicerCaches/slicerCache20.xml"/><Relationship Id="rId10" Type="http://schemas.openxmlformats.org/officeDocument/2006/relationships/worksheet" Target="worksheets/sheet10.xml"/><Relationship Id="rId19" Type="http://schemas.microsoft.com/office/2007/relationships/slicerCache" Target="slicerCaches/slicerCache3.xml"/><Relationship Id="rId31" Type="http://schemas.microsoft.com/office/2007/relationships/slicerCache" Target="slicerCaches/slicerCache15.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6.xml"/><Relationship Id="rId27" Type="http://schemas.microsoft.com/office/2007/relationships/slicerCache" Target="slicerCaches/slicerCache11.xml"/><Relationship Id="rId30" Type="http://schemas.microsoft.com/office/2007/relationships/slicerCache" Target="slicerCaches/slicerCache14.xml"/><Relationship Id="rId35" Type="http://schemas.microsoft.com/office/2007/relationships/slicerCache" Target="slicerCaches/slicerCache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1.xml"/><Relationship Id="rId25" Type="http://schemas.microsoft.com/office/2007/relationships/slicerCache" Target="slicerCaches/slicerCache9.xml"/><Relationship Id="rId33" Type="http://schemas.microsoft.com/office/2007/relationships/slicerCache" Target="slicerCaches/slicerCache17.xml"/><Relationship Id="rId38"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MSRP by Model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0"/>
          <c:tx>
            <c:strRef>
              <c:f>'Car Cost Table'!$E$1</c:f>
              <c:strCache>
                <c:ptCount val="1"/>
                <c:pt idx="0">
                  <c:v>MSRP</c:v>
                </c:pt>
              </c:strCache>
            </c:strRef>
          </c:tx>
          <c:spPr>
            <a:solidFill>
              <a:schemeClr val="accent2"/>
            </a:solidFill>
            <a:ln>
              <a:noFill/>
            </a:ln>
            <a:effectLst/>
          </c:spPr>
          <c:invertIfNegative val="0"/>
          <c:cat>
            <c:strRef>
              <c:f>'Car Cost Table'!$B$2:$B$88</c:f>
              <c:strCache>
                <c:ptCount val="84"/>
                <c:pt idx="0">
                  <c:v>Venue</c:v>
                </c:pt>
                <c:pt idx="1">
                  <c:v>Elantra</c:v>
                </c:pt>
                <c:pt idx="2">
                  <c:v>Corolla</c:v>
                </c:pt>
                <c:pt idx="3">
                  <c:v>Corolla Hatchback</c:v>
                </c:pt>
                <c:pt idx="4">
                  <c:v>Corolla Hybrid</c:v>
                </c:pt>
                <c:pt idx="5">
                  <c:v>Corolla Cross</c:v>
                </c:pt>
                <c:pt idx="6">
                  <c:v>Civic Sedan</c:v>
                </c:pt>
                <c:pt idx="7">
                  <c:v>Kona</c:v>
                </c:pt>
                <c:pt idx="8">
                  <c:v>HR-V</c:v>
                </c:pt>
                <c:pt idx="9">
                  <c:v>Elantra Hybrid</c:v>
                </c:pt>
                <c:pt idx="10">
                  <c:v>Maverick</c:v>
                </c:pt>
                <c:pt idx="11">
                  <c:v>Sonata Gas &amp; Hybrid</c:v>
                </c:pt>
                <c:pt idx="12">
                  <c:v>Civic Hatchback</c:v>
                </c:pt>
                <c:pt idx="13">
                  <c:v>Accord</c:v>
                </c:pt>
                <c:pt idx="14">
                  <c:v>Prius</c:v>
                </c:pt>
                <c:pt idx="15">
                  <c:v>Corolla Cross Hybrid</c:v>
                </c:pt>
                <c:pt idx="16">
                  <c:v>Camry</c:v>
                </c:pt>
                <c:pt idx="17">
                  <c:v>Tucson</c:v>
                </c:pt>
                <c:pt idx="18">
                  <c:v>Santa Cruz</c:v>
                </c:pt>
                <c:pt idx="19">
                  <c:v>Civic Sedan Hybrid</c:v>
                </c:pt>
                <c:pt idx="20">
                  <c:v>RAV4</c:v>
                </c:pt>
                <c:pt idx="21">
                  <c:v>Bronco Sport</c:v>
                </c:pt>
                <c:pt idx="22">
                  <c:v>GR86</c:v>
                </c:pt>
                <c:pt idx="23">
                  <c:v>CR-V</c:v>
                </c:pt>
                <c:pt idx="24">
                  <c:v>Civic Hatchback Hybrid</c:v>
                </c:pt>
                <c:pt idx="25">
                  <c:v>Civic Si Sedan</c:v>
                </c:pt>
                <c:pt idx="26">
                  <c:v>Tacoma</c:v>
                </c:pt>
                <c:pt idx="27">
                  <c:v>Mustang</c:v>
                </c:pt>
                <c:pt idx="28">
                  <c:v>RAV4 Hybrid</c:v>
                </c:pt>
                <c:pt idx="29">
                  <c:v>Ranger</c:v>
                </c:pt>
                <c:pt idx="30">
                  <c:v>Escape Hybrid</c:v>
                </c:pt>
                <c:pt idx="31">
                  <c:v>Kona Electric</c:v>
                </c:pt>
                <c:pt idx="32">
                  <c:v>Prius Plug-in Hybrid</c:v>
                </c:pt>
                <c:pt idx="33">
                  <c:v>Tucson Hybrid</c:v>
                </c:pt>
                <c:pt idx="34">
                  <c:v>Accord Hybrid</c:v>
                </c:pt>
                <c:pt idx="35">
                  <c:v>Santa Fe</c:v>
                </c:pt>
                <c:pt idx="36">
                  <c:v>Elantra N</c:v>
                </c:pt>
                <c:pt idx="37">
                  <c:v>Model Y (Long Range All-Wheel Drive)</c:v>
                </c:pt>
                <c:pt idx="38">
                  <c:v>CR-V Hybrid</c:v>
                </c:pt>
                <c:pt idx="39">
                  <c:v>Model 3 (Long Range All-Wheel Drive)</c:v>
                </c:pt>
                <c:pt idx="40">
                  <c:v>bZ4X</c:v>
                </c:pt>
                <c:pt idx="41">
                  <c:v>Palisade</c:v>
                </c:pt>
                <c:pt idx="42">
                  <c:v>Santa Fe Hybrid</c:v>
                </c:pt>
                <c:pt idx="43">
                  <c:v>Ioniq 6</c:v>
                </c:pt>
                <c:pt idx="44">
                  <c:v>Edge</c:v>
                </c:pt>
                <c:pt idx="45">
                  <c:v>GR Corolla</c:v>
                </c:pt>
                <c:pt idx="46">
                  <c:v>Sienna</c:v>
                </c:pt>
                <c:pt idx="47">
                  <c:v>Highlander</c:v>
                </c:pt>
                <c:pt idx="48">
                  <c:v>Bronco</c:v>
                </c:pt>
                <c:pt idx="49">
                  <c:v>Tucson Plug-in Hybrid</c:v>
                </c:pt>
                <c:pt idx="50">
                  <c:v>Explorer</c:v>
                </c:pt>
                <c:pt idx="51">
                  <c:v>Mustang Mach-E</c:v>
                </c:pt>
                <c:pt idx="52">
                  <c:v>Tundra</c:v>
                </c:pt>
                <c:pt idx="53">
                  <c:v>Ridgeline</c:v>
                </c:pt>
                <c:pt idx="54">
                  <c:v>Pilot</c:v>
                </c:pt>
                <c:pt idx="55">
                  <c:v>4Runner</c:v>
                </c:pt>
                <c:pt idx="56">
                  <c:v>Grand Highlander</c:v>
                </c:pt>
                <c:pt idx="57">
                  <c:v>Toyota Crown</c:v>
                </c:pt>
                <c:pt idx="58">
                  <c:v>Odyssey</c:v>
                </c:pt>
                <c:pt idx="59">
                  <c:v>Ioniq 5</c:v>
                </c:pt>
                <c:pt idx="60">
                  <c:v>Toyata Crown Signia</c:v>
                </c:pt>
                <c:pt idx="61">
                  <c:v>F-150</c:v>
                </c:pt>
                <c:pt idx="62">
                  <c:v>Grand Highlander Hybrid</c:v>
                </c:pt>
                <c:pt idx="63">
                  <c:v>RAV4 Plug-in Hybrid</c:v>
                </c:pt>
                <c:pt idx="64">
                  <c:v>Passport</c:v>
                </c:pt>
                <c:pt idx="65">
                  <c:v>E-Transit</c:v>
                </c:pt>
                <c:pt idx="66">
                  <c:v>Highlander Hybrid</c:v>
                </c:pt>
                <c:pt idx="67">
                  <c:v>Tacoma i-FORCE MAX</c:v>
                </c:pt>
                <c:pt idx="68">
                  <c:v>Prologue</c:v>
                </c:pt>
                <c:pt idx="69">
                  <c:v>CR-V e:FCEV</c:v>
                </c:pt>
                <c:pt idx="70">
                  <c:v>Mirai</c:v>
                </c:pt>
                <c:pt idx="71">
                  <c:v>4Runner i-FORCE MAX</c:v>
                </c:pt>
                <c:pt idx="72">
                  <c:v>Transit</c:v>
                </c:pt>
                <c:pt idx="73">
                  <c:v>Expedition</c:v>
                </c:pt>
                <c:pt idx="74">
                  <c:v>Land Cruiser</c:v>
                </c:pt>
                <c:pt idx="75">
                  <c:v>GR Supra</c:v>
                </c:pt>
                <c:pt idx="76">
                  <c:v>Tundra i-FORCE MAX</c:v>
                </c:pt>
                <c:pt idx="77">
                  <c:v>NEXO Fuel Cell</c:v>
                </c:pt>
                <c:pt idx="78">
                  <c:v>Sequoia</c:v>
                </c:pt>
                <c:pt idx="79">
                  <c:v>F-150 Lightning</c:v>
                </c:pt>
                <c:pt idx="80">
                  <c:v>Ioniq 5 N</c:v>
                </c:pt>
                <c:pt idx="81">
                  <c:v>Cybertruck (All-Wheel Drive)</c:v>
                </c:pt>
                <c:pt idx="82">
                  <c:v>Model S (All-Wheel Drive)</c:v>
                </c:pt>
                <c:pt idx="83">
                  <c:v>Model X (All-Wheel Drive)</c:v>
                </c:pt>
              </c:strCache>
            </c:strRef>
          </c:cat>
          <c:val>
            <c:numRef>
              <c:f>'Car Cost Table'!$E$2:$E$88</c:f>
              <c:numCache>
                <c:formatCode>_([$$-409]* #,##0.00_);_([$$-409]* \(#,##0.00\);_([$$-409]* "-"??_);_(@_)</c:formatCode>
                <c:ptCount val="87"/>
                <c:pt idx="0">
                  <c:v>20200</c:v>
                </c:pt>
                <c:pt idx="1">
                  <c:v>22125</c:v>
                </c:pt>
                <c:pt idx="2">
                  <c:v>22325</c:v>
                </c:pt>
                <c:pt idx="3">
                  <c:v>23780</c:v>
                </c:pt>
                <c:pt idx="4">
                  <c:v>23825</c:v>
                </c:pt>
                <c:pt idx="5">
                  <c:v>24035</c:v>
                </c:pt>
                <c:pt idx="6">
                  <c:v>24250</c:v>
                </c:pt>
                <c:pt idx="7">
                  <c:v>24550</c:v>
                </c:pt>
                <c:pt idx="8">
                  <c:v>25400</c:v>
                </c:pt>
                <c:pt idx="9">
                  <c:v>25450</c:v>
                </c:pt>
                <c:pt idx="10">
                  <c:v>26420</c:v>
                </c:pt>
                <c:pt idx="11">
                  <c:v>26900</c:v>
                </c:pt>
                <c:pt idx="12">
                  <c:v>27450</c:v>
                </c:pt>
                <c:pt idx="13">
                  <c:v>28295</c:v>
                </c:pt>
                <c:pt idx="14">
                  <c:v>28350</c:v>
                </c:pt>
                <c:pt idx="15">
                  <c:v>28395</c:v>
                </c:pt>
                <c:pt idx="16">
                  <c:v>28700</c:v>
                </c:pt>
                <c:pt idx="17">
                  <c:v>28705</c:v>
                </c:pt>
                <c:pt idx="18">
                  <c:v>28750</c:v>
                </c:pt>
                <c:pt idx="19">
                  <c:v>28950</c:v>
                </c:pt>
                <c:pt idx="20">
                  <c:v>29250</c:v>
                </c:pt>
                <c:pt idx="21">
                  <c:v>29795</c:v>
                </c:pt>
                <c:pt idx="22">
                  <c:v>30000</c:v>
                </c:pt>
                <c:pt idx="23">
                  <c:v>30100</c:v>
                </c:pt>
                <c:pt idx="24">
                  <c:v>30150</c:v>
                </c:pt>
                <c:pt idx="25">
                  <c:v>30250</c:v>
                </c:pt>
                <c:pt idx="26">
                  <c:v>31590</c:v>
                </c:pt>
                <c:pt idx="27">
                  <c:v>31920</c:v>
                </c:pt>
                <c:pt idx="28">
                  <c:v>32300</c:v>
                </c:pt>
                <c:pt idx="29">
                  <c:v>32820</c:v>
                </c:pt>
                <c:pt idx="30">
                  <c:v>32830</c:v>
                </c:pt>
                <c:pt idx="31">
                  <c:v>32975</c:v>
                </c:pt>
                <c:pt idx="32">
                  <c:v>33375</c:v>
                </c:pt>
                <c:pt idx="33">
                  <c:v>33465</c:v>
                </c:pt>
                <c:pt idx="34">
                  <c:v>33655</c:v>
                </c:pt>
                <c:pt idx="35">
                  <c:v>34300</c:v>
                </c:pt>
                <c:pt idx="36">
                  <c:v>34350</c:v>
                </c:pt>
                <c:pt idx="37">
                  <c:v>34490</c:v>
                </c:pt>
                <c:pt idx="38">
                  <c:v>34650</c:v>
                </c:pt>
                <c:pt idx="39">
                  <c:v>34990</c:v>
                </c:pt>
                <c:pt idx="40">
                  <c:v>37070</c:v>
                </c:pt>
                <c:pt idx="41">
                  <c:v>37200</c:v>
                </c:pt>
                <c:pt idx="42">
                  <c:v>37800</c:v>
                </c:pt>
                <c:pt idx="43">
                  <c:v>37850</c:v>
                </c:pt>
                <c:pt idx="44">
                  <c:v>38465</c:v>
                </c:pt>
                <c:pt idx="45">
                  <c:v>38860</c:v>
                </c:pt>
                <c:pt idx="46">
                  <c:v>39185</c:v>
                </c:pt>
                <c:pt idx="47">
                  <c:v>39520</c:v>
                </c:pt>
                <c:pt idx="48">
                  <c:v>39630</c:v>
                </c:pt>
                <c:pt idx="49">
                  <c:v>39730</c:v>
                </c:pt>
                <c:pt idx="50">
                  <c:v>39755</c:v>
                </c:pt>
                <c:pt idx="51">
                  <c:v>39995</c:v>
                </c:pt>
                <c:pt idx="52">
                  <c:v>40090</c:v>
                </c:pt>
                <c:pt idx="53">
                  <c:v>40150</c:v>
                </c:pt>
                <c:pt idx="54">
                  <c:v>40200</c:v>
                </c:pt>
                <c:pt idx="55">
                  <c:v>40770</c:v>
                </c:pt>
                <c:pt idx="56">
                  <c:v>40860</c:v>
                </c:pt>
                <c:pt idx="57">
                  <c:v>41440</c:v>
                </c:pt>
                <c:pt idx="58">
                  <c:v>42220</c:v>
                </c:pt>
                <c:pt idx="59">
                  <c:v>42600</c:v>
                </c:pt>
                <c:pt idx="60">
                  <c:v>43590</c:v>
                </c:pt>
                <c:pt idx="61">
                  <c:v>44100</c:v>
                </c:pt>
                <c:pt idx="62">
                  <c:v>44210</c:v>
                </c:pt>
                <c:pt idx="63">
                  <c:v>44265</c:v>
                </c:pt>
                <c:pt idx="64">
                  <c:v>44750</c:v>
                </c:pt>
                <c:pt idx="65">
                  <c:v>45700</c:v>
                </c:pt>
                <c:pt idx="66">
                  <c:v>46020</c:v>
                </c:pt>
                <c:pt idx="67">
                  <c:v>46320</c:v>
                </c:pt>
                <c:pt idx="68">
                  <c:v>47400</c:v>
                </c:pt>
                <c:pt idx="69">
                  <c:v>50000</c:v>
                </c:pt>
                <c:pt idx="70">
                  <c:v>50190</c:v>
                </c:pt>
                <c:pt idx="71">
                  <c:v>51990</c:v>
                </c:pt>
                <c:pt idx="72">
                  <c:v>54365</c:v>
                </c:pt>
                <c:pt idx="73">
                  <c:v>55630</c:v>
                </c:pt>
                <c:pt idx="74">
                  <c:v>56700</c:v>
                </c:pt>
                <c:pt idx="75">
                  <c:v>56900</c:v>
                </c:pt>
                <c:pt idx="76">
                  <c:v>58005</c:v>
                </c:pt>
                <c:pt idx="77">
                  <c:v>60135</c:v>
                </c:pt>
                <c:pt idx="78">
                  <c:v>62425</c:v>
                </c:pt>
                <c:pt idx="79">
                  <c:v>62995</c:v>
                </c:pt>
                <c:pt idx="80">
                  <c:v>66200</c:v>
                </c:pt>
                <c:pt idx="81">
                  <c:v>66990</c:v>
                </c:pt>
                <c:pt idx="82">
                  <c:v>73490</c:v>
                </c:pt>
                <c:pt idx="83">
                  <c:v>78490</c:v>
                </c:pt>
              </c:numCache>
            </c:numRef>
          </c:val>
          <c:extLst>
            <c:ext xmlns:c16="http://schemas.microsoft.com/office/drawing/2014/chart" uri="{C3380CC4-5D6E-409C-BE32-E72D297353CC}">
              <c16:uniqueId val="{00000000-21D1-43BF-BD3B-F0E319ADDDAF}"/>
            </c:ext>
          </c:extLst>
        </c:ser>
        <c:dLbls>
          <c:showLegendKey val="0"/>
          <c:showVal val="0"/>
          <c:showCatName val="0"/>
          <c:showSerName val="0"/>
          <c:showPercent val="0"/>
          <c:showBubbleSize val="0"/>
        </c:dLbls>
        <c:gapWidth val="219"/>
        <c:overlap val="-27"/>
        <c:axId val="1338655751"/>
        <c:axId val="1338657799"/>
      </c:barChart>
      <c:catAx>
        <c:axId val="133865575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Model</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657799"/>
        <c:crosses val="autoZero"/>
        <c:auto val="1"/>
        <c:lblAlgn val="ctr"/>
        <c:lblOffset val="100"/>
        <c:noMultiLvlLbl val="0"/>
      </c:catAx>
      <c:valAx>
        <c:axId val="133865779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865575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[New_Cars_Cost_Analysis_2025.xlsx]G2 Pivot - Type by Costs!PivotTable2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5 Year Cost Breakdown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stacked"/>
        <c:varyColors val="0"/>
        <c:ser>
          <c:idx val="0"/>
          <c:order val="0"/>
          <c:tx>
            <c:strRef>
              <c:f>'G2 Pivot - Type by Costs'!$B$3</c:f>
              <c:strCache>
                <c:ptCount val="1"/>
                <c:pt idx="0">
                  <c:v>Average of MSRP ($)</c:v>
                </c:pt>
              </c:strCache>
            </c:strRef>
          </c:tx>
          <c:spPr>
            <a:solidFill>
              <a:schemeClr val="accent1"/>
            </a:solidFill>
            <a:ln>
              <a:noFill/>
            </a:ln>
            <a:effectLst/>
          </c:spPr>
          <c:invertIfNegative val="0"/>
          <c:cat>
            <c:strRef>
              <c:f>'G2 Pivot - Type by Costs'!$A$4:$A$8</c:f>
              <c:strCache>
                <c:ptCount val="4"/>
                <c:pt idx="0">
                  <c:v>Battery EV</c:v>
                </c:pt>
                <c:pt idx="1">
                  <c:v>Gas</c:v>
                </c:pt>
                <c:pt idx="2">
                  <c:v>Hybrid EV</c:v>
                </c:pt>
                <c:pt idx="3">
                  <c:v>Plug-in Hybrid EV</c:v>
                </c:pt>
              </c:strCache>
            </c:strRef>
          </c:cat>
          <c:val>
            <c:numRef>
              <c:f>'G2 Pivot - Type by Costs'!$B$4:$B$8</c:f>
              <c:numCache>
                <c:formatCode>_([$$-409]* #,##0.00_);_([$$-409]* \(#,##0.00\);_([$$-409]* "-"??_);_(@_)</c:formatCode>
                <c:ptCount val="4"/>
                <c:pt idx="0">
                  <c:v>50088.214285714283</c:v>
                </c:pt>
                <c:pt idx="1">
                  <c:v>34305.394736842107</c:v>
                </c:pt>
                <c:pt idx="2">
                  <c:v>37916.346153846156</c:v>
                </c:pt>
                <c:pt idx="3">
                  <c:v>39123.333333333336</c:v>
                </c:pt>
              </c:numCache>
            </c:numRef>
          </c:val>
          <c:extLst>
            <c:ext xmlns:c16="http://schemas.microsoft.com/office/drawing/2014/chart" uri="{C3380CC4-5D6E-409C-BE32-E72D297353CC}">
              <c16:uniqueId val="{00000000-5507-4D90-9BEE-61FFA0EB04DB}"/>
            </c:ext>
          </c:extLst>
        </c:ser>
        <c:ser>
          <c:idx val="1"/>
          <c:order val="1"/>
          <c:tx>
            <c:strRef>
              <c:f>'G2 Pivot - Type by Costs'!$C$3</c:f>
              <c:strCache>
                <c:ptCount val="1"/>
                <c:pt idx="0">
                  <c:v>Average of 5-Year Fuel Cost (Gas/Electric/etc)</c:v>
                </c:pt>
              </c:strCache>
            </c:strRef>
          </c:tx>
          <c:spPr>
            <a:solidFill>
              <a:schemeClr val="accent2"/>
            </a:solidFill>
            <a:ln>
              <a:noFill/>
            </a:ln>
            <a:effectLst/>
          </c:spPr>
          <c:invertIfNegative val="0"/>
          <c:cat>
            <c:strRef>
              <c:f>'G2 Pivot - Type by Costs'!$A$4:$A$8</c:f>
              <c:strCache>
                <c:ptCount val="4"/>
                <c:pt idx="0">
                  <c:v>Battery EV</c:v>
                </c:pt>
                <c:pt idx="1">
                  <c:v>Gas</c:v>
                </c:pt>
                <c:pt idx="2">
                  <c:v>Hybrid EV</c:v>
                </c:pt>
                <c:pt idx="3">
                  <c:v>Plug-in Hybrid EV</c:v>
                </c:pt>
              </c:strCache>
            </c:strRef>
          </c:cat>
          <c:val>
            <c:numRef>
              <c:f>'G2 Pivot - Type by Costs'!$C$4:$C$8</c:f>
              <c:numCache>
                <c:formatCode>_([$$-409]* #,##0.00_);_([$$-409]* \(#,##0.00\);_([$$-409]* "-"??_);_(@_)</c:formatCode>
                <c:ptCount val="4"/>
                <c:pt idx="0">
                  <c:v>4053.5714285714284</c:v>
                </c:pt>
                <c:pt idx="1">
                  <c:v>9425.5263157894733</c:v>
                </c:pt>
                <c:pt idx="2">
                  <c:v>6903.8461538461543</c:v>
                </c:pt>
                <c:pt idx="3">
                  <c:v>4666.666666666667</c:v>
                </c:pt>
              </c:numCache>
            </c:numRef>
          </c:val>
          <c:extLst>
            <c:ext xmlns:c16="http://schemas.microsoft.com/office/drawing/2014/chart" uri="{C3380CC4-5D6E-409C-BE32-E72D297353CC}">
              <c16:uniqueId val="{00000001-5507-4D90-9BEE-61FFA0EB04DB}"/>
            </c:ext>
          </c:extLst>
        </c:ser>
        <c:ser>
          <c:idx val="2"/>
          <c:order val="2"/>
          <c:tx>
            <c:strRef>
              <c:f>'G2 Pivot - Type by Costs'!$D$3</c:f>
              <c:strCache>
                <c:ptCount val="1"/>
                <c:pt idx="0">
                  <c:v>Average of Insurance Costs After 5 Years ($)</c:v>
                </c:pt>
              </c:strCache>
            </c:strRef>
          </c:tx>
          <c:spPr>
            <a:solidFill>
              <a:schemeClr val="accent3"/>
            </a:solidFill>
            <a:ln>
              <a:noFill/>
            </a:ln>
            <a:effectLst/>
          </c:spPr>
          <c:invertIfNegative val="0"/>
          <c:cat>
            <c:strRef>
              <c:f>'G2 Pivot - Type by Costs'!$A$4:$A$8</c:f>
              <c:strCache>
                <c:ptCount val="4"/>
                <c:pt idx="0">
                  <c:v>Battery EV</c:v>
                </c:pt>
                <c:pt idx="1">
                  <c:v>Gas</c:v>
                </c:pt>
                <c:pt idx="2">
                  <c:v>Hybrid EV</c:v>
                </c:pt>
                <c:pt idx="3">
                  <c:v>Plug-in Hybrid EV</c:v>
                </c:pt>
              </c:strCache>
            </c:strRef>
          </c:cat>
          <c:val>
            <c:numRef>
              <c:f>'G2 Pivot - Type by Costs'!$D$4:$D$8</c:f>
              <c:numCache>
                <c:formatCode>_([$$-409]* #,##0.00_);_([$$-409]* \(#,##0.00\);_([$$-409]* "-"??_);_(@_)</c:formatCode>
                <c:ptCount val="4"/>
                <c:pt idx="0">
                  <c:v>5086.1428571428569</c:v>
                </c:pt>
                <c:pt idx="1">
                  <c:v>4605.4193548387093</c:v>
                </c:pt>
                <c:pt idx="2">
                  <c:v>4595.0714285714284</c:v>
                </c:pt>
                <c:pt idx="3">
                  <c:v>4595</c:v>
                </c:pt>
              </c:numCache>
            </c:numRef>
          </c:val>
          <c:extLst>
            <c:ext xmlns:c16="http://schemas.microsoft.com/office/drawing/2014/chart" uri="{C3380CC4-5D6E-409C-BE32-E72D297353CC}">
              <c16:uniqueId val="{00000002-5507-4D90-9BEE-61FFA0EB04DB}"/>
            </c:ext>
          </c:extLst>
        </c:ser>
        <c:ser>
          <c:idx val="3"/>
          <c:order val="3"/>
          <c:tx>
            <c:strRef>
              <c:f>'G2 Pivot - Type by Costs'!$E$3</c:f>
              <c:strCache>
                <c:ptCount val="1"/>
                <c:pt idx="0">
                  <c:v>Average of Depreciation After 5 Years ($)</c:v>
                </c:pt>
              </c:strCache>
            </c:strRef>
          </c:tx>
          <c:spPr>
            <a:solidFill>
              <a:schemeClr val="accent4"/>
            </a:solidFill>
            <a:ln>
              <a:noFill/>
            </a:ln>
            <a:effectLst/>
          </c:spPr>
          <c:invertIfNegative val="0"/>
          <c:cat>
            <c:strRef>
              <c:f>'G2 Pivot - Type by Costs'!$A$4:$A$8</c:f>
              <c:strCache>
                <c:ptCount val="4"/>
                <c:pt idx="0">
                  <c:v>Battery EV</c:v>
                </c:pt>
                <c:pt idx="1">
                  <c:v>Gas</c:v>
                </c:pt>
                <c:pt idx="2">
                  <c:v>Hybrid EV</c:v>
                </c:pt>
                <c:pt idx="3">
                  <c:v>Plug-in Hybrid EV</c:v>
                </c:pt>
              </c:strCache>
            </c:strRef>
          </c:cat>
          <c:val>
            <c:numRef>
              <c:f>'G2 Pivot - Type by Costs'!$E$4:$E$8</c:f>
              <c:numCache>
                <c:formatCode>_([$$-409]* #,##0.00_);_([$$-409]* \(#,##0.00\);_([$$-409]* "-"??_);_(@_)</c:formatCode>
                <c:ptCount val="4"/>
                <c:pt idx="0">
                  <c:v>33794.428571428572</c:v>
                </c:pt>
                <c:pt idx="1">
                  <c:v>18194.45</c:v>
                </c:pt>
                <c:pt idx="2">
                  <c:v>19036.73076923077</c:v>
                </c:pt>
                <c:pt idx="3">
                  <c:v>18112.066666666666</c:v>
                </c:pt>
              </c:numCache>
            </c:numRef>
          </c:val>
          <c:extLst>
            <c:ext xmlns:c16="http://schemas.microsoft.com/office/drawing/2014/chart" uri="{C3380CC4-5D6E-409C-BE32-E72D297353CC}">
              <c16:uniqueId val="{00000001-DC5F-43F3-A36A-7994DE63F56C}"/>
            </c:ext>
          </c:extLst>
        </c:ser>
        <c:dLbls>
          <c:showLegendKey val="0"/>
          <c:showVal val="0"/>
          <c:showCatName val="0"/>
          <c:showSerName val="0"/>
          <c:showPercent val="0"/>
          <c:showBubbleSize val="0"/>
        </c:dLbls>
        <c:gapWidth val="150"/>
        <c:overlap val="100"/>
        <c:axId val="1480625672"/>
        <c:axId val="1480648200"/>
      </c:barChart>
      <c:catAx>
        <c:axId val="14806256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648200"/>
        <c:crosses val="autoZero"/>
        <c:auto val="1"/>
        <c:lblAlgn val="ctr"/>
        <c:lblOffset val="100"/>
        <c:noMultiLvlLbl val="0"/>
      </c:catAx>
      <c:valAx>
        <c:axId val="1480648200"/>
        <c:scaling>
          <c:orientation val="minMax"/>
        </c:scaling>
        <c:delete val="0"/>
        <c:axPos val="b"/>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806256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Cost Of Ownership vs. MSRP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
          </c:tx>
          <c:spPr>
            <a:ln w="25400" cap="rnd">
              <a:noFill/>
              <a:round/>
            </a:ln>
            <a:effectLst/>
          </c:spPr>
          <c:marker>
            <c:symbol val="circle"/>
            <c:size val="5"/>
            <c:spPr>
              <a:solidFill>
                <a:srgbClr val="C0E4F5"/>
              </a:solidFill>
              <a:ln w="9525">
                <a:solidFill>
                  <a:schemeClr val="accent1"/>
                </a:solidFill>
              </a:ln>
              <a:effectLst/>
            </c:spPr>
          </c:marker>
          <c:trendline>
            <c:spPr>
              <a:ln w="19050" cap="rnd">
                <a:solidFill>
                  <a:srgbClr val="145F82"/>
                </a:solidFill>
                <a:prstDash val="sysDash"/>
              </a:ln>
              <a:effectLst/>
            </c:spPr>
            <c:trendlineType val="linear"/>
            <c:dispRSqr val="1"/>
            <c:dispEq val="1"/>
            <c:trendlineLbl>
              <c:layout>
                <c:manualLayout>
                  <c:x val="0.12395138183119149"/>
                  <c:y val="0.12919693680265276"/>
                </c:manualLayout>
              </c:layout>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numRef>
              <c:f>Backend_Data_Scatter!$D$2:$D$85</c:f>
              <c:numCache>
                <c:formatCode>_([$$-409]* #,##0.00_);_([$$-409]* \(#,##0.00\);_([$$-409]* "-"??_);_(@_)</c:formatCode>
                <c:ptCount val="81"/>
                <c:pt idx="0">
                  <c:v>25400</c:v>
                </c:pt>
                <c:pt idx="1">
                  <c:v>30100</c:v>
                </c:pt>
                <c:pt idx="2">
                  <c:v>34650</c:v>
                </c:pt>
                <c:pt idx="3">
                  <c:v>44750</c:v>
                </c:pt>
                <c:pt idx="4">
                  <c:v>40200</c:v>
                </c:pt>
                <c:pt idx="5">
                  <c:v>47400</c:v>
                </c:pt>
                <c:pt idx="6">
                  <c:v>24250</c:v>
                </c:pt>
                <c:pt idx="7">
                  <c:v>28950</c:v>
                </c:pt>
                <c:pt idx="8">
                  <c:v>30250</c:v>
                </c:pt>
                <c:pt idx="9">
                  <c:v>28295</c:v>
                </c:pt>
                <c:pt idx="10">
                  <c:v>33655</c:v>
                </c:pt>
                <c:pt idx="11">
                  <c:v>27450</c:v>
                </c:pt>
                <c:pt idx="12">
                  <c:v>30150</c:v>
                </c:pt>
                <c:pt idx="13">
                  <c:v>42220</c:v>
                </c:pt>
                <c:pt idx="14">
                  <c:v>40150</c:v>
                </c:pt>
                <c:pt idx="15">
                  <c:v>22325</c:v>
                </c:pt>
                <c:pt idx="16">
                  <c:v>23825</c:v>
                </c:pt>
                <c:pt idx="17">
                  <c:v>23780</c:v>
                </c:pt>
                <c:pt idx="18">
                  <c:v>28350</c:v>
                </c:pt>
                <c:pt idx="19">
                  <c:v>33375</c:v>
                </c:pt>
                <c:pt idx="20">
                  <c:v>28700</c:v>
                </c:pt>
                <c:pt idx="21">
                  <c:v>41440</c:v>
                </c:pt>
                <c:pt idx="22">
                  <c:v>30000</c:v>
                </c:pt>
                <c:pt idx="23">
                  <c:v>38860</c:v>
                </c:pt>
                <c:pt idx="24">
                  <c:v>56900</c:v>
                </c:pt>
                <c:pt idx="25">
                  <c:v>39185</c:v>
                </c:pt>
                <c:pt idx="26">
                  <c:v>31590</c:v>
                </c:pt>
                <c:pt idx="27">
                  <c:v>46320</c:v>
                </c:pt>
                <c:pt idx="28">
                  <c:v>40090</c:v>
                </c:pt>
                <c:pt idx="29">
                  <c:v>58005</c:v>
                </c:pt>
                <c:pt idx="30">
                  <c:v>24035</c:v>
                </c:pt>
                <c:pt idx="31">
                  <c:v>28395</c:v>
                </c:pt>
                <c:pt idx="32">
                  <c:v>29250</c:v>
                </c:pt>
                <c:pt idx="33">
                  <c:v>32300</c:v>
                </c:pt>
                <c:pt idx="34">
                  <c:v>44265</c:v>
                </c:pt>
                <c:pt idx="35">
                  <c:v>39520</c:v>
                </c:pt>
                <c:pt idx="36">
                  <c:v>46020</c:v>
                </c:pt>
                <c:pt idx="37">
                  <c:v>40770</c:v>
                </c:pt>
                <c:pt idx="38">
                  <c:v>51990</c:v>
                </c:pt>
                <c:pt idx="39">
                  <c:v>37070</c:v>
                </c:pt>
                <c:pt idx="40">
                  <c:v>40860</c:v>
                </c:pt>
                <c:pt idx="41">
                  <c:v>44210</c:v>
                </c:pt>
                <c:pt idx="42">
                  <c:v>43590</c:v>
                </c:pt>
                <c:pt idx="43">
                  <c:v>56700</c:v>
                </c:pt>
                <c:pt idx="44">
                  <c:v>62425</c:v>
                </c:pt>
                <c:pt idx="45">
                  <c:v>34990</c:v>
                </c:pt>
                <c:pt idx="46">
                  <c:v>34490</c:v>
                </c:pt>
                <c:pt idx="47">
                  <c:v>66990</c:v>
                </c:pt>
                <c:pt idx="48">
                  <c:v>78490</c:v>
                </c:pt>
                <c:pt idx="49">
                  <c:v>73490</c:v>
                </c:pt>
                <c:pt idx="50">
                  <c:v>20200</c:v>
                </c:pt>
                <c:pt idx="51">
                  <c:v>24550</c:v>
                </c:pt>
                <c:pt idx="52">
                  <c:v>32975</c:v>
                </c:pt>
                <c:pt idx="53">
                  <c:v>28750</c:v>
                </c:pt>
                <c:pt idx="54">
                  <c:v>28705</c:v>
                </c:pt>
                <c:pt idx="55">
                  <c:v>33465</c:v>
                </c:pt>
                <c:pt idx="56">
                  <c:v>39730</c:v>
                </c:pt>
                <c:pt idx="57">
                  <c:v>34300</c:v>
                </c:pt>
                <c:pt idx="58">
                  <c:v>37800</c:v>
                </c:pt>
                <c:pt idx="59">
                  <c:v>37200</c:v>
                </c:pt>
                <c:pt idx="60">
                  <c:v>42600</c:v>
                </c:pt>
                <c:pt idx="61">
                  <c:v>66200</c:v>
                </c:pt>
                <c:pt idx="62">
                  <c:v>22125</c:v>
                </c:pt>
                <c:pt idx="63">
                  <c:v>25450</c:v>
                </c:pt>
                <c:pt idx="64">
                  <c:v>34350</c:v>
                </c:pt>
                <c:pt idx="65">
                  <c:v>26900</c:v>
                </c:pt>
                <c:pt idx="66">
                  <c:v>37850</c:v>
                </c:pt>
                <c:pt idx="67">
                  <c:v>31920</c:v>
                </c:pt>
                <c:pt idx="68">
                  <c:v>32830</c:v>
                </c:pt>
                <c:pt idx="69">
                  <c:v>29795</c:v>
                </c:pt>
                <c:pt idx="70">
                  <c:v>39630</c:v>
                </c:pt>
                <c:pt idx="71">
                  <c:v>39755</c:v>
                </c:pt>
                <c:pt idx="72">
                  <c:v>38465</c:v>
                </c:pt>
                <c:pt idx="73">
                  <c:v>39995</c:v>
                </c:pt>
                <c:pt idx="74">
                  <c:v>55630</c:v>
                </c:pt>
                <c:pt idx="75">
                  <c:v>26420</c:v>
                </c:pt>
                <c:pt idx="76">
                  <c:v>32820</c:v>
                </c:pt>
                <c:pt idx="77">
                  <c:v>44100</c:v>
                </c:pt>
                <c:pt idx="78">
                  <c:v>45700</c:v>
                </c:pt>
                <c:pt idx="79">
                  <c:v>62995</c:v>
                </c:pt>
                <c:pt idx="80">
                  <c:v>54365</c:v>
                </c:pt>
              </c:numCache>
            </c:numRef>
          </c:xVal>
          <c:yVal>
            <c:numRef>
              <c:f>Backend_Data_Scatter!$E$2:$E$85</c:f>
              <c:numCache>
                <c:formatCode>_([$$-409]* #,##0.00_);_([$$-409]* \(#,##0.00\);_([$$-409]* "-"??_);_(@_)</c:formatCode>
                <c:ptCount val="81"/>
                <c:pt idx="0">
                  <c:v>49924</c:v>
                </c:pt>
                <c:pt idx="1">
                  <c:v>54089</c:v>
                </c:pt>
                <c:pt idx="2">
                  <c:v>59767</c:v>
                </c:pt>
                <c:pt idx="3">
                  <c:v>77683</c:v>
                </c:pt>
                <c:pt idx="4">
                  <c:v>72958</c:v>
                </c:pt>
                <c:pt idx="5">
                  <c:v>81278</c:v>
                </c:pt>
                <c:pt idx="6">
                  <c:v>43682</c:v>
                </c:pt>
                <c:pt idx="7">
                  <c:v>48620</c:v>
                </c:pt>
                <c:pt idx="8">
                  <c:v>51957</c:v>
                </c:pt>
                <c:pt idx="9">
                  <c:v>54018</c:v>
                </c:pt>
                <c:pt idx="10">
                  <c:v>58878</c:v>
                </c:pt>
                <c:pt idx="11">
                  <c:v>47539</c:v>
                </c:pt>
                <c:pt idx="12">
                  <c:v>50863</c:v>
                </c:pt>
                <c:pt idx="13">
                  <c:v>69523</c:v>
                </c:pt>
                <c:pt idx="14">
                  <c:v>71881</c:v>
                </c:pt>
                <c:pt idx="15">
                  <c:v>43400</c:v>
                </c:pt>
                <c:pt idx="16">
                  <c:v>44948</c:v>
                </c:pt>
                <c:pt idx="17">
                  <c:v>45310</c:v>
                </c:pt>
                <c:pt idx="18">
                  <c:v>51491</c:v>
                </c:pt>
                <c:pt idx="19">
                  <c:v>48975</c:v>
                </c:pt>
                <c:pt idx="20">
                  <c:v>49989</c:v>
                </c:pt>
                <c:pt idx="21">
                  <c:v>70090</c:v>
                </c:pt>
                <c:pt idx="22">
                  <c:v>59772</c:v>
                </c:pt>
                <c:pt idx="23">
                  <c:v>69765</c:v>
                </c:pt>
                <c:pt idx="24">
                  <c:v>93887</c:v>
                </c:pt>
                <c:pt idx="25">
                  <c:v>67758</c:v>
                </c:pt>
                <c:pt idx="26">
                  <c:v>58648</c:v>
                </c:pt>
                <c:pt idx="27">
                  <c:v>76462</c:v>
                </c:pt>
                <c:pt idx="28">
                  <c:v>69178</c:v>
                </c:pt>
                <c:pt idx="29">
                  <c:v>95132</c:v>
                </c:pt>
                <c:pt idx="30">
                  <c:v>46275</c:v>
                </c:pt>
                <c:pt idx="31">
                  <c:v>51837</c:v>
                </c:pt>
                <c:pt idx="32">
                  <c:v>53175</c:v>
                </c:pt>
                <c:pt idx="33">
                  <c:v>58002</c:v>
                </c:pt>
                <c:pt idx="34">
                  <c:v>68465</c:v>
                </c:pt>
                <c:pt idx="35">
                  <c:v>75795</c:v>
                </c:pt>
                <c:pt idx="36">
                  <c:v>82119</c:v>
                </c:pt>
                <c:pt idx="37">
                  <c:v>70150</c:v>
                </c:pt>
                <c:pt idx="38">
                  <c:v>81264</c:v>
                </c:pt>
                <c:pt idx="39">
                  <c:v>68317</c:v>
                </c:pt>
                <c:pt idx="40">
                  <c:v>78132</c:v>
                </c:pt>
                <c:pt idx="41">
                  <c:v>79010</c:v>
                </c:pt>
                <c:pt idx="42">
                  <c:v>77584</c:v>
                </c:pt>
                <c:pt idx="43">
                  <c:v>95055</c:v>
                </c:pt>
                <c:pt idx="44">
                  <c:v>109918</c:v>
                </c:pt>
                <c:pt idx="45">
                  <c:v>69476</c:v>
                </c:pt>
                <c:pt idx="46">
                  <c:v>62964</c:v>
                </c:pt>
                <c:pt idx="47">
                  <c:v>95086</c:v>
                </c:pt>
                <c:pt idx="48">
                  <c:v>130602</c:v>
                </c:pt>
                <c:pt idx="49">
                  <c:v>123990</c:v>
                </c:pt>
                <c:pt idx="50">
                  <c:v>40963</c:v>
                </c:pt>
                <c:pt idx="51">
                  <c:v>48036</c:v>
                </c:pt>
                <c:pt idx="52">
                  <c:v>71571</c:v>
                </c:pt>
                <c:pt idx="53">
                  <c:v>54442</c:v>
                </c:pt>
                <c:pt idx="54">
                  <c:v>54107</c:v>
                </c:pt>
                <c:pt idx="55">
                  <c:v>65216</c:v>
                </c:pt>
                <c:pt idx="56">
                  <c:v>66811.199999999997</c:v>
                </c:pt>
                <c:pt idx="57">
                  <c:v>69220</c:v>
                </c:pt>
                <c:pt idx="58">
                  <c:v>70140</c:v>
                </c:pt>
                <c:pt idx="59">
                  <c:v>68109</c:v>
                </c:pt>
                <c:pt idx="60">
                  <c:v>69837</c:v>
                </c:pt>
                <c:pt idx="61">
                  <c:v>107128</c:v>
                </c:pt>
                <c:pt idx="62">
                  <c:v>42804</c:v>
                </c:pt>
                <c:pt idx="63">
                  <c:v>51405</c:v>
                </c:pt>
                <c:pt idx="64">
                  <c:v>62231</c:v>
                </c:pt>
                <c:pt idx="65">
                  <c:v>52460</c:v>
                </c:pt>
                <c:pt idx="66">
                  <c:v>72275</c:v>
                </c:pt>
                <c:pt idx="67">
                  <c:v>81523</c:v>
                </c:pt>
                <c:pt idx="68">
                  <c:v>62898</c:v>
                </c:pt>
                <c:pt idx="69">
                  <c:v>59989</c:v>
                </c:pt>
                <c:pt idx="70">
                  <c:v>69606.100000000006</c:v>
                </c:pt>
                <c:pt idx="71">
                  <c:v>85623</c:v>
                </c:pt>
                <c:pt idx="72">
                  <c:v>77691</c:v>
                </c:pt>
                <c:pt idx="73">
                  <c:v>84645</c:v>
                </c:pt>
                <c:pt idx="74">
                  <c:v>92163.5</c:v>
                </c:pt>
                <c:pt idx="75">
                  <c:v>49609</c:v>
                </c:pt>
                <c:pt idx="76">
                  <c:v>52403.199999999997</c:v>
                </c:pt>
                <c:pt idx="77">
                  <c:v>75595</c:v>
                </c:pt>
                <c:pt idx="78">
                  <c:v>71594</c:v>
                </c:pt>
                <c:pt idx="79">
                  <c:v>121753</c:v>
                </c:pt>
                <c:pt idx="80">
                  <c:v>87758.3</c:v>
                </c:pt>
              </c:numCache>
            </c:numRef>
          </c:yVal>
          <c:smooth val="0"/>
          <c:extLst>
            <c:ext xmlns:c16="http://schemas.microsoft.com/office/drawing/2014/chart" uri="{C3380CC4-5D6E-409C-BE32-E72D297353CC}">
              <c16:uniqueId val="{00000000-E717-4B27-A479-608918E25C92}"/>
            </c:ext>
          </c:extLst>
        </c:ser>
        <c:dLbls>
          <c:showLegendKey val="0"/>
          <c:showVal val="0"/>
          <c:showCatName val="0"/>
          <c:showSerName val="0"/>
          <c:showPercent val="0"/>
          <c:showBubbleSize val="0"/>
        </c:dLbls>
        <c:axId val="1220626439"/>
        <c:axId val="1220653063"/>
      </c:scatterChart>
      <c:valAx>
        <c:axId val="122062643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MSRP</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653063"/>
        <c:crosses val="autoZero"/>
        <c:crossBetween val="midCat"/>
      </c:valAx>
      <c:valAx>
        <c:axId val="12206530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TCO (5 Years)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626439"/>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Depreciation of Each Brand</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5"/>
              <c:pt idx="0">
                <c:v>Honda</c:v>
              </c:pt>
              <c:pt idx="1">
                <c:v>Toyota</c:v>
              </c:pt>
              <c:pt idx="2">
                <c:v>Hyundai</c:v>
              </c:pt>
              <c:pt idx="3">
                <c:v>Ford</c:v>
              </c:pt>
              <c:pt idx="4">
                <c:v>Tesla</c:v>
              </c:pt>
            </c:strLit>
          </c:cat>
          <c:val>
            <c:numLit>
              <c:formatCode>General</c:formatCode>
              <c:ptCount val="5"/>
              <c:pt idx="0">
                <c:v>16196.5</c:v>
              </c:pt>
              <c:pt idx="1">
                <c:v>19810.903225806451</c:v>
              </c:pt>
              <c:pt idx="2">
                <c:v>20294.841666666667</c:v>
              </c:pt>
              <c:pt idx="3">
                <c:v>25353.29285714286</c:v>
              </c:pt>
              <c:pt idx="4">
                <c:v>37503.4</c:v>
              </c:pt>
            </c:numLit>
          </c:val>
          <c:extLst>
            <c:ext xmlns:c16="http://schemas.microsoft.com/office/drawing/2014/chart" uri="{C3380CC4-5D6E-409C-BE32-E72D297353CC}">
              <c16:uniqueId val="{00000000-48D5-47E4-A2A1-4EAEB95F790A}"/>
            </c:ext>
          </c:extLst>
        </c:ser>
        <c:dLbls>
          <c:showLegendKey val="0"/>
          <c:showVal val="0"/>
          <c:showCatName val="0"/>
          <c:showSerName val="0"/>
          <c:showPercent val="0"/>
          <c:showBubbleSize val="0"/>
        </c:dLbls>
        <c:gapWidth val="219"/>
        <c:overlap val="-27"/>
        <c:axId val="1220661767"/>
        <c:axId val="1220663815"/>
      </c:barChart>
      <c:catAx>
        <c:axId val="122066176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Brands</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663815"/>
        <c:crosses val="autoZero"/>
        <c:auto val="1"/>
        <c:lblAlgn val="ctr"/>
        <c:lblOffset val="100"/>
        <c:noMultiLvlLbl val="0"/>
      </c:catAx>
      <c:valAx>
        <c:axId val="1220663815"/>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Depreciation (5 Years)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0661767"/>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v>5 Year Cost Breakdown of Honda Sedan</c:v>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EE2-4B45-879F-154176B676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EE2-4B45-879F-154176B676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EEE2-4B45-879F-154176B67645}"/>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EEE2-4B45-879F-154176B67645}"/>
              </c:ext>
            </c:extLst>
          </c:dPt>
          <c:dLbls>
            <c:spPr>
              <a:solidFill>
                <a:srgbClr val="FFFFFF"/>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Backend_Data_Pie2!$C$1:$F$1</c:f>
              <c:strCache>
                <c:ptCount val="4"/>
                <c:pt idx="0">
                  <c:v>Average of 5-Year Fuel Cost (Gas/Electric/etc)</c:v>
                </c:pt>
                <c:pt idx="1">
                  <c:v>Average of 5-Year Maintenance Cost ($)</c:v>
                </c:pt>
                <c:pt idx="2">
                  <c:v>Average of Depreciation After 5 Years ($)</c:v>
                </c:pt>
                <c:pt idx="3">
                  <c:v>Average of Insurance Costs After 5 Years ($)</c:v>
                </c:pt>
              </c:strCache>
            </c:strRef>
          </c:cat>
          <c:val>
            <c:numRef>
              <c:f>Backend_Data_Pie2!$C$2:$F$2</c:f>
              <c:numCache>
                <c:formatCode>General</c:formatCode>
                <c:ptCount val="4"/>
                <c:pt idx="0">
                  <c:v>6050</c:v>
                </c:pt>
                <c:pt idx="1">
                  <c:v>3306.8</c:v>
                </c:pt>
                <c:pt idx="2">
                  <c:v>12769</c:v>
                </c:pt>
                <c:pt idx="3">
                  <c:v>5081.5</c:v>
                </c:pt>
              </c:numCache>
            </c:numRef>
          </c:val>
          <c:extLst>
            <c:ext xmlns:c16="http://schemas.microsoft.com/office/drawing/2014/chart" uri="{C3380CC4-5D6E-409C-BE32-E72D297353CC}">
              <c16:uniqueId val="{00000008-EEE2-4B45-879F-154176B67645}"/>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editAs="absolute">
    <xdr:from>
      <xdr:col>0</xdr:col>
      <xdr:colOff>200025</xdr:colOff>
      <xdr:row>0</xdr:row>
      <xdr:rowOff>0</xdr:rowOff>
    </xdr:from>
    <xdr:to>
      <xdr:col>1</xdr:col>
      <xdr:colOff>1057275</xdr:colOff>
      <xdr:row>8</xdr:row>
      <xdr:rowOff>123825</xdr:rowOff>
    </xdr:to>
    <mc:AlternateContent xmlns:mc="http://schemas.openxmlformats.org/markup-compatibility/2006" xmlns:a15="http://schemas.microsoft.com/office/drawing/2012/main">
      <mc:Choice Requires="a15">
        <xdr:graphicFrame macro="">
          <xdr:nvGraphicFramePr>
            <xdr:cNvPr id="2" name="Brand">
              <a:extLst>
                <a:ext uri="{FF2B5EF4-FFF2-40B4-BE49-F238E27FC236}">
                  <a16:creationId xmlns:a16="http://schemas.microsoft.com/office/drawing/2014/main" id="{74B157CA-99F2-894C-358E-619C7DBEE1B0}"/>
                </a:ext>
              </a:extLst>
            </xdr:cNvPr>
            <xdr:cNvGraphicFramePr/>
          </xdr:nvGraphicFramePr>
          <xdr:xfrm>
            <a:off x="0" y="0"/>
            <a:ext cx="0" cy="0"/>
          </xdr:xfrm>
          <a:graphic>
            <a:graphicData uri="http://schemas.microsoft.com/office/drawing/2010/slicer">
              <sle:slicer xmlns:sle="http://schemas.microsoft.com/office/drawing/2010/slicer" name="Brand"/>
            </a:graphicData>
          </a:graphic>
        </xdr:graphicFrame>
      </mc:Choice>
      <mc:Fallback xmlns="">
        <xdr:sp macro="" textlink="">
          <xdr:nvSpPr>
            <xdr:cNvPr id="0" name=""/>
            <xdr:cNvSpPr>
              <a:spLocks noTextEdit="1"/>
            </xdr:cNvSpPr>
          </xdr:nvSpPr>
          <xdr:spPr>
            <a:xfrm>
              <a:off x="200025" y="0"/>
              <a:ext cx="1428750" cy="16478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1</xdr:col>
      <xdr:colOff>1181100</xdr:colOff>
      <xdr:row>0</xdr:row>
      <xdr:rowOff>0</xdr:rowOff>
    </xdr:from>
    <xdr:to>
      <xdr:col>2</xdr:col>
      <xdr:colOff>428625</xdr:colOff>
      <xdr:row>8</xdr:row>
      <xdr:rowOff>123825</xdr:rowOff>
    </xdr:to>
    <mc:AlternateContent xmlns:mc="http://schemas.openxmlformats.org/markup-compatibility/2006" xmlns:a15="http://schemas.microsoft.com/office/drawing/2012/main">
      <mc:Choice Requires="a15">
        <xdr:graphicFrame macro="">
          <xdr:nvGraphicFramePr>
            <xdr:cNvPr id="3" name="Body Type (Sedan/ SUV/etc)">
              <a:extLst>
                <a:ext uri="{FF2B5EF4-FFF2-40B4-BE49-F238E27FC236}">
                  <a16:creationId xmlns:a16="http://schemas.microsoft.com/office/drawing/2014/main" id="{3B106635-08FA-D32D-FA67-FB16F2E71B91}"/>
                </a:ext>
                <a:ext uri="{147F2762-F138-4A5C-976F-8EAC2B608ADB}">
                  <a16:predDERef xmlns:a16="http://schemas.microsoft.com/office/drawing/2014/main" pred="{74B157CA-99F2-894C-358E-619C7DBEE1B0}"/>
                </a:ext>
              </a:extLst>
            </xdr:cNvPr>
            <xdr:cNvGraphicFramePr/>
          </xdr:nvGraphicFramePr>
          <xdr:xfrm>
            <a:off x="0" y="0"/>
            <a:ext cx="0" cy="0"/>
          </xdr:xfrm>
          <a:graphic>
            <a:graphicData uri="http://schemas.microsoft.com/office/drawing/2010/slicer">
              <sle:slicer xmlns:sle="http://schemas.microsoft.com/office/drawing/2010/slicer" name="Body Type (Sedan/ SUV/etc)"/>
            </a:graphicData>
          </a:graphic>
        </xdr:graphicFrame>
      </mc:Choice>
      <mc:Fallback xmlns="">
        <xdr:sp macro="" textlink="">
          <xdr:nvSpPr>
            <xdr:cNvPr id="0" name=""/>
            <xdr:cNvSpPr>
              <a:spLocks noTextEdit="1"/>
            </xdr:cNvSpPr>
          </xdr:nvSpPr>
          <xdr:spPr>
            <a:xfrm>
              <a:off x="1752600" y="0"/>
              <a:ext cx="1476375" cy="16478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2</xdr:col>
      <xdr:colOff>523875</xdr:colOff>
      <xdr:row>0</xdr:row>
      <xdr:rowOff>0</xdr:rowOff>
    </xdr:from>
    <xdr:to>
      <xdr:col>3</xdr:col>
      <xdr:colOff>971550</xdr:colOff>
      <xdr:row>8</xdr:row>
      <xdr:rowOff>123825</xdr:rowOff>
    </xdr:to>
    <mc:AlternateContent xmlns:mc="http://schemas.openxmlformats.org/markup-compatibility/2006" xmlns:a15="http://schemas.microsoft.com/office/drawing/2012/main">
      <mc:Choice Requires="a15">
        <xdr:graphicFrame macro="">
          <xdr:nvGraphicFramePr>
            <xdr:cNvPr id="4" name="Fuel Type (Gas/Hybrid/EV/ etc)">
              <a:extLst>
                <a:ext uri="{FF2B5EF4-FFF2-40B4-BE49-F238E27FC236}">
                  <a16:creationId xmlns:a16="http://schemas.microsoft.com/office/drawing/2014/main" id="{6515B91B-4956-3B15-19D9-1FC70023F5F8}"/>
                </a:ext>
                <a:ext uri="{147F2762-F138-4A5C-976F-8EAC2B608ADB}">
                  <a16:predDERef xmlns:a16="http://schemas.microsoft.com/office/drawing/2014/main" pred="{3B106635-08FA-D32D-FA67-FB16F2E71B91}"/>
                </a:ext>
              </a:extLst>
            </xdr:cNvPr>
            <xdr:cNvGraphicFramePr/>
          </xdr:nvGraphicFramePr>
          <xdr:xfrm>
            <a:off x="0" y="0"/>
            <a:ext cx="0" cy="0"/>
          </xdr:xfrm>
          <a:graphic>
            <a:graphicData uri="http://schemas.microsoft.com/office/drawing/2010/slicer">
              <sle:slicer xmlns:sle="http://schemas.microsoft.com/office/drawing/2010/slicer" name="Fuel Type (Gas/Hybrid/EV/ etc)"/>
            </a:graphicData>
          </a:graphic>
        </xdr:graphicFrame>
      </mc:Choice>
      <mc:Fallback xmlns="">
        <xdr:sp macro="" textlink="">
          <xdr:nvSpPr>
            <xdr:cNvPr id="0" name=""/>
            <xdr:cNvSpPr>
              <a:spLocks noTextEdit="1"/>
            </xdr:cNvSpPr>
          </xdr:nvSpPr>
          <xdr:spPr>
            <a:xfrm>
              <a:off x="3324225" y="0"/>
              <a:ext cx="1504950" cy="16478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1</xdr:row>
      <xdr:rowOff>57150</xdr:rowOff>
    </xdr:from>
    <xdr:to>
      <xdr:col>23</xdr:col>
      <xdr:colOff>238125</xdr:colOff>
      <xdr:row>22</xdr:row>
      <xdr:rowOff>142875</xdr:rowOff>
    </xdr:to>
    <xdr:graphicFrame macro="">
      <xdr:nvGraphicFramePr>
        <xdr:cNvPr id="3" name="Chart 2">
          <a:extLst>
            <a:ext uri="{FF2B5EF4-FFF2-40B4-BE49-F238E27FC236}">
              <a16:creationId xmlns:a16="http://schemas.microsoft.com/office/drawing/2014/main" id="{BDE768B0-D1EB-4DA9-B7D5-EF47FDC7E9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23</xdr:row>
      <xdr:rowOff>161925</xdr:rowOff>
    </xdr:from>
    <xdr:to>
      <xdr:col>12</xdr:col>
      <xdr:colOff>314325</xdr:colOff>
      <xdr:row>43</xdr:row>
      <xdr:rowOff>161925</xdr:rowOff>
    </xdr:to>
    <xdr:graphicFrame macro="">
      <xdr:nvGraphicFramePr>
        <xdr:cNvPr id="4" name="Chart 3">
          <a:extLst>
            <a:ext uri="{FF2B5EF4-FFF2-40B4-BE49-F238E27FC236}">
              <a16:creationId xmlns:a16="http://schemas.microsoft.com/office/drawing/2014/main" id="{F7F5A539-C8B0-4660-99E2-367527BAD907}"/>
            </a:ext>
            <a:ext uri="{147F2762-F138-4A5C-976F-8EAC2B608ADB}">
              <a16:predDERef xmlns:a16="http://schemas.microsoft.com/office/drawing/2014/main" pred="{BDE768B0-D1EB-4DA9-B7D5-EF47FDC7E9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45</xdr:row>
      <xdr:rowOff>85725</xdr:rowOff>
    </xdr:from>
    <xdr:to>
      <xdr:col>12</xdr:col>
      <xdr:colOff>581025</xdr:colOff>
      <xdr:row>69</xdr:row>
      <xdr:rowOff>142875</xdr:rowOff>
    </xdr:to>
    <xdr:graphicFrame macro="">
      <xdr:nvGraphicFramePr>
        <xdr:cNvPr id="5" name="Chart 4">
          <a:extLst>
            <a:ext uri="{FF2B5EF4-FFF2-40B4-BE49-F238E27FC236}">
              <a16:creationId xmlns:a16="http://schemas.microsoft.com/office/drawing/2014/main" id="{8291BDF1-F684-4D81-9BB1-B6D6D5ADE83D}"/>
            </a:ext>
            <a:ext uri="{147F2762-F138-4A5C-976F-8EAC2B608ADB}">
              <a16:predDERef xmlns:a16="http://schemas.microsoft.com/office/drawing/2014/main" pred="{F7F5A539-C8B0-4660-99E2-367527BAD9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70</xdr:row>
      <xdr:rowOff>123825</xdr:rowOff>
    </xdr:from>
    <xdr:to>
      <xdr:col>9</xdr:col>
      <xdr:colOff>238125</xdr:colOff>
      <xdr:row>88</xdr:row>
      <xdr:rowOff>0</xdr:rowOff>
    </xdr:to>
    <xdr:graphicFrame macro="">
      <xdr:nvGraphicFramePr>
        <xdr:cNvPr id="6" name="Chart 5">
          <a:extLst>
            <a:ext uri="{FF2B5EF4-FFF2-40B4-BE49-F238E27FC236}">
              <a16:creationId xmlns:a16="http://schemas.microsoft.com/office/drawing/2014/main" id="{AB1D2303-E113-4412-8927-C4011D3403FC}"/>
            </a:ext>
            <a:ext uri="{147F2762-F138-4A5C-976F-8EAC2B608ADB}">
              <a16:predDERef xmlns:a16="http://schemas.microsoft.com/office/drawing/2014/main" pred="{8291BDF1-F684-4D81-9BB1-B6D6D5ADE8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88</xdr:row>
      <xdr:rowOff>152400</xdr:rowOff>
    </xdr:from>
    <xdr:to>
      <xdr:col>10</xdr:col>
      <xdr:colOff>495300</xdr:colOff>
      <xdr:row>108</xdr:row>
      <xdr:rowOff>123825</xdr:rowOff>
    </xdr:to>
    <xdr:graphicFrame macro="">
      <xdr:nvGraphicFramePr>
        <xdr:cNvPr id="7" name="Chart 6">
          <a:extLst>
            <a:ext uri="{FF2B5EF4-FFF2-40B4-BE49-F238E27FC236}">
              <a16:creationId xmlns:a16="http://schemas.microsoft.com/office/drawing/2014/main" id="{3C775DAA-1BBA-46AA-B540-591398EF696F}"/>
            </a:ext>
            <a:ext uri="{147F2762-F138-4A5C-976F-8EAC2B608ADB}">
              <a16:predDERef xmlns:a16="http://schemas.microsoft.com/office/drawing/2014/main" pred="{AB1D2303-E113-4412-8927-C4011D3403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8</xdr:col>
      <xdr:colOff>47625</xdr:colOff>
      <xdr:row>0</xdr:row>
      <xdr:rowOff>95250</xdr:rowOff>
    </xdr:from>
    <xdr:to>
      <xdr:col>11</xdr:col>
      <xdr:colOff>47625</xdr:colOff>
      <xdr:row>9</xdr:row>
      <xdr:rowOff>28575</xdr:rowOff>
    </xdr:to>
    <mc:AlternateContent xmlns:mc="http://schemas.openxmlformats.org/markup-compatibility/2006" xmlns:a15="http://schemas.microsoft.com/office/drawing/2012/main">
      <mc:Choice Requires="a15">
        <xdr:graphicFrame macro="">
          <xdr:nvGraphicFramePr>
            <xdr:cNvPr id="2" name="Brand 3">
              <a:extLst>
                <a:ext uri="{FF2B5EF4-FFF2-40B4-BE49-F238E27FC236}">
                  <a16:creationId xmlns:a16="http://schemas.microsoft.com/office/drawing/2014/main" id="{5EDFE57F-C91E-43A6-BF29-5F0F2C8F937A}"/>
                </a:ext>
              </a:extLst>
            </xdr:cNvPr>
            <xdr:cNvGraphicFramePr/>
          </xdr:nvGraphicFramePr>
          <xdr:xfrm>
            <a:off x="0" y="0"/>
            <a:ext cx="0" cy="0"/>
          </xdr:xfrm>
          <a:graphic>
            <a:graphicData uri="http://schemas.microsoft.com/office/drawing/2010/slicer">
              <sle:slicer xmlns:sle="http://schemas.microsoft.com/office/drawing/2010/slicer" name="Brand 3"/>
            </a:graphicData>
          </a:graphic>
        </xdr:graphicFrame>
      </mc:Choice>
      <mc:Fallback xmlns="">
        <xdr:sp macro="" textlink="">
          <xdr:nvSpPr>
            <xdr:cNvPr id="0" name=""/>
            <xdr:cNvSpPr>
              <a:spLocks noTextEdit="1"/>
            </xdr:cNvSpPr>
          </xdr:nvSpPr>
          <xdr:spPr>
            <a:xfrm>
              <a:off x="10229850" y="95250"/>
              <a:ext cx="1828800" cy="16478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8</xdr:col>
      <xdr:colOff>38100</xdr:colOff>
      <xdr:row>9</xdr:row>
      <xdr:rowOff>123825</xdr:rowOff>
    </xdr:from>
    <xdr:to>
      <xdr:col>11</xdr:col>
      <xdr:colOff>38100</xdr:colOff>
      <xdr:row>18</xdr:row>
      <xdr:rowOff>57150</xdr:rowOff>
    </xdr:to>
    <mc:AlternateContent xmlns:mc="http://schemas.openxmlformats.org/markup-compatibility/2006" xmlns:a15="http://schemas.microsoft.com/office/drawing/2012/main">
      <mc:Choice Requires="a15">
        <xdr:graphicFrame macro="">
          <xdr:nvGraphicFramePr>
            <xdr:cNvPr id="3" name="Body Type">
              <a:extLst>
                <a:ext uri="{FF2B5EF4-FFF2-40B4-BE49-F238E27FC236}">
                  <a16:creationId xmlns:a16="http://schemas.microsoft.com/office/drawing/2014/main" id="{BEF7D634-07A3-A95E-6216-1B7031EAFDCE}"/>
                </a:ext>
                <a:ext uri="{147F2762-F138-4A5C-976F-8EAC2B608ADB}">
                  <a16:predDERef xmlns:a16="http://schemas.microsoft.com/office/drawing/2014/main" pred="{5EDFE57F-C91E-43A6-BF29-5F0F2C8F937A}"/>
                </a:ext>
              </a:extLst>
            </xdr:cNvPr>
            <xdr:cNvGraphicFramePr/>
          </xdr:nvGraphicFramePr>
          <xdr:xfrm>
            <a:off x="0" y="0"/>
            <a:ext cx="0" cy="0"/>
          </xdr:xfrm>
          <a:graphic>
            <a:graphicData uri="http://schemas.microsoft.com/office/drawing/2010/slicer">
              <sle:slicer xmlns:sle="http://schemas.microsoft.com/office/drawing/2010/slicer" name="Body Type"/>
            </a:graphicData>
          </a:graphic>
        </xdr:graphicFrame>
      </mc:Choice>
      <mc:Fallback xmlns="">
        <xdr:sp macro="" textlink="">
          <xdr:nvSpPr>
            <xdr:cNvPr id="0" name=""/>
            <xdr:cNvSpPr>
              <a:spLocks noTextEdit="1"/>
            </xdr:cNvSpPr>
          </xdr:nvSpPr>
          <xdr:spPr>
            <a:xfrm>
              <a:off x="10220325" y="1838325"/>
              <a:ext cx="1828800" cy="16478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11</xdr:col>
      <xdr:colOff>133350</xdr:colOff>
      <xdr:row>0</xdr:row>
      <xdr:rowOff>104775</xdr:rowOff>
    </xdr:from>
    <xdr:to>
      <xdr:col>14</xdr:col>
      <xdr:colOff>133350</xdr:colOff>
      <xdr:row>7</xdr:row>
      <xdr:rowOff>152400</xdr:rowOff>
    </xdr:to>
    <mc:AlternateContent xmlns:mc="http://schemas.openxmlformats.org/markup-compatibility/2006" xmlns:a15="http://schemas.microsoft.com/office/drawing/2012/main">
      <mc:Choice Requires="a15">
        <xdr:graphicFrame macro="">
          <xdr:nvGraphicFramePr>
            <xdr:cNvPr id="4" name="Fuel Type">
              <a:extLst>
                <a:ext uri="{FF2B5EF4-FFF2-40B4-BE49-F238E27FC236}">
                  <a16:creationId xmlns:a16="http://schemas.microsoft.com/office/drawing/2014/main" id="{2F4C0AC6-9319-CB44-F19E-CDE6EA67EB0C}"/>
                </a:ext>
                <a:ext uri="{147F2762-F138-4A5C-976F-8EAC2B608ADB}">
                  <a16:predDERef xmlns:a16="http://schemas.microsoft.com/office/drawing/2014/main" pred="{BEF7D634-07A3-A95E-6216-1B7031EAFDCE}"/>
                </a:ext>
              </a:extLst>
            </xdr:cNvPr>
            <xdr:cNvGraphicFramePr/>
          </xdr:nvGraphicFramePr>
          <xdr:xfrm>
            <a:off x="0" y="0"/>
            <a:ext cx="0" cy="0"/>
          </xdr:xfrm>
          <a:graphic>
            <a:graphicData uri="http://schemas.microsoft.com/office/drawing/2010/slicer">
              <sle:slicer xmlns:sle="http://schemas.microsoft.com/office/drawing/2010/slicer" name="Fuel Type"/>
            </a:graphicData>
          </a:graphic>
        </xdr:graphicFrame>
      </mc:Choice>
      <mc:Fallback xmlns="">
        <xdr:sp macro="" textlink="">
          <xdr:nvSpPr>
            <xdr:cNvPr id="0" name=""/>
            <xdr:cNvSpPr>
              <a:spLocks noTextEdit="1"/>
            </xdr:cNvSpPr>
          </xdr:nvSpPr>
          <xdr:spPr>
            <a:xfrm>
              <a:off x="12144375" y="104775"/>
              <a:ext cx="1828800" cy="13811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absolute">
    <xdr:from>
      <xdr:col>11</xdr:col>
      <xdr:colOff>114300</xdr:colOff>
      <xdr:row>8</xdr:row>
      <xdr:rowOff>38100</xdr:rowOff>
    </xdr:from>
    <xdr:to>
      <xdr:col>14</xdr:col>
      <xdr:colOff>114300</xdr:colOff>
      <xdr:row>14</xdr:row>
      <xdr:rowOff>19050</xdr:rowOff>
    </xdr:to>
    <mc:AlternateContent xmlns:mc="http://schemas.openxmlformats.org/markup-compatibility/2006" xmlns:a15="http://schemas.microsoft.com/office/drawing/2012/main">
      <mc:Choice Requires="a15">
        <xdr:graphicFrame macro="">
          <xdr:nvGraphicFramePr>
            <xdr:cNvPr id="5" name="Possible Tax Credit">
              <a:extLst>
                <a:ext uri="{FF2B5EF4-FFF2-40B4-BE49-F238E27FC236}">
                  <a16:creationId xmlns:a16="http://schemas.microsoft.com/office/drawing/2014/main" id="{291DA48B-300E-000C-B81A-74A6860895A3}"/>
                </a:ext>
                <a:ext uri="{147F2762-F138-4A5C-976F-8EAC2B608ADB}">
                  <a16:predDERef xmlns:a16="http://schemas.microsoft.com/office/drawing/2014/main" pred="{2F4C0AC6-9319-CB44-F19E-CDE6EA67EB0C}"/>
                </a:ext>
              </a:extLst>
            </xdr:cNvPr>
            <xdr:cNvGraphicFramePr/>
          </xdr:nvGraphicFramePr>
          <xdr:xfrm>
            <a:off x="0" y="0"/>
            <a:ext cx="0" cy="0"/>
          </xdr:xfrm>
          <a:graphic>
            <a:graphicData uri="http://schemas.microsoft.com/office/drawing/2010/slicer">
              <sle:slicer xmlns:sle="http://schemas.microsoft.com/office/drawing/2010/slicer" name="Possible Tax Credit"/>
            </a:graphicData>
          </a:graphic>
        </xdr:graphicFrame>
      </mc:Choice>
      <mc:Fallback xmlns="">
        <xdr:sp macro="" textlink="">
          <xdr:nvSpPr>
            <xdr:cNvPr id="0" name=""/>
            <xdr:cNvSpPr>
              <a:spLocks noTextEdit="1"/>
            </xdr:cNvSpPr>
          </xdr:nvSpPr>
          <xdr:spPr>
            <a:xfrm>
              <a:off x="12125325" y="1562100"/>
              <a:ext cx="1828800" cy="11239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8</xdr:col>
      <xdr:colOff>314325</xdr:colOff>
      <xdr:row>2</xdr:row>
      <xdr:rowOff>57150</xdr:rowOff>
    </xdr:from>
    <xdr:to>
      <xdr:col>11</xdr:col>
      <xdr:colOff>323850</xdr:colOff>
      <xdr:row>11</xdr:row>
      <xdr:rowOff>66675</xdr:rowOff>
    </xdr:to>
    <mc:AlternateContent xmlns:mc="http://schemas.openxmlformats.org/markup-compatibility/2006" xmlns:a14="http://schemas.microsoft.com/office/drawing/2010/main">
      <mc:Choice Requires="a14">
        <xdr:graphicFrame macro="">
          <xdr:nvGraphicFramePr>
            <xdr:cNvPr id="2" name="Fuel Type (Gas/Hybrid/EV/ etc) 3">
              <a:extLst>
                <a:ext uri="{FF2B5EF4-FFF2-40B4-BE49-F238E27FC236}">
                  <a16:creationId xmlns:a16="http://schemas.microsoft.com/office/drawing/2014/main" id="{ED374896-CCFD-D65E-D04F-F667CB1A3532}"/>
                </a:ext>
              </a:extLst>
            </xdr:cNvPr>
            <xdr:cNvGraphicFramePr/>
          </xdr:nvGraphicFramePr>
          <xdr:xfrm>
            <a:off x="0" y="0"/>
            <a:ext cx="0" cy="0"/>
          </xdr:xfrm>
          <a:graphic>
            <a:graphicData uri="http://schemas.microsoft.com/office/drawing/2010/slicer">
              <sle:slicer xmlns:sle="http://schemas.microsoft.com/office/drawing/2010/slicer" name="Fuel Type (Gas/Hybrid/EV/ etc) 3"/>
            </a:graphicData>
          </a:graphic>
        </xdr:graphicFrame>
      </mc:Choice>
      <mc:Fallback xmlns="">
        <xdr:sp macro="" textlink="">
          <xdr:nvSpPr>
            <xdr:cNvPr id="0" name=""/>
            <xdr:cNvSpPr>
              <a:spLocks noTextEdit="1"/>
            </xdr:cNvSpPr>
          </xdr:nvSpPr>
          <xdr:spPr>
            <a:xfrm>
              <a:off x="8096250" y="438150"/>
              <a:ext cx="1838325" cy="17240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8</xdr:col>
      <xdr:colOff>304800</xdr:colOff>
      <xdr:row>11</xdr:row>
      <xdr:rowOff>152400</xdr:rowOff>
    </xdr:from>
    <xdr:to>
      <xdr:col>11</xdr:col>
      <xdr:colOff>304800</xdr:colOff>
      <xdr:row>20</xdr:row>
      <xdr:rowOff>152400</xdr:rowOff>
    </xdr:to>
    <mc:AlternateContent xmlns:mc="http://schemas.openxmlformats.org/markup-compatibility/2006" xmlns:a14="http://schemas.microsoft.com/office/drawing/2010/main">
      <mc:Choice Requires="a14">
        <xdr:graphicFrame macro="">
          <xdr:nvGraphicFramePr>
            <xdr:cNvPr id="3" name="Brand 4">
              <a:extLst>
                <a:ext uri="{FF2B5EF4-FFF2-40B4-BE49-F238E27FC236}">
                  <a16:creationId xmlns:a16="http://schemas.microsoft.com/office/drawing/2014/main" id="{FF5DCD01-35DD-8C9C-0A7D-526B0F371A2B}"/>
                </a:ext>
                <a:ext uri="{147F2762-F138-4A5C-976F-8EAC2B608ADB}">
                  <a16:predDERef xmlns:a16="http://schemas.microsoft.com/office/drawing/2014/main" pred="{ED374896-CCFD-D65E-D04F-F667CB1A3532}"/>
                </a:ext>
              </a:extLst>
            </xdr:cNvPr>
            <xdr:cNvGraphicFramePr/>
          </xdr:nvGraphicFramePr>
          <xdr:xfrm>
            <a:off x="0" y="0"/>
            <a:ext cx="0" cy="0"/>
          </xdr:xfrm>
          <a:graphic>
            <a:graphicData uri="http://schemas.microsoft.com/office/drawing/2010/slicer">
              <sle:slicer xmlns:sle="http://schemas.microsoft.com/office/drawing/2010/slicer" name="Brand 4"/>
            </a:graphicData>
          </a:graphic>
        </xdr:graphicFrame>
      </mc:Choice>
      <mc:Fallback xmlns="">
        <xdr:sp macro="" textlink="">
          <xdr:nvSpPr>
            <xdr:cNvPr id="0" name=""/>
            <xdr:cNvSpPr>
              <a:spLocks noTextEdit="1"/>
            </xdr:cNvSpPr>
          </xdr:nvSpPr>
          <xdr:spPr>
            <a:xfrm>
              <a:off x="8086725" y="2247900"/>
              <a:ext cx="1828800" cy="171450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5</xdr:col>
      <xdr:colOff>304800</xdr:colOff>
      <xdr:row>1</xdr:row>
      <xdr:rowOff>104775</xdr:rowOff>
    </xdr:from>
    <xdr:to>
      <xdr:col>5</xdr:col>
      <xdr:colOff>2133600</xdr:colOff>
      <xdr:row>10</xdr:row>
      <xdr:rowOff>19050</xdr:rowOff>
    </xdr:to>
    <mc:AlternateContent xmlns:mc="http://schemas.openxmlformats.org/markup-compatibility/2006" xmlns:a14="http://schemas.microsoft.com/office/drawing/2010/main">
      <mc:Choice Requires="a14">
        <xdr:graphicFrame macro="">
          <xdr:nvGraphicFramePr>
            <xdr:cNvPr id="2" name="Fuel Type (Gas/Hybrid/EV/ etc) 5">
              <a:extLst>
                <a:ext uri="{FF2B5EF4-FFF2-40B4-BE49-F238E27FC236}">
                  <a16:creationId xmlns:a16="http://schemas.microsoft.com/office/drawing/2014/main" id="{B62C3F15-3CB5-3FD7-E220-EEEC1B8F48EF}"/>
                </a:ext>
              </a:extLst>
            </xdr:cNvPr>
            <xdr:cNvGraphicFramePr/>
          </xdr:nvGraphicFramePr>
          <xdr:xfrm>
            <a:off x="0" y="0"/>
            <a:ext cx="0" cy="0"/>
          </xdr:xfrm>
          <a:graphic>
            <a:graphicData uri="http://schemas.microsoft.com/office/drawing/2010/slicer">
              <sle:slicer xmlns:sle="http://schemas.microsoft.com/office/drawing/2010/slicer" name="Fuel Type (Gas/Hybrid/EV/ etc) 5"/>
            </a:graphicData>
          </a:graphic>
        </xdr:graphicFrame>
      </mc:Choice>
      <mc:Fallback xmlns="">
        <xdr:sp macro="" textlink="">
          <xdr:nvSpPr>
            <xdr:cNvPr id="0" name=""/>
            <xdr:cNvSpPr>
              <a:spLocks noTextEdit="1"/>
            </xdr:cNvSpPr>
          </xdr:nvSpPr>
          <xdr:spPr>
            <a:xfrm>
              <a:off x="11391900" y="295275"/>
              <a:ext cx="1828800" cy="1628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419100</xdr:colOff>
      <xdr:row>21</xdr:row>
      <xdr:rowOff>19050</xdr:rowOff>
    </xdr:from>
    <xdr:to>
      <xdr:col>7</xdr:col>
      <xdr:colOff>419100</xdr:colOff>
      <xdr:row>29</xdr:row>
      <xdr:rowOff>152400</xdr:rowOff>
    </xdr:to>
    <mc:AlternateContent xmlns:mc="http://schemas.openxmlformats.org/markup-compatibility/2006" xmlns:a14="http://schemas.microsoft.com/office/drawing/2010/main">
      <mc:Choice Requires="a14">
        <xdr:graphicFrame macro="">
          <xdr:nvGraphicFramePr>
            <xdr:cNvPr id="2" name="Fuel Type (Gas/Hybrid/EV/ etc) 1">
              <a:extLst>
                <a:ext uri="{FF2B5EF4-FFF2-40B4-BE49-F238E27FC236}">
                  <a16:creationId xmlns:a16="http://schemas.microsoft.com/office/drawing/2014/main" id="{4BC672DB-A10D-A23C-E016-CBFE6AC3AEBF}"/>
                </a:ext>
              </a:extLst>
            </xdr:cNvPr>
            <xdr:cNvGraphicFramePr/>
          </xdr:nvGraphicFramePr>
          <xdr:xfrm>
            <a:off x="0" y="0"/>
            <a:ext cx="0" cy="0"/>
          </xdr:xfrm>
          <a:graphic>
            <a:graphicData uri="http://schemas.microsoft.com/office/drawing/2010/slicer">
              <sle:slicer xmlns:sle="http://schemas.microsoft.com/office/drawing/2010/slicer" name="Fuel Type (Gas/Hybrid/EV/ etc) 1"/>
            </a:graphicData>
          </a:graphic>
        </xdr:graphicFrame>
      </mc:Choice>
      <mc:Fallback xmlns="">
        <xdr:sp macro="" textlink="">
          <xdr:nvSpPr>
            <xdr:cNvPr id="0" name=""/>
            <xdr:cNvSpPr>
              <a:spLocks noTextEdit="1"/>
            </xdr:cNvSpPr>
          </xdr:nvSpPr>
          <xdr:spPr>
            <a:xfrm>
              <a:off x="6048375" y="2238375"/>
              <a:ext cx="1828800" cy="16573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4</xdr:col>
      <xdr:colOff>409575</xdr:colOff>
      <xdr:row>2</xdr:row>
      <xdr:rowOff>180975</xdr:rowOff>
    </xdr:from>
    <xdr:to>
      <xdr:col>7</xdr:col>
      <xdr:colOff>409575</xdr:colOff>
      <xdr:row>11</xdr:row>
      <xdr:rowOff>95250</xdr:rowOff>
    </xdr:to>
    <mc:AlternateContent xmlns:mc="http://schemas.openxmlformats.org/markup-compatibility/2006" xmlns:a14="http://schemas.microsoft.com/office/drawing/2010/main">
      <mc:Choice Requires="a14">
        <xdr:graphicFrame macro="">
          <xdr:nvGraphicFramePr>
            <xdr:cNvPr id="3" name="Brand 1">
              <a:extLst>
                <a:ext uri="{FF2B5EF4-FFF2-40B4-BE49-F238E27FC236}">
                  <a16:creationId xmlns:a16="http://schemas.microsoft.com/office/drawing/2014/main" id="{9550110A-E82B-7E27-65F9-8764669929D8}"/>
                </a:ext>
                <a:ext uri="{147F2762-F138-4A5C-976F-8EAC2B608ADB}">
                  <a16:predDERef xmlns:a16="http://schemas.microsoft.com/office/drawing/2014/main" pred="{4BC672DB-A10D-A23C-E016-CBFE6AC3AEBF}"/>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mlns="">
        <xdr:sp macro="" textlink="">
          <xdr:nvSpPr>
            <xdr:cNvPr id="0" name=""/>
            <xdr:cNvSpPr>
              <a:spLocks noTextEdit="1"/>
            </xdr:cNvSpPr>
          </xdr:nvSpPr>
          <xdr:spPr>
            <a:xfrm>
              <a:off x="6038850" y="3971925"/>
              <a:ext cx="1828800" cy="1628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4</xdr:col>
      <xdr:colOff>419100</xdr:colOff>
      <xdr:row>12</xdr:row>
      <xdr:rowOff>28575</xdr:rowOff>
    </xdr:from>
    <xdr:to>
      <xdr:col>7</xdr:col>
      <xdr:colOff>419100</xdr:colOff>
      <xdr:row>20</xdr:row>
      <xdr:rowOff>123825</xdr:rowOff>
    </xdr:to>
    <mc:AlternateContent xmlns:mc="http://schemas.openxmlformats.org/markup-compatibility/2006" xmlns:a14="http://schemas.microsoft.com/office/drawing/2010/main">
      <mc:Choice Requires="a14">
        <xdr:graphicFrame macro="">
          <xdr:nvGraphicFramePr>
            <xdr:cNvPr id="4" name="Body Type (Sedan/ SUV/etc) 1">
              <a:extLst>
                <a:ext uri="{FF2B5EF4-FFF2-40B4-BE49-F238E27FC236}">
                  <a16:creationId xmlns:a16="http://schemas.microsoft.com/office/drawing/2014/main" id="{82689EC0-4036-D592-9567-6452716338B3}"/>
                </a:ext>
                <a:ext uri="{147F2762-F138-4A5C-976F-8EAC2B608ADB}">
                  <a16:predDERef xmlns:a16="http://schemas.microsoft.com/office/drawing/2014/main" pred="{9550110A-E82B-7E27-65F9-8764669929D8}"/>
                </a:ext>
              </a:extLst>
            </xdr:cNvPr>
            <xdr:cNvGraphicFramePr/>
          </xdr:nvGraphicFramePr>
          <xdr:xfrm>
            <a:off x="0" y="0"/>
            <a:ext cx="0" cy="0"/>
          </xdr:xfrm>
          <a:graphic>
            <a:graphicData uri="http://schemas.microsoft.com/office/drawing/2010/slicer">
              <sle:slicer xmlns:sle="http://schemas.microsoft.com/office/drawing/2010/slicer" name="Body Type (Sedan/ SUV/etc) 1"/>
            </a:graphicData>
          </a:graphic>
        </xdr:graphicFrame>
      </mc:Choice>
      <mc:Fallback xmlns="">
        <xdr:sp macro="" textlink="">
          <xdr:nvSpPr>
            <xdr:cNvPr id="0" name=""/>
            <xdr:cNvSpPr>
              <a:spLocks noTextEdit="1"/>
            </xdr:cNvSpPr>
          </xdr:nvSpPr>
          <xdr:spPr>
            <a:xfrm>
              <a:off x="6048375" y="495300"/>
              <a:ext cx="1828800" cy="16192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104775</xdr:colOff>
      <xdr:row>1</xdr:row>
      <xdr:rowOff>95250</xdr:rowOff>
    </xdr:from>
    <xdr:to>
      <xdr:col>10</xdr:col>
      <xdr:colOff>104775</xdr:colOff>
      <xdr:row>10</xdr:row>
      <xdr:rowOff>9525</xdr:rowOff>
    </xdr:to>
    <mc:AlternateContent xmlns:mc="http://schemas.openxmlformats.org/markup-compatibility/2006" xmlns:a14="http://schemas.microsoft.com/office/drawing/2010/main">
      <mc:Choice Requires="a14">
        <xdr:graphicFrame macro="">
          <xdr:nvGraphicFramePr>
            <xdr:cNvPr id="2" name="Brand 5">
              <a:extLst>
                <a:ext uri="{FF2B5EF4-FFF2-40B4-BE49-F238E27FC236}">
                  <a16:creationId xmlns:a16="http://schemas.microsoft.com/office/drawing/2014/main" id="{CD0355D0-1B7A-BABA-7A50-1CDB14EAA199}"/>
                </a:ext>
              </a:extLst>
            </xdr:cNvPr>
            <xdr:cNvGraphicFramePr/>
          </xdr:nvGraphicFramePr>
          <xdr:xfrm>
            <a:off x="0" y="0"/>
            <a:ext cx="0" cy="0"/>
          </xdr:xfrm>
          <a:graphic>
            <a:graphicData uri="http://schemas.microsoft.com/office/drawing/2010/slicer">
              <sle:slicer xmlns:sle="http://schemas.microsoft.com/office/drawing/2010/slicer" name="Brand 5"/>
            </a:graphicData>
          </a:graphic>
        </xdr:graphicFrame>
      </mc:Choice>
      <mc:Fallback xmlns="">
        <xdr:sp macro="" textlink="">
          <xdr:nvSpPr>
            <xdr:cNvPr id="0" name=""/>
            <xdr:cNvSpPr>
              <a:spLocks noTextEdit="1"/>
            </xdr:cNvSpPr>
          </xdr:nvSpPr>
          <xdr:spPr>
            <a:xfrm>
              <a:off x="8201025" y="285750"/>
              <a:ext cx="1828800" cy="1628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7</xdr:col>
      <xdr:colOff>95250</xdr:colOff>
      <xdr:row>10</xdr:row>
      <xdr:rowOff>104775</xdr:rowOff>
    </xdr:from>
    <xdr:to>
      <xdr:col>10</xdr:col>
      <xdr:colOff>95250</xdr:colOff>
      <xdr:row>19</xdr:row>
      <xdr:rowOff>0</xdr:rowOff>
    </xdr:to>
    <mc:AlternateContent xmlns:mc="http://schemas.openxmlformats.org/markup-compatibility/2006" xmlns:a14="http://schemas.microsoft.com/office/drawing/2010/main">
      <mc:Choice Requires="a14">
        <xdr:graphicFrame macro="">
          <xdr:nvGraphicFramePr>
            <xdr:cNvPr id="3" name="Body Type (Sedan/ SUV/etc) 5">
              <a:extLst>
                <a:ext uri="{FF2B5EF4-FFF2-40B4-BE49-F238E27FC236}">
                  <a16:creationId xmlns:a16="http://schemas.microsoft.com/office/drawing/2014/main" id="{C46299A5-192F-C986-DCC3-B44FB833FEED}"/>
                </a:ext>
                <a:ext uri="{147F2762-F138-4A5C-976F-8EAC2B608ADB}">
                  <a16:predDERef xmlns:a16="http://schemas.microsoft.com/office/drawing/2014/main" pred="{CD0355D0-1B7A-BABA-7A50-1CDB14EAA199}"/>
                </a:ext>
              </a:extLst>
            </xdr:cNvPr>
            <xdr:cNvGraphicFramePr/>
          </xdr:nvGraphicFramePr>
          <xdr:xfrm>
            <a:off x="0" y="0"/>
            <a:ext cx="0" cy="0"/>
          </xdr:xfrm>
          <a:graphic>
            <a:graphicData uri="http://schemas.microsoft.com/office/drawing/2010/slicer">
              <sle:slicer xmlns:sle="http://schemas.microsoft.com/office/drawing/2010/slicer" name="Body Type (Sedan/ SUV/etc) 5"/>
            </a:graphicData>
          </a:graphic>
        </xdr:graphicFrame>
      </mc:Choice>
      <mc:Fallback xmlns="">
        <xdr:sp macro="" textlink="">
          <xdr:nvSpPr>
            <xdr:cNvPr id="0" name=""/>
            <xdr:cNvSpPr>
              <a:spLocks noTextEdit="1"/>
            </xdr:cNvSpPr>
          </xdr:nvSpPr>
          <xdr:spPr>
            <a:xfrm>
              <a:off x="8191500" y="2009775"/>
              <a:ext cx="1828800" cy="160972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10</xdr:col>
      <xdr:colOff>180975</xdr:colOff>
      <xdr:row>1</xdr:row>
      <xdr:rowOff>76200</xdr:rowOff>
    </xdr:from>
    <xdr:to>
      <xdr:col>13</xdr:col>
      <xdr:colOff>180975</xdr:colOff>
      <xdr:row>9</xdr:row>
      <xdr:rowOff>180975</xdr:rowOff>
    </xdr:to>
    <mc:AlternateContent xmlns:mc="http://schemas.openxmlformats.org/markup-compatibility/2006" xmlns:a14="http://schemas.microsoft.com/office/drawing/2010/main">
      <mc:Choice Requires="a14">
        <xdr:graphicFrame macro="">
          <xdr:nvGraphicFramePr>
            <xdr:cNvPr id="4" name="Fuel Type (Gas/Hybrid/EV/ etc) 4">
              <a:extLst>
                <a:ext uri="{FF2B5EF4-FFF2-40B4-BE49-F238E27FC236}">
                  <a16:creationId xmlns:a16="http://schemas.microsoft.com/office/drawing/2014/main" id="{C5D9CDB3-EC18-32FF-BD12-2399E95E4EEE}"/>
                </a:ext>
                <a:ext uri="{147F2762-F138-4A5C-976F-8EAC2B608ADB}">
                  <a16:predDERef xmlns:a16="http://schemas.microsoft.com/office/drawing/2014/main" pred="{C46299A5-192F-C986-DCC3-B44FB833FEED}"/>
                </a:ext>
              </a:extLst>
            </xdr:cNvPr>
            <xdr:cNvGraphicFramePr/>
          </xdr:nvGraphicFramePr>
          <xdr:xfrm>
            <a:off x="0" y="0"/>
            <a:ext cx="0" cy="0"/>
          </xdr:xfrm>
          <a:graphic>
            <a:graphicData uri="http://schemas.microsoft.com/office/drawing/2010/slicer">
              <sle:slicer xmlns:sle="http://schemas.microsoft.com/office/drawing/2010/slicer" name="Fuel Type (Gas/Hybrid/EV/ etc) 4"/>
            </a:graphicData>
          </a:graphic>
        </xdr:graphicFrame>
      </mc:Choice>
      <mc:Fallback xmlns="">
        <xdr:sp macro="" textlink="">
          <xdr:nvSpPr>
            <xdr:cNvPr id="0" name=""/>
            <xdr:cNvSpPr>
              <a:spLocks noTextEdit="1"/>
            </xdr:cNvSpPr>
          </xdr:nvSpPr>
          <xdr:spPr>
            <a:xfrm>
              <a:off x="10106025" y="266700"/>
              <a:ext cx="1828800" cy="1628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276225</xdr:colOff>
      <xdr:row>1</xdr:row>
      <xdr:rowOff>57150</xdr:rowOff>
    </xdr:from>
    <xdr:to>
      <xdr:col>6</xdr:col>
      <xdr:colOff>276225</xdr:colOff>
      <xdr:row>9</xdr:row>
      <xdr:rowOff>161925</xdr:rowOff>
    </xdr:to>
    <mc:AlternateContent xmlns:mc="http://schemas.openxmlformats.org/markup-compatibility/2006" xmlns:a14="http://schemas.microsoft.com/office/drawing/2010/main">
      <mc:Choice Requires="a14">
        <xdr:graphicFrame macro="">
          <xdr:nvGraphicFramePr>
            <xdr:cNvPr id="3" name="Body Type (Sedan/ SUV/etc) 3">
              <a:extLst>
                <a:ext uri="{FF2B5EF4-FFF2-40B4-BE49-F238E27FC236}">
                  <a16:creationId xmlns:a16="http://schemas.microsoft.com/office/drawing/2014/main" id="{D25854B4-E879-8375-F947-6CA7A50B6338}"/>
                </a:ext>
                <a:ext uri="{147F2762-F138-4A5C-976F-8EAC2B608ADB}">
                  <a16:predDERef xmlns:a16="http://schemas.microsoft.com/office/drawing/2014/main" pred="{5A11F3DC-B09B-70F1-12B5-82324CA25F3B}"/>
                </a:ext>
              </a:extLst>
            </xdr:cNvPr>
            <xdr:cNvGraphicFramePr/>
          </xdr:nvGraphicFramePr>
          <xdr:xfrm>
            <a:off x="0" y="0"/>
            <a:ext cx="0" cy="0"/>
          </xdr:xfrm>
          <a:graphic>
            <a:graphicData uri="http://schemas.microsoft.com/office/drawing/2010/slicer">
              <sle:slicer xmlns:sle="http://schemas.microsoft.com/office/drawing/2010/slicer" name="Body Type (Sedan/ SUV/etc) 3"/>
            </a:graphicData>
          </a:graphic>
        </xdr:graphicFrame>
      </mc:Choice>
      <mc:Fallback xmlns="">
        <xdr:sp macro="" textlink="">
          <xdr:nvSpPr>
            <xdr:cNvPr id="0" name=""/>
            <xdr:cNvSpPr>
              <a:spLocks noTextEdit="1"/>
            </xdr:cNvSpPr>
          </xdr:nvSpPr>
          <xdr:spPr>
            <a:xfrm>
              <a:off x="5876925" y="238125"/>
              <a:ext cx="1828800" cy="1628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6</xdr:col>
      <xdr:colOff>352425</xdr:colOff>
      <xdr:row>1</xdr:row>
      <xdr:rowOff>66675</xdr:rowOff>
    </xdr:from>
    <xdr:to>
      <xdr:col>9</xdr:col>
      <xdr:colOff>352425</xdr:colOff>
      <xdr:row>9</xdr:row>
      <xdr:rowOff>171450</xdr:rowOff>
    </xdr:to>
    <mc:AlternateContent xmlns:mc="http://schemas.openxmlformats.org/markup-compatibility/2006" xmlns:a14="http://schemas.microsoft.com/office/drawing/2010/main">
      <mc:Choice Requires="a14">
        <xdr:graphicFrame macro="">
          <xdr:nvGraphicFramePr>
            <xdr:cNvPr id="4" name="Fuel Type (Gas/Hybrid/EV/ etc) 2">
              <a:extLst>
                <a:ext uri="{FF2B5EF4-FFF2-40B4-BE49-F238E27FC236}">
                  <a16:creationId xmlns:a16="http://schemas.microsoft.com/office/drawing/2014/main" id="{969127EF-CDEA-BB30-F30E-C3C7FADFE0A8}"/>
                </a:ext>
                <a:ext uri="{147F2762-F138-4A5C-976F-8EAC2B608ADB}">
                  <a16:predDERef xmlns:a16="http://schemas.microsoft.com/office/drawing/2014/main" pred="{D25854B4-E879-8375-F947-6CA7A50B6338}"/>
                </a:ext>
              </a:extLst>
            </xdr:cNvPr>
            <xdr:cNvGraphicFramePr/>
          </xdr:nvGraphicFramePr>
          <xdr:xfrm>
            <a:off x="0" y="0"/>
            <a:ext cx="0" cy="0"/>
          </xdr:xfrm>
          <a:graphic>
            <a:graphicData uri="http://schemas.microsoft.com/office/drawing/2010/slicer">
              <sle:slicer xmlns:sle="http://schemas.microsoft.com/office/drawing/2010/slicer" name="Fuel Type (Gas/Hybrid/EV/ etc) 2"/>
            </a:graphicData>
          </a:graphic>
        </xdr:graphicFrame>
      </mc:Choice>
      <mc:Fallback xmlns="">
        <xdr:sp macro="" textlink="">
          <xdr:nvSpPr>
            <xdr:cNvPr id="0" name=""/>
            <xdr:cNvSpPr>
              <a:spLocks noTextEdit="1"/>
            </xdr:cNvSpPr>
          </xdr:nvSpPr>
          <xdr:spPr>
            <a:xfrm>
              <a:off x="7791450" y="257175"/>
              <a:ext cx="1828800" cy="1628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drawings/drawing9.xml><?xml version="1.0" encoding="utf-8"?>
<xdr:wsDr xmlns:xdr="http://schemas.openxmlformats.org/drawingml/2006/spreadsheetDrawing" xmlns:a="http://schemas.openxmlformats.org/drawingml/2006/main">
  <xdr:twoCellAnchor editAs="oneCell">
    <xdr:from>
      <xdr:col>6</xdr:col>
      <xdr:colOff>238125</xdr:colOff>
      <xdr:row>1</xdr:row>
      <xdr:rowOff>152400</xdr:rowOff>
    </xdr:from>
    <xdr:to>
      <xdr:col>9</xdr:col>
      <xdr:colOff>238125</xdr:colOff>
      <xdr:row>10</xdr:row>
      <xdr:rowOff>66675</xdr:rowOff>
    </xdr:to>
    <mc:AlternateContent xmlns:mc="http://schemas.openxmlformats.org/markup-compatibility/2006" xmlns:a14="http://schemas.microsoft.com/office/drawing/2010/main">
      <mc:Choice Requires="a14">
        <xdr:graphicFrame macro="">
          <xdr:nvGraphicFramePr>
            <xdr:cNvPr id="2" name="Brand 2">
              <a:extLst>
                <a:ext uri="{FF2B5EF4-FFF2-40B4-BE49-F238E27FC236}">
                  <a16:creationId xmlns:a16="http://schemas.microsoft.com/office/drawing/2014/main" id="{488324B9-F457-328F-FA71-8456FA6A083F}"/>
                </a:ext>
              </a:extLst>
            </xdr:cNvPr>
            <xdr:cNvGraphicFramePr/>
          </xdr:nvGraphicFramePr>
          <xdr:xfrm>
            <a:off x="0" y="0"/>
            <a:ext cx="0" cy="0"/>
          </xdr:xfrm>
          <a:graphic>
            <a:graphicData uri="http://schemas.microsoft.com/office/drawing/2010/slicer">
              <sle:slicer xmlns:sle="http://schemas.microsoft.com/office/drawing/2010/slicer" name="Brand 2"/>
            </a:graphicData>
          </a:graphic>
        </xdr:graphicFrame>
      </mc:Choice>
      <mc:Fallback xmlns="">
        <xdr:sp macro="" textlink="">
          <xdr:nvSpPr>
            <xdr:cNvPr id="0" name=""/>
            <xdr:cNvSpPr>
              <a:spLocks noTextEdit="1"/>
            </xdr:cNvSpPr>
          </xdr:nvSpPr>
          <xdr:spPr>
            <a:xfrm>
              <a:off x="13277850" y="342900"/>
              <a:ext cx="1828800" cy="1628775"/>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6</xdr:col>
      <xdr:colOff>209550</xdr:colOff>
      <xdr:row>10</xdr:row>
      <xdr:rowOff>180975</xdr:rowOff>
    </xdr:from>
    <xdr:to>
      <xdr:col>9</xdr:col>
      <xdr:colOff>209550</xdr:colOff>
      <xdr:row>19</xdr:row>
      <xdr:rowOff>85725</xdr:rowOff>
    </xdr:to>
    <mc:AlternateContent xmlns:mc="http://schemas.openxmlformats.org/markup-compatibility/2006" xmlns:a14="http://schemas.microsoft.com/office/drawing/2010/main">
      <mc:Choice Requires="a14">
        <xdr:graphicFrame macro="">
          <xdr:nvGraphicFramePr>
            <xdr:cNvPr id="3" name="Fuel Type (Gas/Hybrid/EV/ etc) 6">
              <a:extLst>
                <a:ext uri="{FF2B5EF4-FFF2-40B4-BE49-F238E27FC236}">
                  <a16:creationId xmlns:a16="http://schemas.microsoft.com/office/drawing/2014/main" id="{78D9C37A-92D4-AB63-B136-6C61999B58E5}"/>
                </a:ext>
                <a:ext uri="{147F2762-F138-4A5C-976F-8EAC2B608ADB}">
                  <a16:predDERef xmlns:a16="http://schemas.microsoft.com/office/drawing/2014/main" pred="{488324B9-F457-328F-FA71-8456FA6A083F}"/>
                </a:ext>
              </a:extLst>
            </xdr:cNvPr>
            <xdr:cNvGraphicFramePr/>
          </xdr:nvGraphicFramePr>
          <xdr:xfrm>
            <a:off x="0" y="0"/>
            <a:ext cx="0" cy="0"/>
          </xdr:xfrm>
          <a:graphic>
            <a:graphicData uri="http://schemas.microsoft.com/office/drawing/2010/slicer">
              <sle:slicer xmlns:sle="http://schemas.microsoft.com/office/drawing/2010/slicer" name="Fuel Type (Gas/Hybrid/EV/ etc) 6"/>
            </a:graphicData>
          </a:graphic>
        </xdr:graphicFrame>
      </mc:Choice>
      <mc:Fallback xmlns="">
        <xdr:sp macro="" textlink="">
          <xdr:nvSpPr>
            <xdr:cNvPr id="0" name=""/>
            <xdr:cNvSpPr>
              <a:spLocks noTextEdit="1"/>
            </xdr:cNvSpPr>
          </xdr:nvSpPr>
          <xdr:spPr>
            <a:xfrm>
              <a:off x="13249275" y="2085975"/>
              <a:ext cx="1828800" cy="16192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twoCellAnchor editAs="oneCell">
    <xdr:from>
      <xdr:col>5</xdr:col>
      <xdr:colOff>819150</xdr:colOff>
      <xdr:row>11</xdr:row>
      <xdr:rowOff>19050</xdr:rowOff>
    </xdr:from>
    <xdr:to>
      <xdr:col>6</xdr:col>
      <xdr:colOff>38100</xdr:colOff>
      <xdr:row>19</xdr:row>
      <xdr:rowOff>114300</xdr:rowOff>
    </xdr:to>
    <mc:AlternateContent xmlns:mc="http://schemas.openxmlformats.org/markup-compatibility/2006" xmlns:a14="http://schemas.microsoft.com/office/drawing/2010/main">
      <mc:Choice Requires="a14">
        <xdr:graphicFrame macro="">
          <xdr:nvGraphicFramePr>
            <xdr:cNvPr id="5" name="Body Type (Sedan/ SUV/etc) 2">
              <a:extLst>
                <a:ext uri="{FF2B5EF4-FFF2-40B4-BE49-F238E27FC236}">
                  <a16:creationId xmlns:a16="http://schemas.microsoft.com/office/drawing/2014/main" id="{6BA28B07-FDAD-4208-5643-D22F78613461}"/>
                </a:ext>
                <a:ext uri="{147F2762-F138-4A5C-976F-8EAC2B608ADB}">
                  <a16:predDERef xmlns:a16="http://schemas.microsoft.com/office/drawing/2014/main" pred="{78D9C37A-92D4-AB63-B136-6C61999B58E5}"/>
                </a:ext>
              </a:extLst>
            </xdr:cNvPr>
            <xdr:cNvGraphicFramePr/>
          </xdr:nvGraphicFramePr>
          <xdr:xfrm>
            <a:off x="0" y="0"/>
            <a:ext cx="0" cy="0"/>
          </xdr:xfrm>
          <a:graphic>
            <a:graphicData uri="http://schemas.microsoft.com/office/drawing/2010/slicer">
              <sle:slicer xmlns:sle="http://schemas.microsoft.com/office/drawing/2010/slicer" name="Body Type (Sedan/ SUV/etc) 2"/>
            </a:graphicData>
          </a:graphic>
        </xdr:graphicFrame>
      </mc:Choice>
      <mc:Fallback xmlns="">
        <xdr:sp macro="" textlink="">
          <xdr:nvSpPr>
            <xdr:cNvPr id="0" name=""/>
            <xdr:cNvSpPr>
              <a:spLocks noTextEdit="1"/>
            </xdr:cNvSpPr>
          </xdr:nvSpPr>
          <xdr:spPr>
            <a:xfrm>
              <a:off x="11249025" y="2114550"/>
              <a:ext cx="1828800" cy="1619250"/>
            </a:xfrm>
            <a:prstGeom prst="rect">
              <a:avLst/>
            </a:prstGeom>
            <a:solidFill>
              <a:prstClr val="white"/>
            </a:solidFill>
            <a:ln w="1">
              <a:solidFill>
                <a:prstClr val="green"/>
              </a:solidFill>
            </a:ln>
          </xdr:spPr>
          <xdr:txBody>
            <a:bodyPr vertOverflow="clip" horzOverflow="clip"/>
            <a:lstStyle/>
            <a:p>
              <a:endParaRPr sz="1100"/>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726.669594444444" createdVersion="8" refreshedVersion="8" minRefreshableVersion="3" recordCount="84" xr:uid="{26CBB6C0-E7FB-47B2-BC70-47841D11A135}">
  <cacheSource type="worksheet">
    <worksheetSource name="Table1"/>
  </cacheSource>
  <cacheFields count="23">
    <cacheField name="Brand" numFmtId="0">
      <sharedItems count="5">
        <s v="Honda"/>
        <s v="Toyota"/>
        <s v="Tesla"/>
        <s v="Hyundai"/>
        <s v="Ford"/>
      </sharedItems>
    </cacheField>
    <cacheField name="Model" numFmtId="0">
      <sharedItems count="84">
        <s v="HR-V"/>
        <s v="CR-V"/>
        <s v="CR-V Hybrid"/>
        <s v="Passport"/>
        <s v="Pilot"/>
        <s v="Prologue"/>
        <s v="CR-V e:FCEV"/>
        <s v="Civic Sedan"/>
        <s v="Civic Sedan Hybrid"/>
        <s v="Civic Si Sedan"/>
        <s v="Accord"/>
        <s v="Accord Hybrid"/>
        <s v="Civic Hatchback"/>
        <s v="Civic Hatchback Hybrid"/>
        <s v="Odyssey"/>
        <s v="Ridgeline"/>
        <s v="Corolla"/>
        <s v="Corolla Hybrid"/>
        <s v="Corolla Hatchback"/>
        <s v="Prius"/>
        <s v="Prius Plug-in Hybrid"/>
        <s v="Camry"/>
        <s v="Toyota Crown"/>
        <s v="Mirai"/>
        <s v="GR86"/>
        <s v="GR Corolla"/>
        <s v="GR Supra"/>
        <s v="Sienna"/>
        <s v="Tacoma"/>
        <s v="Tacoma i-FORCE MAX"/>
        <s v="Tundra"/>
        <s v="Tundra i-FORCE MAX"/>
        <s v="Corolla Cross"/>
        <s v="Corolla Cross Hybrid"/>
        <s v="RAV4"/>
        <s v="RAV4 Hybrid"/>
        <s v="RAV4 Plug-in Hybrid"/>
        <s v="Highlander"/>
        <s v="Highlander Hybrid"/>
        <s v="4Runner"/>
        <s v="4Runner i-FORCE MAX"/>
        <s v="bZ4X"/>
        <s v="Grand Highlander"/>
        <s v="Grand Highlander Hybrid"/>
        <s v="Toyata Crown Signia"/>
        <s v="Land Cruiser"/>
        <s v="Sequoia"/>
        <s v="Model 3 (Long Range All-Wheel Drive)"/>
        <s v="Model Y (Long Range All-Wheel Drive)"/>
        <s v="Cybertruck (All-Wheel Drive)"/>
        <s v="Model X (All-Wheel Drive)"/>
        <s v="Model S (All-Wheel Drive)"/>
        <s v="Venue"/>
        <s v="Kona"/>
        <s v="Kona Electric"/>
        <s v="Santa Cruz"/>
        <s v="Tucson"/>
        <s v="Tucson Hybrid"/>
        <s v="Tucson Plug-in Hybrid"/>
        <s v="Santa Fe"/>
        <s v="Santa Fe Hybrid"/>
        <s v="Palisade"/>
        <s v="Ioniq 5"/>
        <s v="Ioniq 5 N"/>
        <s v="NEXO Fuel Cell"/>
        <s v="Elantra"/>
        <s v="Elantra Hybrid"/>
        <s v="Elantra N"/>
        <s v="Sonata Gas &amp; Hybrid"/>
        <s v="Ioniq 6"/>
        <s v="Mustang"/>
        <s v="Escape Hybrid"/>
        <s v="Bronco Sport"/>
        <s v="Bronco"/>
        <s v="Explorer"/>
        <s v="Edge"/>
        <s v="Mustang Mach-E"/>
        <s v="Expedition"/>
        <s v="Maverick"/>
        <s v="Ranger"/>
        <s v="F-150"/>
        <s v="E-Transit"/>
        <s v="F-150 Lightning"/>
        <s v="Transit"/>
      </sharedItems>
    </cacheField>
    <cacheField name="Body Type (Sedan/ SUV/etc)" numFmtId="0">
      <sharedItems count="5">
        <s v="SUV"/>
        <s v="Sedan"/>
        <s v="Hatchback"/>
        <s v="Minivan"/>
        <s v="Truck"/>
      </sharedItems>
    </cacheField>
    <cacheField name="Fuel Type (Gas/Hybrid/EV/ etc)" numFmtId="0">
      <sharedItems count="5">
        <s v="Gas"/>
        <s v="Hybrid EV"/>
        <s v="Battery EV"/>
        <s v="Fuel Cell EV"/>
        <s v="Plug-in Hybrid EV"/>
      </sharedItems>
    </cacheField>
    <cacheField name="MSRP ($)" numFmtId="164">
      <sharedItems containsSemiMixedTypes="0" containsString="0" containsNumber="1" containsInteger="1" minValue="20200" maxValue="78490"/>
    </cacheField>
    <cacheField name="MPG (City/Hwy)" numFmtId="49">
      <sharedItems containsBlank="1"/>
    </cacheField>
    <cacheField name="MPGe (Electric)" numFmtId="49">
      <sharedItems containsBlank="1"/>
    </cacheField>
    <cacheField name="Est. Range (miles)" numFmtId="1">
      <sharedItems containsString="0" containsBlank="1" containsNumber="1" containsInteger="1" minValue="159" maxValue="380"/>
    </cacheField>
    <cacheField name="Annual Fuel Cost (Regular Gas)" numFmtId="164">
      <sharedItems containsString="0" containsBlank="1" containsNumber="1" containsInteger="1" minValue="750" maxValue="2800"/>
    </cacheField>
    <cacheField name="Annual Fuel Cost (Premium Gas)" numFmtId="164">
      <sharedItems containsString="0" containsBlank="1" containsNumber="1" containsInteger="1" minValue="1784" maxValue="2550"/>
    </cacheField>
    <cacheField name="Annual Electricity Cost ($)" numFmtId="164">
      <sharedItems containsString="0" containsBlank="1" containsNumber="1" containsInteger="1" minValue="550" maxValue="1750"/>
    </cacheField>
    <cacheField name="Fuel Credits? (Fuel Cell)" numFmtId="164">
      <sharedItems containsBlank="1"/>
    </cacheField>
    <cacheField name="Annual Maintenance Cost ($)" numFmtId="164">
      <sharedItems containsSemiMixedTypes="0" containsString="0" containsNumber="1" minValue="0" maxValue="1378"/>
    </cacheField>
    <cacheField name="Battery Warranty" numFmtId="0">
      <sharedItems containsBlank="1"/>
    </cacheField>
    <cacheField name="5-Year Fuel Cost (Gas/Electric/etc)" numFmtId="164">
      <sharedItems containsSemiMixedTypes="0" containsString="0" containsNumber="1" containsInteger="1" minValue="0" maxValue="14000"/>
    </cacheField>
    <cacheField name="5-Year Maintenance Cost ($)" numFmtId="164">
      <sharedItems containsSemiMixedTypes="0" containsString="0" containsNumber="1" containsInteger="1" minValue="0" maxValue="6890"/>
    </cacheField>
    <cacheField name="MaintenanceWarranty Notes" numFmtId="164">
      <sharedItems containsBlank="1"/>
    </cacheField>
    <cacheField name="Depreciation After 5 Years ($)" numFmtId="164">
      <sharedItems containsSemiMixedTypes="0" containsString="0" containsNumber="1" minValue="8533.2000000000007" maxValue="56364"/>
    </cacheField>
    <cacheField name="Insurance Costs After 5 Years ($)" numFmtId="164">
      <sharedItems containsString="0" containsBlank="1" containsNumber="1" containsInteger="1" minValue="3325" maxValue="7668"/>
    </cacheField>
    <cacheField name="Possible Tax Credit ($)" numFmtId="164">
      <sharedItems containsString="0" containsBlank="1" containsNumber="1" containsInteger="1" minValue="3750" maxValue="7500"/>
    </cacheField>
    <cacheField name="Total Cost of Ownership (TCO) Over 5 Years - Including Depreciation" numFmtId="164">
      <sharedItems containsMixedTypes="1" containsNumber="1" minValue="40963" maxValue="130602"/>
    </cacheField>
    <cacheField name="Total Running Cost Over 5 Years" numFmtId="164">
      <sharedItems containsMixedTypes="1" containsNumber="1" containsInteger="1" minValue="-400" maxValue="14791"/>
    </cacheField>
    <cacheField name="Total Money Spent Over 5 Years - Excluding Depreciation" numFmtId="164">
      <sharedItems containsMixedTypes="1" containsNumber="1" containsInteger="1" minValue="28752" maxValue="79565"/>
    </cacheField>
  </cacheFields>
  <extLst>
    <ext xmlns:x14="http://schemas.microsoft.com/office/spreadsheetml/2009/9/main" uri="{725AE2AE-9491-48be-B2B4-4EB974FC3084}">
      <x14:pivotCacheDefinition pivotCacheId="769904717"/>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4">
  <r>
    <x v="0"/>
    <x v="0"/>
    <x v="0"/>
    <x v="0"/>
    <n v="25400"/>
    <s v="26/32"/>
    <m/>
    <m/>
    <n v="1700"/>
    <m/>
    <m/>
    <m/>
    <n v="969.2"/>
    <m/>
    <n v="8500"/>
    <n v="4846"/>
    <m/>
    <n v="13377"/>
    <n v="4601"/>
    <m/>
    <n v="49924"/>
    <n v="11147"/>
    <n v="36547"/>
  </r>
  <r>
    <x v="0"/>
    <x v="1"/>
    <x v="0"/>
    <x v="0"/>
    <n v="30100"/>
    <s v="28/34"/>
    <m/>
    <m/>
    <n v="1600"/>
    <m/>
    <m/>
    <m/>
    <n v="1030"/>
    <m/>
    <n v="8000"/>
    <n v="5150"/>
    <m/>
    <n v="13485"/>
    <n v="3754"/>
    <m/>
    <n v="54089"/>
    <n v="10504"/>
    <n v="40604"/>
  </r>
  <r>
    <x v="0"/>
    <x v="2"/>
    <x v="0"/>
    <x v="1"/>
    <n v="34650"/>
    <s v="43/36"/>
    <m/>
    <m/>
    <n v="1200"/>
    <m/>
    <m/>
    <m/>
    <n v="1126.4000000000001"/>
    <m/>
    <n v="6000"/>
    <n v="5632"/>
    <m/>
    <n v="14440"/>
    <n v="3845"/>
    <m/>
    <n v="59767"/>
    <n v="10677"/>
    <n v="45327"/>
  </r>
  <r>
    <x v="0"/>
    <x v="3"/>
    <x v="0"/>
    <x v="0"/>
    <n v="44750"/>
    <s v="19/25"/>
    <m/>
    <m/>
    <n v="2250"/>
    <m/>
    <m/>
    <m/>
    <n v="1162.5999999999999"/>
    <m/>
    <n v="11250"/>
    <n v="5813"/>
    <m/>
    <n v="20532"/>
    <n v="4338"/>
    <m/>
    <n v="77683"/>
    <n v="12401"/>
    <n v="57151"/>
  </r>
  <r>
    <x v="0"/>
    <x v="4"/>
    <x v="0"/>
    <x v="0"/>
    <n v="40200"/>
    <s v="19/27"/>
    <m/>
    <m/>
    <n v="2150"/>
    <m/>
    <m/>
    <m/>
    <n v="1140.2"/>
    <m/>
    <n v="10750"/>
    <n v="5701"/>
    <m/>
    <n v="20627"/>
    <n v="4280"/>
    <m/>
    <n v="72958"/>
    <n v="12131"/>
    <n v="52331"/>
  </r>
  <r>
    <x v="0"/>
    <x v="5"/>
    <x v="0"/>
    <x v="2"/>
    <n v="47400"/>
    <m/>
    <m/>
    <n v="308"/>
    <m/>
    <m/>
    <n v="1000"/>
    <m/>
    <n v="1213.8"/>
    <s v="8 years / 100k miles"/>
    <n v="5000"/>
    <n v="6069"/>
    <m/>
    <n v="30357"/>
    <n v="3952"/>
    <n v="7500"/>
    <n v="81278"/>
    <n v="3521"/>
    <n v="50921"/>
  </r>
  <r>
    <x v="0"/>
    <x v="6"/>
    <x v="0"/>
    <x v="3"/>
    <n v="50000"/>
    <m/>
    <s v="94/79"/>
    <m/>
    <m/>
    <m/>
    <m/>
    <s v="Yes ($15,000)"/>
    <n v="480"/>
    <m/>
    <n v="0"/>
    <n v="2400"/>
    <s v="1 year"/>
    <n v="22000"/>
    <m/>
    <n v="7500"/>
    <s v=""/>
    <s v=""/>
    <s v=""/>
  </r>
  <r>
    <x v="0"/>
    <x v="7"/>
    <x v="1"/>
    <x v="0"/>
    <n v="24250"/>
    <s v="32/41"/>
    <m/>
    <m/>
    <n v="1300"/>
    <m/>
    <m/>
    <m/>
    <n v="655.20000000000005"/>
    <m/>
    <n v="6500"/>
    <n v="3276"/>
    <m/>
    <n v="10116"/>
    <n v="4740"/>
    <m/>
    <n v="43682"/>
    <n v="9316"/>
    <n v="33566"/>
  </r>
  <r>
    <x v="0"/>
    <x v="8"/>
    <x v="1"/>
    <x v="1"/>
    <n v="28950"/>
    <s v="50/47"/>
    <m/>
    <m/>
    <n v="950"/>
    <m/>
    <m/>
    <m/>
    <n v="428"/>
    <m/>
    <n v="4750"/>
    <n v="2140"/>
    <m/>
    <n v="11580"/>
    <m/>
    <m/>
    <n v="48620"/>
    <n v="8090"/>
    <n v="37040"/>
  </r>
  <r>
    <x v="0"/>
    <x v="9"/>
    <x v="1"/>
    <x v="0"/>
    <n v="30250"/>
    <s v="27/37"/>
    <m/>
    <m/>
    <n v="1300"/>
    <m/>
    <m/>
    <m/>
    <n v="664.4"/>
    <m/>
    <n v="6500"/>
    <n v="3322"/>
    <m/>
    <n v="11829"/>
    <n v="5256"/>
    <m/>
    <n v="51957"/>
    <n v="9878"/>
    <n v="40128"/>
  </r>
  <r>
    <x v="0"/>
    <x v="10"/>
    <x v="1"/>
    <x v="0"/>
    <n v="28295"/>
    <s v="29/37"/>
    <m/>
    <m/>
    <n v="1500"/>
    <m/>
    <m/>
    <m/>
    <n v="779.6"/>
    <m/>
    <n v="7500"/>
    <n v="3898"/>
    <m/>
    <n v="15160"/>
    <n v="5165"/>
    <m/>
    <n v="54018"/>
    <n v="10563"/>
    <n v="38858"/>
  </r>
  <r>
    <x v="0"/>
    <x v="11"/>
    <x v="1"/>
    <x v="1"/>
    <n v="33655"/>
    <s v="46/41"/>
    <m/>
    <m/>
    <n v="1000"/>
    <m/>
    <m/>
    <m/>
    <n v="779.6"/>
    <m/>
    <n v="5000"/>
    <n v="3898"/>
    <m/>
    <n v="15160"/>
    <n v="5165"/>
    <m/>
    <n v="58878"/>
    <n v="10063"/>
    <n v="43718"/>
  </r>
  <r>
    <x v="0"/>
    <x v="12"/>
    <x v="2"/>
    <x v="0"/>
    <n v="27450"/>
    <s v="30/38"/>
    <m/>
    <m/>
    <n v="1500"/>
    <m/>
    <m/>
    <m/>
    <n v="668.8"/>
    <m/>
    <n v="7500"/>
    <n v="3344"/>
    <m/>
    <n v="10525"/>
    <n v="4720"/>
    <m/>
    <n v="47539"/>
    <n v="9564"/>
    <n v="37014"/>
  </r>
  <r>
    <x v="0"/>
    <x v="13"/>
    <x v="2"/>
    <x v="1"/>
    <n v="30150"/>
    <s v="50/45"/>
    <m/>
    <m/>
    <n v="950"/>
    <m/>
    <m/>
    <m/>
    <n v="420"/>
    <m/>
    <n v="4750"/>
    <n v="2100"/>
    <m/>
    <n v="12663"/>
    <m/>
    <m/>
    <n v="50863"/>
    <n v="8050"/>
    <n v="38200"/>
  </r>
  <r>
    <x v="0"/>
    <x v="14"/>
    <x v="3"/>
    <x v="0"/>
    <n v="42220"/>
    <s v="19/28"/>
    <m/>
    <m/>
    <n v="2150"/>
    <m/>
    <m/>
    <m/>
    <n v="724.2"/>
    <m/>
    <n v="10750"/>
    <n v="3621"/>
    <m/>
    <n v="17355"/>
    <n v="4177"/>
    <m/>
    <n v="69523"/>
    <n v="9948"/>
    <n v="52168"/>
  </r>
  <r>
    <x v="0"/>
    <x v="15"/>
    <x v="4"/>
    <x v="0"/>
    <n v="40150"/>
    <s v="18/24"/>
    <m/>
    <m/>
    <n v="2250"/>
    <m/>
    <m/>
    <m/>
    <n v="1068.8"/>
    <m/>
    <n v="11250"/>
    <n v="5344"/>
    <m/>
    <n v="19938"/>
    <n v="4199"/>
    <m/>
    <n v="71881"/>
    <n v="11793"/>
    <n v="51943"/>
  </r>
  <r>
    <x v="1"/>
    <x v="16"/>
    <x v="1"/>
    <x v="0"/>
    <n v="22325"/>
    <s v="32/41"/>
    <m/>
    <m/>
    <n v="1400"/>
    <m/>
    <m/>
    <m/>
    <n v="748"/>
    <m/>
    <n v="7000"/>
    <n v="3740"/>
    <m/>
    <n v="12195"/>
    <n v="3740"/>
    <m/>
    <n v="43400"/>
    <n v="8880"/>
    <n v="31205"/>
  </r>
  <r>
    <x v="1"/>
    <x v="17"/>
    <x v="1"/>
    <x v="1"/>
    <n v="23825"/>
    <s v="53/46"/>
    <m/>
    <m/>
    <n v="1000"/>
    <m/>
    <m/>
    <m/>
    <n v="740.6"/>
    <m/>
    <n v="5000"/>
    <n v="3703"/>
    <m/>
    <n v="11321"/>
    <n v="5099"/>
    <m/>
    <n v="44948"/>
    <n v="9802"/>
    <n v="33627"/>
  </r>
  <r>
    <x v="1"/>
    <x v="18"/>
    <x v="1"/>
    <x v="0"/>
    <n v="23780"/>
    <s v="32/41"/>
    <m/>
    <m/>
    <n v="1400"/>
    <m/>
    <m/>
    <m/>
    <n v="748"/>
    <m/>
    <n v="7000"/>
    <n v="3740"/>
    <m/>
    <n v="11591"/>
    <n v="4799"/>
    <m/>
    <n v="45310"/>
    <n v="9939"/>
    <n v="33719"/>
  </r>
  <r>
    <x v="1"/>
    <x v="19"/>
    <x v="1"/>
    <x v="1"/>
    <n v="28350"/>
    <s v="57/56"/>
    <m/>
    <m/>
    <n v="850"/>
    <m/>
    <m/>
    <m/>
    <n v="914.2"/>
    <m/>
    <n v="4250"/>
    <n v="4571"/>
    <m/>
    <n v="13066"/>
    <n v="4654"/>
    <m/>
    <n v="51491"/>
    <n v="10075"/>
    <n v="38425"/>
  </r>
  <r>
    <x v="1"/>
    <x v="20"/>
    <x v="1"/>
    <x v="4"/>
    <n v="33375"/>
    <s v="53/51"/>
    <m/>
    <m/>
    <n v="750"/>
    <m/>
    <m/>
    <m/>
    <n v="270"/>
    <m/>
    <n v="3750"/>
    <n v="1350"/>
    <m/>
    <n v="16000"/>
    <m/>
    <n v="7500"/>
    <n v="48975"/>
    <n v="-400"/>
    <n v="32975"/>
  </r>
  <r>
    <x v="1"/>
    <x v="21"/>
    <x v="1"/>
    <x v="1"/>
    <n v="28700"/>
    <s v="46/46"/>
    <m/>
    <m/>
    <n v="900"/>
    <m/>
    <m/>
    <m/>
    <n v="545.79999999999995"/>
    <m/>
    <n v="4500"/>
    <n v="2729"/>
    <m/>
    <n v="12769"/>
    <n v="4891"/>
    <m/>
    <n v="49989"/>
    <n v="8520"/>
    <n v="37220"/>
  </r>
  <r>
    <x v="1"/>
    <x v="22"/>
    <x v="1"/>
    <x v="1"/>
    <n v="41440"/>
    <s v="42/41"/>
    <m/>
    <m/>
    <n v="1150"/>
    <m/>
    <m/>
    <m/>
    <n v="500"/>
    <m/>
    <n v="5750"/>
    <n v="2500"/>
    <m/>
    <n v="20000"/>
    <m/>
    <m/>
    <n v="70090"/>
    <n v="8650"/>
    <n v="50090"/>
  </r>
  <r>
    <x v="1"/>
    <x v="23"/>
    <x v="1"/>
    <x v="3"/>
    <n v="50190"/>
    <s v="76/71"/>
    <m/>
    <m/>
    <m/>
    <m/>
    <m/>
    <s v="Yes ($15,000 fuel / 6 years)"/>
    <n v="0"/>
    <m/>
    <n v="0"/>
    <n v="0"/>
    <s v="3 year"/>
    <n v="23000"/>
    <m/>
    <n v="7500"/>
    <s v=""/>
    <s v=""/>
    <s v=""/>
  </r>
  <r>
    <x v="1"/>
    <x v="24"/>
    <x v="1"/>
    <x v="0"/>
    <n v="30000"/>
    <s v="20/26"/>
    <m/>
    <m/>
    <m/>
    <n v="2550"/>
    <m/>
    <m/>
    <n v="1130"/>
    <m/>
    <n v="12750"/>
    <n v="5650"/>
    <m/>
    <n v="14981"/>
    <n v="6591"/>
    <m/>
    <n v="59772"/>
    <n v="14791"/>
    <n v="44791"/>
  </r>
  <r>
    <x v="1"/>
    <x v="25"/>
    <x v="1"/>
    <x v="0"/>
    <n v="38860"/>
    <s v="21/28"/>
    <m/>
    <m/>
    <m/>
    <n v="1784"/>
    <m/>
    <m/>
    <n v="903.2"/>
    <m/>
    <n v="8920"/>
    <n v="4516"/>
    <m/>
    <n v="19605"/>
    <m/>
    <m/>
    <n v="69765"/>
    <n v="11300"/>
    <n v="50160"/>
  </r>
  <r>
    <x v="1"/>
    <x v="26"/>
    <x v="1"/>
    <x v="0"/>
    <n v="56900"/>
    <s v="23/31"/>
    <m/>
    <m/>
    <m/>
    <n v="2250"/>
    <m/>
    <m/>
    <n v="347.4"/>
    <m/>
    <n v="11250"/>
    <n v="1737"/>
    <m/>
    <n v="28000"/>
    <m/>
    <m/>
    <n v="93887"/>
    <n v="8987"/>
    <n v="65887"/>
  </r>
  <r>
    <x v="1"/>
    <x v="27"/>
    <x v="1"/>
    <x v="1"/>
    <n v="39185"/>
    <s v="36/36"/>
    <m/>
    <m/>
    <n v="1300"/>
    <m/>
    <m/>
    <m/>
    <n v="858"/>
    <m/>
    <n v="6500"/>
    <n v="4290"/>
    <m/>
    <n v="18693"/>
    <n v="4290"/>
    <m/>
    <n v="67758"/>
    <n v="9880"/>
    <n v="49065"/>
  </r>
  <r>
    <x v="1"/>
    <x v="28"/>
    <x v="4"/>
    <x v="0"/>
    <n v="31590"/>
    <s v="19/24"/>
    <m/>
    <m/>
    <n v="2050"/>
    <m/>
    <m/>
    <m/>
    <n v="1065.2"/>
    <m/>
    <n v="10250"/>
    <n v="5326"/>
    <m/>
    <n v="15339"/>
    <n v="4343"/>
    <m/>
    <n v="58648"/>
    <n v="11719"/>
    <n v="43309"/>
  </r>
  <r>
    <x v="1"/>
    <x v="29"/>
    <x v="4"/>
    <x v="1"/>
    <n v="46320"/>
    <s v="19/24"/>
    <m/>
    <m/>
    <n v="1950"/>
    <m/>
    <m/>
    <m/>
    <n v="774.2"/>
    <m/>
    <n v="9750"/>
    <n v="3871"/>
    <m/>
    <n v="19321"/>
    <m/>
    <m/>
    <n v="76462"/>
    <n v="10821"/>
    <n v="57141"/>
  </r>
  <r>
    <x v="1"/>
    <x v="30"/>
    <x v="4"/>
    <x v="0"/>
    <n v="40090"/>
    <s v="17/22"/>
    <m/>
    <m/>
    <n v="2150"/>
    <m/>
    <m/>
    <m/>
    <n v="899.4"/>
    <m/>
    <n v="10750"/>
    <n v="4497"/>
    <m/>
    <n v="17594"/>
    <n v="4847"/>
    <m/>
    <n v="69178"/>
    <n v="11494"/>
    <n v="51584"/>
  </r>
  <r>
    <x v="1"/>
    <x v="31"/>
    <x v="4"/>
    <x v="1"/>
    <n v="58005"/>
    <s v="17/22"/>
    <m/>
    <m/>
    <n v="2150"/>
    <m/>
    <m/>
    <m/>
    <n v="658.6"/>
    <m/>
    <n v="10750"/>
    <n v="3293"/>
    <m/>
    <n v="26488"/>
    <n v="5196"/>
    <m/>
    <n v="95132"/>
    <n v="10639"/>
    <n v="68644"/>
  </r>
  <r>
    <x v="1"/>
    <x v="32"/>
    <x v="0"/>
    <x v="0"/>
    <n v="24035"/>
    <s v="31/33"/>
    <m/>
    <m/>
    <n v="1500"/>
    <m/>
    <m/>
    <m/>
    <n v="681.4"/>
    <m/>
    <n v="7500"/>
    <n v="3407"/>
    <m/>
    <n v="12684"/>
    <n v="4649"/>
    <m/>
    <n v="46275"/>
    <n v="9556"/>
    <n v="33591"/>
  </r>
  <r>
    <x v="1"/>
    <x v="33"/>
    <x v="0"/>
    <x v="1"/>
    <n v="28395"/>
    <s v="45/38"/>
    <m/>
    <m/>
    <n v="1100"/>
    <m/>
    <m/>
    <m/>
    <n v="268.39999999999998"/>
    <m/>
    <n v="5500"/>
    <n v="1342"/>
    <m/>
    <n v="16000"/>
    <m/>
    <m/>
    <n v="51837"/>
    <n v="7442"/>
    <n v="35837"/>
  </r>
  <r>
    <x v="1"/>
    <x v="34"/>
    <x v="0"/>
    <x v="0"/>
    <n v="29250"/>
    <s v="25/33"/>
    <m/>
    <m/>
    <n v="1600"/>
    <m/>
    <m/>
    <m/>
    <n v="897"/>
    <m/>
    <n v="8000"/>
    <n v="4485"/>
    <m/>
    <n v="13545"/>
    <n v="4295"/>
    <m/>
    <n v="53175"/>
    <n v="10380"/>
    <n v="39630"/>
  </r>
  <r>
    <x v="1"/>
    <x v="35"/>
    <x v="0"/>
    <x v="1"/>
    <n v="32300"/>
    <s v="41/38"/>
    <m/>
    <m/>
    <n v="1200"/>
    <m/>
    <m/>
    <m/>
    <n v="1000.4"/>
    <m/>
    <n v="6000"/>
    <n v="5002"/>
    <m/>
    <n v="14905"/>
    <n v="4595"/>
    <m/>
    <n v="58002"/>
    <n v="10797"/>
    <n v="43097"/>
  </r>
  <r>
    <x v="1"/>
    <x v="36"/>
    <x v="0"/>
    <x v="4"/>
    <n v="44265"/>
    <s v="40/36"/>
    <m/>
    <m/>
    <n v="950"/>
    <m/>
    <m/>
    <m/>
    <n v="1060"/>
    <m/>
    <n v="4750"/>
    <n v="5300"/>
    <m/>
    <n v="20855"/>
    <n v="4595"/>
    <n v="7500"/>
    <n v="68465"/>
    <n v="3345"/>
    <n v="47610"/>
  </r>
  <r>
    <x v="1"/>
    <x v="37"/>
    <x v="0"/>
    <x v="0"/>
    <n v="39520"/>
    <s v="22/29"/>
    <m/>
    <m/>
    <n v="1900"/>
    <m/>
    <m/>
    <m/>
    <n v="1058.2"/>
    <m/>
    <n v="9500"/>
    <n v="5291"/>
    <m/>
    <n v="24671"/>
    <n v="4413"/>
    <m/>
    <n v="75795"/>
    <n v="11604"/>
    <n v="51124"/>
  </r>
  <r>
    <x v="1"/>
    <x v="38"/>
    <x v="0"/>
    <x v="1"/>
    <n v="46020"/>
    <s v="35/35"/>
    <m/>
    <m/>
    <n v="1300"/>
    <m/>
    <m/>
    <m/>
    <n v="1107.8"/>
    <m/>
    <n v="6500"/>
    <n v="5539"/>
    <m/>
    <n v="24263"/>
    <n v="4997"/>
    <m/>
    <n v="82119"/>
    <n v="11836"/>
    <n v="57856"/>
  </r>
  <r>
    <x v="1"/>
    <x v="39"/>
    <x v="0"/>
    <x v="0"/>
    <n v="40770"/>
    <s v="20/26"/>
    <m/>
    <m/>
    <n v="2800"/>
    <m/>
    <m/>
    <m/>
    <n v="1029.5999999999999"/>
    <m/>
    <n v="14000"/>
    <n v="5148"/>
    <m/>
    <n v="17211"/>
    <n v="4221"/>
    <m/>
    <n v="70150"/>
    <n v="12169"/>
    <n v="52939"/>
  </r>
  <r>
    <x v="1"/>
    <x v="40"/>
    <x v="0"/>
    <x v="1"/>
    <n v="51990"/>
    <s v="20/26"/>
    <m/>
    <m/>
    <n v="2050"/>
    <m/>
    <m/>
    <m/>
    <n v="389.6"/>
    <m/>
    <n v="10250"/>
    <n v="1948"/>
    <m/>
    <n v="20276"/>
    <m/>
    <m/>
    <n v="81264"/>
    <n v="8998"/>
    <n v="60988"/>
  </r>
  <r>
    <x v="1"/>
    <x v="41"/>
    <x v="0"/>
    <x v="2"/>
    <n v="37070"/>
    <m/>
    <m/>
    <n v="252"/>
    <m/>
    <m/>
    <n v="650"/>
    <m/>
    <n v="677"/>
    <s v="8 years / 100k miles"/>
    <n v="3250"/>
    <n v="3385"/>
    <m/>
    <n v="29712"/>
    <m/>
    <n v="7500"/>
    <n v="68317"/>
    <n v="1535"/>
    <n v="38605"/>
  </r>
  <r>
    <x v="1"/>
    <x v="42"/>
    <x v="0"/>
    <x v="0"/>
    <n v="40860"/>
    <s v="21/28"/>
    <m/>
    <m/>
    <n v="1950"/>
    <m/>
    <m/>
    <m/>
    <n v="864.4"/>
    <m/>
    <n v="9750"/>
    <n v="4322"/>
    <m/>
    <n v="26000"/>
    <m/>
    <m/>
    <n v="78132"/>
    <n v="11272"/>
    <n v="52132"/>
  </r>
  <r>
    <x v="1"/>
    <x v="43"/>
    <x v="0"/>
    <x v="1"/>
    <n v="44210"/>
    <s v="36/32"/>
    <m/>
    <m/>
    <n v="1300"/>
    <m/>
    <m/>
    <m/>
    <n v="700"/>
    <m/>
    <n v="6500"/>
    <n v="3500"/>
    <m/>
    <n v="25000"/>
    <m/>
    <m/>
    <n v="79010"/>
    <n v="9800"/>
    <n v="54010"/>
  </r>
  <r>
    <x v="1"/>
    <x v="44"/>
    <x v="0"/>
    <x v="1"/>
    <n v="43590"/>
    <s v="39/37"/>
    <m/>
    <m/>
    <n v="1250"/>
    <m/>
    <m/>
    <m/>
    <n v="318"/>
    <m/>
    <n v="6250"/>
    <n v="1590"/>
    <m/>
    <n v="26154"/>
    <m/>
    <m/>
    <n v="77584"/>
    <n v="7840"/>
    <n v="51430"/>
  </r>
  <r>
    <x v="1"/>
    <x v="45"/>
    <x v="0"/>
    <x v="1"/>
    <n v="56700"/>
    <s v="22/25"/>
    <m/>
    <m/>
    <n v="2650"/>
    <m/>
    <m/>
    <m/>
    <n v="464"/>
    <m/>
    <n v="13250"/>
    <n v="2320"/>
    <m/>
    <n v="28385"/>
    <m/>
    <m/>
    <n v="95055"/>
    <n v="9970"/>
    <n v="66670"/>
  </r>
  <r>
    <x v="1"/>
    <x v="46"/>
    <x v="0"/>
    <x v="1"/>
    <n v="62425"/>
    <s v="21/24"/>
    <m/>
    <m/>
    <n v="2150"/>
    <m/>
    <m/>
    <m/>
    <n v="1170.5999999999999"/>
    <m/>
    <n v="10750"/>
    <n v="5853"/>
    <m/>
    <n v="34514"/>
    <n v="4976"/>
    <m/>
    <n v="109918"/>
    <n v="12979"/>
    <n v="75404"/>
  </r>
  <r>
    <x v="2"/>
    <x v="47"/>
    <x v="1"/>
    <x v="2"/>
    <n v="34990"/>
    <m/>
    <s v="145/128"/>
    <m/>
    <m/>
    <m/>
    <n v="550"/>
    <m/>
    <n v="431.4"/>
    <s v="8 years / 100k miles"/>
    <n v="2750"/>
    <n v="2157"/>
    <m/>
    <n v="31611"/>
    <n v="7668"/>
    <n v="7500"/>
    <n v="69476"/>
    <n v="2875"/>
    <n v="37865"/>
  </r>
  <r>
    <x v="2"/>
    <x v="48"/>
    <x v="1"/>
    <x v="2"/>
    <n v="34490"/>
    <m/>
    <s v="134/117"/>
    <m/>
    <m/>
    <m/>
    <n v="600"/>
    <m/>
    <n v="460.2"/>
    <s v="8 years / 120k miles"/>
    <n v="3000"/>
    <n v="2301"/>
    <m/>
    <n v="28073"/>
    <m/>
    <n v="7500"/>
    <n v="62964"/>
    <n v="401"/>
    <n v="34891"/>
  </r>
  <r>
    <x v="2"/>
    <x v="49"/>
    <x v="4"/>
    <x v="2"/>
    <n v="66990"/>
    <m/>
    <m/>
    <n v="300"/>
    <m/>
    <m/>
    <n v="800"/>
    <m/>
    <n v="600"/>
    <s v="8 years / 150k miles"/>
    <n v="4000"/>
    <n v="3000"/>
    <m/>
    <n v="26796"/>
    <m/>
    <n v="7500"/>
    <n v="95086"/>
    <n v="1300"/>
    <n v="68290"/>
  </r>
  <r>
    <x v="2"/>
    <x v="50"/>
    <x v="1"/>
    <x v="2"/>
    <n v="78490"/>
    <m/>
    <s v="107/97"/>
    <m/>
    <m/>
    <m/>
    <n v="750"/>
    <m/>
    <n v="565"/>
    <s v="8 years / 100k miles"/>
    <n v="3750"/>
    <n v="2825"/>
    <m/>
    <n v="51037"/>
    <m/>
    <n v="7500"/>
    <n v="130602"/>
    <n v="1075"/>
    <n v="79565"/>
  </r>
  <r>
    <x v="2"/>
    <x v="51"/>
    <x v="1"/>
    <x v="2"/>
    <n v="73490"/>
    <m/>
    <s v="127/116"/>
    <m/>
    <m/>
    <m/>
    <n v="600"/>
    <m/>
    <n v="480"/>
    <s v="8 years / 150k miles"/>
    <n v="3000"/>
    <n v="2400"/>
    <m/>
    <n v="50000"/>
    <m/>
    <n v="7500"/>
    <n v="123990"/>
    <n v="500"/>
    <n v="73990"/>
  </r>
  <r>
    <x v="3"/>
    <x v="52"/>
    <x v="0"/>
    <x v="0"/>
    <n v="20200"/>
    <s v="29/33"/>
    <m/>
    <m/>
    <n v="1500"/>
    <m/>
    <m/>
    <m/>
    <n v="613.4"/>
    <m/>
    <n v="7500"/>
    <n v="3067"/>
    <m/>
    <n v="12211"/>
    <n v="3985"/>
    <m/>
    <n v="40963"/>
    <n v="8552"/>
    <n v="28752"/>
  </r>
  <r>
    <x v="3"/>
    <x v="53"/>
    <x v="0"/>
    <x v="0"/>
    <n v="24550"/>
    <s v="29/34"/>
    <m/>
    <m/>
    <n v="1500"/>
    <m/>
    <m/>
    <m/>
    <n v="776.2"/>
    <m/>
    <n v="7500"/>
    <n v="3881"/>
    <m/>
    <n v="14224"/>
    <n v="3881"/>
    <m/>
    <n v="48036"/>
    <n v="9262"/>
    <n v="33812"/>
  </r>
  <r>
    <x v="3"/>
    <x v="54"/>
    <x v="0"/>
    <x v="2"/>
    <n v="32975"/>
    <m/>
    <m/>
    <n v="261"/>
    <m/>
    <m/>
    <n v="700"/>
    <m/>
    <n v="540.79999999999995"/>
    <s v="10 years / 100k miles"/>
    <n v="3500"/>
    <n v="2704"/>
    <m/>
    <n v="30192"/>
    <m/>
    <m/>
    <n v="71571"/>
    <n v="8404"/>
    <n v="41379"/>
  </r>
  <r>
    <x v="3"/>
    <x v="55"/>
    <x v="0"/>
    <x v="0"/>
    <n v="28750"/>
    <s v="22/30"/>
    <m/>
    <m/>
    <n v="1900"/>
    <m/>
    <m/>
    <m/>
    <n v="784.8"/>
    <m/>
    <n v="9500"/>
    <n v="3924"/>
    <m/>
    <n v="15659"/>
    <n v="4209"/>
    <m/>
    <n v="54442"/>
    <n v="10033"/>
    <n v="38783"/>
  </r>
  <r>
    <x v="3"/>
    <x v="56"/>
    <x v="0"/>
    <x v="0"/>
    <n v="28705"/>
    <s v="25/33"/>
    <m/>
    <m/>
    <n v="1700"/>
    <m/>
    <m/>
    <m/>
    <n v="690.4"/>
    <m/>
    <n v="8500"/>
    <n v="3452"/>
    <m/>
    <n v="16265"/>
    <n v="3985"/>
    <m/>
    <n v="54107"/>
    <n v="9137"/>
    <n v="37842"/>
  </r>
  <r>
    <x v="3"/>
    <x v="57"/>
    <x v="0"/>
    <x v="1"/>
    <n v="33465"/>
    <s v="38/38"/>
    <m/>
    <m/>
    <n v="1250"/>
    <m/>
    <m/>
    <m/>
    <n v="864.2"/>
    <m/>
    <n v="6250"/>
    <n v="4321"/>
    <m/>
    <n v="21922"/>
    <n v="4258"/>
    <m/>
    <n v="65216"/>
    <n v="9829"/>
    <n v="43294"/>
  </r>
  <r>
    <x v="3"/>
    <x v="58"/>
    <x v="0"/>
    <x v="4"/>
    <n v="39730"/>
    <s v="35/35"/>
    <m/>
    <m/>
    <n v="1100"/>
    <m/>
    <m/>
    <m/>
    <n v="700"/>
    <m/>
    <n v="5500"/>
    <n v="3500"/>
    <m/>
    <n v="17481.2"/>
    <m/>
    <m/>
    <n v="66811.199999999997"/>
    <n v="9600"/>
    <n v="49330"/>
  </r>
  <r>
    <x v="3"/>
    <x v="59"/>
    <x v="0"/>
    <x v="0"/>
    <n v="34300"/>
    <s v="20/29"/>
    <m/>
    <m/>
    <n v="1800"/>
    <m/>
    <m/>
    <m/>
    <n v="1034.4000000000001"/>
    <m/>
    <n v="9000"/>
    <n v="5172"/>
    <m/>
    <n v="23523"/>
    <n v="4425"/>
    <m/>
    <n v="69220"/>
    <n v="11397"/>
    <n v="45697"/>
  </r>
  <r>
    <x v="3"/>
    <x v="60"/>
    <x v="0"/>
    <x v="1"/>
    <n v="37800"/>
    <s v="36/35"/>
    <m/>
    <m/>
    <n v="1300"/>
    <m/>
    <m/>
    <m/>
    <n v="800"/>
    <m/>
    <n v="6500"/>
    <n v="4000"/>
    <m/>
    <n v="22040"/>
    <m/>
    <m/>
    <n v="70140"/>
    <n v="10300"/>
    <n v="48100"/>
  </r>
  <r>
    <x v="3"/>
    <x v="61"/>
    <x v="0"/>
    <x v="0"/>
    <n v="37200"/>
    <s v="19/26"/>
    <m/>
    <m/>
    <n v="2150"/>
    <m/>
    <m/>
    <m/>
    <n v="796.4"/>
    <m/>
    <n v="10750"/>
    <n v="3982"/>
    <m/>
    <n v="20150"/>
    <n v="4627"/>
    <m/>
    <n v="68109"/>
    <n v="10759"/>
    <n v="47959"/>
  </r>
  <r>
    <x v="3"/>
    <x v="62"/>
    <x v="0"/>
    <x v="2"/>
    <n v="42600"/>
    <m/>
    <m/>
    <n v="318"/>
    <m/>
    <m/>
    <n v="650"/>
    <m/>
    <n v="919.2"/>
    <s v="10 years / 100k miles"/>
    <n v="3250"/>
    <n v="4596"/>
    <m/>
    <n v="25506"/>
    <n v="3985"/>
    <n v="7500"/>
    <n v="69837"/>
    <n v="1731"/>
    <n v="44331"/>
  </r>
  <r>
    <x v="3"/>
    <x v="63"/>
    <x v="0"/>
    <x v="2"/>
    <n v="66200"/>
    <m/>
    <m/>
    <n v="221"/>
    <m/>
    <m/>
    <n v="950"/>
    <m/>
    <n v="1378"/>
    <s v="120 month / 100k miles"/>
    <n v="4750"/>
    <n v="6890"/>
    <m/>
    <n v="36458"/>
    <n v="4130"/>
    <n v="7500"/>
    <n v="107128"/>
    <n v="4470"/>
    <n v="70670"/>
  </r>
  <r>
    <x v="3"/>
    <x v="64"/>
    <x v="0"/>
    <x v="3"/>
    <n v="60135"/>
    <m/>
    <m/>
    <n v="380"/>
    <m/>
    <m/>
    <m/>
    <s v="Yes ($15,000 / 3 years)"/>
    <n v="0"/>
    <m/>
    <n v="0"/>
    <n v="0"/>
    <s v="3 year"/>
    <n v="22249.95"/>
    <m/>
    <n v="7500"/>
    <s v=""/>
    <s v=""/>
    <s v=""/>
  </r>
  <r>
    <x v="3"/>
    <x v="65"/>
    <x v="1"/>
    <x v="0"/>
    <n v="22125"/>
    <s v="32/41"/>
    <m/>
    <m/>
    <n v="1300"/>
    <m/>
    <m/>
    <m/>
    <n v="496.4"/>
    <m/>
    <n v="6500"/>
    <n v="2482"/>
    <m/>
    <n v="12162"/>
    <n v="4735"/>
    <m/>
    <n v="42804"/>
    <n v="8517"/>
    <n v="30642"/>
  </r>
  <r>
    <x v="3"/>
    <x v="66"/>
    <x v="1"/>
    <x v="1"/>
    <n v="25450"/>
    <s v="51/58"/>
    <m/>
    <m/>
    <n v="900"/>
    <m/>
    <m/>
    <m/>
    <n v="754"/>
    <m/>
    <n v="4500"/>
    <n v="3770"/>
    <m/>
    <n v="16550"/>
    <n v="4735"/>
    <m/>
    <n v="51405"/>
    <n v="9405"/>
    <n v="34855"/>
  </r>
  <r>
    <x v="3"/>
    <x v="67"/>
    <x v="1"/>
    <x v="0"/>
    <n v="34350"/>
    <s v="21/29"/>
    <m/>
    <m/>
    <n v="2450"/>
    <m/>
    <m/>
    <m/>
    <n v="782.2"/>
    <m/>
    <n v="12250"/>
    <n v="3911"/>
    <m/>
    <n v="16785"/>
    <n v="4735"/>
    <m/>
    <n v="62231"/>
    <n v="11096"/>
    <n v="45446"/>
  </r>
  <r>
    <x v="3"/>
    <x v="68"/>
    <x v="1"/>
    <x v="1"/>
    <n v="26900"/>
    <s v="28/38"/>
    <m/>
    <m/>
    <n v="900"/>
    <m/>
    <m/>
    <m/>
    <n v="665"/>
    <m/>
    <n v="4500"/>
    <n v="3325"/>
    <m/>
    <n v="18010"/>
    <n v="3325"/>
    <m/>
    <n v="52460"/>
    <n v="7550"/>
    <n v="34450"/>
  </r>
  <r>
    <x v="3"/>
    <x v="69"/>
    <x v="1"/>
    <x v="2"/>
    <n v="37850"/>
    <m/>
    <m/>
    <n v="342"/>
    <m/>
    <m/>
    <n v="550"/>
    <m/>
    <n v="1044.2"/>
    <s v="10 years / 100k miles"/>
    <n v="2750"/>
    <n v="5221"/>
    <m/>
    <n v="23919"/>
    <n v="4735"/>
    <m/>
    <n v="72275"/>
    <n v="10506"/>
    <n v="48356"/>
  </r>
  <r>
    <x v="4"/>
    <x v="70"/>
    <x v="1"/>
    <x v="0"/>
    <n v="31920"/>
    <s v="21/32"/>
    <m/>
    <m/>
    <n v="1800"/>
    <m/>
    <m/>
    <m/>
    <n v="884.6"/>
    <m/>
    <n v="9000"/>
    <n v="4423"/>
    <m/>
    <n v="37267"/>
    <n v="6113"/>
    <m/>
    <n v="81523"/>
    <n v="12336"/>
    <n v="44256"/>
  </r>
  <r>
    <x v="4"/>
    <x v="71"/>
    <x v="0"/>
    <x v="1"/>
    <n v="32830"/>
    <s v="42/36"/>
    <m/>
    <m/>
    <n v="1200"/>
    <m/>
    <m/>
    <m/>
    <n v="972.4"/>
    <m/>
    <n v="6000"/>
    <n v="4862"/>
    <m/>
    <n v="19701"/>
    <n v="4305"/>
    <m/>
    <n v="62898"/>
    <n v="10367"/>
    <n v="43197"/>
  </r>
  <r>
    <x v="4"/>
    <x v="72"/>
    <x v="0"/>
    <x v="0"/>
    <n v="29795"/>
    <s v="25/29"/>
    <m/>
    <m/>
    <n v="1800"/>
    <m/>
    <m/>
    <m/>
    <n v="721.6"/>
    <m/>
    <n v="9000"/>
    <n v="3608"/>
    <m/>
    <n v="20282"/>
    <n v="4504"/>
    <m/>
    <n v="59989"/>
    <n v="9912"/>
    <n v="39707"/>
  </r>
  <r>
    <x v="4"/>
    <x v="73"/>
    <x v="0"/>
    <x v="0"/>
    <n v="39630"/>
    <s v="25/29"/>
    <m/>
    <m/>
    <n v="2350"/>
    <m/>
    <m/>
    <m/>
    <n v="800"/>
    <m/>
    <n v="11750"/>
    <n v="4000"/>
    <m/>
    <n v="18626.099999999999"/>
    <m/>
    <m/>
    <n v="69606.100000000006"/>
    <n v="11350"/>
    <n v="50980"/>
  </r>
  <r>
    <x v="4"/>
    <x v="74"/>
    <x v="0"/>
    <x v="0"/>
    <n v="39755"/>
    <s v="18/25"/>
    <m/>
    <m/>
    <n v="1950"/>
    <m/>
    <m/>
    <m/>
    <n v="902.4"/>
    <m/>
    <n v="9750"/>
    <n v="4512"/>
    <m/>
    <n v="33941"/>
    <n v="5465"/>
    <m/>
    <n v="85623"/>
    <n v="11927"/>
    <n v="51682"/>
  </r>
  <r>
    <x v="4"/>
    <x v="75"/>
    <x v="0"/>
    <x v="0"/>
    <n v="38465"/>
    <s v="21/28"/>
    <m/>
    <m/>
    <n v="2050"/>
    <m/>
    <m/>
    <m/>
    <n v="933.2"/>
    <m/>
    <n v="10250"/>
    <n v="4666"/>
    <m/>
    <n v="27534"/>
    <n v="4976"/>
    <m/>
    <n v="77691"/>
    <n v="11692"/>
    <n v="50157"/>
  </r>
  <r>
    <x v="4"/>
    <x v="76"/>
    <x v="0"/>
    <x v="2"/>
    <n v="39995"/>
    <m/>
    <m/>
    <n v="320"/>
    <m/>
    <m/>
    <n v="700"/>
    <m/>
    <n v="740.6"/>
    <s v="8 years / 100k miles"/>
    <n v="3500"/>
    <n v="3703"/>
    <m/>
    <n v="33903"/>
    <n v="6344"/>
    <m/>
    <n v="84645"/>
    <n v="10747"/>
    <n v="50742"/>
  </r>
  <r>
    <x v="4"/>
    <x v="77"/>
    <x v="0"/>
    <x v="0"/>
    <n v="55630"/>
    <s v="17/23"/>
    <m/>
    <m/>
    <n v="2500"/>
    <m/>
    <m/>
    <m/>
    <n v="800"/>
    <m/>
    <n v="12500"/>
    <n v="4000"/>
    <m/>
    <n v="25033.5"/>
    <m/>
    <m/>
    <n v="92163.5"/>
    <n v="11500"/>
    <n v="67130"/>
  </r>
  <r>
    <x v="4"/>
    <x v="78"/>
    <x v="4"/>
    <x v="1"/>
    <n v="26420"/>
    <s v="23/30"/>
    <m/>
    <m/>
    <n v="1800"/>
    <m/>
    <m/>
    <m/>
    <n v="900"/>
    <m/>
    <n v="9000"/>
    <n v="4500"/>
    <m/>
    <n v="11889"/>
    <m/>
    <m/>
    <n v="49609"/>
    <n v="11300"/>
    <n v="37720"/>
  </r>
  <r>
    <x v="4"/>
    <x v="79"/>
    <x v="4"/>
    <x v="0"/>
    <n v="32820"/>
    <s v="21/25"/>
    <m/>
    <m/>
    <n v="2050"/>
    <m/>
    <m/>
    <m/>
    <n v="800"/>
    <m/>
    <n v="10250"/>
    <n v="4000"/>
    <m/>
    <n v="8533.2000000000007"/>
    <m/>
    <m/>
    <n v="52403.199999999997"/>
    <n v="11050"/>
    <n v="43870"/>
  </r>
  <r>
    <x v="4"/>
    <x v="80"/>
    <x v="4"/>
    <x v="1"/>
    <n v="44100"/>
    <s v="22/24"/>
    <m/>
    <m/>
    <n v="2150"/>
    <m/>
    <m/>
    <m/>
    <n v="900"/>
    <m/>
    <n v="10750"/>
    <n v="4500"/>
    <m/>
    <n v="19845"/>
    <m/>
    <m/>
    <n v="75595"/>
    <n v="11650"/>
    <n v="55750"/>
  </r>
  <r>
    <x v="4"/>
    <x v="81"/>
    <x v="3"/>
    <x v="2"/>
    <n v="45700"/>
    <m/>
    <m/>
    <n v="159"/>
    <m/>
    <m/>
    <n v="1750"/>
    <m/>
    <n v="740"/>
    <s v="8 years / 100k miles"/>
    <n v="8750"/>
    <n v="3700"/>
    <m/>
    <n v="19194"/>
    <m/>
    <n v="3750"/>
    <n v="71594"/>
    <n v="6700"/>
    <n v="52400"/>
  </r>
  <r>
    <x v="4"/>
    <x v="82"/>
    <x v="4"/>
    <x v="2"/>
    <n v="62995"/>
    <m/>
    <m/>
    <n v="320"/>
    <m/>
    <m/>
    <n v="1100"/>
    <m/>
    <n v="801"/>
    <s v="8 years / 100k miles"/>
    <n v="5500"/>
    <n v="4005"/>
    <m/>
    <n v="56364"/>
    <n v="4789"/>
    <n v="7500"/>
    <n v="121753"/>
    <n v="2394"/>
    <n v="65389"/>
  </r>
  <r>
    <x v="4"/>
    <x v="83"/>
    <x v="3"/>
    <x v="0"/>
    <n v="54365"/>
    <s v="15/19"/>
    <m/>
    <m/>
    <n v="1800"/>
    <m/>
    <m/>
    <m/>
    <n v="752"/>
    <m/>
    <n v="9000"/>
    <n v="3760"/>
    <m/>
    <n v="22833.3"/>
    <m/>
    <m/>
    <n v="87758.3"/>
    <n v="10560"/>
    <n v="6492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4DEC60-79A5-46ED-AC33-C5CCCC01F143}" name="PivotTable1" cacheId="15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G24" firstHeaderRow="0" firstDataRow="1" firstDataCol="2"/>
  <pivotFields count="23">
    <pivotField axis="axisRow" compact="0" outline="0" showAll="0">
      <items count="6">
        <item x="4"/>
        <item x="0"/>
        <item x="3"/>
        <item x="2"/>
        <item x="1"/>
        <item t="default"/>
      </items>
    </pivotField>
    <pivotField compact="0" outline="0" showAll="0"/>
    <pivotField compact="0" outline="0" showAll="0"/>
    <pivotField axis="axisRow" dataField="1" compact="0" outline="0" showAll="0">
      <items count="6">
        <item x="2"/>
        <item h="1" x="3"/>
        <item x="0"/>
        <item x="1"/>
        <item x="4"/>
        <item t="default"/>
      </items>
    </pivotField>
    <pivotField dataField="1"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compact="0" numFmtId="164" outline="0" showAll="0"/>
    <pivotField compact="0" numFmtId="164" outline="0" showAll="0"/>
    <pivotField compact="0" outline="0" showAll="0"/>
    <pivotField compact="0" numFmtId="164" outline="0" showAll="0"/>
    <pivotField compact="0" outline="0" showAll="0"/>
    <pivotField compact="0" outline="0" showAll="0"/>
    <pivotField dataField="1" compact="0" outline="0" showAll="0"/>
    <pivotField dataField="1" compact="0" outline="0" showAll="0"/>
    <pivotField dataField="1" compact="0" outline="0" showAll="0"/>
  </pivotFields>
  <rowFields count="2">
    <field x="0"/>
    <field x="3"/>
  </rowFields>
  <rowItems count="21">
    <i>
      <x/>
      <x/>
    </i>
    <i r="1">
      <x v="2"/>
    </i>
    <i r="1">
      <x v="3"/>
    </i>
    <i t="default">
      <x/>
    </i>
    <i>
      <x v="1"/>
      <x/>
    </i>
    <i r="1">
      <x v="2"/>
    </i>
    <i r="1">
      <x v="3"/>
    </i>
    <i t="default">
      <x v="1"/>
    </i>
    <i>
      <x v="2"/>
      <x/>
    </i>
    <i r="1">
      <x v="2"/>
    </i>
    <i r="1">
      <x v="3"/>
    </i>
    <i r="1">
      <x v="4"/>
    </i>
    <i t="default">
      <x v="2"/>
    </i>
    <i>
      <x v="3"/>
      <x/>
    </i>
    <i t="default">
      <x v="3"/>
    </i>
    <i>
      <x v="4"/>
      <x/>
    </i>
    <i r="1">
      <x v="2"/>
    </i>
    <i r="1">
      <x v="3"/>
    </i>
    <i r="1">
      <x v="4"/>
    </i>
    <i t="default">
      <x v="4"/>
    </i>
    <i t="grand">
      <x/>
    </i>
  </rowItems>
  <colFields count="1">
    <field x="-2"/>
  </colFields>
  <colItems count="5">
    <i>
      <x/>
    </i>
    <i i="1">
      <x v="1"/>
    </i>
    <i i="2">
      <x v="2"/>
    </i>
    <i i="3">
      <x v="3"/>
    </i>
    <i i="4">
      <x v="4"/>
    </i>
  </colItems>
  <dataFields count="5">
    <dataField name="Count" fld="3" subtotal="count" baseField="0" baseItem="0"/>
    <dataField name="Avg MSRP" fld="4" subtotal="average" baseField="0" baseItem="0" numFmtId="164"/>
    <dataField name="Avg TCO 5yrs" fld="20" subtotal="average" baseField="0" baseItem="0" numFmtId="164"/>
    <dataField name="Avg Run Costs 5yrs" fld="21" subtotal="average" baseField="0" baseItem="0" numFmtId="164"/>
    <dataField name="Avg $ Spent 5 Years" fld="22" subtotal="average" baseField="0" baseItem="0" numFmtId="164"/>
  </dataFields>
  <formats count="1">
    <format dxfId="51">
      <pivotArea outline="0" fieldPosition="0">
        <references count="1">
          <reference field="4294967294" count="3" selected="0">
            <x v="2"/>
            <x v="3"/>
            <x v="4"/>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36B721B-9920-4E8C-B26D-A17D9C67E684}" name="PivotTable2" cacheId="15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3:E8" firstHeaderRow="0" firstDataRow="1" firstDataCol="1"/>
  <pivotFields count="23">
    <pivotField compact="0" outline="0" showAll="0"/>
    <pivotField compact="0" outline="0" showAll="0"/>
    <pivotField compact="0" outline="0" showAll="0"/>
    <pivotField axis="axisRow" compact="0" outline="0" showAll="0">
      <items count="6">
        <item x="2"/>
        <item h="1" x="3"/>
        <item x="0"/>
        <item x="1"/>
        <item x="4"/>
        <item t="default"/>
      </items>
    </pivotField>
    <pivotField dataField="1"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dataField="1" compact="0" numFmtId="164" outline="0" showAll="0"/>
    <pivotField compact="0" numFmtId="164" outline="0" showAll="0"/>
    <pivotField compact="0" outline="0" showAll="0"/>
    <pivotField dataField="1" compact="0" numFmtId="164" outline="0" showAll="0"/>
    <pivotField dataField="1" compact="0" outline="0" showAll="0"/>
    <pivotField compact="0" outline="0" showAll="0"/>
    <pivotField compact="0" outline="0" showAll="0"/>
    <pivotField compact="0" outline="0" showAll="0"/>
    <pivotField compact="0" outline="0" showAll="0"/>
  </pivotFields>
  <rowFields count="1">
    <field x="3"/>
  </rowFields>
  <rowItems count="5">
    <i>
      <x/>
    </i>
    <i>
      <x v="2"/>
    </i>
    <i>
      <x v="3"/>
    </i>
    <i>
      <x v="4"/>
    </i>
    <i t="grand">
      <x/>
    </i>
  </rowItems>
  <colFields count="1">
    <field x="-2"/>
  </colFields>
  <colItems count="4">
    <i>
      <x/>
    </i>
    <i i="1">
      <x v="1"/>
    </i>
    <i i="2">
      <x v="2"/>
    </i>
    <i i="3">
      <x v="3"/>
    </i>
  </colItems>
  <dataFields count="4">
    <dataField name="Average of MSRP ($)" fld="4" subtotal="average" baseField="0" baseItem="0" numFmtId="164"/>
    <dataField name="Average of 5-Year Fuel Cost (Gas/Electric/etc)" fld="14" subtotal="average" baseField="0" baseItem="0" numFmtId="164"/>
    <dataField name="Average of Insurance Costs After 5 Years ($)" fld="18" subtotal="average" baseField="0" baseItem="0"/>
    <dataField name="Average of Depreciation After 5 Years ($)" fld="17" subtotal="average" baseField="0" baseItem="0" numFmtId="164"/>
  </dataFields>
  <formats count="1">
    <format dxfId="50">
      <pivotArea outline="0" fieldPosition="0">
        <references count="2">
          <reference field="4294967294" count="1" selected="0">
            <x v="2"/>
          </reference>
          <reference field="3" count="0" selected="0"/>
        </references>
      </pivotArea>
    </format>
  </formats>
  <chartFormats count="13">
    <chartFormat chart="1" format="6" series="1">
      <pivotArea type="data" outline="0" fieldPosition="0">
        <references count="1">
          <reference field="4294967294" count="1" selected="0">
            <x v="0"/>
          </reference>
        </references>
      </pivotArea>
    </chartFormat>
    <chartFormat chart="1" format="10" series="1">
      <pivotArea type="data" outline="0" fieldPosition="0">
        <references count="1">
          <reference field="4294967294" count="1" selected="0">
            <x v="2"/>
          </reference>
        </references>
      </pivotArea>
    </chartFormat>
    <chartFormat chart="1" format="11" series="1">
      <pivotArea type="data" outline="0" fieldPosition="0">
        <references count="1">
          <reference field="4294967294" count="1" selected="0">
            <x v="3"/>
          </reference>
        </references>
      </pivotArea>
    </chartFormat>
    <chartFormat chart="2" format="12" series="1">
      <pivotArea type="data" outline="0" fieldPosition="0">
        <references count="1">
          <reference field="4294967294" count="1" selected="0">
            <x v="0"/>
          </reference>
        </references>
      </pivotArea>
    </chartFormat>
    <chartFormat chart="2" format="16" series="1">
      <pivotArea type="data" outline="0" fieldPosition="0">
        <references count="1">
          <reference field="4294967294" count="1" selected="0">
            <x v="2"/>
          </reference>
        </references>
      </pivotArea>
    </chartFormat>
    <chartFormat chart="2" format="17" series="1">
      <pivotArea type="data" outline="0" fieldPosition="0">
        <references count="1">
          <reference field="4294967294" count="1" selected="0">
            <x v="3"/>
          </reference>
        </references>
      </pivotArea>
    </chartFormat>
    <chartFormat chart="3" format="18" series="1">
      <pivotArea type="data" outline="0" fieldPosition="0">
        <references count="1">
          <reference field="4294967294" count="1" selected="0">
            <x v="0"/>
          </reference>
        </references>
      </pivotArea>
    </chartFormat>
    <chartFormat chart="3" format="22" series="1">
      <pivotArea type="data" outline="0" fieldPosition="0">
        <references count="1">
          <reference field="4294967294" count="1" selected="0">
            <x v="2"/>
          </reference>
        </references>
      </pivotArea>
    </chartFormat>
    <chartFormat chart="3" format="23" series="1">
      <pivotArea type="data" outline="0" fieldPosition="0">
        <references count="1">
          <reference field="4294967294" count="1" selected="0">
            <x v="3"/>
          </reference>
        </references>
      </pivotArea>
    </chartFormat>
    <chartFormat chart="4" format="24" series="1">
      <pivotArea type="data" outline="0" fieldPosition="0">
        <references count="1">
          <reference field="4294967294" count="1" selected="0">
            <x v="0"/>
          </reference>
        </references>
      </pivotArea>
    </chartFormat>
    <chartFormat chart="4" format="28" series="1">
      <pivotArea type="data" outline="0" fieldPosition="0">
        <references count="1">
          <reference field="4294967294" count="1" selected="0">
            <x v="2"/>
          </reference>
        </references>
      </pivotArea>
    </chartFormat>
    <chartFormat chart="4" format="29" series="1">
      <pivotArea type="data" outline="0" fieldPosition="0">
        <references count="1">
          <reference field="4294967294" count="1" selected="0">
            <x v="3"/>
          </reference>
        </references>
      </pivotArea>
    </chartFormat>
    <chartFormat chart="4" format="30" series="1">
      <pivotArea type="data" outline="0" fieldPosition="0">
        <references count="1">
          <reference field="4294967294" count="1" selected="0">
            <x v="1"/>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D0AE3AF-8F5F-46F4-AD84-4B77F1A17D8F}" name="PivotTable3" cacheId="15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D56" firstHeaderRow="0" firstDataRow="1" firstDataCol="2" rowPageCount="2" colPageCount="1"/>
  <pivotFields count="23">
    <pivotField axis="axisRow" compact="0" outline="0" showAll="0">
      <items count="6">
        <item x="4"/>
        <item x="0"/>
        <item x="3"/>
        <item x="2"/>
        <item x="1"/>
        <item t="default"/>
      </items>
    </pivotField>
    <pivotField axis="axisRow" compact="0" outline="0" showAll="0">
      <items count="85">
        <item x="39"/>
        <item x="40"/>
        <item x="10"/>
        <item x="11"/>
        <item x="73"/>
        <item x="72"/>
        <item x="41"/>
        <item x="21"/>
        <item x="12"/>
        <item x="13"/>
        <item x="7"/>
        <item x="8"/>
        <item x="9"/>
        <item x="16"/>
        <item x="32"/>
        <item x="33"/>
        <item x="18"/>
        <item x="17"/>
        <item x="1"/>
        <item x="6"/>
        <item x="2"/>
        <item x="49"/>
        <item x="75"/>
        <item x="65"/>
        <item x="66"/>
        <item x="67"/>
        <item x="71"/>
        <item x="81"/>
        <item x="77"/>
        <item x="74"/>
        <item x="80"/>
        <item x="82"/>
        <item x="25"/>
        <item x="26"/>
        <item x="24"/>
        <item x="42"/>
        <item x="43"/>
        <item x="37"/>
        <item x="38"/>
        <item x="0"/>
        <item x="62"/>
        <item x="63"/>
        <item x="69"/>
        <item x="53"/>
        <item x="54"/>
        <item x="45"/>
        <item x="78"/>
        <item x="23"/>
        <item x="47"/>
        <item x="51"/>
        <item x="50"/>
        <item x="48"/>
        <item x="70"/>
        <item x="76"/>
        <item x="64"/>
        <item x="14"/>
        <item x="61"/>
        <item x="3"/>
        <item x="4"/>
        <item x="19"/>
        <item x="20"/>
        <item x="5"/>
        <item x="79"/>
        <item x="34"/>
        <item x="35"/>
        <item x="36"/>
        <item x="15"/>
        <item x="55"/>
        <item x="59"/>
        <item x="60"/>
        <item x="46"/>
        <item x="27"/>
        <item x="68"/>
        <item x="28"/>
        <item x="29"/>
        <item x="44"/>
        <item x="22"/>
        <item x="83"/>
        <item x="56"/>
        <item x="57"/>
        <item x="58"/>
        <item x="30"/>
        <item x="31"/>
        <item x="52"/>
        <item t="default"/>
      </items>
    </pivotField>
    <pivotField axis="axisPage" compact="0" outline="0" showAll="0">
      <items count="6">
        <item x="2"/>
        <item x="3"/>
        <item x="1"/>
        <item x="0"/>
        <item x="4"/>
        <item t="default"/>
      </items>
    </pivotField>
    <pivotField axis="axisPage" compact="0" outline="0" multipleItemSelectionAllowed="1" showAll="0">
      <items count="6">
        <item x="2"/>
        <item x="3"/>
        <item h="1" x="0"/>
        <item x="1"/>
        <item x="4"/>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compact="0" numFmtId="164" outline="0" showAll="0"/>
    <pivotField compact="0" numFmtId="164" outline="0" showAll="0"/>
    <pivotField compact="0" outline="0" showAll="0"/>
    <pivotField compact="0" numFmtId="164" outline="0" showAll="0"/>
    <pivotField compact="0" outline="0" showAll="0"/>
    <pivotField dataField="1" compact="0" outline="0" showAll="0"/>
    <pivotField compact="0" outline="0" showAll="0"/>
    <pivotField compact="0" outline="0" showAll="0"/>
    <pivotField compact="0" outline="0" showAll="0"/>
  </pivotFields>
  <rowFields count="2">
    <field x="0"/>
    <field x="1"/>
  </rowFields>
  <rowItems count="52">
    <i>
      <x/>
      <x v="26"/>
    </i>
    <i r="1">
      <x v="27"/>
    </i>
    <i r="1">
      <x v="30"/>
    </i>
    <i r="1">
      <x v="31"/>
    </i>
    <i r="1">
      <x v="46"/>
    </i>
    <i r="1">
      <x v="53"/>
    </i>
    <i t="default">
      <x/>
    </i>
    <i>
      <x v="1"/>
      <x v="3"/>
    </i>
    <i r="1">
      <x v="9"/>
    </i>
    <i r="1">
      <x v="11"/>
    </i>
    <i r="1">
      <x v="19"/>
    </i>
    <i r="1">
      <x v="20"/>
    </i>
    <i r="1">
      <x v="61"/>
    </i>
    <i t="default">
      <x v="1"/>
    </i>
    <i>
      <x v="2"/>
      <x v="24"/>
    </i>
    <i r="1">
      <x v="40"/>
    </i>
    <i r="1">
      <x v="41"/>
    </i>
    <i r="1">
      <x v="42"/>
    </i>
    <i r="1">
      <x v="44"/>
    </i>
    <i r="1">
      <x v="54"/>
    </i>
    <i r="1">
      <x v="69"/>
    </i>
    <i r="1">
      <x v="72"/>
    </i>
    <i r="1">
      <x v="79"/>
    </i>
    <i r="1">
      <x v="80"/>
    </i>
    <i t="default">
      <x v="2"/>
    </i>
    <i>
      <x v="3"/>
      <x v="21"/>
    </i>
    <i r="1">
      <x v="48"/>
    </i>
    <i r="1">
      <x v="49"/>
    </i>
    <i r="1">
      <x v="50"/>
    </i>
    <i r="1">
      <x v="51"/>
    </i>
    <i t="default">
      <x v="3"/>
    </i>
    <i>
      <x v="4"/>
      <x v="1"/>
    </i>
    <i r="1">
      <x v="6"/>
    </i>
    <i r="1">
      <x v="7"/>
    </i>
    <i r="1">
      <x v="15"/>
    </i>
    <i r="1">
      <x v="17"/>
    </i>
    <i r="1">
      <x v="36"/>
    </i>
    <i r="1">
      <x v="38"/>
    </i>
    <i r="1">
      <x v="45"/>
    </i>
    <i r="1">
      <x v="47"/>
    </i>
    <i r="1">
      <x v="59"/>
    </i>
    <i r="1">
      <x v="60"/>
    </i>
    <i r="1">
      <x v="64"/>
    </i>
    <i r="1">
      <x v="65"/>
    </i>
    <i r="1">
      <x v="70"/>
    </i>
    <i r="1">
      <x v="71"/>
    </i>
    <i r="1">
      <x v="74"/>
    </i>
    <i r="1">
      <x v="75"/>
    </i>
    <i r="1">
      <x v="76"/>
    </i>
    <i r="1">
      <x v="82"/>
    </i>
    <i t="default">
      <x v="4"/>
    </i>
    <i t="grand">
      <x/>
    </i>
  </rowItems>
  <colFields count="1">
    <field x="-2"/>
  </colFields>
  <colItems count="2">
    <i>
      <x/>
    </i>
    <i i="1">
      <x v="1"/>
    </i>
  </colItems>
  <pageFields count="2">
    <pageField fld="2" hier="-1"/>
    <pageField fld="3" hier="-1"/>
  </pageFields>
  <dataFields count="2">
    <dataField name="Count Tax Credit" fld="19" subtotal="count" baseField="0" baseItem="0"/>
    <dataField name="Max Tax Credit" fld="19" subtotal="max"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9533558-9B2C-4055-999A-92F3444A6868}" name="PivotTable4" cacheId="15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3:G9" firstHeaderRow="1" firstDataRow="2" firstDataCol="1"/>
  <pivotFields count="23">
    <pivotField compact="0" outline="0" showAll="0">
      <items count="6">
        <item x="4"/>
        <item x="0"/>
        <item x="3"/>
        <item x="2"/>
        <item x="1"/>
        <item t="default"/>
      </items>
    </pivotField>
    <pivotField compact="0" outline="0" showAll="0"/>
    <pivotField axis="axisRow" compact="0" outline="0" showAll="0" sortType="descending">
      <items count="6">
        <item x="4"/>
        <item x="0"/>
        <item x="1"/>
        <item x="3"/>
        <item h="1" x="2"/>
        <item t="default"/>
      </items>
    </pivotField>
    <pivotField axis="axisCol" compact="0" outline="0" showAll="0">
      <items count="6">
        <item x="2"/>
        <item x="3"/>
        <item x="0"/>
        <item x="1"/>
        <item x="4"/>
        <item t="default"/>
      </items>
    </pivotField>
    <pivotField dataField="1"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compact="0" numFmtId="164" outline="0" showAll="0"/>
    <pivotField compact="0" numFmtId="164" outline="0" showAll="0"/>
    <pivotField compact="0" outline="0" showAll="0"/>
    <pivotField compact="0" numFmtId="164" outline="0" showAll="0"/>
    <pivotField compact="0" outline="0" showAll="0"/>
    <pivotField compact="0" outline="0" showAll="0"/>
    <pivotField compact="0" outline="0" showAll="0"/>
    <pivotField compact="0" outline="0" showAll="0"/>
    <pivotField compact="0" outline="0" showAll="0"/>
  </pivotFields>
  <rowFields count="1">
    <field x="2"/>
  </rowFields>
  <rowItems count="5">
    <i>
      <x/>
    </i>
    <i>
      <x v="1"/>
    </i>
    <i>
      <x v="2"/>
    </i>
    <i>
      <x v="3"/>
    </i>
    <i t="grand">
      <x/>
    </i>
  </rowItems>
  <colFields count="1">
    <field x="3"/>
  </colFields>
  <colItems count="6">
    <i>
      <x/>
    </i>
    <i>
      <x v="1"/>
    </i>
    <i>
      <x v="2"/>
    </i>
    <i>
      <x v="3"/>
    </i>
    <i>
      <x v="4"/>
    </i>
    <i t="grand">
      <x/>
    </i>
  </colItems>
  <dataFields count="1">
    <dataField name="Average of MSRP ($)" fld="4" subtotal="average" baseField="0" baseItem="0" numFmtId="164"/>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3557FE-C036-47E1-B276-17039B6832E2}" name="PivotTable5" cacheId="15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4:C10" firstHeaderRow="1" firstDataRow="1" firstDataCol="2" rowPageCount="2" colPageCount="1"/>
  <pivotFields count="23">
    <pivotField axis="axisRow" compact="0" outline="0" showAll="0" sortType="ascending">
      <items count="6">
        <item sd="0" x="4"/>
        <item sd="0" x="0"/>
        <item sd="0" x="3"/>
        <item sd="0" x="2"/>
        <item sd="0" x="1"/>
        <item t="default"/>
      </items>
      <autoSortScope>
        <pivotArea dataOnly="0" outline="0" fieldPosition="0">
          <references count="1">
            <reference field="4294967294" count="1" selected="0">
              <x v="0"/>
            </reference>
          </references>
        </pivotArea>
      </autoSortScope>
    </pivotField>
    <pivotField axis="axisRow" compact="0" outline="0" showAll="0">
      <items count="85">
        <item x="39"/>
        <item x="40"/>
        <item x="10"/>
        <item x="11"/>
        <item x="73"/>
        <item x="72"/>
        <item x="41"/>
        <item x="21"/>
        <item x="12"/>
        <item x="13"/>
        <item x="7"/>
        <item x="8"/>
        <item x="9"/>
        <item x="16"/>
        <item x="32"/>
        <item x="33"/>
        <item x="18"/>
        <item x="17"/>
        <item x="1"/>
        <item x="6"/>
        <item x="2"/>
        <item x="49"/>
        <item x="75"/>
        <item x="65"/>
        <item x="66"/>
        <item x="67"/>
        <item x="71"/>
        <item x="81"/>
        <item x="77"/>
        <item x="74"/>
        <item x="80"/>
        <item x="82"/>
        <item x="25"/>
        <item x="26"/>
        <item x="24"/>
        <item x="42"/>
        <item x="43"/>
        <item x="37"/>
        <item x="38"/>
        <item x="0"/>
        <item x="62"/>
        <item x="63"/>
        <item x="69"/>
        <item x="53"/>
        <item x="54"/>
        <item x="45"/>
        <item x="78"/>
        <item x="23"/>
        <item x="47"/>
        <item x="51"/>
        <item x="50"/>
        <item x="48"/>
        <item x="70"/>
        <item x="76"/>
        <item x="64"/>
        <item x="14"/>
        <item x="61"/>
        <item x="3"/>
        <item x="4"/>
        <item x="19"/>
        <item x="20"/>
        <item x="5"/>
        <item x="79"/>
        <item x="34"/>
        <item x="35"/>
        <item x="36"/>
        <item x="15"/>
        <item x="55"/>
        <item x="59"/>
        <item x="60"/>
        <item x="46"/>
        <item x="27"/>
        <item x="68"/>
        <item x="28"/>
        <item x="29"/>
        <item x="44"/>
        <item x="22"/>
        <item x="83"/>
        <item x="56"/>
        <item x="57"/>
        <item x="58"/>
        <item x="30"/>
        <item x="31"/>
        <item x="52"/>
        <item t="default"/>
      </items>
    </pivotField>
    <pivotField axis="axisPage" compact="0" outline="0" multipleItemSelectionAllowed="1" showAll="0">
      <items count="6">
        <item x="2"/>
        <item x="3"/>
        <item x="1"/>
        <item x="0"/>
        <item x="4"/>
        <item t="default"/>
      </items>
    </pivotField>
    <pivotField axis="axisPage" compact="0" outline="0" showAll="0">
      <items count="6">
        <item x="2"/>
        <item x="3"/>
        <item x="0"/>
        <item x="1"/>
        <item x="4"/>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compact="0" numFmtId="164" outline="0" showAll="0"/>
    <pivotField compact="0" numFmtId="164" outline="0" showAll="0"/>
    <pivotField compact="0" outline="0" showAll="0"/>
    <pivotField dataField="1" compact="0" numFmtId="164" outline="0" showAll="0"/>
    <pivotField compact="0" outline="0" showAll="0"/>
    <pivotField compact="0" outline="0" showAll="0"/>
    <pivotField compact="0" outline="0" showAll="0"/>
    <pivotField compact="0" outline="0" showAll="0"/>
    <pivotField compact="0" outline="0" showAll="0"/>
  </pivotFields>
  <rowFields count="2">
    <field x="0"/>
    <field x="1"/>
  </rowFields>
  <rowItems count="6">
    <i>
      <x v="1"/>
    </i>
    <i>
      <x v="4"/>
    </i>
    <i>
      <x v="2"/>
    </i>
    <i>
      <x/>
    </i>
    <i>
      <x v="3"/>
    </i>
    <i t="grand">
      <x/>
    </i>
  </rowItems>
  <colItems count="1">
    <i/>
  </colItems>
  <pageFields count="2">
    <pageField fld="2" hier="-1"/>
    <pageField fld="3" hier="-1"/>
  </pageFields>
  <dataFields count="1">
    <dataField name="Average of Depreciation After 5 Years ($)" fld="17" subtotal="average" baseField="0" baseItem="0" numFmtId="164"/>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965B97E-AC3F-4A69-9A0B-717F34F2FA0D}" name="PivotTable2" cacheId="15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4:C10" firstHeaderRow="0" firstDataRow="1" firstDataCol="1" rowPageCount="2" colPageCount="1"/>
  <pivotFields count="23">
    <pivotField axis="axisPage" compact="0" outline="0" multipleItemSelectionAllowed="1" showAll="0">
      <items count="6">
        <item x="4"/>
        <item x="0"/>
        <item x="3"/>
        <item x="2"/>
        <item x="1"/>
        <item t="default"/>
      </items>
    </pivotField>
    <pivotField compact="0" outline="0" showAll="0"/>
    <pivotField axis="axisPage" compact="0" outline="0" multipleItemSelectionAllowed="1" showAll="0">
      <items count="6">
        <item x="2"/>
        <item h="1" x="3"/>
        <item x="1"/>
        <item x="0"/>
        <item h="1" x="4"/>
        <item t="default"/>
      </items>
    </pivotField>
    <pivotField axis="axisRow" dataField="1" compact="0" outline="0" showAll="0" sortType="ascending">
      <items count="6">
        <item x="2"/>
        <item x="3"/>
        <item x="0"/>
        <item x="1"/>
        <item x="4"/>
        <item t="default"/>
      </items>
      <autoSortScope>
        <pivotArea dataOnly="0" outline="0" fieldPosition="0">
          <references count="1">
            <reference field="4294967294" count="1" selected="0">
              <x v="1"/>
            </reference>
          </references>
        </pivotArea>
      </autoSortScope>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compact="0" numFmtId="164" outline="0" showAll="0"/>
    <pivotField compact="0" numFmtId="164" outline="0" showAll="0"/>
    <pivotField compact="0" outline="0" showAll="0"/>
    <pivotField dataField="1" compact="0" numFmtId="164" outline="0" showAll="0"/>
    <pivotField compact="0" outline="0" showAll="0"/>
    <pivotField compact="0" outline="0" showAll="0"/>
    <pivotField compact="0" outline="0" showAll="0"/>
    <pivotField compact="0" outline="0" showAll="0"/>
    <pivotField compact="0" outline="0" showAll="0"/>
  </pivotFields>
  <rowFields count="1">
    <field x="3"/>
  </rowFields>
  <rowItems count="6">
    <i>
      <x v="4"/>
    </i>
    <i>
      <x v="2"/>
    </i>
    <i>
      <x v="3"/>
    </i>
    <i>
      <x v="1"/>
    </i>
    <i>
      <x/>
    </i>
    <i t="grand">
      <x/>
    </i>
  </rowItems>
  <colFields count="1">
    <field x="-2"/>
  </colFields>
  <colItems count="2">
    <i>
      <x/>
    </i>
    <i i="1">
      <x v="1"/>
    </i>
  </colItems>
  <pageFields count="2">
    <pageField fld="0" hier="-1"/>
    <pageField fld="2" hier="-1"/>
  </pageFields>
  <dataFields count="2">
    <dataField name="Count" fld="3" subtotal="count" baseField="0" baseItem="0"/>
    <dataField name="Average of Depreciation After 5 Years ($)" fld="17" subtotal="average" baseField="0" baseItem="0" numFmtId="164"/>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0A12D60-9BA0-4083-8CD1-93D077EDE418}" name="PivotTable3" cacheId="1554"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
  <location ref="A3:E6" firstHeaderRow="0" firstDataRow="1" firstDataCol="2"/>
  <pivotFields count="23">
    <pivotField axis="axisRow" compact="0" outline="0" showAll="0">
      <items count="6">
        <item h="1" x="4"/>
        <item x="0"/>
        <item h="1" x="3"/>
        <item h="1" x="2"/>
        <item h="1" x="1"/>
        <item t="default"/>
      </items>
    </pivotField>
    <pivotField compact="0" outline="0" showAll="0"/>
    <pivotField axis="axisRow" compact="0" outline="0" showAll="0">
      <items count="6">
        <item h="1" x="2"/>
        <item h="1" x="3"/>
        <item h="1" x="1"/>
        <item h="1" x="0"/>
        <item x="4"/>
        <item t="default"/>
      </items>
    </pivotField>
    <pivotField compact="0" outline="0" showAll="0">
      <items count="6">
        <item x="2"/>
        <item x="3"/>
        <item x="0"/>
        <item x="1"/>
        <item x="4"/>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numFmtId="164" outline="0" showAll="0"/>
    <pivotField compact="0" outline="0" showAll="0"/>
    <pivotField dataField="1" compact="0" numFmtId="164" outline="0" showAll="0"/>
    <pivotField compact="0" numFmtId="164" outline="0" showAll="0"/>
    <pivotField compact="0" outline="0" showAll="0"/>
    <pivotField dataField="1" compact="0" numFmtId="164" outline="0" showAll="0"/>
    <pivotField dataField="1" compact="0" outline="0" showAll="0"/>
    <pivotField compact="0" outline="0" showAll="0"/>
    <pivotField compact="0" outline="0" showAll="0"/>
    <pivotField compact="0" outline="0" showAll="0"/>
    <pivotField compact="0" outline="0" showAll="0"/>
  </pivotFields>
  <rowFields count="2">
    <field x="0"/>
    <field x="2"/>
  </rowFields>
  <rowItems count="3">
    <i>
      <x v="1"/>
      <x v="4"/>
    </i>
    <i t="default">
      <x v="1"/>
    </i>
    <i t="grand">
      <x/>
    </i>
  </rowItems>
  <colFields count="1">
    <field x="-2"/>
  </colFields>
  <colItems count="3">
    <i>
      <x/>
    </i>
    <i i="1">
      <x v="1"/>
    </i>
    <i i="2">
      <x v="2"/>
    </i>
  </colItems>
  <dataFields count="3">
    <dataField name="Average of 5-Year Fuel Cost (Gas/Electric/etc)" fld="14" subtotal="average" baseField="0" baseItem="0" numFmtId="164"/>
    <dataField name="Average of Depreciation After 5 Years ($)" fld="17" subtotal="average" baseField="0" baseItem="0" numFmtId="164"/>
    <dataField name="Average of Insurance Costs After 5 Years ($)" fld="18" subtotal="average"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__Gas_Hybrid_EV__etc_2" xr10:uid="{2CCA6C0F-FA7D-4698-9DD7-D4D6136C0A7C}" sourceName="Fuel Type (Gas/Hybrid/EV/ etc)">
  <pivotTables>
    <pivotTable tabId="4" name="PivotTable3"/>
  </pivotTables>
  <data>
    <tabular pivotCacheId="769904717">
      <items count="5">
        <i x="2" s="1"/>
        <i x="3" s="1"/>
        <i x="4" s="1"/>
        <i x="0" nd="1"/>
        <i x="1"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1" xr10:uid="{293FE63A-0057-4E04-AD75-DBACD933B328}" sourceName="Brand">
  <pivotTables>
    <pivotTable tabId="4" name="PivotTable3"/>
  </pivotTables>
  <data>
    <tabular pivotCacheId="769904717">
      <items count="5">
        <i x="4" s="1"/>
        <i x="0" s="1"/>
        <i x="3" s="1"/>
        <i x="2"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__Sedan__SUV_etc_1" xr10:uid="{9CCFA941-F9B3-405C-B3D7-C83EB555B01A}" sourceName="Body Type (Sedan/ SUV/etc)">
  <pivotTables>
    <pivotTable tabId="4" name="PivotTable3"/>
  </pivotTables>
  <data>
    <tabular pivotCacheId="769904717">
      <items count="5">
        <i x="3" s="1"/>
        <i x="1" s="1"/>
        <i x="0" s="1"/>
        <i x="4" s="1"/>
        <i x="2"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__Sedan__SUV_etc_3" xr10:uid="{6DF38A76-C68B-49FD-8EF3-ADD5EF87B01F}" sourceName="Body Type (Sedan/ SUV/etc)">
  <pivotTables>
    <pivotTable tabId="6" name="PivotTable5"/>
  </pivotTables>
  <data>
    <tabular pivotCacheId="769904717">
      <items count="5">
        <i x="2" s="1"/>
        <i x="3" s="1"/>
        <i x="1" s="1"/>
        <i x="0" s="1"/>
        <i x="4"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__Gas_Hybrid_EV__etc_3" xr10:uid="{7AEB3394-3664-4A5C-87C7-37B821E2BD85}" sourceName="Fuel Type (Gas/Hybrid/EV/ etc)">
  <pivotTables>
    <pivotTable tabId="6" name="PivotTable5"/>
  </pivotTables>
  <data>
    <tabular pivotCacheId="769904717">
      <items count="5">
        <i x="2" s="1"/>
        <i x="3" s="1"/>
        <i x="0" s="1"/>
        <i x="1" s="1"/>
        <i x="4"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5" xr10:uid="{8F3E07D5-7698-4579-B431-FEE5186E783F}" sourceName="Brand">
  <pivotTables>
    <pivotTable tabId="5" name="PivotTable4"/>
  </pivotTables>
  <data>
    <tabular pivotCacheId="769904717">
      <items count="5">
        <i x="4" s="1"/>
        <i x="0" s="1"/>
        <i x="3" s="1"/>
        <i x="2" s="1"/>
        <i x="1" s="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__Sedan__SUV_etc_5" xr10:uid="{6F8D8FD6-77AA-41BC-8E88-BA55F2DE1AE1}" sourceName="Body Type (Sedan/ SUV/etc)">
  <pivotTables>
    <pivotTable tabId="5" name="PivotTable4"/>
  </pivotTables>
  <data>
    <tabular pivotCacheId="769904717">
      <items count="5">
        <i x="2"/>
        <i x="3" s="1"/>
        <i x="1" s="1"/>
        <i x="0" s="1"/>
        <i x="4" s="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__Gas_Hybrid_EV__etc_5" xr10:uid="{49E54CCE-F9FC-4E28-8C33-4B496329E59A}" sourceName="Fuel Type (Gas/Hybrid/EV/ etc)">
  <pivotTables>
    <pivotTable tabId="5" name="PivotTable4"/>
  </pivotTables>
  <data>
    <tabular pivotCacheId="769904717">
      <items count="5">
        <i x="2" s="1"/>
        <i x="3" s="1"/>
        <i x="0" s="1"/>
        <i x="1" s="1"/>
        <i x="4" s="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__Gas_Hybrid_EV__etc_4" xr10:uid="{32AABE9E-BE4F-4D78-A670-ED64D896B9C4}" sourceName="Fuel Type (Gas/Hybrid/EV/ etc)">
  <pivotTables>
    <pivotTable tabId="9" name="PivotTable1"/>
  </pivotTables>
  <data>
    <tabular pivotCacheId="769904717">
      <items count="5">
        <i x="2" s="1"/>
        <i x="3"/>
        <i x="0" s="1"/>
        <i x="1" s="1"/>
        <i x="4"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4" xr10:uid="{3B8A4571-BF91-4528-9754-78F9064BD278}" sourceName="Brand">
  <pivotTables>
    <pivotTable tabId="9" name="PivotTable1"/>
  </pivotTables>
  <data>
    <tabular pivotCacheId="769904717">
      <items count="5">
        <i x="4" s="1"/>
        <i x="0" s="1"/>
        <i x="3" s="1"/>
        <i x="2" s="1"/>
        <i x="1" s="1"/>
      </items>
    </tabular>
  </data>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__Gas_Hybrid_EV__etc_1" xr10:uid="{D9F97344-4359-4FC4-B8DA-B6ADA6D82876}" sourceName="Fuel Type (Gas/Hybrid/EV/ etc)">
  <pivotTables>
    <pivotTable tabId="12" name="PivotTable2"/>
  </pivotTables>
  <data>
    <tabular pivotCacheId="769904717">
      <items count="5">
        <i x="2" s="1"/>
        <i x="3"/>
        <i x="0" s="1"/>
        <i x="1" s="1"/>
        <i x="4" s="1"/>
      </items>
    </tabular>
  </data>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2" xr10:uid="{187F513A-AD91-4329-B6B9-94A72EA2F704}" sourceName="Brand">
  <pivotTables>
    <pivotTable tabId="14" name="PivotTable3"/>
  </pivotTables>
  <data>
    <tabular pivotCacheId="769904717">
      <items count="5">
        <i x="4"/>
        <i x="0" s="1"/>
        <i x="2"/>
        <i x="1"/>
        <i x="3" nd="1"/>
      </items>
    </tabular>
  </data>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__Gas_Hybrid_EV__etc_6" xr10:uid="{9A8C8E91-0A9D-4031-9AB1-B3562BE7B601}" sourceName="Fuel Type (Gas/Hybrid/EV/ etc)">
  <pivotTables>
    <pivotTable tabId="14" name="PivotTable3"/>
  </pivotTables>
  <data>
    <tabular pivotCacheId="769904717">
      <items count="5">
        <i x="0" s="1"/>
        <i x="2" s="1" nd="1"/>
        <i x="3" s="1" nd="1"/>
        <i x="1" s="1" nd="1"/>
        <i x="4" s="1" nd="1"/>
      </items>
    </tabular>
  </data>
</slicerCacheDefinition>
</file>

<file path=xl/slicerCaches/slicerCache1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__Sedan__SUV_etc_2" xr10:uid="{B6BBB2B9-6815-4B26-ACB9-FD40D643D9E7}" sourceName="Body Type (Sedan/ SUV/etc)">
  <pivotTables>
    <pivotTable tabId="14" name="PivotTable3"/>
  </pivotTables>
  <data>
    <tabular pivotCacheId="769904717">
      <items count="5">
        <i x="2"/>
        <i x="3"/>
        <i x="1"/>
        <i x="0"/>
        <i x="4" s="1"/>
      </items>
    </tabular>
  </data>
</slicerCacheDefinition>
</file>

<file path=xl/slicerCaches/slicerCache1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6398C46E-037E-4F9B-A51D-7ACE400CD874}" sourceName="Brand">
  <extLst>
    <x:ext xmlns:x15="http://schemas.microsoft.com/office/spreadsheetml/2010/11/main" uri="{2F2917AC-EB37-4324-AD4E-5DD8C200BD13}">
      <x15:tableSlicerCache tableId="2" column="1"/>
    </x:ext>
  </extLst>
</slicerCacheDefinition>
</file>

<file path=xl/slicerCaches/slicerCache1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__Sedan__SUV_etc_" xr10:uid="{7071193B-87B3-44EB-95FF-B918FC9FA12E}" sourceName="Body Type (Sedan/ SUV/etc)">
  <extLst>
    <x:ext xmlns:x15="http://schemas.microsoft.com/office/spreadsheetml/2010/11/main" uri="{2F2917AC-EB37-4324-AD4E-5DD8C200BD13}">
      <x15:tableSlicerCache tableId="2" column="3"/>
    </x:ext>
  </extLst>
</slicerCacheDefinition>
</file>

<file path=xl/slicerCaches/slicerCache1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__Gas_Hybrid_EV__etc_" xr10:uid="{44EAA471-BDAE-43B0-BEFC-1C6229C47105}" sourceName="Fuel Type (Gas/Hybrid/EV/ etc)">
  <extLst>
    <x:ext xmlns:x15="http://schemas.microsoft.com/office/spreadsheetml/2010/11/main" uri="{2F2917AC-EB37-4324-AD4E-5DD8C200BD13}">
      <x15:tableSlicerCache tableId="2" column="4"/>
    </x:ext>
  </extLst>
</slicerCacheDefinition>
</file>

<file path=xl/slicerCaches/slicerCache1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3" xr10:uid="{E291DB3A-22A2-4915-8E63-233DB347161E}" sourceName="Brand">
  <extLst>
    <x:ext xmlns:x15="http://schemas.microsoft.com/office/spreadsheetml/2010/11/main" uri="{2F2917AC-EB37-4324-AD4E-5DD8C200BD13}">
      <x15:tableSlicerCache tableId="14" column="1"/>
    </x:ext>
  </extLst>
</slicerCacheDefinition>
</file>

<file path=xl/slicerCaches/slicerCache1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ody_Type" xr10:uid="{B1AF7091-561A-49A4-8B8B-54DEC06030E0}" sourceName="Body Type">
  <extLst>
    <x:ext xmlns:x15="http://schemas.microsoft.com/office/spreadsheetml/2010/11/main" uri="{2F2917AC-EB37-4324-AD4E-5DD8C200BD13}">
      <x15:tableSlicerCache tableId="14" column="3"/>
    </x:ext>
  </extLst>
</slicerCacheDefinition>
</file>

<file path=xl/slicerCaches/slicerCache2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uel_Type" xr10:uid="{A261D69F-EFE2-46E4-A9AB-3CA4EC68337C}" sourceName="Fuel Type">
  <extLst>
    <x:ext xmlns:x15="http://schemas.microsoft.com/office/spreadsheetml/2010/11/main" uri="{2F2917AC-EB37-4324-AD4E-5DD8C200BD13}">
      <x15:tableSlicerCache tableId="14" column="4"/>
    </x:ext>
  </extLst>
</slicerCacheDefinition>
</file>

<file path=xl/slicerCaches/slicerCache2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ossible_Tax_Credit" xr10:uid="{68B87C42-5419-4931-8724-80F25D81E2E1}" sourceName="Possible Tax Credit">
  <extLst>
    <x:ext xmlns:x15="http://schemas.microsoft.com/office/spreadsheetml/2010/11/main" uri="{2F2917AC-EB37-4324-AD4E-5DD8C200BD13}">
      <x15:tableSlicerCache tableId="14" column="8"/>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xr10:uid="{68196DED-D055-4A48-9031-4D42B18C952F}" cache="Slicer_Brand" caption="Brand" rowHeight="228600"/>
  <slicer name="Body Type (Sedan/ SUV/etc)" xr10:uid="{1D8B5F1D-0413-4B58-81AD-A7EFF76DF597}" cache="Slicer_Body_Type__Sedan__SUV_etc_" caption="Body Type (Sedan/ SUV/etc)" rowHeight="228600"/>
  <slicer name="Fuel Type (Gas/Hybrid/EV/ etc)" xr10:uid="{FDA21165-1F24-42BF-A2EE-0E65EEBBE683}" cache="Slicer_Fuel_Type__Gas_Hybrid_EV__etc_" caption="Fuel Type (Gas/Hybrid/EV/ etc)" rowHeight="2286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3" xr10:uid="{98913CC9-FB3D-47F9-8825-35FCCF06FE74}" cache="Slicer_Brand3" caption="Brand" rowHeight="228600"/>
  <slicer name="Body Type" xr10:uid="{82B94F58-FED6-4D7C-8BAE-BC02C27CAC49}" cache="Slicer_Body_Type" caption="Body Type" rowHeight="228600"/>
  <slicer name="Fuel Type" xr10:uid="{96CE1931-9570-485A-A1E9-0B2051C7CEB4}" cache="Slicer_Fuel_Type" caption="Fuel Type" rowHeight="228600"/>
  <slicer name="Possible Tax Credit" xr10:uid="{D441FF7A-120D-4FA7-8B10-D79ACAA30A42}" cache="Slicer_Possible_Tax_Credit" caption="Possible Tax Credit" rowHeight="2286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el Type (Gas/Hybrid/EV/ etc) 3" xr10:uid="{A59602A9-7D4F-49B5-A375-256D70E5F611}" cache="Slicer_Fuel_Type__Gas_Hybrid_EV__etc_4" caption="Fuel Type (Gas/Hybrid/EV/ etc)" rowHeight="228600"/>
  <slicer name="Brand 4" xr10:uid="{0FF03CFD-77B2-4119-97C7-7C0C3A7B8772}" cache="Slicer_Brand4" caption="Brand" rowHeight="2286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el Type (Gas/Hybrid/EV/ etc) 5" xr10:uid="{0C9741E4-BC7B-4CDC-B578-47F32E929B07}" cache="Slicer_Fuel_Type__Gas_Hybrid_EV__etc_1" caption="Fuel Type (Gas/Hybrid/EV/ etc)" rowHeight="2286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Fuel Type (Gas/Hybrid/EV/ etc) 1" xr10:uid="{DF0271D3-BFF2-469D-AC4E-38D5B0012D42}" cache="Slicer_Fuel_Type__Gas_Hybrid_EV__etc_2" caption="Fuel Type (Gas/Hybrid/EV/ etc)" rowHeight="228600"/>
  <slicer name="Brand 1" xr10:uid="{23FC0BC8-1B1B-4230-A670-4F26072DFE97}" cache="Slicer_Brand1" caption="Brand" rowHeight="228600"/>
  <slicer name="Body Type (Sedan/ SUV/etc) 1" xr10:uid="{68505332-AC5D-44BE-9083-2994D6D0B849}" cache="Slicer_Body_Type__Sedan__SUV_etc_1" caption="Body Type (Sedan/ SUV/etc)" rowHeight="22860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5" xr10:uid="{30ADE7BA-18AF-4004-854A-AF22DA2ECE2C}" cache="Slicer_Brand5" caption="Brand" rowHeight="228600"/>
  <slicer name="Body Type (Sedan/ SUV/etc) 5" xr10:uid="{E5E6FCF7-8457-470D-8873-6B43BC00CBD9}" cache="Slicer_Body_Type__Sedan__SUV_etc_5" caption="Body Type (Sedan/ SUV/etc)" rowHeight="228600"/>
  <slicer name="Fuel Type (Gas/Hybrid/EV/ etc) 4" xr10:uid="{55889E9E-903D-418C-8F1F-73C14AF6FB8B}" cache="Slicer_Fuel_Type__Gas_Hybrid_EV__etc_5" caption="Fuel Type (Gas/Hybrid/EV/ etc)" rowHeight="228600"/>
</slicers>
</file>

<file path=xl/slicers/slicer7.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ody Type (Sedan/ SUV/etc) 3" xr10:uid="{12618D4D-9306-40B0-B56D-F8A17EABA015}" cache="Slicer_Body_Type__Sedan__SUV_etc_3" caption="Body Type (Sedan/ SUV/etc)" rowHeight="228600"/>
  <slicer name="Fuel Type (Gas/Hybrid/EV/ etc) 2" xr10:uid="{7259CF3C-D32C-4E36-AE9A-E06764607374}" cache="Slicer_Fuel_Type__Gas_Hybrid_EV__etc_3" caption="Fuel Type (Gas/Hybrid/EV/ etc)" rowHeight="228600"/>
</slicers>
</file>

<file path=xl/slicers/slicer8.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d 2" xr10:uid="{D8D9D920-C6F7-4798-BFA8-C07F47D21486}" cache="Slicer_Brand2" caption="Brand" rowHeight="228600"/>
  <slicer name="Fuel Type (Gas/Hybrid/EV/ etc) 6" xr10:uid="{90110544-5D89-452C-AAF4-828DBB91249E}" cache="Slicer_Fuel_Type__Gas_Hybrid_EV__etc_6" caption="Fuel Type (Gas/Hybrid/EV/ etc)" rowHeight="228600"/>
  <slicer name="Body Type (Sedan/ SUV/etc) 2" xr10:uid="{A7CF2BCB-D3C3-4431-A98E-066EEA61360A}" cache="Slicer_Body_Type__Sedan__SUV_etc_2" caption="Body Type (Sedan/ SUV/etc)" rowHeight="2286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A3AAD9E-E334-4BF2-9F4C-9C8BBD7632C1}" name="Table1" displayName="Table1" ref="A11:W95" totalsRowShown="0" headerRowDxfId="46" dataDxfId="45">
  <autoFilter ref="A11:W95" xr:uid="{DA3AAD9E-E334-4BF2-9F4C-9C8BBD7632C1}"/>
  <tableColumns count="23">
    <tableColumn id="1" xr3:uid="{E0A557AD-E34D-40DC-9735-58EC53A2B2CF}" name="Brand" dataDxfId="44"/>
    <tableColumn id="2" xr3:uid="{9E51FFE4-1F00-48FD-86F5-46D896760964}" name="Model" dataDxfId="43"/>
    <tableColumn id="3" xr3:uid="{3BEFFCB4-939C-4854-8027-E3A9B0BEFDF8}" name="Body Type (Sedan/ SUV/etc)" dataDxfId="42"/>
    <tableColumn id="4" xr3:uid="{3D0ACB18-C6F5-4B5E-9B44-E43204C74CB8}" name="Fuel Type (Gas/Hybrid/EV/ etc)" dataDxfId="41"/>
    <tableColumn id="5" xr3:uid="{536844C6-499C-4C65-B064-4148D76628DE}" name="MSRP ($)" dataDxfId="40"/>
    <tableColumn id="6" xr3:uid="{F3A0AD43-C616-4E55-8034-A92456508EF6}" name="MPG (City/Hwy)" dataDxfId="39"/>
    <tableColumn id="7" xr3:uid="{FBB70EA0-BCB7-4750-B34A-CDEEFB7C9439}" name="MPGe (Electric)" dataDxfId="38"/>
    <tableColumn id="8" xr3:uid="{9CD6C358-8F09-45EC-A510-4A8D8885D4F0}" name="Est. Range (miles)" dataDxfId="37"/>
    <tableColumn id="9" xr3:uid="{282B14DA-7D5D-4D30-A101-4D091B02B10D}" name="Annual Fuel Cost (Regular Gas)" dataDxfId="36"/>
    <tableColumn id="10" xr3:uid="{90D22CCC-3047-4E24-A9FC-E53E42DBEC6F}" name="Annual Fuel Cost (Premium Gas)" dataDxfId="35"/>
    <tableColumn id="11" xr3:uid="{A7ED9DC5-4965-45E5-B42C-A0287EF24C28}" name="Annual Electricity Cost ($)" dataDxfId="34"/>
    <tableColumn id="12" xr3:uid="{4E7335E4-787F-400A-BE43-BEDF28BDF59F}" name="Fuel Credits? (Fuel Cell)" dataDxfId="33"/>
    <tableColumn id="13" xr3:uid="{AD49D78D-02F6-4AED-AFCD-2EA36C0FAB57}" name="Annual Maintenance Cost ($)" dataDxfId="32">
      <calculatedColumnFormula>P12/5</calculatedColumnFormula>
    </tableColumn>
    <tableColumn id="14" xr3:uid="{F59FD703-555C-4FD0-8D02-0574F239F835}" name="Battery Warranty" dataDxfId="31"/>
    <tableColumn id="23" xr3:uid="{70F66266-5D43-4FE2-B2CA-20B053C55172}" name="5-Year Fuel Cost (Gas/Electric/etc)" dataDxfId="30">
      <calculatedColumnFormula>IFERROR(MAX(Table1[[#This Row],[Annual Fuel Cost (Regular Gas)]]:Table1[[#This Row],[Annual Fuel Cost (Premium Gas)]], Table1[[#This Row],[Annual Electricity Cost ($)]]) * 5, 0)</calculatedColumnFormula>
    </tableColumn>
    <tableColumn id="15" xr3:uid="{6422DD4F-F468-4271-9A6E-71426EA922E9}" name="5-Year Maintenance Cost ($)" dataDxfId="29"/>
    <tableColumn id="16" xr3:uid="{F5AA6036-DBE6-4CBE-8B8B-58575CD2D87B}" name="MaintenanceWarranty Notes" dataDxfId="28"/>
    <tableColumn id="17" xr3:uid="{5AA52703-5FEA-4C1B-9A41-7237386EC1FB}" name="Depreciation After 5 Years ($)" dataDxfId="27"/>
    <tableColumn id="18" xr3:uid="{8CA2263E-88BE-448B-8AF6-513F39CC1551}" name="Insurance Costs After 5 Years ($)" dataDxfId="26"/>
    <tableColumn id="19" xr3:uid="{1F73C49E-3D20-4F6E-BBC9-CB1B6BBBB934}" name="Possible Tax Credit ($)" dataDxfId="25"/>
    <tableColumn id="20" xr3:uid="{8F23B90D-FBA5-43F6-A9E3-2B8AE848261D}" name="Total Cost of Ownership (TCO) Over 5 Years - Including Depreciation" dataDxfId="24">
      <calculatedColumnFormula>IFERROR(IF(D12="Fuel Cell EV", "", E12 + MAX(I12, J12) + K12 + P12 + IF(S12=0, $AA$12, S12) + R12 - T12), 0)</calculatedColumnFormula>
    </tableColumn>
    <tableColumn id="21" xr3:uid="{603657C9-B1D6-4DDA-997B-6C21792629C2}" name="Total Running Cost Over 5 Years" dataDxfId="23">
      <calculatedColumnFormula>IFERROR(IF(D12="Fuel Cell EV", "", MAX(I12, J12) + K12 + P12 + IF(S12=0, $AA$12, S12) - T12), 0)</calculatedColumnFormula>
    </tableColumn>
    <tableColumn id="22" xr3:uid="{6134B9A1-AB64-4F02-A2C9-BDC6A25F97BB}" name="Total Money Spent Over 5 Years - Excluding Depreciation" dataDxfId="22">
      <calculatedColumnFormula>IFERROR(IF(D12="Fuel Cell EV", "", E12 + MAX(I12, J12) + K12 + P12 + IF(S12=0, $AA$12, S12) - T12), 0)</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38F6DB1D-F53A-4D66-9CD1-D2EA0700E8C5}" name="Table1315" displayName="Table1315" ref="A1:H82" totalsRowShown="0" headerRowDxfId="21">
  <autoFilter ref="A1:H82" xr:uid="{38F6DB1D-F53A-4D66-9CD1-D2EA0700E8C5}"/>
  <tableColumns count="8">
    <tableColumn id="1" xr3:uid="{DDCC1353-37EA-4807-B045-484F02FCF2A2}" name="Brand"/>
    <tableColumn id="2" xr3:uid="{9C9B0DEF-2D3F-4B9F-A008-98E4F8F9857B}" name="Model"/>
    <tableColumn id="3" xr3:uid="{0DFAE932-A8A6-4900-A553-E06EE247FF04}" name="Body Type"/>
    <tableColumn id="4" xr3:uid="{13CBADF7-88D4-4EAF-AC85-B0577EEDAF95}" name="Fuel Type"/>
    <tableColumn id="5" xr3:uid="{7539C7E2-91E4-4EC8-B27C-CEE8EE32C578}" name="MSRP" dataDxfId="20"/>
    <tableColumn id="6" xr3:uid="{9D826D62-45B8-4DA6-99C1-1B5FDE926F77}" name="Total Cost Ownership 5YRS" dataDxfId="19"/>
    <tableColumn id="7" xr3:uid="{468AE821-A34A-4B8B-A314-7BE1F65F0052}" name="Total Running Costs 5YRS" dataDxfId="18"/>
    <tableColumn id="8" xr3:uid="{424E1E7F-FFC7-4E63-8D50-348FB4EF17D6}" name="Possible Tax Credit" dataDxfId="17"/>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96C02AE-5579-4F5B-8141-7ED89B5BE653}" name="Table3" displayName="Table3" ref="A1:G85" totalsRowShown="0" headerRowDxfId="16">
  <autoFilter ref="A1:G85" xr:uid="{596C02AE-5579-4F5B-8141-7ED89B5BE653}"/>
  <sortState xmlns:xlrd2="http://schemas.microsoft.com/office/spreadsheetml/2017/richdata2" ref="A2:F85">
    <sortCondition ref="E1:E85"/>
  </sortState>
  <tableColumns count="7">
    <tableColumn id="1" xr3:uid="{B796E971-EE22-440B-9E7C-E3DDC07D3637}" name="Brand"/>
    <tableColumn id="2" xr3:uid="{3F0B797D-1408-499A-8039-3CAFB065F321}" name="Model"/>
    <tableColumn id="3" xr3:uid="{FA8102A5-F625-4A00-B081-7B1A8CD41374}" name="Body Type"/>
    <tableColumn id="4" xr3:uid="{8AC1CCC4-48C5-4B20-9369-739A7C6019E1}" name="Fuel Type"/>
    <tableColumn id="5" xr3:uid="{4F4AC218-C3AB-44E2-96C5-7810D5429B27}" name="MSRP" dataDxfId="15"/>
    <tableColumn id="6" xr3:uid="{AD755CEF-DF9B-4721-8E99-802AD911AAFA}" name="Total $ Spent Over 5 Yrs" dataDxfId="14"/>
    <tableColumn id="7" xr3:uid="{B156C494-C5D2-49D7-BFFA-C9703A1D6013}" name="Extra Costs Over 5 Yrs" dataDxfId="13">
      <calculatedColumnFormula>IFERROR(Table3[[#This Row],[Total $ Spent Over 5 Yrs]]-Table3[[#This Row],[MSRP]],"")</calculatedColumnFormula>
    </tableColumn>
  </tableColumns>
  <tableStyleInfo name="TableStyleLight1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B39EE71-F4EA-4AF0-B5F5-CAC5188705E1}" name="Table5" displayName="Table5" ref="D1:E85" totalsRowShown="0" headerRowDxfId="12">
  <autoFilter ref="D1:E85" xr:uid="{AB39EE71-F4EA-4AF0-B5F5-CAC5188705E1}">
    <filterColumn colId="1">
      <filters>
        <filter val="$107,128.00"/>
        <filter val="$109,918.00"/>
        <filter val="$121,753.00"/>
        <filter val="$123,990.00"/>
        <filter val="$130,602.00"/>
        <filter val="$40,963.00"/>
        <filter val="$42,804.00"/>
        <filter val="$43,400.00"/>
        <filter val="$43,682.00"/>
        <filter val="$44,948.00"/>
        <filter val="$45,310.00"/>
        <filter val="$46,275.00"/>
        <filter val="$47,539.00"/>
        <filter val="$48,036.00"/>
        <filter val="$48,620.00"/>
        <filter val="$48,975.00"/>
        <filter val="$49,609.00"/>
        <filter val="$49,924.00"/>
        <filter val="$49,989.00"/>
        <filter val="$50,863.00"/>
        <filter val="$51,405.00"/>
        <filter val="$51,491.00"/>
        <filter val="$51,837.00"/>
        <filter val="$51,957.00"/>
        <filter val="$52,403.20"/>
        <filter val="$52,460.00"/>
        <filter val="$53,175.00"/>
        <filter val="$54,018.00"/>
        <filter val="$54,089.00"/>
        <filter val="$54,107.00"/>
        <filter val="$54,442.00"/>
        <filter val="$58,002.00"/>
        <filter val="$58,648.00"/>
        <filter val="$58,878.00"/>
        <filter val="$59,767.00"/>
        <filter val="$59,772.00"/>
        <filter val="$59,989.00"/>
        <filter val="$62,231.00"/>
        <filter val="$62,898.00"/>
        <filter val="$62,964.00"/>
        <filter val="$65,216.00"/>
        <filter val="$66,811.20"/>
        <filter val="$67,758.00"/>
        <filter val="$68,109.00"/>
        <filter val="$68,317.00"/>
        <filter val="$68,465.00"/>
        <filter val="$69,178.00"/>
        <filter val="$69,220.00"/>
        <filter val="$69,476.00"/>
        <filter val="$69,523.00"/>
        <filter val="$69,606.10"/>
        <filter val="$69,765.00"/>
        <filter val="$69,837.00"/>
        <filter val="$70,090.00"/>
        <filter val="$70,140.00"/>
        <filter val="$70,150.00"/>
        <filter val="$71,571.00"/>
        <filter val="$71,594.00"/>
        <filter val="$71,881.00"/>
        <filter val="$72,275.00"/>
        <filter val="$72,958.00"/>
        <filter val="$75,595.00"/>
        <filter val="$75,795.00"/>
        <filter val="$76,462.00"/>
        <filter val="$77,584.00"/>
        <filter val="$77,683.00"/>
        <filter val="$77,691.00"/>
        <filter val="$78,132.00"/>
        <filter val="$79,010.00"/>
        <filter val="$81,264.00"/>
        <filter val="$81,278.00"/>
        <filter val="$81,523.00"/>
        <filter val="$82,119.00"/>
        <filter val="$84,645.00"/>
        <filter val="$85,623.00"/>
        <filter val="$87,758.30"/>
        <filter val="$92,163.50"/>
        <filter val="$93,887.00"/>
        <filter val="$95,055.00"/>
        <filter val="$95,086.00"/>
        <filter val="$95,132.00"/>
      </filters>
    </filterColumn>
  </autoFilter>
  <tableColumns count="2">
    <tableColumn id="1" xr3:uid="{A42E137D-776E-430E-988B-6229E7258AFD}" name="MSRP ($)" dataDxfId="11"/>
    <tableColumn id="2" xr3:uid="{BDC4FA63-EB1F-4639-95A7-28361716E4C5}" name="Total Cost of Ownership (TCO) Over 5 Years - Including Depreciation" dataDxfId="10"/>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E3F9AA7-AB89-495E-B084-35FBE458CD32}" name="Table13" displayName="Table13" ref="K1:R82" totalsRowShown="0" headerRowDxfId="9">
  <autoFilter ref="K1:R82" xr:uid="{DE3F9AA7-AB89-495E-B084-35FBE458CD32}"/>
  <tableColumns count="8">
    <tableColumn id="1" xr3:uid="{3E9D9F07-7458-4A96-AC20-FB70CB297D73}" name="Brand"/>
    <tableColumn id="2" xr3:uid="{C24D8970-12D2-4A00-AFC6-8B6C6536E089}" name="Model"/>
    <tableColumn id="3" xr3:uid="{81801A9E-3CCB-44FE-87C8-3629A07756AE}" name="Body Type"/>
    <tableColumn id="4" xr3:uid="{51000C84-28CA-4886-8130-9C216671F115}" name="Fuel Type"/>
    <tableColumn id="5" xr3:uid="{E85AE864-7324-494C-ADC5-62EBE7CE95E7}" name="MSRP" dataDxfId="8"/>
    <tableColumn id="6" xr3:uid="{6981DE5C-CD65-4F03-A788-B62C4DAFD5A8}" name="Total Cost Ownership 5YRS" dataDxfId="7"/>
    <tableColumn id="7" xr3:uid="{E6209C50-AB5C-4A50-A70E-6036C2056365}" name="Total Running Costs 5YRS" dataDxfId="6"/>
    <tableColumn id="8" xr3:uid="{31EA4EBD-0C2E-40B6-87E3-E11C8477640D}" name="Possible Tax Credit" dataDxfId="5"/>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99E659D-BA4B-4641-BA99-6150B8698EC7}" name="Table8" displayName="Table8" ref="A1:C9" totalsRowShown="0" headerRowDxfId="4" dataDxfId="3">
  <autoFilter ref="A1:C9" xr:uid="{799E659D-BA4B-4641-BA99-6150B8698EC7}"/>
  <tableColumns count="3">
    <tableColumn id="1" xr3:uid="{4C138504-00B5-4E43-A9C1-219AF068BD9C}" name="Sources" dataDxfId="2" dataCellStyle="Hyperlink"/>
    <tableColumn id="2" xr3:uid="{0A0638EF-F714-405C-A954-7C90040AD5B4}" name="Uses" dataDxfId="1"/>
    <tableColumn id="3" xr3:uid="{1553D17C-A227-4CF1-8551-8435C8EDC7A3}" name="Notes"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6.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7.xml"/><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7.xml"/><Relationship Id="rId2" Type="http://schemas.openxmlformats.org/officeDocument/2006/relationships/drawing" Target="../drawings/drawing8.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2.xml.rels><?xml version="1.0" encoding="UTF-8" standalone="yes"?>
<Relationships xmlns="http://schemas.openxmlformats.org/package/2006/relationships"><Relationship Id="rId3" Type="http://schemas.microsoft.com/office/2007/relationships/slicer" Target="../slicers/slicer8.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8" Type="http://schemas.openxmlformats.org/officeDocument/2006/relationships/table" Target="../tables/table6.xml"/><Relationship Id="rId3" Type="http://schemas.openxmlformats.org/officeDocument/2006/relationships/hyperlink" Target="https://www.tesla.com/" TargetMode="External"/><Relationship Id="rId7" Type="http://schemas.openxmlformats.org/officeDocument/2006/relationships/hyperlink" Target="https://www.fueleconomy.gov/" TargetMode="External"/><Relationship Id="rId2" Type="http://schemas.openxmlformats.org/officeDocument/2006/relationships/hyperlink" Target="https://www.toyota.com/" TargetMode="External"/><Relationship Id="rId1" Type="http://schemas.openxmlformats.org/officeDocument/2006/relationships/hyperlink" Target="https://www.honda.com/" TargetMode="External"/><Relationship Id="rId6" Type="http://schemas.openxmlformats.org/officeDocument/2006/relationships/hyperlink" Target="https://www.edmunds.com/tco.html" TargetMode="External"/><Relationship Id="rId5" Type="http://schemas.openxmlformats.org/officeDocument/2006/relationships/hyperlink" Target="https://www.ford.com/" TargetMode="External"/><Relationship Id="rId4" Type="http://schemas.openxmlformats.org/officeDocument/2006/relationships/hyperlink" Target="https://www.hyundaius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AA95"/>
  <sheetViews>
    <sheetView tabSelected="1" workbookViewId="0"/>
  </sheetViews>
  <sheetFormatPr defaultRowHeight="15"/>
  <cols>
    <col min="1" max="1" width="8.5703125" style="4" bestFit="1" customWidth="1"/>
    <col min="2" max="2" width="33.42578125" style="4" bestFit="1" customWidth="1"/>
    <col min="3" max="3" width="15.85546875" style="4" bestFit="1" customWidth="1"/>
    <col min="4" max="4" width="18" style="4" bestFit="1" customWidth="1"/>
    <col min="5" max="5" width="13.42578125" style="4" customWidth="1"/>
    <col min="6" max="11" width="16.5703125" style="4" bestFit="1" customWidth="1"/>
    <col min="12" max="12" width="25.28515625" style="4" bestFit="1" customWidth="1"/>
    <col min="13" max="13" width="22.42578125" style="4" bestFit="1" customWidth="1"/>
    <col min="14" max="14" width="21.28515625" style="4" bestFit="1" customWidth="1"/>
    <col min="15" max="15" width="21.28515625" style="4" customWidth="1"/>
    <col min="16" max="16" width="20.140625" style="4" bestFit="1" customWidth="1"/>
    <col min="17" max="17" width="14.5703125" style="4" bestFit="1" customWidth="1"/>
    <col min="18" max="18" width="18.42578125" style="4" bestFit="1" customWidth="1"/>
    <col min="19" max="20" width="17" style="4" bestFit="1" customWidth="1"/>
    <col min="21" max="21" width="26" style="4" bestFit="1" customWidth="1"/>
    <col min="22" max="22" width="19.28515625" style="4" bestFit="1" customWidth="1"/>
    <col min="23" max="23" width="22.42578125" style="4" bestFit="1" customWidth="1"/>
    <col min="24" max="25" width="9.140625" style="4"/>
    <col min="26" max="26" width="21.28515625" style="4" bestFit="1" customWidth="1"/>
    <col min="27" max="27" width="10.5703125" style="4" bestFit="1" customWidth="1"/>
    <col min="28" max="16384" width="9.140625" style="4"/>
  </cols>
  <sheetData>
    <row r="11" spans="1:27" s="3" customFormat="1" ht="43.5">
      <c r="A11" s="3" t="s">
        <v>0</v>
      </c>
      <c r="B11" s="3" t="s">
        <v>1</v>
      </c>
      <c r="C11" s="3" t="s">
        <v>2</v>
      </c>
      <c r="D11" s="3" t="s">
        <v>3</v>
      </c>
      <c r="E11" s="3" t="s">
        <v>4</v>
      </c>
      <c r="F11" s="3" t="s">
        <v>5</v>
      </c>
      <c r="G11" s="3" t="s">
        <v>6</v>
      </c>
      <c r="H11" s="3" t="s">
        <v>7</v>
      </c>
      <c r="I11" s="3" t="s">
        <v>8</v>
      </c>
      <c r="J11" s="3" t="s">
        <v>9</v>
      </c>
      <c r="K11" s="3" t="s">
        <v>10</v>
      </c>
      <c r="L11" s="3" t="s">
        <v>11</v>
      </c>
      <c r="M11" s="3" t="s">
        <v>12</v>
      </c>
      <c r="N11" s="3" t="s">
        <v>13</v>
      </c>
      <c r="O11" s="3" t="s">
        <v>14</v>
      </c>
      <c r="P11" s="3" t="s">
        <v>15</v>
      </c>
      <c r="Q11" s="3" t="s">
        <v>16</v>
      </c>
      <c r="R11" s="3" t="s">
        <v>17</v>
      </c>
      <c r="S11" s="3" t="s">
        <v>18</v>
      </c>
      <c r="T11" s="3" t="s">
        <v>19</v>
      </c>
      <c r="U11" s="3" t="s">
        <v>20</v>
      </c>
      <c r="V11" s="3" t="s">
        <v>21</v>
      </c>
      <c r="W11" s="3" t="s">
        <v>22</v>
      </c>
    </row>
    <row r="12" spans="1:27">
      <c r="A12" s="4" t="s">
        <v>23</v>
      </c>
      <c r="B12" s="4" t="s">
        <v>24</v>
      </c>
      <c r="C12" s="4" t="s">
        <v>25</v>
      </c>
      <c r="D12" s="4" t="s">
        <v>26</v>
      </c>
      <c r="E12" s="5">
        <v>25400</v>
      </c>
      <c r="F12" s="6" t="s">
        <v>27</v>
      </c>
      <c r="G12" s="6"/>
      <c r="H12" s="7"/>
      <c r="I12" s="5">
        <v>1700</v>
      </c>
      <c r="J12" s="5"/>
      <c r="K12" s="5"/>
      <c r="L12" s="5"/>
      <c r="M12" s="5">
        <f>P12/5</f>
        <v>969.2</v>
      </c>
      <c r="O12" s="5">
        <f ca="1">IFERROR(MAX(Table1[[#This Row],[Annual Fuel Cost (Regular Gas)]]:Table1[[#This Row],[Annual Fuel Cost (Premium Gas)]], Table1[[#This Row],[Annual Electricity Cost ($)]]) * 5, 0)</f>
        <v>8500</v>
      </c>
      <c r="P12" s="5">
        <v>4846</v>
      </c>
      <c r="Q12" s="5"/>
      <c r="R12" s="5">
        <v>13377</v>
      </c>
      <c r="S12" s="5">
        <v>4601</v>
      </c>
      <c r="T12" s="5"/>
      <c r="U12" s="5">
        <f>IFERROR(IF(D12="Fuel Cell EV", "", E12 + MAX(I12, J12) + K12 + P12 + IF(S12=0, $AA$12, S12) + R12 - T12), 0)</f>
        <v>49924</v>
      </c>
      <c r="V12" s="5">
        <f t="shared" ref="V12:V75" si="0">IFERROR(IF(D12="Fuel Cell EV", "", MAX(I12, J12) + K12 + P12 + IF(S12=0, $AA$12, S12) - T12), 0)</f>
        <v>11147</v>
      </c>
      <c r="W12" s="5">
        <f t="shared" ref="W12:W75" si="1">IFERROR(IF(D12="Fuel Cell EV", "", E12 + MAX(I12, J12) + K12 + P12 + IF(S12=0, $AA$12, S12) - T12), 0)</f>
        <v>36547</v>
      </c>
      <c r="Z12" s="4" t="s">
        <v>28</v>
      </c>
      <c r="AA12" s="5">
        <v>5000</v>
      </c>
    </row>
    <row r="13" spans="1:27">
      <c r="A13" s="4" t="s">
        <v>23</v>
      </c>
      <c r="B13" s="4" t="s">
        <v>29</v>
      </c>
      <c r="C13" s="4" t="s">
        <v>25</v>
      </c>
      <c r="D13" s="4" t="s">
        <v>26</v>
      </c>
      <c r="E13" s="5">
        <v>30100</v>
      </c>
      <c r="F13" s="6" t="s">
        <v>30</v>
      </c>
      <c r="G13" s="6"/>
      <c r="H13" s="7"/>
      <c r="I13" s="5">
        <v>1600</v>
      </c>
      <c r="J13" s="5"/>
      <c r="K13" s="5"/>
      <c r="L13" s="5"/>
      <c r="M13" s="5">
        <f t="shared" ref="M13:M76" si="2">P13/5</f>
        <v>1030</v>
      </c>
      <c r="O13" s="5">
        <f ca="1">IFERROR(MAX(Table1[[#This Row],[Annual Fuel Cost (Regular Gas)]]:Table1[[#This Row],[Annual Fuel Cost (Premium Gas)]], Table1[[#This Row],[Annual Electricity Cost ($)]]) * 5, 0)</f>
        <v>8000</v>
      </c>
      <c r="P13" s="5">
        <v>5150</v>
      </c>
      <c r="Q13" s="5"/>
      <c r="R13" s="5">
        <v>13485</v>
      </c>
      <c r="S13" s="5">
        <v>3754</v>
      </c>
      <c r="T13" s="5"/>
      <c r="U13" s="5">
        <f t="shared" ref="U12:U75" si="3">IFERROR(IF(D13="Fuel Cell EV", "", E13 + MAX(I13, J13) + K13 + P13 + IF(S13=0, $AA$12, S13) + R13 - T13), 0)</f>
        <v>54089</v>
      </c>
      <c r="V13" s="5">
        <f t="shared" si="0"/>
        <v>10504</v>
      </c>
      <c r="W13" s="5">
        <f t="shared" si="1"/>
        <v>40604</v>
      </c>
    </row>
    <row r="14" spans="1:27">
      <c r="A14" s="4" t="s">
        <v>23</v>
      </c>
      <c r="B14" s="4" t="s">
        <v>31</v>
      </c>
      <c r="C14" s="4" t="s">
        <v>25</v>
      </c>
      <c r="D14" s="4" t="s">
        <v>32</v>
      </c>
      <c r="E14" s="5">
        <v>34650</v>
      </c>
      <c r="F14" s="6" t="s">
        <v>33</v>
      </c>
      <c r="G14" s="6"/>
      <c r="H14" s="7"/>
      <c r="I14" s="5">
        <v>1200</v>
      </c>
      <c r="J14" s="5"/>
      <c r="K14" s="5"/>
      <c r="L14" s="5"/>
      <c r="M14" s="5">
        <f t="shared" si="2"/>
        <v>1126.4000000000001</v>
      </c>
      <c r="O14" s="5">
        <f ca="1">IFERROR(MAX(Table1[[#This Row],[Annual Fuel Cost (Regular Gas)]]:Table1[[#This Row],[Annual Fuel Cost (Premium Gas)]], Table1[[#This Row],[Annual Electricity Cost ($)]]) * 5, 0)</f>
        <v>6000</v>
      </c>
      <c r="P14" s="5">
        <v>5632</v>
      </c>
      <c r="Q14" s="5"/>
      <c r="R14" s="5">
        <v>14440</v>
      </c>
      <c r="S14" s="5">
        <v>3845</v>
      </c>
      <c r="T14" s="5"/>
      <c r="U14" s="5">
        <f t="shared" si="3"/>
        <v>59767</v>
      </c>
      <c r="V14" s="5">
        <f t="shared" si="0"/>
        <v>10677</v>
      </c>
      <c r="W14" s="5">
        <f t="shared" si="1"/>
        <v>45327</v>
      </c>
    </row>
    <row r="15" spans="1:27">
      <c r="A15" s="4" t="s">
        <v>23</v>
      </c>
      <c r="B15" s="4" t="s">
        <v>34</v>
      </c>
      <c r="C15" s="4" t="s">
        <v>25</v>
      </c>
      <c r="D15" s="4" t="s">
        <v>26</v>
      </c>
      <c r="E15" s="5">
        <v>44750</v>
      </c>
      <c r="F15" s="6" t="s">
        <v>35</v>
      </c>
      <c r="G15" s="6"/>
      <c r="H15" s="7"/>
      <c r="I15" s="5">
        <v>2250</v>
      </c>
      <c r="J15" s="5"/>
      <c r="K15" s="5"/>
      <c r="L15" s="5"/>
      <c r="M15" s="5">
        <f t="shared" si="2"/>
        <v>1162.5999999999999</v>
      </c>
      <c r="O15" s="5">
        <f ca="1">IFERROR(MAX(Table1[[#This Row],[Annual Fuel Cost (Regular Gas)]]:Table1[[#This Row],[Annual Fuel Cost (Premium Gas)]], Table1[[#This Row],[Annual Electricity Cost ($)]]) * 5, 0)</f>
        <v>11250</v>
      </c>
      <c r="P15" s="5">
        <v>5813</v>
      </c>
      <c r="Q15" s="5"/>
      <c r="R15" s="5">
        <v>20532</v>
      </c>
      <c r="S15" s="5">
        <v>4338</v>
      </c>
      <c r="T15" s="5"/>
      <c r="U15" s="5">
        <f t="shared" si="3"/>
        <v>77683</v>
      </c>
      <c r="V15" s="5">
        <f t="shared" si="0"/>
        <v>12401</v>
      </c>
      <c r="W15" s="5">
        <f t="shared" si="1"/>
        <v>57151</v>
      </c>
    </row>
    <row r="16" spans="1:27">
      <c r="A16" s="4" t="s">
        <v>23</v>
      </c>
      <c r="B16" s="4" t="s">
        <v>36</v>
      </c>
      <c r="C16" s="4" t="s">
        <v>25</v>
      </c>
      <c r="D16" s="4" t="s">
        <v>26</v>
      </c>
      <c r="E16" s="5">
        <v>40200</v>
      </c>
      <c r="F16" s="6" t="s">
        <v>37</v>
      </c>
      <c r="G16" s="6"/>
      <c r="H16" s="7"/>
      <c r="I16" s="5">
        <v>2150</v>
      </c>
      <c r="J16" s="5"/>
      <c r="K16" s="5"/>
      <c r="L16" s="5"/>
      <c r="M16" s="5">
        <f t="shared" si="2"/>
        <v>1140.2</v>
      </c>
      <c r="O16" s="5">
        <f ca="1">IFERROR(MAX(Table1[[#This Row],[Annual Fuel Cost (Regular Gas)]]:Table1[[#This Row],[Annual Fuel Cost (Premium Gas)]], Table1[[#This Row],[Annual Electricity Cost ($)]]) * 5, 0)</f>
        <v>10750</v>
      </c>
      <c r="P16" s="5">
        <v>5701</v>
      </c>
      <c r="Q16" s="5"/>
      <c r="R16" s="5">
        <v>20627</v>
      </c>
      <c r="S16" s="5">
        <v>4280</v>
      </c>
      <c r="T16" s="5"/>
      <c r="U16" s="5">
        <f t="shared" si="3"/>
        <v>72958</v>
      </c>
      <c r="V16" s="5">
        <f t="shared" si="0"/>
        <v>12131</v>
      </c>
      <c r="W16" s="5">
        <f t="shared" si="1"/>
        <v>52331</v>
      </c>
    </row>
    <row r="17" spans="1:23">
      <c r="A17" s="4" t="s">
        <v>23</v>
      </c>
      <c r="B17" s="4" t="s">
        <v>38</v>
      </c>
      <c r="C17" s="4" t="s">
        <v>25</v>
      </c>
      <c r="D17" s="4" t="s">
        <v>39</v>
      </c>
      <c r="E17" s="5">
        <v>47400</v>
      </c>
      <c r="F17" s="6"/>
      <c r="G17" s="6"/>
      <c r="H17" s="7">
        <v>308</v>
      </c>
      <c r="I17" s="5"/>
      <c r="J17" s="5"/>
      <c r="K17" s="5">
        <v>1000</v>
      </c>
      <c r="L17" s="5"/>
      <c r="M17" s="5">
        <f t="shared" si="2"/>
        <v>1213.8</v>
      </c>
      <c r="N17" s="4" t="s">
        <v>40</v>
      </c>
      <c r="O17" s="5">
        <f ca="1">IFERROR(MAX(Table1[[#This Row],[Annual Fuel Cost (Regular Gas)]]:Table1[[#This Row],[Annual Fuel Cost (Premium Gas)]], Table1[[#This Row],[Annual Electricity Cost ($)]]) * 5, 0)</f>
        <v>5000</v>
      </c>
      <c r="P17" s="5">
        <v>6069</v>
      </c>
      <c r="Q17" s="5"/>
      <c r="R17" s="5">
        <v>30357</v>
      </c>
      <c r="S17" s="5">
        <v>3952</v>
      </c>
      <c r="T17" s="5">
        <v>7500</v>
      </c>
      <c r="U17" s="5">
        <f t="shared" si="3"/>
        <v>81278</v>
      </c>
      <c r="V17" s="5">
        <f t="shared" si="0"/>
        <v>3521</v>
      </c>
      <c r="W17" s="5">
        <f t="shared" si="1"/>
        <v>50921</v>
      </c>
    </row>
    <row r="18" spans="1:23">
      <c r="A18" s="4" t="s">
        <v>23</v>
      </c>
      <c r="B18" s="4" t="s">
        <v>41</v>
      </c>
      <c r="C18" s="4" t="s">
        <v>25</v>
      </c>
      <c r="D18" s="4" t="s">
        <v>42</v>
      </c>
      <c r="E18" s="5">
        <v>50000</v>
      </c>
      <c r="F18" s="6"/>
      <c r="G18" s="8" t="s">
        <v>43</v>
      </c>
      <c r="H18" s="7"/>
      <c r="I18" s="5"/>
      <c r="J18" s="5"/>
      <c r="K18" s="5"/>
      <c r="L18" s="5" t="s">
        <v>44</v>
      </c>
      <c r="M18" s="5">
        <f t="shared" si="2"/>
        <v>480</v>
      </c>
      <c r="O18" s="5">
        <f ca="1">IFERROR(MAX(Table1[[#This Row],[Annual Fuel Cost (Regular Gas)]]:Table1[[#This Row],[Annual Fuel Cost (Premium Gas)]], Table1[[#This Row],[Annual Electricity Cost ($)]]) * 5, 0)</f>
        <v>0</v>
      </c>
      <c r="P18" s="5">
        <v>2400</v>
      </c>
      <c r="Q18" s="5" t="s">
        <v>45</v>
      </c>
      <c r="R18" s="5">
        <v>22000</v>
      </c>
      <c r="S18" s="5"/>
      <c r="T18" s="5">
        <v>7500</v>
      </c>
      <c r="U18" s="5" t="str">
        <f t="shared" si="3"/>
        <v/>
      </c>
      <c r="V18" s="5" t="str">
        <f t="shared" si="0"/>
        <v/>
      </c>
      <c r="W18" s="5" t="str">
        <f t="shared" si="1"/>
        <v/>
      </c>
    </row>
    <row r="19" spans="1:23">
      <c r="A19" s="4" t="s">
        <v>23</v>
      </c>
      <c r="B19" s="4" t="s">
        <v>46</v>
      </c>
      <c r="C19" s="4" t="s">
        <v>47</v>
      </c>
      <c r="D19" s="4" t="s">
        <v>26</v>
      </c>
      <c r="E19" s="5">
        <v>24250</v>
      </c>
      <c r="F19" s="6" t="s">
        <v>48</v>
      </c>
      <c r="G19" s="6"/>
      <c r="H19" s="7"/>
      <c r="I19" s="5">
        <v>1300</v>
      </c>
      <c r="J19" s="5"/>
      <c r="K19" s="5"/>
      <c r="L19" s="5"/>
      <c r="M19" s="5">
        <f t="shared" si="2"/>
        <v>655.20000000000005</v>
      </c>
      <c r="O19" s="5">
        <f ca="1">IFERROR(MAX(Table1[[#This Row],[Annual Fuel Cost (Regular Gas)]]:Table1[[#This Row],[Annual Fuel Cost (Premium Gas)]], Table1[[#This Row],[Annual Electricity Cost ($)]]) * 5, 0)</f>
        <v>6500</v>
      </c>
      <c r="P19" s="5">
        <v>3276</v>
      </c>
      <c r="Q19" s="5"/>
      <c r="R19" s="5">
        <v>10116</v>
      </c>
      <c r="S19" s="5">
        <v>4740</v>
      </c>
      <c r="T19" s="5"/>
      <c r="U19" s="5">
        <f t="shared" si="3"/>
        <v>43682</v>
      </c>
      <c r="V19" s="5">
        <f t="shared" si="0"/>
        <v>9316</v>
      </c>
      <c r="W19" s="5">
        <f t="shared" si="1"/>
        <v>33566</v>
      </c>
    </row>
    <row r="20" spans="1:23">
      <c r="A20" s="4" t="s">
        <v>23</v>
      </c>
      <c r="B20" s="4" t="s">
        <v>49</v>
      </c>
      <c r="C20" s="4" t="s">
        <v>47</v>
      </c>
      <c r="D20" s="4" t="s">
        <v>32</v>
      </c>
      <c r="E20" s="5">
        <v>28950</v>
      </c>
      <c r="F20" s="6" t="s">
        <v>50</v>
      </c>
      <c r="G20" s="6"/>
      <c r="H20" s="7"/>
      <c r="I20" s="5">
        <v>950</v>
      </c>
      <c r="J20" s="5"/>
      <c r="K20" s="5"/>
      <c r="L20" s="5"/>
      <c r="M20" s="5">
        <f t="shared" si="2"/>
        <v>428</v>
      </c>
      <c r="O20" s="5">
        <f ca="1">IFERROR(MAX(Table1[[#This Row],[Annual Fuel Cost (Regular Gas)]]:Table1[[#This Row],[Annual Fuel Cost (Premium Gas)]], Table1[[#This Row],[Annual Electricity Cost ($)]]) * 5, 0)</f>
        <v>4750</v>
      </c>
      <c r="P20" s="5">
        <v>2140</v>
      </c>
      <c r="Q20" s="5"/>
      <c r="R20" s="5">
        <v>11580</v>
      </c>
      <c r="S20" s="5"/>
      <c r="T20" s="5"/>
      <c r="U20" s="5">
        <f t="shared" si="3"/>
        <v>48620</v>
      </c>
      <c r="V20" s="5">
        <f t="shared" si="0"/>
        <v>8090</v>
      </c>
      <c r="W20" s="5">
        <f t="shared" si="1"/>
        <v>37040</v>
      </c>
    </row>
    <row r="21" spans="1:23">
      <c r="A21" s="4" t="s">
        <v>23</v>
      </c>
      <c r="B21" s="4" t="s">
        <v>51</v>
      </c>
      <c r="C21" s="4" t="s">
        <v>47</v>
      </c>
      <c r="D21" s="4" t="s">
        <v>26</v>
      </c>
      <c r="E21" s="5">
        <v>30250</v>
      </c>
      <c r="F21" s="6" t="s">
        <v>52</v>
      </c>
      <c r="G21" s="6"/>
      <c r="H21" s="7"/>
      <c r="I21" s="5">
        <v>1300</v>
      </c>
      <c r="J21" s="5"/>
      <c r="K21" s="5"/>
      <c r="L21" s="5"/>
      <c r="M21" s="5">
        <f t="shared" si="2"/>
        <v>664.4</v>
      </c>
      <c r="O21" s="5">
        <f ca="1">IFERROR(MAX(Table1[[#This Row],[Annual Fuel Cost (Regular Gas)]]:Table1[[#This Row],[Annual Fuel Cost (Premium Gas)]], Table1[[#This Row],[Annual Electricity Cost ($)]]) * 5, 0)</f>
        <v>6500</v>
      </c>
      <c r="P21" s="5">
        <v>3322</v>
      </c>
      <c r="Q21" s="5"/>
      <c r="R21" s="5">
        <v>11829</v>
      </c>
      <c r="S21" s="5">
        <v>5256</v>
      </c>
      <c r="T21" s="5"/>
      <c r="U21" s="5">
        <f t="shared" si="3"/>
        <v>51957</v>
      </c>
      <c r="V21" s="5">
        <f t="shared" si="0"/>
        <v>9878</v>
      </c>
      <c r="W21" s="5">
        <f t="shared" si="1"/>
        <v>40128</v>
      </c>
    </row>
    <row r="22" spans="1:23">
      <c r="A22" s="4" t="s">
        <v>23</v>
      </c>
      <c r="B22" s="4" t="s">
        <v>53</v>
      </c>
      <c r="C22" s="4" t="s">
        <v>47</v>
      </c>
      <c r="D22" s="4" t="s">
        <v>26</v>
      </c>
      <c r="E22" s="5">
        <v>28295</v>
      </c>
      <c r="F22" s="6" t="s">
        <v>54</v>
      </c>
      <c r="G22" s="6"/>
      <c r="H22" s="7"/>
      <c r="I22" s="5">
        <v>1500</v>
      </c>
      <c r="J22" s="5"/>
      <c r="K22" s="5"/>
      <c r="L22" s="5"/>
      <c r="M22" s="5">
        <f t="shared" si="2"/>
        <v>779.6</v>
      </c>
      <c r="O22" s="5">
        <f ca="1">IFERROR(MAX(Table1[[#This Row],[Annual Fuel Cost (Regular Gas)]]:Table1[[#This Row],[Annual Fuel Cost (Premium Gas)]], Table1[[#This Row],[Annual Electricity Cost ($)]]) * 5, 0)</f>
        <v>7500</v>
      </c>
      <c r="P22" s="5">
        <v>3898</v>
      </c>
      <c r="Q22" s="5"/>
      <c r="R22" s="5">
        <v>15160</v>
      </c>
      <c r="S22" s="5">
        <v>5165</v>
      </c>
      <c r="T22" s="5"/>
      <c r="U22" s="5">
        <f t="shared" si="3"/>
        <v>54018</v>
      </c>
      <c r="V22" s="5">
        <f t="shared" si="0"/>
        <v>10563</v>
      </c>
      <c r="W22" s="5">
        <f t="shared" si="1"/>
        <v>38858</v>
      </c>
    </row>
    <row r="23" spans="1:23">
      <c r="A23" s="4" t="s">
        <v>23</v>
      </c>
      <c r="B23" s="4" t="s">
        <v>55</v>
      </c>
      <c r="C23" s="4" t="s">
        <v>47</v>
      </c>
      <c r="D23" s="4" t="s">
        <v>32</v>
      </c>
      <c r="E23" s="5">
        <v>33655</v>
      </c>
      <c r="F23" s="6" t="s">
        <v>56</v>
      </c>
      <c r="G23" s="6"/>
      <c r="H23" s="7"/>
      <c r="I23" s="5">
        <v>1000</v>
      </c>
      <c r="J23" s="5"/>
      <c r="K23" s="5"/>
      <c r="L23" s="5"/>
      <c r="M23" s="5">
        <f t="shared" si="2"/>
        <v>779.6</v>
      </c>
      <c r="O23" s="5">
        <f ca="1">IFERROR(MAX(Table1[[#This Row],[Annual Fuel Cost (Regular Gas)]]:Table1[[#This Row],[Annual Fuel Cost (Premium Gas)]], Table1[[#This Row],[Annual Electricity Cost ($)]]) * 5, 0)</f>
        <v>5000</v>
      </c>
      <c r="P23" s="5">
        <v>3898</v>
      </c>
      <c r="Q23" s="5"/>
      <c r="R23" s="5">
        <v>15160</v>
      </c>
      <c r="S23" s="5">
        <v>5165</v>
      </c>
      <c r="T23" s="5"/>
      <c r="U23" s="5">
        <f t="shared" si="3"/>
        <v>58878</v>
      </c>
      <c r="V23" s="5">
        <f t="shared" si="0"/>
        <v>10063</v>
      </c>
      <c r="W23" s="5">
        <f t="shared" si="1"/>
        <v>43718</v>
      </c>
    </row>
    <row r="24" spans="1:23">
      <c r="A24" s="4" t="s">
        <v>23</v>
      </c>
      <c r="B24" s="4" t="s">
        <v>57</v>
      </c>
      <c r="C24" s="4" t="s">
        <v>58</v>
      </c>
      <c r="D24" s="4" t="s">
        <v>26</v>
      </c>
      <c r="E24" s="5">
        <v>27450</v>
      </c>
      <c r="F24" s="6" t="s">
        <v>59</v>
      </c>
      <c r="G24" s="6"/>
      <c r="H24" s="7"/>
      <c r="I24" s="5">
        <v>1500</v>
      </c>
      <c r="J24" s="5"/>
      <c r="K24" s="5"/>
      <c r="L24" s="5"/>
      <c r="M24" s="5">
        <f t="shared" si="2"/>
        <v>668.8</v>
      </c>
      <c r="O24" s="5">
        <f ca="1">IFERROR(MAX(Table1[[#This Row],[Annual Fuel Cost (Regular Gas)]]:Table1[[#This Row],[Annual Fuel Cost (Premium Gas)]], Table1[[#This Row],[Annual Electricity Cost ($)]]) * 5, 0)</f>
        <v>7500</v>
      </c>
      <c r="P24" s="5">
        <v>3344</v>
      </c>
      <c r="Q24" s="5"/>
      <c r="R24" s="5">
        <v>10525</v>
      </c>
      <c r="S24" s="5">
        <v>4720</v>
      </c>
      <c r="T24" s="5"/>
      <c r="U24" s="5">
        <f t="shared" si="3"/>
        <v>47539</v>
      </c>
      <c r="V24" s="5">
        <f t="shared" si="0"/>
        <v>9564</v>
      </c>
      <c r="W24" s="5">
        <f t="shared" si="1"/>
        <v>37014</v>
      </c>
    </row>
    <row r="25" spans="1:23">
      <c r="A25" s="4" t="s">
        <v>23</v>
      </c>
      <c r="B25" s="4" t="s">
        <v>60</v>
      </c>
      <c r="C25" s="4" t="s">
        <v>58</v>
      </c>
      <c r="D25" s="4" t="s">
        <v>32</v>
      </c>
      <c r="E25" s="5">
        <v>30150</v>
      </c>
      <c r="F25" s="6" t="s">
        <v>61</v>
      </c>
      <c r="G25" s="6"/>
      <c r="H25" s="7"/>
      <c r="I25" s="5">
        <v>950</v>
      </c>
      <c r="J25" s="5"/>
      <c r="K25" s="5"/>
      <c r="L25" s="5"/>
      <c r="M25" s="5">
        <f t="shared" si="2"/>
        <v>420</v>
      </c>
      <c r="O25" s="5">
        <f ca="1">IFERROR(MAX(Table1[[#This Row],[Annual Fuel Cost (Regular Gas)]]:Table1[[#This Row],[Annual Fuel Cost (Premium Gas)]], Table1[[#This Row],[Annual Electricity Cost ($)]]) * 5, 0)</f>
        <v>4750</v>
      </c>
      <c r="P25" s="5">
        <v>2100</v>
      </c>
      <c r="Q25" s="5"/>
      <c r="R25" s="5">
        <v>12663</v>
      </c>
      <c r="S25" s="5"/>
      <c r="T25" s="5"/>
      <c r="U25" s="5">
        <f t="shared" si="3"/>
        <v>50863</v>
      </c>
      <c r="V25" s="5">
        <f t="shared" si="0"/>
        <v>8050</v>
      </c>
      <c r="W25" s="5">
        <f t="shared" si="1"/>
        <v>38200</v>
      </c>
    </row>
    <row r="26" spans="1:23">
      <c r="A26" s="4" t="s">
        <v>23</v>
      </c>
      <c r="B26" s="4" t="s">
        <v>62</v>
      </c>
      <c r="C26" s="4" t="s">
        <v>63</v>
      </c>
      <c r="D26" s="4" t="s">
        <v>26</v>
      </c>
      <c r="E26" s="5">
        <v>42220</v>
      </c>
      <c r="F26" s="6" t="s">
        <v>64</v>
      </c>
      <c r="G26" s="6"/>
      <c r="H26" s="7"/>
      <c r="I26" s="5">
        <v>2150</v>
      </c>
      <c r="J26" s="5"/>
      <c r="K26" s="5"/>
      <c r="L26" s="5"/>
      <c r="M26" s="5">
        <f t="shared" si="2"/>
        <v>724.2</v>
      </c>
      <c r="O26" s="5">
        <f ca="1">IFERROR(MAX(Table1[[#This Row],[Annual Fuel Cost (Regular Gas)]]:Table1[[#This Row],[Annual Fuel Cost (Premium Gas)]], Table1[[#This Row],[Annual Electricity Cost ($)]]) * 5, 0)</f>
        <v>10750</v>
      </c>
      <c r="P26" s="5">
        <v>3621</v>
      </c>
      <c r="Q26" s="5"/>
      <c r="R26" s="5">
        <v>17355</v>
      </c>
      <c r="S26" s="5">
        <v>4177</v>
      </c>
      <c r="T26" s="5"/>
      <c r="U26" s="5">
        <f t="shared" si="3"/>
        <v>69523</v>
      </c>
      <c r="V26" s="5">
        <f t="shared" si="0"/>
        <v>9948</v>
      </c>
      <c r="W26" s="5">
        <f t="shared" si="1"/>
        <v>52168</v>
      </c>
    </row>
    <row r="27" spans="1:23">
      <c r="A27" s="4" t="s">
        <v>23</v>
      </c>
      <c r="B27" s="4" t="s">
        <v>65</v>
      </c>
      <c r="C27" s="4" t="s">
        <v>66</v>
      </c>
      <c r="D27" s="4" t="s">
        <v>26</v>
      </c>
      <c r="E27" s="5">
        <v>40150</v>
      </c>
      <c r="F27" s="6" t="s">
        <v>67</v>
      </c>
      <c r="G27" s="6"/>
      <c r="H27" s="7"/>
      <c r="I27" s="5">
        <v>2250</v>
      </c>
      <c r="J27" s="5"/>
      <c r="K27" s="5"/>
      <c r="L27" s="5"/>
      <c r="M27" s="5">
        <f t="shared" si="2"/>
        <v>1068.8</v>
      </c>
      <c r="O27" s="5">
        <f ca="1">IFERROR(MAX(Table1[[#This Row],[Annual Fuel Cost (Regular Gas)]]:Table1[[#This Row],[Annual Fuel Cost (Premium Gas)]], Table1[[#This Row],[Annual Electricity Cost ($)]]) * 5, 0)</f>
        <v>11250</v>
      </c>
      <c r="P27" s="5">
        <v>5344</v>
      </c>
      <c r="Q27" s="5"/>
      <c r="R27" s="5">
        <v>19938</v>
      </c>
      <c r="S27" s="5">
        <v>4199</v>
      </c>
      <c r="T27" s="5"/>
      <c r="U27" s="5">
        <f t="shared" si="3"/>
        <v>71881</v>
      </c>
      <c r="V27" s="5">
        <f t="shared" si="0"/>
        <v>11793</v>
      </c>
      <c r="W27" s="5">
        <f t="shared" si="1"/>
        <v>51943</v>
      </c>
    </row>
    <row r="28" spans="1:23">
      <c r="A28" s="4" t="s">
        <v>68</v>
      </c>
      <c r="B28" s="4" t="s">
        <v>69</v>
      </c>
      <c r="C28" s="4" t="s">
        <v>47</v>
      </c>
      <c r="D28" s="4" t="s">
        <v>26</v>
      </c>
      <c r="E28" s="5">
        <v>22325</v>
      </c>
      <c r="F28" s="6" t="s">
        <v>48</v>
      </c>
      <c r="G28" s="6"/>
      <c r="H28" s="7"/>
      <c r="I28" s="5">
        <v>1400</v>
      </c>
      <c r="J28" s="5"/>
      <c r="K28" s="5"/>
      <c r="L28" s="5"/>
      <c r="M28" s="5">
        <f t="shared" si="2"/>
        <v>748</v>
      </c>
      <c r="O28" s="5">
        <f ca="1">IFERROR(MAX(Table1[[#This Row],[Annual Fuel Cost (Regular Gas)]]:Table1[[#This Row],[Annual Fuel Cost (Premium Gas)]], Table1[[#This Row],[Annual Electricity Cost ($)]]) * 5, 0)</f>
        <v>7000</v>
      </c>
      <c r="P28" s="5">
        <v>3740</v>
      </c>
      <c r="Q28" s="5"/>
      <c r="R28" s="5">
        <v>12195</v>
      </c>
      <c r="S28" s="5">
        <v>3740</v>
      </c>
      <c r="T28" s="5"/>
      <c r="U28" s="5">
        <f t="shared" si="3"/>
        <v>43400</v>
      </c>
      <c r="V28" s="5">
        <f t="shared" si="0"/>
        <v>8880</v>
      </c>
      <c r="W28" s="5">
        <f t="shared" si="1"/>
        <v>31205</v>
      </c>
    </row>
    <row r="29" spans="1:23">
      <c r="A29" s="4" t="s">
        <v>68</v>
      </c>
      <c r="B29" s="4" t="s">
        <v>70</v>
      </c>
      <c r="C29" s="4" t="s">
        <v>47</v>
      </c>
      <c r="D29" s="4" t="s">
        <v>32</v>
      </c>
      <c r="E29" s="5">
        <v>23825</v>
      </c>
      <c r="F29" s="6" t="s">
        <v>71</v>
      </c>
      <c r="G29" s="6"/>
      <c r="H29" s="7"/>
      <c r="I29" s="5">
        <v>1000</v>
      </c>
      <c r="J29" s="5"/>
      <c r="K29" s="5"/>
      <c r="L29" s="5"/>
      <c r="M29" s="5">
        <f t="shared" si="2"/>
        <v>740.6</v>
      </c>
      <c r="O29" s="5">
        <f ca="1">IFERROR(MAX(Table1[[#This Row],[Annual Fuel Cost (Regular Gas)]]:Table1[[#This Row],[Annual Fuel Cost (Premium Gas)]], Table1[[#This Row],[Annual Electricity Cost ($)]]) * 5, 0)</f>
        <v>5000</v>
      </c>
      <c r="P29" s="5">
        <v>3703</v>
      </c>
      <c r="Q29" s="5"/>
      <c r="R29" s="5">
        <v>11321</v>
      </c>
      <c r="S29" s="5">
        <v>5099</v>
      </c>
      <c r="T29" s="5"/>
      <c r="U29" s="5">
        <f t="shared" si="3"/>
        <v>44948</v>
      </c>
      <c r="V29" s="5">
        <f t="shared" si="0"/>
        <v>9802</v>
      </c>
      <c r="W29" s="5">
        <f t="shared" si="1"/>
        <v>33627</v>
      </c>
    </row>
    <row r="30" spans="1:23">
      <c r="A30" s="4" t="s">
        <v>68</v>
      </c>
      <c r="B30" s="4" t="s">
        <v>72</v>
      </c>
      <c r="C30" s="4" t="s">
        <v>47</v>
      </c>
      <c r="D30" s="4" t="s">
        <v>26</v>
      </c>
      <c r="E30" s="5">
        <v>23780</v>
      </c>
      <c r="F30" s="6" t="s">
        <v>48</v>
      </c>
      <c r="G30" s="6"/>
      <c r="H30" s="7"/>
      <c r="I30" s="5">
        <v>1400</v>
      </c>
      <c r="J30" s="5"/>
      <c r="K30" s="5"/>
      <c r="L30" s="5"/>
      <c r="M30" s="5">
        <f t="shared" si="2"/>
        <v>748</v>
      </c>
      <c r="O30" s="5">
        <f ca="1">IFERROR(MAX(Table1[[#This Row],[Annual Fuel Cost (Regular Gas)]]:Table1[[#This Row],[Annual Fuel Cost (Premium Gas)]], Table1[[#This Row],[Annual Electricity Cost ($)]]) * 5, 0)</f>
        <v>7000</v>
      </c>
      <c r="P30" s="5">
        <v>3740</v>
      </c>
      <c r="Q30" s="5"/>
      <c r="R30" s="5">
        <v>11591</v>
      </c>
      <c r="S30" s="5">
        <v>4799</v>
      </c>
      <c r="T30" s="5"/>
      <c r="U30" s="5">
        <f t="shared" si="3"/>
        <v>45310</v>
      </c>
      <c r="V30" s="5">
        <f t="shared" si="0"/>
        <v>9939</v>
      </c>
      <c r="W30" s="5">
        <f t="shared" si="1"/>
        <v>33719</v>
      </c>
    </row>
    <row r="31" spans="1:23">
      <c r="A31" s="4" t="s">
        <v>68</v>
      </c>
      <c r="B31" s="4" t="s">
        <v>73</v>
      </c>
      <c r="C31" s="4" t="s">
        <v>47</v>
      </c>
      <c r="D31" s="4" t="s">
        <v>32</v>
      </c>
      <c r="E31" s="5">
        <v>28350</v>
      </c>
      <c r="F31" s="6" t="s">
        <v>74</v>
      </c>
      <c r="G31" s="6"/>
      <c r="H31" s="7"/>
      <c r="I31" s="5">
        <v>850</v>
      </c>
      <c r="J31" s="5"/>
      <c r="K31" s="5"/>
      <c r="L31" s="5"/>
      <c r="M31" s="5">
        <f t="shared" si="2"/>
        <v>914.2</v>
      </c>
      <c r="O31" s="5">
        <f ca="1">IFERROR(MAX(Table1[[#This Row],[Annual Fuel Cost (Regular Gas)]]:Table1[[#This Row],[Annual Fuel Cost (Premium Gas)]], Table1[[#This Row],[Annual Electricity Cost ($)]]) * 5, 0)</f>
        <v>4250</v>
      </c>
      <c r="P31" s="5">
        <v>4571</v>
      </c>
      <c r="Q31" s="5"/>
      <c r="R31" s="5">
        <v>13066</v>
      </c>
      <c r="S31" s="5">
        <v>4654</v>
      </c>
      <c r="T31" s="5"/>
      <c r="U31" s="5">
        <f t="shared" si="3"/>
        <v>51491</v>
      </c>
      <c r="V31" s="5">
        <f t="shared" si="0"/>
        <v>10075</v>
      </c>
      <c r="W31" s="5">
        <f t="shared" si="1"/>
        <v>38425</v>
      </c>
    </row>
    <row r="32" spans="1:23">
      <c r="A32" s="4" t="s">
        <v>68</v>
      </c>
      <c r="B32" s="4" t="s">
        <v>75</v>
      </c>
      <c r="C32" s="4" t="s">
        <v>47</v>
      </c>
      <c r="D32" s="4" t="s">
        <v>76</v>
      </c>
      <c r="E32" s="5">
        <v>33375</v>
      </c>
      <c r="F32" s="6" t="s">
        <v>77</v>
      </c>
      <c r="G32" s="6"/>
      <c r="H32" s="7"/>
      <c r="I32" s="5">
        <v>750</v>
      </c>
      <c r="J32" s="5"/>
      <c r="K32" s="5"/>
      <c r="L32" s="5"/>
      <c r="M32" s="5">
        <f t="shared" si="2"/>
        <v>270</v>
      </c>
      <c r="O32" s="5">
        <f ca="1">IFERROR(MAX(Table1[[#This Row],[Annual Fuel Cost (Regular Gas)]]:Table1[[#This Row],[Annual Fuel Cost (Premium Gas)]], Table1[[#This Row],[Annual Electricity Cost ($)]]) * 5, 0)</f>
        <v>3750</v>
      </c>
      <c r="P32" s="5">
        <v>1350</v>
      </c>
      <c r="Q32" s="5"/>
      <c r="R32" s="5">
        <v>16000</v>
      </c>
      <c r="S32" s="5"/>
      <c r="T32" s="5">
        <v>7500</v>
      </c>
      <c r="U32" s="5">
        <f t="shared" si="3"/>
        <v>48975</v>
      </c>
      <c r="V32" s="5">
        <f t="shared" si="0"/>
        <v>-400</v>
      </c>
      <c r="W32" s="5">
        <f t="shared" si="1"/>
        <v>32975</v>
      </c>
    </row>
    <row r="33" spans="1:23">
      <c r="A33" s="4" t="s">
        <v>68</v>
      </c>
      <c r="B33" s="4" t="s">
        <v>78</v>
      </c>
      <c r="C33" s="4" t="s">
        <v>47</v>
      </c>
      <c r="D33" s="4" t="s">
        <v>32</v>
      </c>
      <c r="E33" s="5">
        <v>28700</v>
      </c>
      <c r="F33" s="6" t="s">
        <v>79</v>
      </c>
      <c r="G33" s="6"/>
      <c r="H33" s="7"/>
      <c r="I33" s="5">
        <v>900</v>
      </c>
      <c r="J33" s="5"/>
      <c r="K33" s="5"/>
      <c r="L33" s="5"/>
      <c r="M33" s="5">
        <f t="shared" si="2"/>
        <v>545.79999999999995</v>
      </c>
      <c r="O33" s="5">
        <f ca="1">IFERROR(MAX(Table1[[#This Row],[Annual Fuel Cost (Regular Gas)]]:Table1[[#This Row],[Annual Fuel Cost (Premium Gas)]], Table1[[#This Row],[Annual Electricity Cost ($)]]) * 5, 0)</f>
        <v>4500</v>
      </c>
      <c r="P33" s="5">
        <v>2729</v>
      </c>
      <c r="Q33" s="5"/>
      <c r="R33" s="5">
        <v>12769</v>
      </c>
      <c r="S33" s="5">
        <v>4891</v>
      </c>
      <c r="T33" s="5"/>
      <c r="U33" s="5">
        <f t="shared" si="3"/>
        <v>49989</v>
      </c>
      <c r="V33" s="5">
        <f t="shared" si="0"/>
        <v>8520</v>
      </c>
      <c r="W33" s="5">
        <f t="shared" si="1"/>
        <v>37220</v>
      </c>
    </row>
    <row r="34" spans="1:23">
      <c r="A34" s="4" t="s">
        <v>68</v>
      </c>
      <c r="B34" s="4" t="s">
        <v>80</v>
      </c>
      <c r="C34" s="4" t="s">
        <v>47</v>
      </c>
      <c r="D34" s="4" t="s">
        <v>32</v>
      </c>
      <c r="E34" s="5">
        <v>41440</v>
      </c>
      <c r="F34" s="6" t="s">
        <v>81</v>
      </c>
      <c r="G34" s="6"/>
      <c r="H34" s="7"/>
      <c r="I34" s="5">
        <v>1150</v>
      </c>
      <c r="J34" s="5"/>
      <c r="K34" s="5"/>
      <c r="L34" s="5"/>
      <c r="M34" s="5">
        <f t="shared" si="2"/>
        <v>500</v>
      </c>
      <c r="O34" s="5">
        <f ca="1">IFERROR(MAX(Table1[[#This Row],[Annual Fuel Cost (Regular Gas)]]:Table1[[#This Row],[Annual Fuel Cost (Premium Gas)]], Table1[[#This Row],[Annual Electricity Cost ($)]]) * 5, 0)</f>
        <v>5750</v>
      </c>
      <c r="P34" s="5">
        <v>2500</v>
      </c>
      <c r="Q34" s="5"/>
      <c r="R34" s="5">
        <v>20000</v>
      </c>
      <c r="S34" s="5"/>
      <c r="T34" s="5"/>
      <c r="U34" s="5">
        <f t="shared" si="3"/>
        <v>70090</v>
      </c>
      <c r="V34" s="5">
        <f t="shared" si="0"/>
        <v>8650</v>
      </c>
      <c r="W34" s="5">
        <f t="shared" si="1"/>
        <v>50090</v>
      </c>
    </row>
    <row r="35" spans="1:23">
      <c r="A35" s="4" t="s">
        <v>68</v>
      </c>
      <c r="B35" s="4" t="s">
        <v>82</v>
      </c>
      <c r="C35" s="4" t="s">
        <v>47</v>
      </c>
      <c r="D35" s="4" t="s">
        <v>42</v>
      </c>
      <c r="E35" s="5">
        <v>50190</v>
      </c>
      <c r="F35" s="6" t="s">
        <v>83</v>
      </c>
      <c r="G35" s="6"/>
      <c r="H35" s="7"/>
      <c r="I35" s="5"/>
      <c r="J35" s="5"/>
      <c r="K35" s="5"/>
      <c r="L35" s="5" t="s">
        <v>84</v>
      </c>
      <c r="M35" s="5">
        <f t="shared" si="2"/>
        <v>0</v>
      </c>
      <c r="O35" s="5">
        <f ca="1">IFERROR(MAX(Table1[[#This Row],[Annual Fuel Cost (Regular Gas)]]:Table1[[#This Row],[Annual Fuel Cost (Premium Gas)]], Table1[[#This Row],[Annual Electricity Cost ($)]]) * 5, 0)</f>
        <v>0</v>
      </c>
      <c r="P35" s="5">
        <v>0</v>
      </c>
      <c r="Q35" s="5" t="s">
        <v>85</v>
      </c>
      <c r="R35" s="5">
        <v>23000</v>
      </c>
      <c r="S35" s="5"/>
      <c r="T35" s="5">
        <v>7500</v>
      </c>
      <c r="U35" s="5" t="str">
        <f t="shared" si="3"/>
        <v/>
      </c>
      <c r="V35" s="5" t="str">
        <f t="shared" si="0"/>
        <v/>
      </c>
      <c r="W35" s="5" t="str">
        <f t="shared" si="1"/>
        <v/>
      </c>
    </row>
    <row r="36" spans="1:23">
      <c r="A36" s="4" t="s">
        <v>68</v>
      </c>
      <c r="B36" s="4" t="s">
        <v>86</v>
      </c>
      <c r="C36" s="4" t="s">
        <v>47</v>
      </c>
      <c r="D36" s="4" t="s">
        <v>26</v>
      </c>
      <c r="E36" s="5">
        <v>30000</v>
      </c>
      <c r="F36" s="6" t="s">
        <v>87</v>
      </c>
      <c r="G36" s="6"/>
      <c r="H36" s="7"/>
      <c r="I36" s="5"/>
      <c r="J36" s="5">
        <v>2550</v>
      </c>
      <c r="K36" s="5"/>
      <c r="L36" s="5"/>
      <c r="M36" s="5">
        <f t="shared" si="2"/>
        <v>1130</v>
      </c>
      <c r="O36" s="5">
        <f ca="1">IFERROR(MAX(Table1[[#This Row],[Annual Fuel Cost (Regular Gas)]]:Table1[[#This Row],[Annual Fuel Cost (Premium Gas)]], Table1[[#This Row],[Annual Electricity Cost ($)]]) * 5, 0)</f>
        <v>12750</v>
      </c>
      <c r="P36" s="5">
        <v>5650</v>
      </c>
      <c r="Q36" s="5"/>
      <c r="R36" s="5">
        <v>14981</v>
      </c>
      <c r="S36" s="5">
        <v>6591</v>
      </c>
      <c r="T36" s="5"/>
      <c r="U36" s="5">
        <f t="shared" si="3"/>
        <v>59772</v>
      </c>
      <c r="V36" s="5">
        <f t="shared" si="0"/>
        <v>14791</v>
      </c>
      <c r="W36" s="5">
        <f t="shared" si="1"/>
        <v>44791</v>
      </c>
    </row>
    <row r="37" spans="1:23">
      <c r="A37" s="4" t="s">
        <v>68</v>
      </c>
      <c r="B37" s="4" t="s">
        <v>88</v>
      </c>
      <c r="C37" s="4" t="s">
        <v>47</v>
      </c>
      <c r="D37" s="4" t="s">
        <v>26</v>
      </c>
      <c r="E37" s="5">
        <v>38860</v>
      </c>
      <c r="F37" s="6" t="s">
        <v>89</v>
      </c>
      <c r="G37" s="6"/>
      <c r="H37" s="7"/>
      <c r="I37" s="5"/>
      <c r="J37" s="5">
        <v>1784</v>
      </c>
      <c r="K37" s="5"/>
      <c r="L37" s="5"/>
      <c r="M37" s="5">
        <f t="shared" si="2"/>
        <v>903.2</v>
      </c>
      <c r="O37" s="5">
        <f ca="1">IFERROR(MAX(Table1[[#This Row],[Annual Fuel Cost (Regular Gas)]]:Table1[[#This Row],[Annual Fuel Cost (Premium Gas)]], Table1[[#This Row],[Annual Electricity Cost ($)]]) * 5, 0)</f>
        <v>8920</v>
      </c>
      <c r="P37" s="5">
        <v>4516</v>
      </c>
      <c r="Q37" s="5"/>
      <c r="R37" s="5">
        <v>19605</v>
      </c>
      <c r="S37" s="5"/>
      <c r="T37" s="5"/>
      <c r="U37" s="5">
        <f t="shared" si="3"/>
        <v>69765</v>
      </c>
      <c r="V37" s="5">
        <f t="shared" si="0"/>
        <v>11300</v>
      </c>
      <c r="W37" s="5">
        <f t="shared" si="1"/>
        <v>50160</v>
      </c>
    </row>
    <row r="38" spans="1:23">
      <c r="A38" s="4" t="s">
        <v>68</v>
      </c>
      <c r="B38" s="4" t="s">
        <v>90</v>
      </c>
      <c r="C38" s="4" t="s">
        <v>47</v>
      </c>
      <c r="D38" s="4" t="s">
        <v>26</v>
      </c>
      <c r="E38" s="5">
        <v>56900</v>
      </c>
      <c r="F38" s="6" t="s">
        <v>91</v>
      </c>
      <c r="G38" s="6"/>
      <c r="H38" s="7"/>
      <c r="I38" s="5"/>
      <c r="J38" s="5">
        <v>2250</v>
      </c>
      <c r="K38" s="5"/>
      <c r="L38" s="5"/>
      <c r="M38" s="5">
        <f t="shared" si="2"/>
        <v>347.4</v>
      </c>
      <c r="O38" s="5">
        <f ca="1">IFERROR(MAX(Table1[[#This Row],[Annual Fuel Cost (Regular Gas)]]:Table1[[#This Row],[Annual Fuel Cost (Premium Gas)]], Table1[[#This Row],[Annual Electricity Cost ($)]]) * 5, 0)</f>
        <v>11250</v>
      </c>
      <c r="P38" s="5">
        <v>1737</v>
      </c>
      <c r="Q38" s="5"/>
      <c r="R38" s="5">
        <v>28000</v>
      </c>
      <c r="S38" s="5"/>
      <c r="T38" s="5"/>
      <c r="U38" s="5">
        <f t="shared" si="3"/>
        <v>93887</v>
      </c>
      <c r="V38" s="5">
        <f t="shared" si="0"/>
        <v>8987</v>
      </c>
      <c r="W38" s="5">
        <f t="shared" si="1"/>
        <v>65887</v>
      </c>
    </row>
    <row r="39" spans="1:23">
      <c r="A39" s="4" t="s">
        <v>68</v>
      </c>
      <c r="B39" s="4" t="s">
        <v>92</v>
      </c>
      <c r="C39" s="4" t="s">
        <v>47</v>
      </c>
      <c r="D39" s="4" t="s">
        <v>32</v>
      </c>
      <c r="E39" s="5">
        <v>39185</v>
      </c>
      <c r="F39" s="6" t="s">
        <v>93</v>
      </c>
      <c r="G39" s="6"/>
      <c r="H39" s="7"/>
      <c r="I39" s="5">
        <v>1300</v>
      </c>
      <c r="J39" s="5"/>
      <c r="K39" s="5"/>
      <c r="L39" s="5"/>
      <c r="M39" s="5">
        <f t="shared" si="2"/>
        <v>858</v>
      </c>
      <c r="O39" s="5">
        <f ca="1">IFERROR(MAX(Table1[[#This Row],[Annual Fuel Cost (Regular Gas)]]:Table1[[#This Row],[Annual Fuel Cost (Premium Gas)]], Table1[[#This Row],[Annual Electricity Cost ($)]]) * 5, 0)</f>
        <v>6500</v>
      </c>
      <c r="P39" s="5">
        <v>4290</v>
      </c>
      <c r="Q39" s="5"/>
      <c r="R39" s="5">
        <v>18693</v>
      </c>
      <c r="S39" s="5">
        <v>4290</v>
      </c>
      <c r="T39" s="5"/>
      <c r="U39" s="5">
        <f t="shared" si="3"/>
        <v>67758</v>
      </c>
      <c r="V39" s="5">
        <f t="shared" si="0"/>
        <v>9880</v>
      </c>
      <c r="W39" s="5">
        <f t="shared" si="1"/>
        <v>49065</v>
      </c>
    </row>
    <row r="40" spans="1:23">
      <c r="A40" s="4" t="s">
        <v>68</v>
      </c>
      <c r="B40" s="4" t="s">
        <v>94</v>
      </c>
      <c r="C40" s="4" t="s">
        <v>66</v>
      </c>
      <c r="D40" s="4" t="s">
        <v>26</v>
      </c>
      <c r="E40" s="5">
        <v>31590</v>
      </c>
      <c r="F40" s="6" t="s">
        <v>95</v>
      </c>
      <c r="G40" s="6"/>
      <c r="H40" s="7"/>
      <c r="I40" s="5">
        <v>2050</v>
      </c>
      <c r="J40" s="5"/>
      <c r="K40" s="5"/>
      <c r="L40" s="5"/>
      <c r="M40" s="5">
        <f t="shared" si="2"/>
        <v>1065.2</v>
      </c>
      <c r="O40" s="5">
        <f ca="1">IFERROR(MAX(Table1[[#This Row],[Annual Fuel Cost (Regular Gas)]]:Table1[[#This Row],[Annual Fuel Cost (Premium Gas)]], Table1[[#This Row],[Annual Electricity Cost ($)]]) * 5, 0)</f>
        <v>10250</v>
      </c>
      <c r="P40" s="5">
        <v>5326</v>
      </c>
      <c r="Q40" s="5"/>
      <c r="R40" s="5">
        <v>15339</v>
      </c>
      <c r="S40" s="5">
        <v>4343</v>
      </c>
      <c r="T40" s="5"/>
      <c r="U40" s="5">
        <f t="shared" si="3"/>
        <v>58648</v>
      </c>
      <c r="V40" s="5">
        <f t="shared" si="0"/>
        <v>11719</v>
      </c>
      <c r="W40" s="5">
        <f t="shared" si="1"/>
        <v>43309</v>
      </c>
    </row>
    <row r="41" spans="1:23">
      <c r="A41" s="4" t="s">
        <v>68</v>
      </c>
      <c r="B41" s="4" t="s">
        <v>96</v>
      </c>
      <c r="C41" s="4" t="s">
        <v>66</v>
      </c>
      <c r="D41" s="4" t="s">
        <v>32</v>
      </c>
      <c r="E41" s="5">
        <v>46320</v>
      </c>
      <c r="F41" s="6" t="s">
        <v>95</v>
      </c>
      <c r="G41" s="6"/>
      <c r="H41" s="7"/>
      <c r="I41" s="5">
        <v>1950</v>
      </c>
      <c r="J41" s="5"/>
      <c r="K41" s="5"/>
      <c r="L41" s="5"/>
      <c r="M41" s="5">
        <f t="shared" si="2"/>
        <v>774.2</v>
      </c>
      <c r="O41" s="5">
        <f ca="1">IFERROR(MAX(Table1[[#This Row],[Annual Fuel Cost (Regular Gas)]]:Table1[[#This Row],[Annual Fuel Cost (Premium Gas)]], Table1[[#This Row],[Annual Electricity Cost ($)]]) * 5, 0)</f>
        <v>9750</v>
      </c>
      <c r="P41" s="5">
        <v>3871</v>
      </c>
      <c r="Q41" s="5"/>
      <c r="R41" s="5">
        <v>19321</v>
      </c>
      <c r="S41" s="5"/>
      <c r="T41" s="5"/>
      <c r="U41" s="5">
        <f t="shared" si="3"/>
        <v>76462</v>
      </c>
      <c r="V41" s="5">
        <f t="shared" si="0"/>
        <v>10821</v>
      </c>
      <c r="W41" s="5">
        <f t="shared" si="1"/>
        <v>57141</v>
      </c>
    </row>
    <row r="42" spans="1:23">
      <c r="A42" s="4" t="s">
        <v>68</v>
      </c>
      <c r="B42" s="4" t="s">
        <v>97</v>
      </c>
      <c r="C42" s="4" t="s">
        <v>66</v>
      </c>
      <c r="D42" s="4" t="s">
        <v>26</v>
      </c>
      <c r="E42" s="5">
        <v>40090</v>
      </c>
      <c r="F42" s="6" t="s">
        <v>98</v>
      </c>
      <c r="G42" s="6"/>
      <c r="H42" s="7"/>
      <c r="I42" s="5">
        <v>2150</v>
      </c>
      <c r="J42" s="5"/>
      <c r="K42" s="5"/>
      <c r="L42" s="5"/>
      <c r="M42" s="5">
        <f t="shared" si="2"/>
        <v>899.4</v>
      </c>
      <c r="O42" s="5">
        <f ca="1">IFERROR(MAX(Table1[[#This Row],[Annual Fuel Cost (Regular Gas)]]:Table1[[#This Row],[Annual Fuel Cost (Premium Gas)]], Table1[[#This Row],[Annual Electricity Cost ($)]]) * 5, 0)</f>
        <v>10750</v>
      </c>
      <c r="P42" s="5">
        <v>4497</v>
      </c>
      <c r="Q42" s="5"/>
      <c r="R42" s="5">
        <v>17594</v>
      </c>
      <c r="S42" s="5">
        <v>4847</v>
      </c>
      <c r="T42" s="5"/>
      <c r="U42" s="5">
        <f t="shared" si="3"/>
        <v>69178</v>
      </c>
      <c r="V42" s="5">
        <f t="shared" si="0"/>
        <v>11494</v>
      </c>
      <c r="W42" s="5">
        <f t="shared" si="1"/>
        <v>51584</v>
      </c>
    </row>
    <row r="43" spans="1:23">
      <c r="A43" s="4" t="s">
        <v>68</v>
      </c>
      <c r="B43" s="4" t="s">
        <v>99</v>
      </c>
      <c r="C43" s="4" t="s">
        <v>66</v>
      </c>
      <c r="D43" s="4" t="s">
        <v>32</v>
      </c>
      <c r="E43" s="5">
        <v>58005</v>
      </c>
      <c r="F43" s="6" t="s">
        <v>98</v>
      </c>
      <c r="G43" s="6"/>
      <c r="H43" s="7"/>
      <c r="I43" s="5">
        <v>2150</v>
      </c>
      <c r="J43" s="5"/>
      <c r="K43" s="5"/>
      <c r="L43" s="5"/>
      <c r="M43" s="5">
        <f t="shared" si="2"/>
        <v>658.6</v>
      </c>
      <c r="O43" s="5">
        <f ca="1">IFERROR(MAX(Table1[[#This Row],[Annual Fuel Cost (Regular Gas)]]:Table1[[#This Row],[Annual Fuel Cost (Premium Gas)]], Table1[[#This Row],[Annual Electricity Cost ($)]]) * 5, 0)</f>
        <v>10750</v>
      </c>
      <c r="P43" s="5">
        <v>3293</v>
      </c>
      <c r="Q43" s="5"/>
      <c r="R43" s="5">
        <v>26488</v>
      </c>
      <c r="S43" s="5">
        <v>5196</v>
      </c>
      <c r="T43" s="5"/>
      <c r="U43" s="5">
        <f t="shared" si="3"/>
        <v>95132</v>
      </c>
      <c r="V43" s="5">
        <f t="shared" si="0"/>
        <v>10639</v>
      </c>
      <c r="W43" s="5">
        <f t="shared" si="1"/>
        <v>68644</v>
      </c>
    </row>
    <row r="44" spans="1:23">
      <c r="A44" s="4" t="s">
        <v>68</v>
      </c>
      <c r="B44" s="4" t="s">
        <v>100</v>
      </c>
      <c r="C44" s="4" t="s">
        <v>25</v>
      </c>
      <c r="D44" s="4" t="s">
        <v>26</v>
      </c>
      <c r="E44" s="5">
        <v>24035</v>
      </c>
      <c r="F44" s="6" t="s">
        <v>101</v>
      </c>
      <c r="G44" s="6"/>
      <c r="H44" s="7"/>
      <c r="I44" s="5">
        <v>1500</v>
      </c>
      <c r="J44" s="5"/>
      <c r="K44" s="5"/>
      <c r="L44" s="5"/>
      <c r="M44" s="5">
        <f t="shared" si="2"/>
        <v>681.4</v>
      </c>
      <c r="O44" s="5">
        <f ca="1">IFERROR(MAX(Table1[[#This Row],[Annual Fuel Cost (Regular Gas)]]:Table1[[#This Row],[Annual Fuel Cost (Premium Gas)]], Table1[[#This Row],[Annual Electricity Cost ($)]]) * 5, 0)</f>
        <v>7500</v>
      </c>
      <c r="P44" s="5">
        <v>3407</v>
      </c>
      <c r="Q44" s="5"/>
      <c r="R44" s="5">
        <v>12684</v>
      </c>
      <c r="S44" s="5">
        <v>4649</v>
      </c>
      <c r="T44" s="5"/>
      <c r="U44" s="5">
        <f t="shared" si="3"/>
        <v>46275</v>
      </c>
      <c r="V44" s="5">
        <f t="shared" si="0"/>
        <v>9556</v>
      </c>
      <c r="W44" s="5">
        <f t="shared" si="1"/>
        <v>33591</v>
      </c>
    </row>
    <row r="45" spans="1:23">
      <c r="A45" s="4" t="s">
        <v>68</v>
      </c>
      <c r="B45" s="4" t="s">
        <v>102</v>
      </c>
      <c r="C45" s="4" t="s">
        <v>25</v>
      </c>
      <c r="D45" s="4" t="s">
        <v>32</v>
      </c>
      <c r="E45" s="5">
        <v>28395</v>
      </c>
      <c r="F45" s="6" t="s">
        <v>103</v>
      </c>
      <c r="G45" s="6"/>
      <c r="H45" s="7"/>
      <c r="I45" s="5">
        <v>1100</v>
      </c>
      <c r="J45" s="5"/>
      <c r="K45" s="5"/>
      <c r="L45" s="5"/>
      <c r="M45" s="5">
        <f t="shared" si="2"/>
        <v>268.39999999999998</v>
      </c>
      <c r="O45" s="5">
        <f ca="1">IFERROR(MAX(Table1[[#This Row],[Annual Fuel Cost (Regular Gas)]]:Table1[[#This Row],[Annual Fuel Cost (Premium Gas)]], Table1[[#This Row],[Annual Electricity Cost ($)]]) * 5, 0)</f>
        <v>5500</v>
      </c>
      <c r="P45" s="5">
        <v>1342</v>
      </c>
      <c r="Q45" s="5"/>
      <c r="R45" s="5">
        <v>16000</v>
      </c>
      <c r="S45" s="5"/>
      <c r="T45" s="5"/>
      <c r="U45" s="5">
        <f t="shared" si="3"/>
        <v>51837</v>
      </c>
      <c r="V45" s="5">
        <f t="shared" si="0"/>
        <v>7442</v>
      </c>
      <c r="W45" s="5">
        <f t="shared" si="1"/>
        <v>35837</v>
      </c>
    </row>
    <row r="46" spans="1:23">
      <c r="A46" s="4" t="s">
        <v>68</v>
      </c>
      <c r="B46" s="4" t="s">
        <v>104</v>
      </c>
      <c r="C46" s="4" t="s">
        <v>25</v>
      </c>
      <c r="D46" s="4" t="s">
        <v>26</v>
      </c>
      <c r="E46" s="5">
        <v>29250</v>
      </c>
      <c r="F46" s="6" t="s">
        <v>105</v>
      </c>
      <c r="G46" s="6"/>
      <c r="H46" s="7"/>
      <c r="I46" s="5">
        <v>1600</v>
      </c>
      <c r="J46" s="5"/>
      <c r="K46" s="5"/>
      <c r="L46" s="5"/>
      <c r="M46" s="5">
        <f t="shared" si="2"/>
        <v>897</v>
      </c>
      <c r="O46" s="5">
        <f ca="1">IFERROR(MAX(Table1[[#This Row],[Annual Fuel Cost (Regular Gas)]]:Table1[[#This Row],[Annual Fuel Cost (Premium Gas)]], Table1[[#This Row],[Annual Electricity Cost ($)]]) * 5, 0)</f>
        <v>8000</v>
      </c>
      <c r="P46" s="5">
        <v>4485</v>
      </c>
      <c r="Q46" s="5"/>
      <c r="R46" s="5">
        <v>13545</v>
      </c>
      <c r="S46" s="5">
        <v>4295</v>
      </c>
      <c r="T46" s="5"/>
      <c r="U46" s="5">
        <f t="shared" si="3"/>
        <v>53175</v>
      </c>
      <c r="V46" s="5">
        <f t="shared" si="0"/>
        <v>10380</v>
      </c>
      <c r="W46" s="5">
        <f t="shared" si="1"/>
        <v>39630</v>
      </c>
    </row>
    <row r="47" spans="1:23">
      <c r="A47" s="4" t="s">
        <v>68</v>
      </c>
      <c r="B47" s="4" t="s">
        <v>106</v>
      </c>
      <c r="C47" s="4" t="s">
        <v>25</v>
      </c>
      <c r="D47" s="4" t="s">
        <v>32</v>
      </c>
      <c r="E47" s="5">
        <v>32300</v>
      </c>
      <c r="F47" s="6" t="s">
        <v>107</v>
      </c>
      <c r="G47" s="6"/>
      <c r="H47" s="7"/>
      <c r="I47" s="5">
        <v>1200</v>
      </c>
      <c r="J47" s="5"/>
      <c r="K47" s="5"/>
      <c r="L47" s="5"/>
      <c r="M47" s="5">
        <f t="shared" si="2"/>
        <v>1000.4</v>
      </c>
      <c r="O47" s="5">
        <f ca="1">IFERROR(MAX(Table1[[#This Row],[Annual Fuel Cost (Regular Gas)]]:Table1[[#This Row],[Annual Fuel Cost (Premium Gas)]], Table1[[#This Row],[Annual Electricity Cost ($)]]) * 5, 0)</f>
        <v>6000</v>
      </c>
      <c r="P47" s="5">
        <v>5002</v>
      </c>
      <c r="Q47" s="5"/>
      <c r="R47" s="5">
        <v>14905</v>
      </c>
      <c r="S47" s="5">
        <v>4595</v>
      </c>
      <c r="T47" s="5"/>
      <c r="U47" s="5">
        <f t="shared" si="3"/>
        <v>58002</v>
      </c>
      <c r="V47" s="5">
        <f t="shared" si="0"/>
        <v>10797</v>
      </c>
      <c r="W47" s="5">
        <f t="shared" si="1"/>
        <v>43097</v>
      </c>
    </row>
    <row r="48" spans="1:23">
      <c r="A48" s="4" t="s">
        <v>68</v>
      </c>
      <c r="B48" s="4" t="s">
        <v>108</v>
      </c>
      <c r="C48" s="4" t="s">
        <v>25</v>
      </c>
      <c r="D48" s="4" t="s">
        <v>76</v>
      </c>
      <c r="E48" s="5">
        <v>44265</v>
      </c>
      <c r="F48" s="6" t="s">
        <v>109</v>
      </c>
      <c r="G48" s="6"/>
      <c r="H48" s="7"/>
      <c r="I48" s="5">
        <v>950</v>
      </c>
      <c r="J48" s="5"/>
      <c r="K48" s="5"/>
      <c r="L48" s="5"/>
      <c r="M48" s="5">
        <f t="shared" si="2"/>
        <v>1060</v>
      </c>
      <c r="O48" s="5">
        <f ca="1">IFERROR(MAX(Table1[[#This Row],[Annual Fuel Cost (Regular Gas)]]:Table1[[#This Row],[Annual Fuel Cost (Premium Gas)]], Table1[[#This Row],[Annual Electricity Cost ($)]]) * 5, 0)</f>
        <v>4750</v>
      </c>
      <c r="P48" s="5">
        <v>5300</v>
      </c>
      <c r="Q48" s="5"/>
      <c r="R48" s="5">
        <v>20855</v>
      </c>
      <c r="S48" s="5">
        <v>4595</v>
      </c>
      <c r="T48" s="5">
        <v>7500</v>
      </c>
      <c r="U48" s="5">
        <f t="shared" si="3"/>
        <v>68465</v>
      </c>
      <c r="V48" s="5">
        <f t="shared" si="0"/>
        <v>3345</v>
      </c>
      <c r="W48" s="5">
        <f t="shared" si="1"/>
        <v>47610</v>
      </c>
    </row>
    <row r="49" spans="1:23">
      <c r="A49" s="4" t="s">
        <v>68</v>
      </c>
      <c r="B49" s="4" t="s">
        <v>110</v>
      </c>
      <c r="C49" s="4" t="s">
        <v>25</v>
      </c>
      <c r="D49" s="4" t="s">
        <v>26</v>
      </c>
      <c r="E49" s="5">
        <v>39520</v>
      </c>
      <c r="F49" s="6" t="s">
        <v>111</v>
      </c>
      <c r="G49" s="6"/>
      <c r="H49" s="7"/>
      <c r="I49" s="5">
        <v>1900</v>
      </c>
      <c r="J49" s="5"/>
      <c r="K49" s="5"/>
      <c r="L49" s="5"/>
      <c r="M49" s="5">
        <f t="shared" si="2"/>
        <v>1058.2</v>
      </c>
      <c r="O49" s="5">
        <f ca="1">IFERROR(MAX(Table1[[#This Row],[Annual Fuel Cost (Regular Gas)]]:Table1[[#This Row],[Annual Fuel Cost (Premium Gas)]], Table1[[#This Row],[Annual Electricity Cost ($)]]) * 5, 0)</f>
        <v>9500</v>
      </c>
      <c r="P49" s="5">
        <v>5291</v>
      </c>
      <c r="Q49" s="5"/>
      <c r="R49" s="5">
        <v>24671</v>
      </c>
      <c r="S49" s="5">
        <v>4413</v>
      </c>
      <c r="T49" s="5"/>
      <c r="U49" s="5">
        <f t="shared" si="3"/>
        <v>75795</v>
      </c>
      <c r="V49" s="5">
        <f t="shared" si="0"/>
        <v>11604</v>
      </c>
      <c r="W49" s="5">
        <f t="shared" si="1"/>
        <v>51124</v>
      </c>
    </row>
    <row r="50" spans="1:23">
      <c r="A50" s="4" t="s">
        <v>68</v>
      </c>
      <c r="B50" s="4" t="s">
        <v>112</v>
      </c>
      <c r="C50" s="4" t="s">
        <v>25</v>
      </c>
      <c r="D50" s="4" t="s">
        <v>32</v>
      </c>
      <c r="E50" s="5">
        <v>46020</v>
      </c>
      <c r="F50" s="6" t="s">
        <v>113</v>
      </c>
      <c r="G50" s="6"/>
      <c r="H50" s="7"/>
      <c r="I50" s="5">
        <v>1300</v>
      </c>
      <c r="J50" s="5"/>
      <c r="K50" s="5"/>
      <c r="L50" s="5"/>
      <c r="M50" s="5">
        <f t="shared" si="2"/>
        <v>1107.8</v>
      </c>
      <c r="O50" s="5">
        <f ca="1">IFERROR(MAX(Table1[[#This Row],[Annual Fuel Cost (Regular Gas)]]:Table1[[#This Row],[Annual Fuel Cost (Premium Gas)]], Table1[[#This Row],[Annual Electricity Cost ($)]]) * 5, 0)</f>
        <v>6500</v>
      </c>
      <c r="P50" s="5">
        <v>5539</v>
      </c>
      <c r="Q50" s="5"/>
      <c r="R50" s="5">
        <v>24263</v>
      </c>
      <c r="S50" s="5">
        <v>4997</v>
      </c>
      <c r="T50" s="5"/>
      <c r="U50" s="5">
        <f t="shared" si="3"/>
        <v>82119</v>
      </c>
      <c r="V50" s="5">
        <f t="shared" si="0"/>
        <v>11836</v>
      </c>
      <c r="W50" s="5">
        <f t="shared" si="1"/>
        <v>57856</v>
      </c>
    </row>
    <row r="51" spans="1:23">
      <c r="A51" s="4" t="s">
        <v>68</v>
      </c>
      <c r="B51" s="4" t="s">
        <v>114</v>
      </c>
      <c r="C51" s="4" t="s">
        <v>25</v>
      </c>
      <c r="D51" s="4" t="s">
        <v>26</v>
      </c>
      <c r="E51" s="5">
        <v>40770</v>
      </c>
      <c r="F51" s="6" t="s">
        <v>87</v>
      </c>
      <c r="G51" s="6"/>
      <c r="H51" s="7"/>
      <c r="I51" s="5">
        <v>2800</v>
      </c>
      <c r="J51" s="5"/>
      <c r="K51" s="5"/>
      <c r="L51" s="5"/>
      <c r="M51" s="5">
        <f t="shared" si="2"/>
        <v>1029.5999999999999</v>
      </c>
      <c r="O51" s="5">
        <f ca="1">IFERROR(MAX(Table1[[#This Row],[Annual Fuel Cost (Regular Gas)]]:Table1[[#This Row],[Annual Fuel Cost (Premium Gas)]], Table1[[#This Row],[Annual Electricity Cost ($)]]) * 5, 0)</f>
        <v>14000</v>
      </c>
      <c r="P51" s="5">
        <v>5148</v>
      </c>
      <c r="Q51" s="5"/>
      <c r="R51" s="5">
        <v>17211</v>
      </c>
      <c r="S51" s="5">
        <v>4221</v>
      </c>
      <c r="T51" s="5"/>
      <c r="U51" s="5">
        <f t="shared" si="3"/>
        <v>70150</v>
      </c>
      <c r="V51" s="5">
        <f t="shared" si="0"/>
        <v>12169</v>
      </c>
      <c r="W51" s="5">
        <f t="shared" si="1"/>
        <v>52939</v>
      </c>
    </row>
    <row r="52" spans="1:23">
      <c r="A52" s="4" t="s">
        <v>68</v>
      </c>
      <c r="B52" s="4" t="s">
        <v>115</v>
      </c>
      <c r="C52" s="4" t="s">
        <v>25</v>
      </c>
      <c r="D52" s="4" t="s">
        <v>32</v>
      </c>
      <c r="E52" s="5">
        <v>51990</v>
      </c>
      <c r="F52" s="6" t="s">
        <v>87</v>
      </c>
      <c r="G52" s="6"/>
      <c r="H52" s="7"/>
      <c r="I52" s="5">
        <v>2050</v>
      </c>
      <c r="J52" s="5"/>
      <c r="K52" s="5"/>
      <c r="L52" s="5"/>
      <c r="M52" s="5">
        <f t="shared" si="2"/>
        <v>389.6</v>
      </c>
      <c r="O52" s="5">
        <f ca="1">IFERROR(MAX(Table1[[#This Row],[Annual Fuel Cost (Regular Gas)]]:Table1[[#This Row],[Annual Fuel Cost (Premium Gas)]], Table1[[#This Row],[Annual Electricity Cost ($)]]) * 5, 0)</f>
        <v>10250</v>
      </c>
      <c r="P52" s="5">
        <v>1948</v>
      </c>
      <c r="Q52" s="5"/>
      <c r="R52" s="5">
        <v>20276</v>
      </c>
      <c r="S52" s="5"/>
      <c r="T52" s="5"/>
      <c r="U52" s="5">
        <f t="shared" si="3"/>
        <v>81264</v>
      </c>
      <c r="V52" s="5">
        <f t="shared" si="0"/>
        <v>8998</v>
      </c>
      <c r="W52" s="5">
        <f t="shared" si="1"/>
        <v>60988</v>
      </c>
    </row>
    <row r="53" spans="1:23">
      <c r="A53" s="4" t="s">
        <v>68</v>
      </c>
      <c r="B53" s="4" t="s">
        <v>116</v>
      </c>
      <c r="C53" s="4" t="s">
        <v>25</v>
      </c>
      <c r="D53" s="4" t="s">
        <v>39</v>
      </c>
      <c r="E53" s="5">
        <v>37070</v>
      </c>
      <c r="F53" s="6"/>
      <c r="G53" s="6"/>
      <c r="H53" s="7">
        <v>252</v>
      </c>
      <c r="I53" s="5"/>
      <c r="J53" s="5"/>
      <c r="K53" s="5">
        <v>650</v>
      </c>
      <c r="L53" s="5"/>
      <c r="M53" s="5">
        <f t="shared" si="2"/>
        <v>677</v>
      </c>
      <c r="N53" s="4" t="s">
        <v>40</v>
      </c>
      <c r="O53" s="5">
        <f ca="1">IFERROR(MAX(Table1[[#This Row],[Annual Fuel Cost (Regular Gas)]]:Table1[[#This Row],[Annual Fuel Cost (Premium Gas)]], Table1[[#This Row],[Annual Electricity Cost ($)]]) * 5, 0)</f>
        <v>3250</v>
      </c>
      <c r="P53" s="5">
        <v>3385</v>
      </c>
      <c r="Q53" s="5"/>
      <c r="R53" s="5">
        <v>29712</v>
      </c>
      <c r="S53" s="5"/>
      <c r="T53" s="5">
        <v>7500</v>
      </c>
      <c r="U53" s="5">
        <f t="shared" si="3"/>
        <v>68317</v>
      </c>
      <c r="V53" s="5">
        <f t="shared" si="0"/>
        <v>1535</v>
      </c>
      <c r="W53" s="5">
        <f t="shared" si="1"/>
        <v>38605</v>
      </c>
    </row>
    <row r="54" spans="1:23">
      <c r="A54" s="4" t="s">
        <v>68</v>
      </c>
      <c r="B54" s="4" t="s">
        <v>117</v>
      </c>
      <c r="C54" s="4" t="s">
        <v>25</v>
      </c>
      <c r="D54" s="4" t="s">
        <v>26</v>
      </c>
      <c r="E54" s="5">
        <v>40860</v>
      </c>
      <c r="F54" s="6" t="s">
        <v>89</v>
      </c>
      <c r="G54" s="6"/>
      <c r="H54" s="7"/>
      <c r="I54" s="5">
        <v>1950</v>
      </c>
      <c r="J54" s="5"/>
      <c r="K54" s="5"/>
      <c r="L54" s="5"/>
      <c r="M54" s="5">
        <f t="shared" si="2"/>
        <v>864.4</v>
      </c>
      <c r="O54" s="5">
        <f ca="1">IFERROR(MAX(Table1[[#This Row],[Annual Fuel Cost (Regular Gas)]]:Table1[[#This Row],[Annual Fuel Cost (Premium Gas)]], Table1[[#This Row],[Annual Electricity Cost ($)]]) * 5, 0)</f>
        <v>9750</v>
      </c>
      <c r="P54" s="5">
        <v>4322</v>
      </c>
      <c r="Q54" s="5"/>
      <c r="R54" s="5">
        <v>26000</v>
      </c>
      <c r="S54" s="5"/>
      <c r="T54" s="5"/>
      <c r="U54" s="5">
        <f t="shared" si="3"/>
        <v>78132</v>
      </c>
      <c r="V54" s="5">
        <f t="shared" si="0"/>
        <v>11272</v>
      </c>
      <c r="W54" s="5">
        <f t="shared" si="1"/>
        <v>52132</v>
      </c>
    </row>
    <row r="55" spans="1:23">
      <c r="A55" s="4" t="s">
        <v>68</v>
      </c>
      <c r="B55" s="4" t="s">
        <v>118</v>
      </c>
      <c r="C55" s="4" t="s">
        <v>25</v>
      </c>
      <c r="D55" s="4" t="s">
        <v>32</v>
      </c>
      <c r="E55" s="5">
        <v>44210</v>
      </c>
      <c r="F55" s="6" t="s">
        <v>119</v>
      </c>
      <c r="G55" s="6"/>
      <c r="H55" s="7"/>
      <c r="I55" s="5">
        <v>1300</v>
      </c>
      <c r="J55" s="5"/>
      <c r="K55" s="5"/>
      <c r="L55" s="5"/>
      <c r="M55" s="5">
        <f t="shared" si="2"/>
        <v>700</v>
      </c>
      <c r="O55" s="5">
        <f ca="1">IFERROR(MAX(Table1[[#This Row],[Annual Fuel Cost (Regular Gas)]]:Table1[[#This Row],[Annual Fuel Cost (Premium Gas)]], Table1[[#This Row],[Annual Electricity Cost ($)]]) * 5, 0)</f>
        <v>6500</v>
      </c>
      <c r="P55" s="5">
        <v>3500</v>
      </c>
      <c r="Q55" s="5"/>
      <c r="R55" s="5">
        <v>25000</v>
      </c>
      <c r="S55" s="5"/>
      <c r="T55" s="5"/>
      <c r="U55" s="5">
        <f t="shared" si="3"/>
        <v>79010</v>
      </c>
      <c r="V55" s="5">
        <f t="shared" si="0"/>
        <v>9800</v>
      </c>
      <c r="W55" s="5">
        <f t="shared" si="1"/>
        <v>54010</v>
      </c>
    </row>
    <row r="56" spans="1:23">
      <c r="A56" s="4" t="s">
        <v>68</v>
      </c>
      <c r="B56" s="4" t="s">
        <v>120</v>
      </c>
      <c r="C56" s="4" t="s">
        <v>25</v>
      </c>
      <c r="D56" s="4" t="s">
        <v>32</v>
      </c>
      <c r="E56" s="5">
        <v>43590</v>
      </c>
      <c r="F56" s="6" t="s">
        <v>121</v>
      </c>
      <c r="G56" s="6"/>
      <c r="H56" s="7"/>
      <c r="I56" s="5">
        <v>1250</v>
      </c>
      <c r="J56" s="5"/>
      <c r="K56" s="5"/>
      <c r="L56" s="5"/>
      <c r="M56" s="5">
        <f t="shared" si="2"/>
        <v>318</v>
      </c>
      <c r="O56" s="5">
        <f ca="1">IFERROR(MAX(Table1[[#This Row],[Annual Fuel Cost (Regular Gas)]]:Table1[[#This Row],[Annual Fuel Cost (Premium Gas)]], Table1[[#This Row],[Annual Electricity Cost ($)]]) * 5, 0)</f>
        <v>6250</v>
      </c>
      <c r="P56" s="5">
        <f>318*5</f>
        <v>1590</v>
      </c>
      <c r="Q56" s="5"/>
      <c r="R56" s="5">
        <f>E56*0.6</f>
        <v>26154</v>
      </c>
      <c r="S56" s="5"/>
      <c r="T56" s="5"/>
      <c r="U56" s="5">
        <f t="shared" si="3"/>
        <v>77584</v>
      </c>
      <c r="V56" s="5">
        <f t="shared" si="0"/>
        <v>7840</v>
      </c>
      <c r="W56" s="5">
        <f t="shared" si="1"/>
        <v>51430</v>
      </c>
    </row>
    <row r="57" spans="1:23">
      <c r="A57" s="4" t="s">
        <v>68</v>
      </c>
      <c r="B57" s="4" t="s">
        <v>122</v>
      </c>
      <c r="C57" s="4" t="s">
        <v>25</v>
      </c>
      <c r="D57" s="4" t="s">
        <v>32</v>
      </c>
      <c r="E57" s="5">
        <v>56700</v>
      </c>
      <c r="F57" s="6" t="s">
        <v>123</v>
      </c>
      <c r="G57" s="6"/>
      <c r="H57" s="7"/>
      <c r="I57" s="5">
        <v>2650</v>
      </c>
      <c r="J57" s="5"/>
      <c r="K57" s="5"/>
      <c r="L57" s="5"/>
      <c r="M57" s="5">
        <f t="shared" si="2"/>
        <v>464</v>
      </c>
      <c r="O57" s="5">
        <f ca="1">IFERROR(MAX(Table1[[#This Row],[Annual Fuel Cost (Regular Gas)]]:Table1[[#This Row],[Annual Fuel Cost (Premium Gas)]], Table1[[#This Row],[Annual Electricity Cost ($)]]) * 5, 0)</f>
        <v>13250</v>
      </c>
      <c r="P57" s="5">
        <v>2320</v>
      </c>
      <c r="Q57" s="5"/>
      <c r="R57" s="5">
        <v>28385</v>
      </c>
      <c r="S57" s="5"/>
      <c r="T57" s="5"/>
      <c r="U57" s="5">
        <f t="shared" si="3"/>
        <v>95055</v>
      </c>
      <c r="V57" s="5">
        <f t="shared" si="0"/>
        <v>9970</v>
      </c>
      <c r="W57" s="5">
        <f t="shared" si="1"/>
        <v>66670</v>
      </c>
    </row>
    <row r="58" spans="1:23">
      <c r="A58" s="4" t="s">
        <v>68</v>
      </c>
      <c r="B58" s="4" t="s">
        <v>124</v>
      </c>
      <c r="C58" s="4" t="s">
        <v>25</v>
      </c>
      <c r="D58" s="4" t="s">
        <v>32</v>
      </c>
      <c r="E58" s="5">
        <v>62425</v>
      </c>
      <c r="F58" s="6" t="s">
        <v>125</v>
      </c>
      <c r="G58" s="6"/>
      <c r="H58" s="7"/>
      <c r="I58" s="5">
        <v>2150</v>
      </c>
      <c r="J58" s="5"/>
      <c r="K58" s="5"/>
      <c r="L58" s="5"/>
      <c r="M58" s="5">
        <f t="shared" si="2"/>
        <v>1170.5999999999999</v>
      </c>
      <c r="O58" s="5">
        <f ca="1">IFERROR(MAX(Table1[[#This Row],[Annual Fuel Cost (Regular Gas)]]:Table1[[#This Row],[Annual Fuel Cost (Premium Gas)]], Table1[[#This Row],[Annual Electricity Cost ($)]]) * 5, 0)</f>
        <v>10750</v>
      </c>
      <c r="P58" s="5">
        <v>5853</v>
      </c>
      <c r="Q58" s="5"/>
      <c r="R58" s="5">
        <v>34514</v>
      </c>
      <c r="S58" s="5">
        <v>4976</v>
      </c>
      <c r="T58" s="5"/>
      <c r="U58" s="5">
        <f t="shared" si="3"/>
        <v>109918</v>
      </c>
      <c r="V58" s="5">
        <f t="shared" si="0"/>
        <v>12979</v>
      </c>
      <c r="W58" s="5">
        <f t="shared" si="1"/>
        <v>75404</v>
      </c>
    </row>
    <row r="59" spans="1:23">
      <c r="A59" s="4" t="s">
        <v>126</v>
      </c>
      <c r="B59" s="4" t="s">
        <v>127</v>
      </c>
      <c r="C59" s="4" t="s">
        <v>47</v>
      </c>
      <c r="D59" s="4" t="s">
        <v>39</v>
      </c>
      <c r="E59" s="5">
        <v>34990</v>
      </c>
      <c r="F59" s="6"/>
      <c r="G59" s="6" t="s">
        <v>128</v>
      </c>
      <c r="H59" s="7"/>
      <c r="I59" s="5"/>
      <c r="J59" s="5"/>
      <c r="K59" s="5">
        <v>550</v>
      </c>
      <c r="L59" s="5"/>
      <c r="M59" s="5">
        <f t="shared" si="2"/>
        <v>431.4</v>
      </c>
      <c r="N59" s="4" t="s">
        <v>40</v>
      </c>
      <c r="O59" s="5">
        <f ca="1">IFERROR(MAX(Table1[[#This Row],[Annual Fuel Cost (Regular Gas)]]:Table1[[#This Row],[Annual Fuel Cost (Premium Gas)]], Table1[[#This Row],[Annual Electricity Cost ($)]]) * 5, 0)</f>
        <v>2750</v>
      </c>
      <c r="P59" s="5">
        <v>2157</v>
      </c>
      <c r="Q59" s="5"/>
      <c r="R59" s="5">
        <v>31611</v>
      </c>
      <c r="S59" s="5">
        <v>7668</v>
      </c>
      <c r="T59" s="5">
        <v>7500</v>
      </c>
      <c r="U59" s="5">
        <f t="shared" si="3"/>
        <v>69476</v>
      </c>
      <c r="V59" s="5">
        <f t="shared" si="0"/>
        <v>2875</v>
      </c>
      <c r="W59" s="5">
        <f t="shared" si="1"/>
        <v>37865</v>
      </c>
    </row>
    <row r="60" spans="1:23">
      <c r="A60" s="4" t="s">
        <v>126</v>
      </c>
      <c r="B60" s="4" t="s">
        <v>129</v>
      </c>
      <c r="C60" s="4" t="s">
        <v>47</v>
      </c>
      <c r="D60" s="4" t="s">
        <v>39</v>
      </c>
      <c r="E60" s="5">
        <v>34490</v>
      </c>
      <c r="F60" s="6"/>
      <c r="G60" s="6" t="s">
        <v>130</v>
      </c>
      <c r="H60" s="7"/>
      <c r="I60" s="5"/>
      <c r="J60" s="5"/>
      <c r="K60" s="5">
        <v>600</v>
      </c>
      <c r="L60" s="5"/>
      <c r="M60" s="5">
        <f t="shared" si="2"/>
        <v>460.2</v>
      </c>
      <c r="N60" s="4" t="s">
        <v>131</v>
      </c>
      <c r="O60" s="5">
        <f ca="1">IFERROR(MAX(Table1[[#This Row],[Annual Fuel Cost (Regular Gas)]]:Table1[[#This Row],[Annual Fuel Cost (Premium Gas)]], Table1[[#This Row],[Annual Electricity Cost ($)]]) * 5, 0)</f>
        <v>3000</v>
      </c>
      <c r="P60" s="5">
        <v>2301</v>
      </c>
      <c r="Q60" s="5"/>
      <c r="R60" s="5">
        <v>28073</v>
      </c>
      <c r="S60" s="5"/>
      <c r="T60" s="5">
        <v>7500</v>
      </c>
      <c r="U60" s="5">
        <f t="shared" si="3"/>
        <v>62964</v>
      </c>
      <c r="V60" s="5">
        <f t="shared" si="0"/>
        <v>401</v>
      </c>
      <c r="W60" s="5">
        <f t="shared" si="1"/>
        <v>34891</v>
      </c>
    </row>
    <row r="61" spans="1:23">
      <c r="A61" s="4" t="s">
        <v>126</v>
      </c>
      <c r="B61" s="4" t="s">
        <v>132</v>
      </c>
      <c r="C61" s="4" t="s">
        <v>66</v>
      </c>
      <c r="D61" s="4" t="s">
        <v>39</v>
      </c>
      <c r="E61" s="5">
        <v>66990</v>
      </c>
      <c r="F61" s="6"/>
      <c r="G61" s="6"/>
      <c r="H61" s="7">
        <v>300</v>
      </c>
      <c r="I61" s="5"/>
      <c r="J61" s="5"/>
      <c r="K61" s="5">
        <v>800</v>
      </c>
      <c r="L61" s="5"/>
      <c r="M61" s="5">
        <f t="shared" si="2"/>
        <v>600</v>
      </c>
      <c r="N61" s="4" t="s">
        <v>133</v>
      </c>
      <c r="O61" s="5">
        <f ca="1">IFERROR(MAX(Table1[[#This Row],[Annual Fuel Cost (Regular Gas)]]:Table1[[#This Row],[Annual Fuel Cost (Premium Gas)]], Table1[[#This Row],[Annual Electricity Cost ($)]]) * 5, 0)</f>
        <v>4000</v>
      </c>
      <c r="P61" s="5">
        <f>600*5</f>
        <v>3000</v>
      </c>
      <c r="Q61" s="5"/>
      <c r="R61" s="5">
        <f>E61*0.4</f>
        <v>26796</v>
      </c>
      <c r="S61" s="5"/>
      <c r="T61" s="5">
        <v>7500</v>
      </c>
      <c r="U61" s="5">
        <f t="shared" si="3"/>
        <v>95086</v>
      </c>
      <c r="V61" s="5">
        <f t="shared" si="0"/>
        <v>1300</v>
      </c>
      <c r="W61" s="5">
        <f t="shared" si="1"/>
        <v>68290</v>
      </c>
    </row>
    <row r="62" spans="1:23">
      <c r="A62" s="4" t="s">
        <v>126</v>
      </c>
      <c r="B62" s="4" t="s">
        <v>134</v>
      </c>
      <c r="C62" s="4" t="s">
        <v>47</v>
      </c>
      <c r="D62" s="4" t="s">
        <v>39</v>
      </c>
      <c r="E62" s="5">
        <v>78490</v>
      </c>
      <c r="F62" s="6"/>
      <c r="G62" s="6" t="s">
        <v>135</v>
      </c>
      <c r="H62" s="7"/>
      <c r="I62" s="5"/>
      <c r="J62" s="5"/>
      <c r="K62" s="5">
        <v>750</v>
      </c>
      <c r="L62" s="5"/>
      <c r="M62" s="5">
        <f t="shared" si="2"/>
        <v>565</v>
      </c>
      <c r="N62" s="4" t="s">
        <v>40</v>
      </c>
      <c r="O62" s="5">
        <f ca="1">IFERROR(MAX(Table1[[#This Row],[Annual Fuel Cost (Regular Gas)]]:Table1[[#This Row],[Annual Fuel Cost (Premium Gas)]], Table1[[#This Row],[Annual Electricity Cost ($)]]) * 5, 0)</f>
        <v>3750</v>
      </c>
      <c r="P62" s="5">
        <v>2825</v>
      </c>
      <c r="Q62" s="5"/>
      <c r="R62" s="5">
        <v>51037</v>
      </c>
      <c r="S62" s="5"/>
      <c r="T62" s="5">
        <v>7500</v>
      </c>
      <c r="U62" s="5">
        <f t="shared" si="3"/>
        <v>130602</v>
      </c>
      <c r="V62" s="5">
        <f t="shared" si="0"/>
        <v>1075</v>
      </c>
      <c r="W62" s="5">
        <f t="shared" si="1"/>
        <v>79565</v>
      </c>
    </row>
    <row r="63" spans="1:23">
      <c r="A63" s="4" t="s">
        <v>126</v>
      </c>
      <c r="B63" s="4" t="s">
        <v>136</v>
      </c>
      <c r="C63" s="4" t="s">
        <v>47</v>
      </c>
      <c r="D63" s="4" t="s">
        <v>39</v>
      </c>
      <c r="E63" s="5">
        <v>73490</v>
      </c>
      <c r="F63" s="6"/>
      <c r="G63" s="6" t="s">
        <v>137</v>
      </c>
      <c r="H63" s="7"/>
      <c r="I63" s="5"/>
      <c r="J63" s="5"/>
      <c r="K63" s="5">
        <v>600</v>
      </c>
      <c r="L63" s="5"/>
      <c r="M63" s="5">
        <f t="shared" si="2"/>
        <v>480</v>
      </c>
      <c r="N63" s="4" t="s">
        <v>133</v>
      </c>
      <c r="O63" s="5">
        <f ca="1">IFERROR(MAX(Table1[[#This Row],[Annual Fuel Cost (Regular Gas)]]:Table1[[#This Row],[Annual Fuel Cost (Premium Gas)]], Table1[[#This Row],[Annual Electricity Cost ($)]]) * 5, 0)</f>
        <v>3000</v>
      </c>
      <c r="P63" s="5">
        <v>2400</v>
      </c>
      <c r="Q63" s="5"/>
      <c r="R63" s="5">
        <v>50000</v>
      </c>
      <c r="S63" s="5"/>
      <c r="T63" s="5">
        <v>7500</v>
      </c>
      <c r="U63" s="5">
        <f t="shared" si="3"/>
        <v>123990</v>
      </c>
      <c r="V63" s="5">
        <f t="shared" si="0"/>
        <v>500</v>
      </c>
      <c r="W63" s="5">
        <f t="shared" si="1"/>
        <v>73990</v>
      </c>
    </row>
    <row r="64" spans="1:23">
      <c r="A64" s="4" t="s">
        <v>138</v>
      </c>
      <c r="B64" s="4" t="s">
        <v>139</v>
      </c>
      <c r="C64" s="4" t="s">
        <v>25</v>
      </c>
      <c r="D64" s="4" t="s">
        <v>26</v>
      </c>
      <c r="E64" s="5">
        <v>20200</v>
      </c>
      <c r="F64" s="6" t="s">
        <v>140</v>
      </c>
      <c r="G64" s="6"/>
      <c r="H64" s="7"/>
      <c r="I64" s="5">
        <v>1500</v>
      </c>
      <c r="J64" s="5"/>
      <c r="K64" s="5"/>
      <c r="L64" s="5"/>
      <c r="M64" s="5">
        <f t="shared" si="2"/>
        <v>613.4</v>
      </c>
      <c r="O64" s="5">
        <f ca="1">IFERROR(MAX(Table1[[#This Row],[Annual Fuel Cost (Regular Gas)]]:Table1[[#This Row],[Annual Fuel Cost (Premium Gas)]], Table1[[#This Row],[Annual Electricity Cost ($)]]) * 5, 0)</f>
        <v>7500</v>
      </c>
      <c r="P64" s="5">
        <v>3067</v>
      </c>
      <c r="Q64" s="5"/>
      <c r="R64" s="5">
        <v>12211</v>
      </c>
      <c r="S64" s="5">
        <v>3985</v>
      </c>
      <c r="T64" s="5"/>
      <c r="U64" s="5">
        <f t="shared" si="3"/>
        <v>40963</v>
      </c>
      <c r="V64" s="5">
        <f t="shared" si="0"/>
        <v>8552</v>
      </c>
      <c r="W64" s="5">
        <f t="shared" si="1"/>
        <v>28752</v>
      </c>
    </row>
    <row r="65" spans="1:23">
      <c r="A65" s="4" t="s">
        <v>138</v>
      </c>
      <c r="B65" s="4" t="s">
        <v>141</v>
      </c>
      <c r="C65" s="4" t="s">
        <v>25</v>
      </c>
      <c r="D65" s="4" t="s">
        <v>26</v>
      </c>
      <c r="E65" s="5">
        <v>24550</v>
      </c>
      <c r="F65" s="6" t="s">
        <v>142</v>
      </c>
      <c r="G65" s="6"/>
      <c r="H65" s="7"/>
      <c r="I65" s="5">
        <v>1500</v>
      </c>
      <c r="J65" s="5"/>
      <c r="K65" s="5"/>
      <c r="L65" s="5"/>
      <c r="M65" s="5">
        <f t="shared" si="2"/>
        <v>776.2</v>
      </c>
      <c r="O65" s="5">
        <f ca="1">IFERROR(MAX(Table1[[#This Row],[Annual Fuel Cost (Regular Gas)]]:Table1[[#This Row],[Annual Fuel Cost (Premium Gas)]], Table1[[#This Row],[Annual Electricity Cost ($)]]) * 5, 0)</f>
        <v>7500</v>
      </c>
      <c r="P65" s="5">
        <v>3881</v>
      </c>
      <c r="Q65" s="5"/>
      <c r="R65" s="5">
        <v>14224</v>
      </c>
      <c r="S65" s="5">
        <v>3881</v>
      </c>
      <c r="T65" s="5"/>
      <c r="U65" s="5">
        <f t="shared" si="3"/>
        <v>48036</v>
      </c>
      <c r="V65" s="5">
        <f t="shared" si="0"/>
        <v>9262</v>
      </c>
      <c r="W65" s="5">
        <f t="shared" si="1"/>
        <v>33812</v>
      </c>
    </row>
    <row r="66" spans="1:23">
      <c r="A66" s="4" t="s">
        <v>138</v>
      </c>
      <c r="B66" s="4" t="s">
        <v>143</v>
      </c>
      <c r="C66" s="4" t="s">
        <v>25</v>
      </c>
      <c r="D66" s="4" t="s">
        <v>39</v>
      </c>
      <c r="E66" s="5">
        <v>32975</v>
      </c>
      <c r="F66" s="6"/>
      <c r="G66" s="6"/>
      <c r="H66" s="7">
        <v>261</v>
      </c>
      <c r="I66" s="5"/>
      <c r="J66" s="5"/>
      <c r="K66" s="5">
        <v>700</v>
      </c>
      <c r="L66" s="5"/>
      <c r="M66" s="5">
        <f t="shared" si="2"/>
        <v>540.79999999999995</v>
      </c>
      <c r="N66" s="4" t="s">
        <v>144</v>
      </c>
      <c r="O66" s="5">
        <f ca="1">IFERROR(MAX(Table1[[#This Row],[Annual Fuel Cost (Regular Gas)]]:Table1[[#This Row],[Annual Fuel Cost (Premium Gas)]], Table1[[#This Row],[Annual Electricity Cost ($)]]) * 5, 0)</f>
        <v>3500</v>
      </c>
      <c r="P66" s="5">
        <v>2704</v>
      </c>
      <c r="Q66" s="5"/>
      <c r="R66" s="5">
        <v>30192</v>
      </c>
      <c r="S66" s="5"/>
      <c r="T66" s="5"/>
      <c r="U66" s="5">
        <f t="shared" si="3"/>
        <v>71571</v>
      </c>
      <c r="V66" s="5">
        <f t="shared" si="0"/>
        <v>8404</v>
      </c>
      <c r="W66" s="5">
        <f t="shared" si="1"/>
        <v>41379</v>
      </c>
    </row>
    <row r="67" spans="1:23">
      <c r="A67" s="4" t="s">
        <v>138</v>
      </c>
      <c r="B67" s="4" t="s">
        <v>145</v>
      </c>
      <c r="C67" s="4" t="s">
        <v>25</v>
      </c>
      <c r="D67" s="4" t="s">
        <v>26</v>
      </c>
      <c r="E67" s="5">
        <v>28750</v>
      </c>
      <c r="F67" s="6" t="s">
        <v>146</v>
      </c>
      <c r="G67" s="6"/>
      <c r="H67" s="7"/>
      <c r="I67" s="5">
        <v>1900</v>
      </c>
      <c r="J67" s="5"/>
      <c r="K67" s="5"/>
      <c r="L67" s="5"/>
      <c r="M67" s="5">
        <f t="shared" si="2"/>
        <v>784.8</v>
      </c>
      <c r="O67" s="5">
        <f ca="1">IFERROR(MAX(Table1[[#This Row],[Annual Fuel Cost (Regular Gas)]]:Table1[[#This Row],[Annual Fuel Cost (Premium Gas)]], Table1[[#This Row],[Annual Electricity Cost ($)]]) * 5, 0)</f>
        <v>9500</v>
      </c>
      <c r="P67" s="5">
        <v>3924</v>
      </c>
      <c r="Q67" s="5"/>
      <c r="R67" s="5">
        <v>15659</v>
      </c>
      <c r="S67" s="5">
        <v>4209</v>
      </c>
      <c r="T67" s="5"/>
      <c r="U67" s="5">
        <f t="shared" si="3"/>
        <v>54442</v>
      </c>
      <c r="V67" s="5">
        <f t="shared" si="0"/>
        <v>10033</v>
      </c>
      <c r="W67" s="5">
        <f t="shared" si="1"/>
        <v>38783</v>
      </c>
    </row>
    <row r="68" spans="1:23">
      <c r="A68" s="4" t="s">
        <v>138</v>
      </c>
      <c r="B68" s="4" t="s">
        <v>147</v>
      </c>
      <c r="C68" s="4" t="s">
        <v>25</v>
      </c>
      <c r="D68" s="4" t="s">
        <v>26</v>
      </c>
      <c r="E68" s="5">
        <v>28705</v>
      </c>
      <c r="F68" s="6" t="s">
        <v>105</v>
      </c>
      <c r="G68" s="6"/>
      <c r="H68" s="7"/>
      <c r="I68" s="5">
        <v>1700</v>
      </c>
      <c r="J68" s="5"/>
      <c r="K68" s="5"/>
      <c r="L68" s="5"/>
      <c r="M68" s="5">
        <f t="shared" si="2"/>
        <v>690.4</v>
      </c>
      <c r="O68" s="5">
        <f ca="1">IFERROR(MAX(Table1[[#This Row],[Annual Fuel Cost (Regular Gas)]]:Table1[[#This Row],[Annual Fuel Cost (Premium Gas)]], Table1[[#This Row],[Annual Electricity Cost ($)]]) * 5, 0)</f>
        <v>8500</v>
      </c>
      <c r="P68" s="5">
        <v>3452</v>
      </c>
      <c r="Q68" s="5"/>
      <c r="R68" s="5">
        <v>16265</v>
      </c>
      <c r="S68" s="5">
        <v>3985</v>
      </c>
      <c r="T68" s="5"/>
      <c r="U68" s="5">
        <f t="shared" si="3"/>
        <v>54107</v>
      </c>
      <c r="V68" s="5">
        <f t="shared" si="0"/>
        <v>9137</v>
      </c>
      <c r="W68" s="5">
        <f t="shared" si="1"/>
        <v>37842</v>
      </c>
    </row>
    <row r="69" spans="1:23">
      <c r="A69" s="4" t="s">
        <v>138</v>
      </c>
      <c r="B69" s="4" t="s">
        <v>148</v>
      </c>
      <c r="C69" s="4" t="s">
        <v>25</v>
      </c>
      <c r="D69" s="4" t="s">
        <v>32</v>
      </c>
      <c r="E69" s="5">
        <v>33465</v>
      </c>
      <c r="F69" s="6" t="s">
        <v>149</v>
      </c>
      <c r="G69" s="6"/>
      <c r="H69" s="7"/>
      <c r="I69" s="5">
        <v>1250</v>
      </c>
      <c r="J69" s="5"/>
      <c r="K69" s="5"/>
      <c r="L69" s="5"/>
      <c r="M69" s="5">
        <f t="shared" si="2"/>
        <v>864.2</v>
      </c>
      <c r="O69" s="5">
        <f ca="1">IFERROR(MAX(Table1[[#This Row],[Annual Fuel Cost (Regular Gas)]]:Table1[[#This Row],[Annual Fuel Cost (Premium Gas)]], Table1[[#This Row],[Annual Electricity Cost ($)]]) * 5, 0)</f>
        <v>6250</v>
      </c>
      <c r="P69" s="5">
        <v>4321</v>
      </c>
      <c r="Q69" s="5"/>
      <c r="R69" s="5">
        <v>21922</v>
      </c>
      <c r="S69" s="5">
        <v>4258</v>
      </c>
      <c r="T69" s="5"/>
      <c r="U69" s="5">
        <f t="shared" si="3"/>
        <v>65216</v>
      </c>
      <c r="V69" s="5">
        <f t="shared" si="0"/>
        <v>9829</v>
      </c>
      <c r="W69" s="5">
        <f t="shared" si="1"/>
        <v>43294</v>
      </c>
    </row>
    <row r="70" spans="1:23">
      <c r="A70" s="4" t="s">
        <v>138</v>
      </c>
      <c r="B70" s="4" t="s">
        <v>150</v>
      </c>
      <c r="C70" s="4" t="s">
        <v>25</v>
      </c>
      <c r="D70" s="4" t="s">
        <v>76</v>
      </c>
      <c r="E70" s="5">
        <v>39730</v>
      </c>
      <c r="F70" s="6" t="s">
        <v>113</v>
      </c>
      <c r="G70" s="6"/>
      <c r="H70" s="7"/>
      <c r="I70" s="5">
        <v>1100</v>
      </c>
      <c r="J70" s="5"/>
      <c r="K70" s="5"/>
      <c r="L70" s="5"/>
      <c r="M70" s="5">
        <f t="shared" si="2"/>
        <v>700</v>
      </c>
      <c r="O70" s="5">
        <f ca="1">IFERROR(MAX(Table1[[#This Row],[Annual Fuel Cost (Regular Gas)]]:Table1[[#This Row],[Annual Fuel Cost (Premium Gas)]], Table1[[#This Row],[Annual Electricity Cost ($)]]) * 5, 0)</f>
        <v>5500</v>
      </c>
      <c r="P70" s="5">
        <v>3500</v>
      </c>
      <c r="Q70" s="5"/>
      <c r="R70" s="5">
        <f>E70*0.44</f>
        <v>17481.2</v>
      </c>
      <c r="S70" s="5"/>
      <c r="T70" s="5"/>
      <c r="U70" s="5">
        <f t="shared" si="3"/>
        <v>66811.199999999997</v>
      </c>
      <c r="V70" s="5">
        <f t="shared" si="0"/>
        <v>9600</v>
      </c>
      <c r="W70" s="5">
        <f t="shared" si="1"/>
        <v>49330</v>
      </c>
    </row>
    <row r="71" spans="1:23">
      <c r="A71" s="4" t="s">
        <v>138</v>
      </c>
      <c r="B71" s="4" t="s">
        <v>151</v>
      </c>
      <c r="C71" s="4" t="s">
        <v>25</v>
      </c>
      <c r="D71" s="4" t="s">
        <v>26</v>
      </c>
      <c r="E71" s="5">
        <v>34300</v>
      </c>
      <c r="F71" s="6" t="s">
        <v>152</v>
      </c>
      <c r="G71" s="6"/>
      <c r="H71" s="7"/>
      <c r="I71" s="5">
        <v>1800</v>
      </c>
      <c r="J71" s="5"/>
      <c r="K71" s="5"/>
      <c r="L71" s="5"/>
      <c r="M71" s="5">
        <f t="shared" si="2"/>
        <v>1034.4000000000001</v>
      </c>
      <c r="O71" s="5">
        <f ca="1">IFERROR(MAX(Table1[[#This Row],[Annual Fuel Cost (Regular Gas)]]:Table1[[#This Row],[Annual Fuel Cost (Premium Gas)]], Table1[[#This Row],[Annual Electricity Cost ($)]]) * 5, 0)</f>
        <v>9000</v>
      </c>
      <c r="P71" s="5">
        <v>5172</v>
      </c>
      <c r="Q71" s="5"/>
      <c r="R71" s="5">
        <v>23523</v>
      </c>
      <c r="S71" s="5">
        <v>4425</v>
      </c>
      <c r="T71" s="5"/>
      <c r="U71" s="5">
        <f t="shared" si="3"/>
        <v>69220</v>
      </c>
      <c r="V71" s="5">
        <f t="shared" si="0"/>
        <v>11397</v>
      </c>
      <c r="W71" s="5">
        <f t="shared" si="1"/>
        <v>45697</v>
      </c>
    </row>
    <row r="72" spans="1:23">
      <c r="A72" s="4" t="s">
        <v>138</v>
      </c>
      <c r="B72" s="4" t="s">
        <v>153</v>
      </c>
      <c r="C72" s="4" t="s">
        <v>25</v>
      </c>
      <c r="D72" s="4" t="s">
        <v>32</v>
      </c>
      <c r="E72" s="5">
        <v>37800</v>
      </c>
      <c r="F72" s="6" t="s">
        <v>154</v>
      </c>
      <c r="G72" s="6"/>
      <c r="H72" s="7"/>
      <c r="I72" s="5">
        <v>1300</v>
      </c>
      <c r="J72" s="5"/>
      <c r="K72" s="5"/>
      <c r="L72" s="5"/>
      <c r="M72" s="5">
        <f t="shared" si="2"/>
        <v>800</v>
      </c>
      <c r="O72" s="5">
        <f ca="1">IFERROR(MAX(Table1[[#This Row],[Annual Fuel Cost (Regular Gas)]]:Table1[[#This Row],[Annual Fuel Cost (Premium Gas)]], Table1[[#This Row],[Annual Electricity Cost ($)]]) * 5, 0)</f>
        <v>6500</v>
      </c>
      <c r="P72" s="5">
        <v>4000</v>
      </c>
      <c r="Q72" s="5"/>
      <c r="R72" s="5">
        <v>22040</v>
      </c>
      <c r="S72" s="5"/>
      <c r="T72" s="5"/>
      <c r="U72" s="5">
        <f t="shared" si="3"/>
        <v>70140</v>
      </c>
      <c r="V72" s="5">
        <f t="shared" si="0"/>
        <v>10300</v>
      </c>
      <c r="W72" s="5">
        <f t="shared" si="1"/>
        <v>48100</v>
      </c>
    </row>
    <row r="73" spans="1:23">
      <c r="A73" s="4" t="s">
        <v>138</v>
      </c>
      <c r="B73" s="4" t="s">
        <v>155</v>
      </c>
      <c r="C73" s="4" t="s">
        <v>25</v>
      </c>
      <c r="D73" s="4" t="s">
        <v>26</v>
      </c>
      <c r="E73" s="5">
        <v>37200</v>
      </c>
      <c r="F73" s="6" t="s">
        <v>156</v>
      </c>
      <c r="G73" s="6"/>
      <c r="H73" s="7"/>
      <c r="I73" s="5">
        <v>2150</v>
      </c>
      <c r="J73" s="5"/>
      <c r="K73" s="5"/>
      <c r="L73" s="5"/>
      <c r="M73" s="5">
        <f t="shared" si="2"/>
        <v>796.4</v>
      </c>
      <c r="O73" s="5">
        <f ca="1">IFERROR(MAX(Table1[[#This Row],[Annual Fuel Cost (Regular Gas)]]:Table1[[#This Row],[Annual Fuel Cost (Premium Gas)]], Table1[[#This Row],[Annual Electricity Cost ($)]]) * 5, 0)</f>
        <v>10750</v>
      </c>
      <c r="P73" s="5">
        <v>3982</v>
      </c>
      <c r="Q73" s="5"/>
      <c r="R73" s="5">
        <v>20150</v>
      </c>
      <c r="S73" s="5">
        <v>4627</v>
      </c>
      <c r="T73" s="5"/>
      <c r="U73" s="5">
        <f t="shared" si="3"/>
        <v>68109</v>
      </c>
      <c r="V73" s="5">
        <f t="shared" si="0"/>
        <v>10759</v>
      </c>
      <c r="W73" s="5">
        <f t="shared" si="1"/>
        <v>47959</v>
      </c>
    </row>
    <row r="74" spans="1:23">
      <c r="A74" s="4" t="s">
        <v>138</v>
      </c>
      <c r="B74" s="4" t="s">
        <v>157</v>
      </c>
      <c r="C74" s="4" t="s">
        <v>25</v>
      </c>
      <c r="D74" s="4" t="s">
        <v>39</v>
      </c>
      <c r="E74" s="5">
        <v>42600</v>
      </c>
      <c r="F74" s="6"/>
      <c r="G74" s="6"/>
      <c r="H74" s="7">
        <v>318</v>
      </c>
      <c r="I74" s="5"/>
      <c r="J74" s="5"/>
      <c r="K74" s="5">
        <v>650</v>
      </c>
      <c r="L74" s="5"/>
      <c r="M74" s="5">
        <f t="shared" si="2"/>
        <v>919.2</v>
      </c>
      <c r="N74" s="4" t="s">
        <v>144</v>
      </c>
      <c r="O74" s="5">
        <f ca="1">IFERROR(MAX(Table1[[#This Row],[Annual Fuel Cost (Regular Gas)]]:Table1[[#This Row],[Annual Fuel Cost (Premium Gas)]], Table1[[#This Row],[Annual Electricity Cost ($)]]) * 5, 0)</f>
        <v>3250</v>
      </c>
      <c r="P74" s="5">
        <v>4596</v>
      </c>
      <c r="Q74" s="5"/>
      <c r="R74" s="5">
        <v>25506</v>
      </c>
      <c r="S74" s="5">
        <v>3985</v>
      </c>
      <c r="T74" s="5">
        <v>7500</v>
      </c>
      <c r="U74" s="5">
        <f t="shared" si="3"/>
        <v>69837</v>
      </c>
      <c r="V74" s="5">
        <f t="shared" si="0"/>
        <v>1731</v>
      </c>
      <c r="W74" s="5">
        <f t="shared" si="1"/>
        <v>44331</v>
      </c>
    </row>
    <row r="75" spans="1:23">
      <c r="A75" s="4" t="s">
        <v>138</v>
      </c>
      <c r="B75" s="4" t="s">
        <v>158</v>
      </c>
      <c r="C75" s="4" t="s">
        <v>25</v>
      </c>
      <c r="D75" s="4" t="s">
        <v>39</v>
      </c>
      <c r="E75" s="5">
        <v>66200</v>
      </c>
      <c r="F75" s="6"/>
      <c r="G75" s="6"/>
      <c r="H75" s="7">
        <v>221</v>
      </c>
      <c r="I75" s="5"/>
      <c r="J75" s="5"/>
      <c r="K75" s="5">
        <v>950</v>
      </c>
      <c r="L75" s="5"/>
      <c r="M75" s="5">
        <f t="shared" si="2"/>
        <v>1378</v>
      </c>
      <c r="N75" s="4" t="s">
        <v>159</v>
      </c>
      <c r="O75" s="5">
        <f ca="1">IFERROR(MAX(Table1[[#This Row],[Annual Fuel Cost (Regular Gas)]]:Table1[[#This Row],[Annual Fuel Cost (Premium Gas)]], Table1[[#This Row],[Annual Electricity Cost ($)]]) * 5, 0)</f>
        <v>4750</v>
      </c>
      <c r="P75" s="5">
        <v>6890</v>
      </c>
      <c r="Q75" s="5"/>
      <c r="R75" s="5">
        <v>36458</v>
      </c>
      <c r="S75" s="5">
        <v>4130</v>
      </c>
      <c r="T75" s="5">
        <v>7500</v>
      </c>
      <c r="U75" s="5">
        <f t="shared" si="3"/>
        <v>107128</v>
      </c>
      <c r="V75" s="5">
        <f t="shared" si="0"/>
        <v>4470</v>
      </c>
      <c r="W75" s="5">
        <f t="shared" si="1"/>
        <v>70670</v>
      </c>
    </row>
    <row r="76" spans="1:23">
      <c r="A76" s="4" t="s">
        <v>138</v>
      </c>
      <c r="B76" s="4" t="s">
        <v>160</v>
      </c>
      <c r="C76" s="4" t="s">
        <v>25</v>
      </c>
      <c r="D76" s="4" t="s">
        <v>42</v>
      </c>
      <c r="E76" s="5">
        <v>60135</v>
      </c>
      <c r="F76" s="6"/>
      <c r="G76" s="6"/>
      <c r="H76" s="7">
        <v>380</v>
      </c>
      <c r="I76" s="5"/>
      <c r="J76" s="5"/>
      <c r="K76" s="5"/>
      <c r="L76" s="5" t="s">
        <v>161</v>
      </c>
      <c r="M76" s="5">
        <f t="shared" si="2"/>
        <v>0</v>
      </c>
      <c r="O76" s="5">
        <f ca="1">IFERROR(MAX(Table1[[#This Row],[Annual Fuel Cost (Regular Gas)]]:Table1[[#This Row],[Annual Fuel Cost (Premium Gas)]], Table1[[#This Row],[Annual Electricity Cost ($)]]) * 5, 0)</f>
        <v>0</v>
      </c>
      <c r="P76" s="5">
        <v>0</v>
      </c>
      <c r="Q76" s="5" t="s">
        <v>85</v>
      </c>
      <c r="R76" s="5">
        <f>E76*0.37</f>
        <v>22249.95</v>
      </c>
      <c r="S76" s="5"/>
      <c r="T76" s="5">
        <v>7500</v>
      </c>
      <c r="U76" s="5" t="str">
        <f t="shared" ref="U76:U95" si="4">IFERROR(IF(D76="Fuel Cell EV", "", E76 + MAX(I76, J76) + K76 + P76 + IF(S76=0, $AA$12, S76) + R76 - T76), 0)</f>
        <v/>
      </c>
      <c r="V76" s="5" t="str">
        <f t="shared" ref="V76:V95" si="5">IFERROR(IF(D76="Fuel Cell EV", "", MAX(I76, J76) + K76 + P76 + IF(S76=0, $AA$12, S76) - T76), 0)</f>
        <v/>
      </c>
      <c r="W76" s="5" t="str">
        <f t="shared" ref="W76:W95" si="6">IFERROR(IF(D76="Fuel Cell EV", "", E76 + MAX(I76, J76) + K76 + P76 + IF(S76=0, $AA$12, S76) - T76), 0)</f>
        <v/>
      </c>
    </row>
    <row r="77" spans="1:23">
      <c r="A77" s="4" t="s">
        <v>138</v>
      </c>
      <c r="B77" s="4" t="s">
        <v>162</v>
      </c>
      <c r="C77" s="4" t="s">
        <v>47</v>
      </c>
      <c r="D77" s="4" t="s">
        <v>26</v>
      </c>
      <c r="E77" s="5">
        <v>22125</v>
      </c>
      <c r="F77" s="6" t="s">
        <v>48</v>
      </c>
      <c r="G77" s="6"/>
      <c r="H77" s="7"/>
      <c r="I77" s="5">
        <v>1300</v>
      </c>
      <c r="J77" s="5"/>
      <c r="K77" s="5"/>
      <c r="L77" s="5"/>
      <c r="M77" s="5">
        <f t="shared" ref="M77:M95" si="7">P77/5</f>
        <v>496.4</v>
      </c>
      <c r="O77" s="5">
        <f ca="1">IFERROR(MAX(Table1[[#This Row],[Annual Fuel Cost (Regular Gas)]]:Table1[[#This Row],[Annual Fuel Cost (Premium Gas)]], Table1[[#This Row],[Annual Electricity Cost ($)]]) * 5, 0)</f>
        <v>6500</v>
      </c>
      <c r="P77" s="5">
        <v>2482</v>
      </c>
      <c r="Q77" s="5"/>
      <c r="R77" s="5">
        <v>12162</v>
      </c>
      <c r="S77" s="5">
        <v>4735</v>
      </c>
      <c r="T77" s="5"/>
      <c r="U77" s="5">
        <f t="shared" si="4"/>
        <v>42804</v>
      </c>
      <c r="V77" s="5">
        <f t="shared" si="5"/>
        <v>8517</v>
      </c>
      <c r="W77" s="5">
        <f t="shared" si="6"/>
        <v>30642</v>
      </c>
    </row>
    <row r="78" spans="1:23">
      <c r="A78" s="4" t="s">
        <v>138</v>
      </c>
      <c r="B78" s="4" t="s">
        <v>163</v>
      </c>
      <c r="C78" s="4" t="s">
        <v>47</v>
      </c>
      <c r="D78" s="4" t="s">
        <v>32</v>
      </c>
      <c r="E78" s="5">
        <v>25450</v>
      </c>
      <c r="F78" s="6" t="s">
        <v>164</v>
      </c>
      <c r="G78" s="6"/>
      <c r="H78" s="7"/>
      <c r="I78" s="5">
        <v>900</v>
      </c>
      <c r="J78" s="5"/>
      <c r="K78" s="5"/>
      <c r="L78" s="5"/>
      <c r="M78" s="5">
        <f t="shared" si="7"/>
        <v>754</v>
      </c>
      <c r="O78" s="5">
        <f ca="1">IFERROR(MAX(Table1[[#This Row],[Annual Fuel Cost (Regular Gas)]]:Table1[[#This Row],[Annual Fuel Cost (Premium Gas)]], Table1[[#This Row],[Annual Electricity Cost ($)]]) * 5, 0)</f>
        <v>4500</v>
      </c>
      <c r="P78" s="5">
        <v>3770</v>
      </c>
      <c r="Q78" s="5"/>
      <c r="R78" s="5">
        <v>16550</v>
      </c>
      <c r="S78" s="5">
        <v>4735</v>
      </c>
      <c r="T78" s="5"/>
      <c r="U78" s="5">
        <f t="shared" si="4"/>
        <v>51405</v>
      </c>
      <c r="V78" s="5">
        <f t="shared" si="5"/>
        <v>9405</v>
      </c>
      <c r="W78" s="5">
        <f t="shared" si="6"/>
        <v>34855</v>
      </c>
    </row>
    <row r="79" spans="1:23">
      <c r="A79" s="4" t="s">
        <v>138</v>
      </c>
      <c r="B79" s="4" t="s">
        <v>165</v>
      </c>
      <c r="C79" s="4" t="s">
        <v>47</v>
      </c>
      <c r="D79" s="4" t="s">
        <v>26</v>
      </c>
      <c r="E79" s="5">
        <v>34350</v>
      </c>
      <c r="F79" s="6" t="s">
        <v>166</v>
      </c>
      <c r="G79" s="6"/>
      <c r="H79" s="7"/>
      <c r="I79" s="5">
        <v>2450</v>
      </c>
      <c r="J79" s="5"/>
      <c r="K79" s="5"/>
      <c r="L79" s="5"/>
      <c r="M79" s="5">
        <f t="shared" si="7"/>
        <v>782.2</v>
      </c>
      <c r="O79" s="5">
        <f ca="1">IFERROR(MAX(Table1[[#This Row],[Annual Fuel Cost (Regular Gas)]]:Table1[[#This Row],[Annual Fuel Cost (Premium Gas)]], Table1[[#This Row],[Annual Electricity Cost ($)]]) * 5, 0)</f>
        <v>12250</v>
      </c>
      <c r="P79" s="5">
        <v>3911</v>
      </c>
      <c r="Q79" s="5"/>
      <c r="R79" s="5">
        <v>16785</v>
      </c>
      <c r="S79" s="5">
        <v>4735</v>
      </c>
      <c r="T79" s="5"/>
      <c r="U79" s="5">
        <f t="shared" si="4"/>
        <v>62231</v>
      </c>
      <c r="V79" s="5">
        <f t="shared" si="5"/>
        <v>11096</v>
      </c>
      <c r="W79" s="5">
        <f t="shared" si="6"/>
        <v>45446</v>
      </c>
    </row>
    <row r="80" spans="1:23">
      <c r="A80" s="4" t="s">
        <v>138</v>
      </c>
      <c r="B80" s="4" t="s">
        <v>167</v>
      </c>
      <c r="C80" s="4" t="s">
        <v>47</v>
      </c>
      <c r="D80" s="4" t="s">
        <v>32</v>
      </c>
      <c r="E80" s="5">
        <v>26900</v>
      </c>
      <c r="F80" s="6" t="s">
        <v>168</v>
      </c>
      <c r="G80" s="6"/>
      <c r="H80" s="7"/>
      <c r="I80" s="5">
        <v>900</v>
      </c>
      <c r="J80" s="5"/>
      <c r="K80" s="5"/>
      <c r="L80" s="5"/>
      <c r="M80" s="5">
        <f t="shared" si="7"/>
        <v>665</v>
      </c>
      <c r="O80" s="5">
        <f ca="1">IFERROR(MAX(Table1[[#This Row],[Annual Fuel Cost (Regular Gas)]]:Table1[[#This Row],[Annual Fuel Cost (Premium Gas)]], Table1[[#This Row],[Annual Electricity Cost ($)]]) * 5, 0)</f>
        <v>4500</v>
      </c>
      <c r="P80" s="5">
        <v>3325</v>
      </c>
      <c r="Q80" s="5"/>
      <c r="R80" s="5">
        <v>18010</v>
      </c>
      <c r="S80" s="5">
        <v>3325</v>
      </c>
      <c r="T80" s="5"/>
      <c r="U80" s="5">
        <f t="shared" si="4"/>
        <v>52460</v>
      </c>
      <c r="V80" s="5">
        <f t="shared" si="5"/>
        <v>7550</v>
      </c>
      <c r="W80" s="5">
        <f t="shared" si="6"/>
        <v>34450</v>
      </c>
    </row>
    <row r="81" spans="1:23">
      <c r="A81" s="4" t="s">
        <v>138</v>
      </c>
      <c r="B81" s="4" t="s">
        <v>169</v>
      </c>
      <c r="C81" s="4" t="s">
        <v>47</v>
      </c>
      <c r="D81" s="4" t="s">
        <v>39</v>
      </c>
      <c r="E81" s="5">
        <v>37850</v>
      </c>
      <c r="F81" s="6"/>
      <c r="G81" s="6"/>
      <c r="H81" s="7">
        <v>342</v>
      </c>
      <c r="I81" s="5"/>
      <c r="J81" s="5"/>
      <c r="K81" s="5">
        <v>550</v>
      </c>
      <c r="L81" s="5"/>
      <c r="M81" s="5">
        <f t="shared" si="7"/>
        <v>1044.2</v>
      </c>
      <c r="N81" s="4" t="s">
        <v>144</v>
      </c>
      <c r="O81" s="5">
        <f ca="1">IFERROR(MAX(Table1[[#This Row],[Annual Fuel Cost (Regular Gas)]]:Table1[[#This Row],[Annual Fuel Cost (Premium Gas)]], Table1[[#This Row],[Annual Electricity Cost ($)]]) * 5, 0)</f>
        <v>2750</v>
      </c>
      <c r="P81" s="5">
        <v>5221</v>
      </c>
      <c r="Q81" s="5"/>
      <c r="R81" s="5">
        <v>23919</v>
      </c>
      <c r="S81" s="5">
        <v>4735</v>
      </c>
      <c r="T81" s="5"/>
      <c r="U81" s="5">
        <f t="shared" si="4"/>
        <v>72275</v>
      </c>
      <c r="V81" s="5">
        <f t="shared" si="5"/>
        <v>10506</v>
      </c>
      <c r="W81" s="5">
        <f t="shared" si="6"/>
        <v>48356</v>
      </c>
    </row>
    <row r="82" spans="1:23">
      <c r="A82" s="4" t="s">
        <v>170</v>
      </c>
      <c r="B82" s="4" t="s">
        <v>171</v>
      </c>
      <c r="C82" s="4" t="s">
        <v>47</v>
      </c>
      <c r="D82" s="4" t="s">
        <v>26</v>
      </c>
      <c r="E82" s="5">
        <v>31920</v>
      </c>
      <c r="F82" s="6" t="s">
        <v>172</v>
      </c>
      <c r="G82" s="6"/>
      <c r="H82" s="7"/>
      <c r="I82" s="5">
        <v>1800</v>
      </c>
      <c r="J82" s="5"/>
      <c r="K82" s="5"/>
      <c r="L82" s="5"/>
      <c r="M82" s="5">
        <f t="shared" si="7"/>
        <v>884.6</v>
      </c>
      <c r="O82" s="5">
        <f ca="1">IFERROR(MAX(Table1[[#This Row],[Annual Fuel Cost (Regular Gas)]]:Table1[[#This Row],[Annual Fuel Cost (Premium Gas)]], Table1[[#This Row],[Annual Electricity Cost ($)]]) * 5, 0)</f>
        <v>9000</v>
      </c>
      <c r="P82" s="5">
        <v>4423</v>
      </c>
      <c r="Q82" s="5"/>
      <c r="R82" s="5">
        <v>37267</v>
      </c>
      <c r="S82" s="5">
        <v>6113</v>
      </c>
      <c r="T82" s="5"/>
      <c r="U82" s="5">
        <f t="shared" si="4"/>
        <v>81523</v>
      </c>
      <c r="V82" s="5">
        <f t="shared" si="5"/>
        <v>12336</v>
      </c>
      <c r="W82" s="5">
        <f t="shared" si="6"/>
        <v>44256</v>
      </c>
    </row>
    <row r="83" spans="1:23">
      <c r="A83" s="4" t="s">
        <v>170</v>
      </c>
      <c r="B83" s="4" t="s">
        <v>173</v>
      </c>
      <c r="C83" s="4" t="s">
        <v>25</v>
      </c>
      <c r="D83" s="4" t="s">
        <v>32</v>
      </c>
      <c r="E83" s="5">
        <v>32830</v>
      </c>
      <c r="F83" s="6" t="s">
        <v>174</v>
      </c>
      <c r="G83" s="6"/>
      <c r="H83" s="7"/>
      <c r="I83" s="5">
        <v>1200</v>
      </c>
      <c r="J83" s="5"/>
      <c r="K83" s="5"/>
      <c r="L83" s="5"/>
      <c r="M83" s="5">
        <f t="shared" si="7"/>
        <v>972.4</v>
      </c>
      <c r="O83" s="5">
        <f ca="1">IFERROR(MAX(Table1[[#This Row],[Annual Fuel Cost (Regular Gas)]]:Table1[[#This Row],[Annual Fuel Cost (Premium Gas)]], Table1[[#This Row],[Annual Electricity Cost ($)]]) * 5, 0)</f>
        <v>6000</v>
      </c>
      <c r="P83" s="5">
        <v>4862</v>
      </c>
      <c r="Q83" s="5"/>
      <c r="R83" s="5">
        <v>19701</v>
      </c>
      <c r="S83" s="5">
        <v>4305</v>
      </c>
      <c r="T83" s="5"/>
      <c r="U83" s="5">
        <f t="shared" si="4"/>
        <v>62898</v>
      </c>
      <c r="V83" s="5">
        <f t="shared" si="5"/>
        <v>10367</v>
      </c>
      <c r="W83" s="5">
        <f t="shared" si="6"/>
        <v>43197</v>
      </c>
    </row>
    <row r="84" spans="1:23">
      <c r="A84" s="4" t="s">
        <v>170</v>
      </c>
      <c r="B84" s="4" t="s">
        <v>175</v>
      </c>
      <c r="C84" s="4" t="s">
        <v>25</v>
      </c>
      <c r="D84" s="4" t="s">
        <v>26</v>
      </c>
      <c r="E84" s="5">
        <v>29795</v>
      </c>
      <c r="F84" s="6" t="s">
        <v>176</v>
      </c>
      <c r="G84" s="6"/>
      <c r="H84" s="7"/>
      <c r="I84" s="5">
        <v>1800</v>
      </c>
      <c r="J84" s="5"/>
      <c r="K84" s="5"/>
      <c r="L84" s="5"/>
      <c r="M84" s="5">
        <f t="shared" si="7"/>
        <v>721.6</v>
      </c>
      <c r="O84" s="5">
        <f ca="1">IFERROR(MAX(Table1[[#This Row],[Annual Fuel Cost (Regular Gas)]]:Table1[[#This Row],[Annual Fuel Cost (Premium Gas)]], Table1[[#This Row],[Annual Electricity Cost ($)]]) * 5, 0)</f>
        <v>9000</v>
      </c>
      <c r="P84" s="5">
        <v>3608</v>
      </c>
      <c r="Q84" s="5"/>
      <c r="R84" s="5">
        <v>20282</v>
      </c>
      <c r="S84" s="5">
        <v>4504</v>
      </c>
      <c r="T84" s="5"/>
      <c r="U84" s="5">
        <f t="shared" si="4"/>
        <v>59989</v>
      </c>
      <c r="V84" s="5">
        <f t="shared" si="5"/>
        <v>9912</v>
      </c>
      <c r="W84" s="5">
        <f t="shared" si="6"/>
        <v>39707</v>
      </c>
    </row>
    <row r="85" spans="1:23">
      <c r="A85" s="4" t="s">
        <v>170</v>
      </c>
      <c r="B85" s="4" t="s">
        <v>177</v>
      </c>
      <c r="C85" s="4" t="s">
        <v>25</v>
      </c>
      <c r="D85" s="4" t="s">
        <v>26</v>
      </c>
      <c r="E85" s="5">
        <v>39630</v>
      </c>
      <c r="F85" s="6" t="s">
        <v>176</v>
      </c>
      <c r="G85" s="6"/>
      <c r="H85" s="7"/>
      <c r="I85" s="5">
        <v>2350</v>
      </c>
      <c r="J85" s="5"/>
      <c r="K85" s="5"/>
      <c r="L85" s="5"/>
      <c r="M85" s="5">
        <f t="shared" si="7"/>
        <v>800</v>
      </c>
      <c r="O85" s="5">
        <f ca="1">IFERROR(MAX(Table1[[#This Row],[Annual Fuel Cost (Regular Gas)]]:Table1[[#This Row],[Annual Fuel Cost (Premium Gas)]], Table1[[#This Row],[Annual Electricity Cost ($)]]) * 5, 0)</f>
        <v>11750</v>
      </c>
      <c r="P85" s="5">
        <v>4000</v>
      </c>
      <c r="Q85" s="5"/>
      <c r="R85" s="5">
        <f>0.47*E85</f>
        <v>18626.099999999999</v>
      </c>
      <c r="S85" s="5"/>
      <c r="T85" s="5"/>
      <c r="U85" s="5">
        <f t="shared" si="4"/>
        <v>69606.100000000006</v>
      </c>
      <c r="V85" s="5">
        <f t="shared" si="5"/>
        <v>11350</v>
      </c>
      <c r="W85" s="5">
        <f t="shared" si="6"/>
        <v>50980</v>
      </c>
    </row>
    <row r="86" spans="1:23">
      <c r="A86" s="4" t="s">
        <v>170</v>
      </c>
      <c r="B86" s="4" t="s">
        <v>178</v>
      </c>
      <c r="C86" s="4" t="s">
        <v>25</v>
      </c>
      <c r="D86" s="4" t="s">
        <v>26</v>
      </c>
      <c r="E86" s="5">
        <v>39755</v>
      </c>
      <c r="F86" s="6" t="s">
        <v>179</v>
      </c>
      <c r="G86" s="6"/>
      <c r="H86" s="7"/>
      <c r="I86" s="5">
        <v>1950</v>
      </c>
      <c r="J86" s="5"/>
      <c r="K86" s="5"/>
      <c r="L86" s="5"/>
      <c r="M86" s="5">
        <f t="shared" si="7"/>
        <v>902.4</v>
      </c>
      <c r="O86" s="5">
        <f ca="1">IFERROR(MAX(Table1[[#This Row],[Annual Fuel Cost (Regular Gas)]]:Table1[[#This Row],[Annual Fuel Cost (Premium Gas)]], Table1[[#This Row],[Annual Electricity Cost ($)]]) * 5, 0)</f>
        <v>9750</v>
      </c>
      <c r="P86" s="5">
        <v>4512</v>
      </c>
      <c r="Q86" s="5"/>
      <c r="R86" s="5">
        <v>33941</v>
      </c>
      <c r="S86" s="5">
        <v>5465</v>
      </c>
      <c r="T86" s="5"/>
      <c r="U86" s="5">
        <f t="shared" si="4"/>
        <v>85623</v>
      </c>
      <c r="V86" s="5">
        <f t="shared" si="5"/>
        <v>11927</v>
      </c>
      <c r="W86" s="5">
        <f t="shared" si="6"/>
        <v>51682</v>
      </c>
    </row>
    <row r="87" spans="1:23">
      <c r="A87" s="4" t="s">
        <v>170</v>
      </c>
      <c r="B87" s="4" t="s">
        <v>180</v>
      </c>
      <c r="C87" s="4" t="s">
        <v>25</v>
      </c>
      <c r="D87" s="4" t="s">
        <v>26</v>
      </c>
      <c r="E87" s="5">
        <v>38465</v>
      </c>
      <c r="F87" s="6" t="s">
        <v>89</v>
      </c>
      <c r="G87" s="6"/>
      <c r="H87" s="7"/>
      <c r="I87" s="5">
        <v>2050</v>
      </c>
      <c r="J87" s="5"/>
      <c r="K87" s="5"/>
      <c r="L87" s="5"/>
      <c r="M87" s="5">
        <f t="shared" si="7"/>
        <v>933.2</v>
      </c>
      <c r="O87" s="5">
        <f ca="1">IFERROR(MAX(Table1[[#This Row],[Annual Fuel Cost (Regular Gas)]]:Table1[[#This Row],[Annual Fuel Cost (Premium Gas)]], Table1[[#This Row],[Annual Electricity Cost ($)]]) * 5, 0)</f>
        <v>10250</v>
      </c>
      <c r="P87" s="5">
        <v>4666</v>
      </c>
      <c r="Q87" s="5"/>
      <c r="R87" s="5">
        <v>27534</v>
      </c>
      <c r="S87" s="5">
        <v>4976</v>
      </c>
      <c r="T87" s="5"/>
      <c r="U87" s="5">
        <f t="shared" si="4"/>
        <v>77691</v>
      </c>
      <c r="V87" s="5">
        <f t="shared" si="5"/>
        <v>11692</v>
      </c>
      <c r="W87" s="5">
        <f t="shared" si="6"/>
        <v>50157</v>
      </c>
    </row>
    <row r="88" spans="1:23">
      <c r="A88" s="4" t="s">
        <v>170</v>
      </c>
      <c r="B88" s="4" t="s">
        <v>181</v>
      </c>
      <c r="C88" s="4" t="s">
        <v>25</v>
      </c>
      <c r="D88" s="4" t="s">
        <v>39</v>
      </c>
      <c r="E88" s="5">
        <v>39995</v>
      </c>
      <c r="F88" s="6"/>
      <c r="G88" s="6"/>
      <c r="H88" s="7">
        <v>320</v>
      </c>
      <c r="I88" s="5"/>
      <c r="J88" s="5"/>
      <c r="K88" s="5">
        <v>700</v>
      </c>
      <c r="L88" s="5"/>
      <c r="M88" s="5">
        <f t="shared" si="7"/>
        <v>740.6</v>
      </c>
      <c r="N88" s="4" t="s">
        <v>40</v>
      </c>
      <c r="O88" s="5">
        <f ca="1">IFERROR(MAX(Table1[[#This Row],[Annual Fuel Cost (Regular Gas)]]:Table1[[#This Row],[Annual Fuel Cost (Premium Gas)]], Table1[[#This Row],[Annual Electricity Cost ($)]]) * 5, 0)</f>
        <v>3500</v>
      </c>
      <c r="P88" s="5">
        <v>3703</v>
      </c>
      <c r="Q88" s="5"/>
      <c r="R88" s="5">
        <v>33903</v>
      </c>
      <c r="S88" s="5">
        <v>6344</v>
      </c>
      <c r="T88" s="5"/>
      <c r="U88" s="5">
        <f t="shared" si="4"/>
        <v>84645</v>
      </c>
      <c r="V88" s="5">
        <f t="shared" si="5"/>
        <v>10747</v>
      </c>
      <c r="W88" s="5">
        <f t="shared" si="6"/>
        <v>50742</v>
      </c>
    </row>
    <row r="89" spans="1:23">
      <c r="A89" s="4" t="s">
        <v>170</v>
      </c>
      <c r="B89" s="4" t="s">
        <v>182</v>
      </c>
      <c r="C89" s="4" t="s">
        <v>25</v>
      </c>
      <c r="D89" s="4" t="s">
        <v>26</v>
      </c>
      <c r="E89" s="5">
        <v>55630</v>
      </c>
      <c r="F89" s="6" t="s">
        <v>183</v>
      </c>
      <c r="G89" s="6"/>
      <c r="H89" s="7"/>
      <c r="I89" s="5">
        <v>2500</v>
      </c>
      <c r="J89" s="5"/>
      <c r="K89" s="5"/>
      <c r="L89" s="5"/>
      <c r="M89" s="5">
        <f t="shared" si="7"/>
        <v>800</v>
      </c>
      <c r="O89" s="5">
        <f ca="1">IFERROR(MAX(Table1[[#This Row],[Annual Fuel Cost (Regular Gas)]]:Table1[[#This Row],[Annual Fuel Cost (Premium Gas)]], Table1[[#This Row],[Annual Electricity Cost ($)]]) * 5, 0)</f>
        <v>12500</v>
      </c>
      <c r="P89" s="5">
        <v>4000</v>
      </c>
      <c r="Q89" s="5"/>
      <c r="R89" s="5">
        <f>0.45*E89</f>
        <v>25033.5</v>
      </c>
      <c r="S89" s="5"/>
      <c r="T89" s="5"/>
      <c r="U89" s="5">
        <f t="shared" si="4"/>
        <v>92163.5</v>
      </c>
      <c r="V89" s="5">
        <f t="shared" si="5"/>
        <v>11500</v>
      </c>
      <c r="W89" s="5">
        <f t="shared" si="6"/>
        <v>67130</v>
      </c>
    </row>
    <row r="90" spans="1:23">
      <c r="A90" s="4" t="s">
        <v>170</v>
      </c>
      <c r="B90" s="4" t="s">
        <v>184</v>
      </c>
      <c r="C90" s="4" t="s">
        <v>66</v>
      </c>
      <c r="D90" s="4" t="s">
        <v>32</v>
      </c>
      <c r="E90" s="5">
        <v>26420</v>
      </c>
      <c r="F90" s="6" t="s">
        <v>185</v>
      </c>
      <c r="G90" s="6"/>
      <c r="H90" s="7"/>
      <c r="I90" s="5">
        <v>1800</v>
      </c>
      <c r="J90" s="5"/>
      <c r="K90" s="5"/>
      <c r="L90" s="5"/>
      <c r="M90" s="5">
        <f t="shared" si="7"/>
        <v>900</v>
      </c>
      <c r="O90" s="5">
        <f ca="1">IFERROR(MAX(Table1[[#This Row],[Annual Fuel Cost (Regular Gas)]]:Table1[[#This Row],[Annual Fuel Cost (Premium Gas)]], Table1[[#This Row],[Annual Electricity Cost ($)]]) * 5, 0)</f>
        <v>9000</v>
      </c>
      <c r="P90" s="5">
        <v>4500</v>
      </c>
      <c r="Q90" s="5"/>
      <c r="R90" s="5">
        <f>0.45*E90</f>
        <v>11889</v>
      </c>
      <c r="S90" s="5"/>
      <c r="T90" s="5"/>
      <c r="U90" s="5">
        <f t="shared" si="4"/>
        <v>49609</v>
      </c>
      <c r="V90" s="5">
        <f t="shared" si="5"/>
        <v>11300</v>
      </c>
      <c r="W90" s="5">
        <f t="shared" si="6"/>
        <v>37720</v>
      </c>
    </row>
    <row r="91" spans="1:23">
      <c r="A91" s="4" t="s">
        <v>170</v>
      </c>
      <c r="B91" s="4" t="s">
        <v>186</v>
      </c>
      <c r="C91" s="4" t="s">
        <v>66</v>
      </c>
      <c r="D91" s="4" t="s">
        <v>26</v>
      </c>
      <c r="E91" s="5">
        <v>32820</v>
      </c>
      <c r="F91" s="6" t="s">
        <v>187</v>
      </c>
      <c r="G91" s="6"/>
      <c r="H91" s="7"/>
      <c r="I91" s="5">
        <v>2050</v>
      </c>
      <c r="J91" s="5"/>
      <c r="K91" s="5"/>
      <c r="L91" s="5"/>
      <c r="M91" s="5">
        <f t="shared" si="7"/>
        <v>800</v>
      </c>
      <c r="O91" s="5">
        <f ca="1">IFERROR(MAX(Table1[[#This Row],[Annual Fuel Cost (Regular Gas)]]:Table1[[#This Row],[Annual Fuel Cost (Premium Gas)]], Table1[[#This Row],[Annual Electricity Cost ($)]]) * 5, 0)</f>
        <v>10250</v>
      </c>
      <c r="P91" s="5">
        <v>4000</v>
      </c>
      <c r="Q91" s="5"/>
      <c r="R91" s="5">
        <f>0.26*E91</f>
        <v>8533.2000000000007</v>
      </c>
      <c r="S91" s="5"/>
      <c r="T91" s="5"/>
      <c r="U91" s="5">
        <f t="shared" si="4"/>
        <v>52403.199999999997</v>
      </c>
      <c r="V91" s="5">
        <f t="shared" si="5"/>
        <v>11050</v>
      </c>
      <c r="W91" s="5">
        <f t="shared" si="6"/>
        <v>43870</v>
      </c>
    </row>
    <row r="92" spans="1:23">
      <c r="A92" s="4" t="s">
        <v>170</v>
      </c>
      <c r="B92" s="4" t="s">
        <v>188</v>
      </c>
      <c r="C92" s="4" t="s">
        <v>66</v>
      </c>
      <c r="D92" s="4" t="s">
        <v>32</v>
      </c>
      <c r="E92" s="5">
        <v>44100</v>
      </c>
      <c r="F92" s="6" t="s">
        <v>189</v>
      </c>
      <c r="G92" s="6"/>
      <c r="H92" s="7"/>
      <c r="I92" s="5">
        <v>2150</v>
      </c>
      <c r="J92" s="5"/>
      <c r="K92" s="5"/>
      <c r="L92" s="5"/>
      <c r="M92" s="5">
        <f t="shared" si="7"/>
        <v>900</v>
      </c>
      <c r="O92" s="5">
        <f ca="1">IFERROR(MAX(Table1[[#This Row],[Annual Fuel Cost (Regular Gas)]]:Table1[[#This Row],[Annual Fuel Cost (Premium Gas)]], Table1[[#This Row],[Annual Electricity Cost ($)]]) * 5, 0)</f>
        <v>10750</v>
      </c>
      <c r="P92" s="5">
        <v>4500</v>
      </c>
      <c r="Q92" s="5"/>
      <c r="R92" s="5">
        <f>0.45*E92</f>
        <v>19845</v>
      </c>
      <c r="S92" s="5"/>
      <c r="T92" s="5"/>
      <c r="U92" s="5">
        <f t="shared" si="4"/>
        <v>75595</v>
      </c>
      <c r="V92" s="5">
        <f t="shared" si="5"/>
        <v>11650</v>
      </c>
      <c r="W92" s="5">
        <f t="shared" si="6"/>
        <v>55750</v>
      </c>
    </row>
    <row r="93" spans="1:23">
      <c r="A93" s="4" t="s">
        <v>170</v>
      </c>
      <c r="B93" s="4" t="s">
        <v>190</v>
      </c>
      <c r="C93" s="4" t="s">
        <v>63</v>
      </c>
      <c r="D93" s="4" t="s">
        <v>39</v>
      </c>
      <c r="E93" s="5">
        <v>45700</v>
      </c>
      <c r="F93" s="6"/>
      <c r="G93" s="6"/>
      <c r="H93" s="7">
        <v>159</v>
      </c>
      <c r="I93" s="5"/>
      <c r="J93" s="5"/>
      <c r="K93" s="5">
        <v>1750</v>
      </c>
      <c r="L93" s="5"/>
      <c r="M93" s="5">
        <f t="shared" si="7"/>
        <v>740</v>
      </c>
      <c r="N93" s="4" t="s">
        <v>40</v>
      </c>
      <c r="O93" s="5">
        <f ca="1">IFERROR(MAX(Table1[[#This Row],[Annual Fuel Cost (Regular Gas)]]:Table1[[#This Row],[Annual Fuel Cost (Premium Gas)]], Table1[[#This Row],[Annual Electricity Cost ($)]]) * 5, 0)</f>
        <v>8750</v>
      </c>
      <c r="P93" s="5">
        <v>3700</v>
      </c>
      <c r="Q93" s="5"/>
      <c r="R93" s="5">
        <f>0.42*E93</f>
        <v>19194</v>
      </c>
      <c r="S93" s="5"/>
      <c r="T93" s="5">
        <v>3750</v>
      </c>
      <c r="U93" s="5">
        <f t="shared" si="4"/>
        <v>71594</v>
      </c>
      <c r="V93" s="5">
        <f t="shared" si="5"/>
        <v>6700</v>
      </c>
      <c r="W93" s="5">
        <f t="shared" si="6"/>
        <v>52400</v>
      </c>
    </row>
    <row r="94" spans="1:23">
      <c r="A94" s="4" t="s">
        <v>170</v>
      </c>
      <c r="B94" s="4" t="s">
        <v>191</v>
      </c>
      <c r="C94" s="4" t="s">
        <v>66</v>
      </c>
      <c r="D94" s="4" t="s">
        <v>39</v>
      </c>
      <c r="E94" s="5">
        <v>62995</v>
      </c>
      <c r="F94" s="6"/>
      <c r="G94" s="6"/>
      <c r="H94" s="7">
        <v>320</v>
      </c>
      <c r="I94" s="5"/>
      <c r="J94" s="5"/>
      <c r="K94" s="5">
        <v>1100</v>
      </c>
      <c r="L94" s="5"/>
      <c r="M94" s="5">
        <f t="shared" si="7"/>
        <v>801</v>
      </c>
      <c r="N94" s="4" t="s">
        <v>40</v>
      </c>
      <c r="O94" s="5">
        <f ca="1">IFERROR(MAX(Table1[[#This Row],[Annual Fuel Cost (Regular Gas)]]:Table1[[#This Row],[Annual Fuel Cost (Premium Gas)]], Table1[[#This Row],[Annual Electricity Cost ($)]]) * 5, 0)</f>
        <v>5500</v>
      </c>
      <c r="P94" s="5">
        <v>4005</v>
      </c>
      <c r="Q94" s="5"/>
      <c r="R94" s="5">
        <v>56364</v>
      </c>
      <c r="S94" s="5">
        <v>4789</v>
      </c>
      <c r="T94" s="5">
        <v>7500</v>
      </c>
      <c r="U94" s="5">
        <f t="shared" si="4"/>
        <v>121753</v>
      </c>
      <c r="V94" s="5">
        <f t="shared" si="5"/>
        <v>2394</v>
      </c>
      <c r="W94" s="5">
        <f t="shared" si="6"/>
        <v>65389</v>
      </c>
    </row>
    <row r="95" spans="1:23">
      <c r="A95" s="4" t="s">
        <v>170</v>
      </c>
      <c r="B95" s="4" t="s">
        <v>192</v>
      </c>
      <c r="C95" s="4" t="s">
        <v>63</v>
      </c>
      <c r="D95" s="4" t="s">
        <v>26</v>
      </c>
      <c r="E95" s="5">
        <v>54365</v>
      </c>
      <c r="F95" s="6" t="s">
        <v>193</v>
      </c>
      <c r="G95" s="6"/>
      <c r="H95" s="7"/>
      <c r="I95" s="5">
        <v>1800</v>
      </c>
      <c r="J95" s="5"/>
      <c r="K95" s="5"/>
      <c r="L95" s="5"/>
      <c r="M95" s="5">
        <f t="shared" si="7"/>
        <v>752</v>
      </c>
      <c r="O95" s="5">
        <f ca="1">IFERROR(MAX(Table1[[#This Row],[Annual Fuel Cost (Regular Gas)]]:Table1[[#This Row],[Annual Fuel Cost (Premium Gas)]], Table1[[#This Row],[Annual Electricity Cost ($)]]) * 5, 0)</f>
        <v>9000</v>
      </c>
      <c r="P95" s="5">
        <v>3760</v>
      </c>
      <c r="Q95" s="5"/>
      <c r="R95" s="5">
        <f>0.42*E95</f>
        <v>22833.3</v>
      </c>
      <c r="S95" s="5"/>
      <c r="T95" s="5"/>
      <c r="U95" s="5">
        <f t="shared" si="4"/>
        <v>87758.3</v>
      </c>
      <c r="V95" s="5">
        <f t="shared" si="5"/>
        <v>10560</v>
      </c>
      <c r="W95" s="5">
        <f t="shared" si="6"/>
        <v>64925</v>
      </c>
    </row>
  </sheetData>
  <conditionalFormatting sqref="D24">
    <cfRule type="expression" dxfId="49" priority="3">
      <formula>SEARCH("Hybrid", $D12)</formula>
    </cfRule>
  </conditionalFormatting>
  <conditionalFormatting sqref="A12:W95">
    <cfRule type="expression" dxfId="48" priority="1">
      <formula>ISNUMBER(SEARCH("Battery EV", $D12))</formula>
    </cfRule>
    <cfRule type="expression" dxfId="47" priority="2">
      <formula>ISNUMBER(SEARCH("Hybrid EV", $D12))</formula>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E8D99A-F7C0-41A0-BBF8-900F9113F4F3}">
  <dimension ref="A1"/>
  <sheetViews>
    <sheetView topLeftCell="A88" workbookViewId="0">
      <selection activeCell="F98" sqref="F98"/>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E05147-0560-41D0-9273-2C82D69911F9}">
  <dimension ref="A1:H82"/>
  <sheetViews>
    <sheetView workbookViewId="0">
      <selection activeCell="K23" sqref="K23"/>
    </sheetView>
  </sheetViews>
  <sheetFormatPr defaultRowHeight="15"/>
  <cols>
    <col min="1" max="1" width="8.42578125" bestFit="1" customWidth="1"/>
    <col min="2" max="2" width="32.7109375" bestFit="1" customWidth="1"/>
    <col min="3" max="3" width="12" bestFit="1" customWidth="1"/>
    <col min="4" max="4" width="15.42578125" bestFit="1" customWidth="1"/>
    <col min="5" max="5" width="11.42578125" bestFit="1" customWidth="1"/>
    <col min="6" max="6" width="27" bestFit="1" customWidth="1"/>
    <col min="7" max="7" width="25.7109375" bestFit="1" customWidth="1"/>
    <col min="8" max="8" width="20" bestFit="1" customWidth="1"/>
  </cols>
  <sheetData>
    <row r="1" spans="1:8">
      <c r="A1" s="16" t="s">
        <v>0</v>
      </c>
      <c r="B1" s="16" t="s">
        <v>1</v>
      </c>
      <c r="C1" s="16" t="s">
        <v>194</v>
      </c>
      <c r="D1" s="16" t="s">
        <v>195</v>
      </c>
      <c r="E1" s="16" t="s">
        <v>196</v>
      </c>
      <c r="F1" s="16" t="s">
        <v>197</v>
      </c>
      <c r="G1" s="16" t="s">
        <v>198</v>
      </c>
      <c r="H1" s="16" t="s">
        <v>199</v>
      </c>
    </row>
    <row r="2" spans="1:8">
      <c r="A2" t="s">
        <v>23</v>
      </c>
      <c r="B2" t="s">
        <v>24</v>
      </c>
      <c r="C2" t="s">
        <v>25</v>
      </c>
      <c r="D2" t="s">
        <v>26</v>
      </c>
      <c r="E2" s="9">
        <v>25400</v>
      </c>
      <c r="F2" s="9">
        <v>49924</v>
      </c>
      <c r="G2" s="9">
        <v>11147</v>
      </c>
      <c r="H2" s="9">
        <v>0</v>
      </c>
    </row>
    <row r="3" spans="1:8">
      <c r="A3" t="s">
        <v>23</v>
      </c>
      <c r="B3" t="s">
        <v>29</v>
      </c>
      <c r="C3" t="s">
        <v>25</v>
      </c>
      <c r="D3" t="s">
        <v>26</v>
      </c>
      <c r="E3" s="9">
        <v>30100</v>
      </c>
      <c r="F3" s="9">
        <v>54089</v>
      </c>
      <c r="G3" s="9">
        <v>10504</v>
      </c>
      <c r="H3" s="9">
        <v>0</v>
      </c>
    </row>
    <row r="4" spans="1:8">
      <c r="A4" t="s">
        <v>23</v>
      </c>
      <c r="B4" t="s">
        <v>31</v>
      </c>
      <c r="C4" t="s">
        <v>25</v>
      </c>
      <c r="D4" t="s">
        <v>32</v>
      </c>
      <c r="E4" s="9">
        <v>34650</v>
      </c>
      <c r="F4" s="9">
        <v>59767</v>
      </c>
      <c r="G4" s="9">
        <v>10677</v>
      </c>
      <c r="H4" s="9">
        <v>0</v>
      </c>
    </row>
    <row r="5" spans="1:8">
      <c r="A5" t="s">
        <v>23</v>
      </c>
      <c r="B5" t="s">
        <v>34</v>
      </c>
      <c r="C5" t="s">
        <v>25</v>
      </c>
      <c r="D5" t="s">
        <v>26</v>
      </c>
      <c r="E5" s="9">
        <v>44750</v>
      </c>
      <c r="F5" s="9">
        <v>77683</v>
      </c>
      <c r="G5" s="9">
        <v>12401</v>
      </c>
      <c r="H5" s="9">
        <v>0</v>
      </c>
    </row>
    <row r="6" spans="1:8">
      <c r="A6" t="s">
        <v>23</v>
      </c>
      <c r="B6" t="s">
        <v>36</v>
      </c>
      <c r="C6" t="s">
        <v>25</v>
      </c>
      <c r="D6" t="s">
        <v>26</v>
      </c>
      <c r="E6" s="9">
        <v>40200</v>
      </c>
      <c r="F6" s="9">
        <v>72958</v>
      </c>
      <c r="G6" s="9">
        <v>12131</v>
      </c>
      <c r="H6" s="9">
        <v>0</v>
      </c>
    </row>
    <row r="7" spans="1:8">
      <c r="A7" t="s">
        <v>23</v>
      </c>
      <c r="B7" t="s">
        <v>38</v>
      </c>
      <c r="C7" t="s">
        <v>25</v>
      </c>
      <c r="D7" t="s">
        <v>39</v>
      </c>
      <c r="E7" s="9">
        <v>47400</v>
      </c>
      <c r="F7" s="9">
        <v>81278</v>
      </c>
      <c r="G7" s="9">
        <v>3521</v>
      </c>
      <c r="H7" s="9">
        <v>7500</v>
      </c>
    </row>
    <row r="8" spans="1:8">
      <c r="A8" t="s">
        <v>23</v>
      </c>
      <c r="B8" t="s">
        <v>46</v>
      </c>
      <c r="C8" t="s">
        <v>47</v>
      </c>
      <c r="D8" t="s">
        <v>26</v>
      </c>
      <c r="E8" s="9">
        <v>24250</v>
      </c>
      <c r="F8" s="9">
        <v>43682</v>
      </c>
      <c r="G8" s="9">
        <v>9316</v>
      </c>
      <c r="H8" s="9">
        <v>0</v>
      </c>
    </row>
    <row r="9" spans="1:8">
      <c r="A9" t="s">
        <v>23</v>
      </c>
      <c r="B9" t="s">
        <v>49</v>
      </c>
      <c r="C9" t="s">
        <v>47</v>
      </c>
      <c r="D9" t="s">
        <v>32</v>
      </c>
      <c r="E9" s="9">
        <v>28950</v>
      </c>
      <c r="F9" s="9">
        <v>48620</v>
      </c>
      <c r="G9" s="9">
        <v>8090</v>
      </c>
      <c r="H9" s="9">
        <v>0</v>
      </c>
    </row>
    <row r="10" spans="1:8">
      <c r="A10" t="s">
        <v>23</v>
      </c>
      <c r="B10" t="s">
        <v>51</v>
      </c>
      <c r="C10" t="s">
        <v>47</v>
      </c>
      <c r="D10" t="s">
        <v>26</v>
      </c>
      <c r="E10" s="9">
        <v>30250</v>
      </c>
      <c r="F10" s="9">
        <v>51957</v>
      </c>
      <c r="G10" s="9">
        <v>9878</v>
      </c>
      <c r="H10" s="9">
        <v>0</v>
      </c>
    </row>
    <row r="11" spans="1:8">
      <c r="A11" t="s">
        <v>23</v>
      </c>
      <c r="B11" t="s">
        <v>53</v>
      </c>
      <c r="C11" t="s">
        <v>47</v>
      </c>
      <c r="D11" t="s">
        <v>26</v>
      </c>
      <c r="E11" s="9">
        <v>28295</v>
      </c>
      <c r="F11" s="9">
        <v>54018</v>
      </c>
      <c r="G11" s="9">
        <v>10563</v>
      </c>
      <c r="H11" s="9">
        <v>0</v>
      </c>
    </row>
    <row r="12" spans="1:8">
      <c r="A12" t="s">
        <v>23</v>
      </c>
      <c r="B12" t="s">
        <v>55</v>
      </c>
      <c r="C12" t="s">
        <v>47</v>
      </c>
      <c r="D12" t="s">
        <v>32</v>
      </c>
      <c r="E12" s="9">
        <v>33655</v>
      </c>
      <c r="F12" s="9">
        <v>58878</v>
      </c>
      <c r="G12" s="9">
        <v>10063</v>
      </c>
      <c r="H12" s="9">
        <v>0</v>
      </c>
    </row>
    <row r="13" spans="1:8">
      <c r="A13" t="s">
        <v>23</v>
      </c>
      <c r="B13" t="s">
        <v>57</v>
      </c>
      <c r="C13" t="s">
        <v>58</v>
      </c>
      <c r="D13" t="s">
        <v>26</v>
      </c>
      <c r="E13" s="9">
        <v>27450</v>
      </c>
      <c r="F13" s="9">
        <v>47539</v>
      </c>
      <c r="G13" s="9">
        <v>9564</v>
      </c>
      <c r="H13" s="9">
        <v>0</v>
      </c>
    </row>
    <row r="14" spans="1:8">
      <c r="A14" t="s">
        <v>23</v>
      </c>
      <c r="B14" t="s">
        <v>60</v>
      </c>
      <c r="C14" t="s">
        <v>58</v>
      </c>
      <c r="D14" t="s">
        <v>32</v>
      </c>
      <c r="E14" s="9">
        <v>30150</v>
      </c>
      <c r="F14" s="9">
        <v>50863</v>
      </c>
      <c r="G14" s="9">
        <v>8050</v>
      </c>
      <c r="H14" s="9">
        <v>0</v>
      </c>
    </row>
    <row r="15" spans="1:8">
      <c r="A15" t="s">
        <v>23</v>
      </c>
      <c r="B15" t="s">
        <v>62</v>
      </c>
      <c r="C15" t="s">
        <v>63</v>
      </c>
      <c r="D15" t="s">
        <v>26</v>
      </c>
      <c r="E15" s="9">
        <v>42220</v>
      </c>
      <c r="F15" s="9">
        <v>69523</v>
      </c>
      <c r="G15" s="9">
        <v>9948</v>
      </c>
      <c r="H15" s="9">
        <v>0</v>
      </c>
    </row>
    <row r="16" spans="1:8">
      <c r="A16" t="s">
        <v>23</v>
      </c>
      <c r="B16" t="s">
        <v>65</v>
      </c>
      <c r="C16" t="s">
        <v>66</v>
      </c>
      <c r="D16" t="s">
        <v>26</v>
      </c>
      <c r="E16" s="9">
        <v>40150</v>
      </c>
      <c r="F16" s="9">
        <v>71881</v>
      </c>
      <c r="G16" s="9">
        <v>11793</v>
      </c>
      <c r="H16" s="9">
        <v>0</v>
      </c>
    </row>
    <row r="17" spans="1:8">
      <c r="A17" t="s">
        <v>68</v>
      </c>
      <c r="B17" t="s">
        <v>69</v>
      </c>
      <c r="C17" t="s">
        <v>47</v>
      </c>
      <c r="D17" t="s">
        <v>26</v>
      </c>
      <c r="E17" s="9">
        <v>22325</v>
      </c>
      <c r="F17" s="9">
        <v>43400</v>
      </c>
      <c r="G17" s="9">
        <v>8880</v>
      </c>
      <c r="H17" s="9">
        <v>0</v>
      </c>
    </row>
    <row r="18" spans="1:8">
      <c r="A18" t="s">
        <v>68</v>
      </c>
      <c r="B18" t="s">
        <v>70</v>
      </c>
      <c r="C18" t="s">
        <v>47</v>
      </c>
      <c r="D18" t="s">
        <v>32</v>
      </c>
      <c r="E18" s="9">
        <v>23825</v>
      </c>
      <c r="F18" s="9">
        <v>44948</v>
      </c>
      <c r="G18" s="9">
        <v>9802</v>
      </c>
      <c r="H18" s="9">
        <v>0</v>
      </c>
    </row>
    <row r="19" spans="1:8">
      <c r="A19" t="s">
        <v>68</v>
      </c>
      <c r="B19" t="s">
        <v>72</v>
      </c>
      <c r="C19" t="s">
        <v>47</v>
      </c>
      <c r="D19" t="s">
        <v>26</v>
      </c>
      <c r="E19" s="9">
        <v>23780</v>
      </c>
      <c r="F19" s="9">
        <v>45310</v>
      </c>
      <c r="G19" s="9">
        <v>9939</v>
      </c>
      <c r="H19" s="9">
        <v>0</v>
      </c>
    </row>
    <row r="20" spans="1:8">
      <c r="A20" t="s">
        <v>68</v>
      </c>
      <c r="B20" t="s">
        <v>73</v>
      </c>
      <c r="C20" t="s">
        <v>47</v>
      </c>
      <c r="D20" t="s">
        <v>32</v>
      </c>
      <c r="E20" s="9">
        <v>28350</v>
      </c>
      <c r="F20" s="9">
        <v>51491</v>
      </c>
      <c r="G20" s="9">
        <v>10075</v>
      </c>
      <c r="H20" s="9">
        <v>0</v>
      </c>
    </row>
    <row r="21" spans="1:8">
      <c r="A21" t="s">
        <v>68</v>
      </c>
      <c r="B21" t="s">
        <v>75</v>
      </c>
      <c r="C21" t="s">
        <v>47</v>
      </c>
      <c r="D21" t="s">
        <v>76</v>
      </c>
      <c r="E21" s="9">
        <v>33375</v>
      </c>
      <c r="F21" s="9">
        <v>48975</v>
      </c>
      <c r="G21" s="9">
        <v>-400</v>
      </c>
      <c r="H21" s="9">
        <v>7500</v>
      </c>
    </row>
    <row r="22" spans="1:8">
      <c r="A22" t="s">
        <v>68</v>
      </c>
      <c r="B22" t="s">
        <v>78</v>
      </c>
      <c r="C22" t="s">
        <v>47</v>
      </c>
      <c r="D22" t="s">
        <v>32</v>
      </c>
      <c r="E22" s="9">
        <v>28700</v>
      </c>
      <c r="F22" s="9">
        <v>49989</v>
      </c>
      <c r="G22" s="9">
        <v>8520</v>
      </c>
      <c r="H22" s="9">
        <v>0</v>
      </c>
    </row>
    <row r="23" spans="1:8">
      <c r="A23" t="s">
        <v>68</v>
      </c>
      <c r="B23" t="s">
        <v>80</v>
      </c>
      <c r="C23" t="s">
        <v>47</v>
      </c>
      <c r="D23" t="s">
        <v>32</v>
      </c>
      <c r="E23" s="9">
        <v>41440</v>
      </c>
      <c r="F23" s="9">
        <v>70090</v>
      </c>
      <c r="G23" s="9">
        <v>8650</v>
      </c>
      <c r="H23" s="9">
        <v>0</v>
      </c>
    </row>
    <row r="24" spans="1:8">
      <c r="A24" t="s">
        <v>68</v>
      </c>
      <c r="B24" t="s">
        <v>86</v>
      </c>
      <c r="C24" t="s">
        <v>47</v>
      </c>
      <c r="D24" t="s">
        <v>26</v>
      </c>
      <c r="E24" s="9">
        <v>30000</v>
      </c>
      <c r="F24" s="9">
        <v>59772</v>
      </c>
      <c r="G24" s="9">
        <v>14791</v>
      </c>
      <c r="H24" s="9">
        <v>0</v>
      </c>
    </row>
    <row r="25" spans="1:8">
      <c r="A25" t="s">
        <v>68</v>
      </c>
      <c r="B25" t="s">
        <v>88</v>
      </c>
      <c r="C25" t="s">
        <v>47</v>
      </c>
      <c r="D25" t="s">
        <v>26</v>
      </c>
      <c r="E25" s="9">
        <v>38860</v>
      </c>
      <c r="F25" s="9">
        <v>69765</v>
      </c>
      <c r="G25" s="9">
        <v>11300</v>
      </c>
      <c r="H25" s="9">
        <v>0</v>
      </c>
    </row>
    <row r="26" spans="1:8">
      <c r="A26" t="s">
        <v>68</v>
      </c>
      <c r="B26" t="s">
        <v>90</v>
      </c>
      <c r="C26" t="s">
        <v>47</v>
      </c>
      <c r="D26" t="s">
        <v>26</v>
      </c>
      <c r="E26" s="9">
        <v>56900</v>
      </c>
      <c r="F26" s="9">
        <v>93887</v>
      </c>
      <c r="G26" s="9">
        <v>8987</v>
      </c>
      <c r="H26" s="9">
        <v>0</v>
      </c>
    </row>
    <row r="27" spans="1:8">
      <c r="A27" t="s">
        <v>68</v>
      </c>
      <c r="B27" t="s">
        <v>92</v>
      </c>
      <c r="C27" t="s">
        <v>47</v>
      </c>
      <c r="D27" t="s">
        <v>32</v>
      </c>
      <c r="E27" s="9">
        <v>39185</v>
      </c>
      <c r="F27" s="9">
        <v>67758</v>
      </c>
      <c r="G27" s="9">
        <v>9880</v>
      </c>
      <c r="H27" s="9">
        <v>0</v>
      </c>
    </row>
    <row r="28" spans="1:8">
      <c r="A28" t="s">
        <v>68</v>
      </c>
      <c r="B28" t="s">
        <v>94</v>
      </c>
      <c r="C28" t="s">
        <v>66</v>
      </c>
      <c r="D28" t="s">
        <v>26</v>
      </c>
      <c r="E28" s="9">
        <v>31590</v>
      </c>
      <c r="F28" s="9">
        <v>58648</v>
      </c>
      <c r="G28" s="9">
        <v>11719</v>
      </c>
      <c r="H28" s="9">
        <v>0</v>
      </c>
    </row>
    <row r="29" spans="1:8">
      <c r="A29" t="s">
        <v>68</v>
      </c>
      <c r="B29" t="s">
        <v>96</v>
      </c>
      <c r="C29" t="s">
        <v>66</v>
      </c>
      <c r="D29" t="s">
        <v>32</v>
      </c>
      <c r="E29" s="9">
        <v>46320</v>
      </c>
      <c r="F29" s="9">
        <v>76462</v>
      </c>
      <c r="G29" s="9">
        <v>10821</v>
      </c>
      <c r="H29" s="9">
        <v>0</v>
      </c>
    </row>
    <row r="30" spans="1:8">
      <c r="A30" t="s">
        <v>68</v>
      </c>
      <c r="B30" t="s">
        <v>97</v>
      </c>
      <c r="C30" t="s">
        <v>66</v>
      </c>
      <c r="D30" t="s">
        <v>26</v>
      </c>
      <c r="E30" s="9">
        <v>40090</v>
      </c>
      <c r="F30" s="9">
        <v>69178</v>
      </c>
      <c r="G30" s="9">
        <v>11494</v>
      </c>
      <c r="H30" s="9">
        <v>0</v>
      </c>
    </row>
    <row r="31" spans="1:8">
      <c r="A31" t="s">
        <v>68</v>
      </c>
      <c r="B31" t="s">
        <v>99</v>
      </c>
      <c r="C31" t="s">
        <v>66</v>
      </c>
      <c r="D31" t="s">
        <v>32</v>
      </c>
      <c r="E31" s="9">
        <v>58005</v>
      </c>
      <c r="F31" s="9">
        <v>95132</v>
      </c>
      <c r="G31" s="9">
        <v>10639</v>
      </c>
      <c r="H31" s="9">
        <v>0</v>
      </c>
    </row>
    <row r="32" spans="1:8">
      <c r="A32" t="s">
        <v>68</v>
      </c>
      <c r="B32" t="s">
        <v>100</v>
      </c>
      <c r="C32" t="s">
        <v>25</v>
      </c>
      <c r="D32" t="s">
        <v>26</v>
      </c>
      <c r="E32" s="9">
        <v>24035</v>
      </c>
      <c r="F32" s="9">
        <v>46275</v>
      </c>
      <c r="G32" s="9">
        <v>9556</v>
      </c>
      <c r="H32" s="9">
        <v>0</v>
      </c>
    </row>
    <row r="33" spans="1:8">
      <c r="A33" t="s">
        <v>68</v>
      </c>
      <c r="B33" t="s">
        <v>102</v>
      </c>
      <c r="C33" t="s">
        <v>25</v>
      </c>
      <c r="D33" t="s">
        <v>32</v>
      </c>
      <c r="E33" s="9">
        <v>28395</v>
      </c>
      <c r="F33" s="9">
        <v>51837</v>
      </c>
      <c r="G33" s="9">
        <v>7442</v>
      </c>
      <c r="H33" s="9">
        <v>0</v>
      </c>
    </row>
    <row r="34" spans="1:8">
      <c r="A34" t="s">
        <v>68</v>
      </c>
      <c r="B34" t="s">
        <v>104</v>
      </c>
      <c r="C34" t="s">
        <v>25</v>
      </c>
      <c r="D34" t="s">
        <v>26</v>
      </c>
      <c r="E34" s="9">
        <v>29250</v>
      </c>
      <c r="F34" s="9">
        <v>53175</v>
      </c>
      <c r="G34" s="9">
        <v>10380</v>
      </c>
      <c r="H34" s="9">
        <v>0</v>
      </c>
    </row>
    <row r="35" spans="1:8">
      <c r="A35" t="s">
        <v>68</v>
      </c>
      <c r="B35" t="s">
        <v>106</v>
      </c>
      <c r="C35" t="s">
        <v>25</v>
      </c>
      <c r="D35" t="s">
        <v>32</v>
      </c>
      <c r="E35" s="9">
        <v>32300</v>
      </c>
      <c r="F35" s="9">
        <v>58002</v>
      </c>
      <c r="G35" s="9">
        <v>10797</v>
      </c>
      <c r="H35" s="9">
        <v>0</v>
      </c>
    </row>
    <row r="36" spans="1:8">
      <c r="A36" t="s">
        <v>68</v>
      </c>
      <c r="B36" t="s">
        <v>108</v>
      </c>
      <c r="C36" t="s">
        <v>25</v>
      </c>
      <c r="D36" t="s">
        <v>76</v>
      </c>
      <c r="E36" s="9">
        <v>44265</v>
      </c>
      <c r="F36" s="9">
        <v>68465</v>
      </c>
      <c r="G36" s="9">
        <v>3345</v>
      </c>
      <c r="H36" s="9">
        <v>7500</v>
      </c>
    </row>
    <row r="37" spans="1:8">
      <c r="A37" t="s">
        <v>68</v>
      </c>
      <c r="B37" t="s">
        <v>110</v>
      </c>
      <c r="C37" t="s">
        <v>25</v>
      </c>
      <c r="D37" t="s">
        <v>26</v>
      </c>
      <c r="E37" s="9">
        <v>39520</v>
      </c>
      <c r="F37" s="9">
        <v>75795</v>
      </c>
      <c r="G37" s="9">
        <v>11604</v>
      </c>
      <c r="H37" s="9">
        <v>0</v>
      </c>
    </row>
    <row r="38" spans="1:8">
      <c r="A38" t="s">
        <v>68</v>
      </c>
      <c r="B38" t="s">
        <v>112</v>
      </c>
      <c r="C38" t="s">
        <v>25</v>
      </c>
      <c r="D38" t="s">
        <v>32</v>
      </c>
      <c r="E38" s="9">
        <v>46020</v>
      </c>
      <c r="F38" s="9">
        <v>82119</v>
      </c>
      <c r="G38" s="9">
        <v>11836</v>
      </c>
      <c r="H38" s="9">
        <v>0</v>
      </c>
    </row>
    <row r="39" spans="1:8">
      <c r="A39" t="s">
        <v>68</v>
      </c>
      <c r="B39" t="s">
        <v>114</v>
      </c>
      <c r="C39" t="s">
        <v>25</v>
      </c>
      <c r="D39" t="s">
        <v>26</v>
      </c>
      <c r="E39" s="9">
        <v>40770</v>
      </c>
      <c r="F39" s="9">
        <v>70150</v>
      </c>
      <c r="G39" s="9">
        <v>12169</v>
      </c>
      <c r="H39" s="9">
        <v>0</v>
      </c>
    </row>
    <row r="40" spans="1:8">
      <c r="A40" t="s">
        <v>68</v>
      </c>
      <c r="B40" t="s">
        <v>115</v>
      </c>
      <c r="C40" t="s">
        <v>25</v>
      </c>
      <c r="D40" t="s">
        <v>32</v>
      </c>
      <c r="E40" s="9">
        <v>51990</v>
      </c>
      <c r="F40" s="9">
        <v>81264</v>
      </c>
      <c r="G40" s="9">
        <v>8998</v>
      </c>
      <c r="H40" s="9">
        <v>0</v>
      </c>
    </row>
    <row r="41" spans="1:8">
      <c r="A41" t="s">
        <v>68</v>
      </c>
      <c r="B41" t="s">
        <v>116</v>
      </c>
      <c r="C41" t="s">
        <v>25</v>
      </c>
      <c r="D41" t="s">
        <v>39</v>
      </c>
      <c r="E41" s="9">
        <v>37070</v>
      </c>
      <c r="F41" s="9">
        <v>68317</v>
      </c>
      <c r="G41" s="9">
        <v>1535</v>
      </c>
      <c r="H41" s="9">
        <v>7500</v>
      </c>
    </row>
    <row r="42" spans="1:8">
      <c r="A42" t="s">
        <v>68</v>
      </c>
      <c r="B42" t="s">
        <v>117</v>
      </c>
      <c r="C42" t="s">
        <v>25</v>
      </c>
      <c r="D42" t="s">
        <v>26</v>
      </c>
      <c r="E42" s="9">
        <v>40860</v>
      </c>
      <c r="F42" s="9">
        <v>78132</v>
      </c>
      <c r="G42" s="9">
        <v>11272</v>
      </c>
      <c r="H42" s="9">
        <v>0</v>
      </c>
    </row>
    <row r="43" spans="1:8">
      <c r="A43" t="s">
        <v>68</v>
      </c>
      <c r="B43" t="s">
        <v>118</v>
      </c>
      <c r="C43" t="s">
        <v>25</v>
      </c>
      <c r="D43" t="s">
        <v>32</v>
      </c>
      <c r="E43" s="9">
        <v>44210</v>
      </c>
      <c r="F43" s="9">
        <v>79010</v>
      </c>
      <c r="G43" s="9">
        <v>9800</v>
      </c>
      <c r="H43" s="9">
        <v>0</v>
      </c>
    </row>
    <row r="44" spans="1:8">
      <c r="A44" t="s">
        <v>68</v>
      </c>
      <c r="B44" t="s">
        <v>120</v>
      </c>
      <c r="C44" t="s">
        <v>25</v>
      </c>
      <c r="D44" t="s">
        <v>32</v>
      </c>
      <c r="E44" s="9">
        <v>43590</v>
      </c>
      <c r="F44" s="9">
        <v>77584</v>
      </c>
      <c r="G44" s="9">
        <v>7840</v>
      </c>
      <c r="H44" s="9">
        <v>0</v>
      </c>
    </row>
    <row r="45" spans="1:8">
      <c r="A45" t="s">
        <v>68</v>
      </c>
      <c r="B45" t="s">
        <v>122</v>
      </c>
      <c r="C45" t="s">
        <v>25</v>
      </c>
      <c r="D45" t="s">
        <v>32</v>
      </c>
      <c r="E45" s="9">
        <v>56700</v>
      </c>
      <c r="F45" s="9">
        <v>95055</v>
      </c>
      <c r="G45" s="9">
        <v>9970</v>
      </c>
      <c r="H45" s="9">
        <v>0</v>
      </c>
    </row>
    <row r="46" spans="1:8">
      <c r="A46" t="s">
        <v>68</v>
      </c>
      <c r="B46" t="s">
        <v>124</v>
      </c>
      <c r="C46" t="s">
        <v>25</v>
      </c>
      <c r="D46" t="s">
        <v>32</v>
      </c>
      <c r="E46" s="9">
        <v>62425</v>
      </c>
      <c r="F46" s="9">
        <v>109918</v>
      </c>
      <c r="G46" s="9">
        <v>12979</v>
      </c>
      <c r="H46" s="9">
        <v>0</v>
      </c>
    </row>
    <row r="47" spans="1:8">
      <c r="A47" t="s">
        <v>126</v>
      </c>
      <c r="B47" t="s">
        <v>127</v>
      </c>
      <c r="C47" t="s">
        <v>47</v>
      </c>
      <c r="D47" t="s">
        <v>39</v>
      </c>
      <c r="E47" s="9">
        <v>34990</v>
      </c>
      <c r="F47" s="9">
        <v>69476</v>
      </c>
      <c r="G47" s="9">
        <v>2875</v>
      </c>
      <c r="H47" s="9">
        <v>7500</v>
      </c>
    </row>
    <row r="48" spans="1:8">
      <c r="A48" t="s">
        <v>126</v>
      </c>
      <c r="B48" t="s">
        <v>129</v>
      </c>
      <c r="C48" t="s">
        <v>47</v>
      </c>
      <c r="D48" t="s">
        <v>39</v>
      </c>
      <c r="E48" s="9">
        <v>34490</v>
      </c>
      <c r="F48" s="9">
        <v>62964</v>
      </c>
      <c r="G48" s="9">
        <v>401</v>
      </c>
      <c r="H48" s="9">
        <v>7500</v>
      </c>
    </row>
    <row r="49" spans="1:8">
      <c r="A49" t="s">
        <v>126</v>
      </c>
      <c r="B49" t="s">
        <v>132</v>
      </c>
      <c r="C49" t="s">
        <v>66</v>
      </c>
      <c r="D49" t="s">
        <v>39</v>
      </c>
      <c r="E49" s="9">
        <v>66990</v>
      </c>
      <c r="F49" s="9">
        <v>95086</v>
      </c>
      <c r="G49" s="9">
        <v>1300</v>
      </c>
      <c r="H49" s="9">
        <v>7500</v>
      </c>
    </row>
    <row r="50" spans="1:8">
      <c r="A50" t="s">
        <v>126</v>
      </c>
      <c r="B50" t="s">
        <v>134</v>
      </c>
      <c r="C50" t="s">
        <v>47</v>
      </c>
      <c r="D50" t="s">
        <v>39</v>
      </c>
      <c r="E50" s="9">
        <v>78490</v>
      </c>
      <c r="F50" s="9">
        <v>130602</v>
      </c>
      <c r="G50" s="9">
        <v>1075</v>
      </c>
      <c r="H50" s="9">
        <v>7500</v>
      </c>
    </row>
    <row r="51" spans="1:8">
      <c r="A51" t="s">
        <v>126</v>
      </c>
      <c r="B51" t="s">
        <v>136</v>
      </c>
      <c r="C51" t="s">
        <v>47</v>
      </c>
      <c r="D51" t="s">
        <v>39</v>
      </c>
      <c r="E51" s="9">
        <v>73490</v>
      </c>
      <c r="F51" s="9">
        <v>123990</v>
      </c>
      <c r="G51" s="9">
        <v>500</v>
      </c>
      <c r="H51" s="9">
        <v>7500</v>
      </c>
    </row>
    <row r="52" spans="1:8">
      <c r="A52" t="s">
        <v>138</v>
      </c>
      <c r="B52" t="s">
        <v>139</v>
      </c>
      <c r="C52" t="s">
        <v>25</v>
      </c>
      <c r="D52" t="s">
        <v>26</v>
      </c>
      <c r="E52" s="9">
        <v>20200</v>
      </c>
      <c r="F52" s="9">
        <v>40963</v>
      </c>
      <c r="G52" s="9">
        <v>8552</v>
      </c>
      <c r="H52" s="9">
        <v>0</v>
      </c>
    </row>
    <row r="53" spans="1:8">
      <c r="A53" t="s">
        <v>138</v>
      </c>
      <c r="B53" t="s">
        <v>141</v>
      </c>
      <c r="C53" t="s">
        <v>25</v>
      </c>
      <c r="D53" t="s">
        <v>26</v>
      </c>
      <c r="E53" s="9">
        <v>24550</v>
      </c>
      <c r="F53" s="9">
        <v>48036</v>
      </c>
      <c r="G53" s="9">
        <v>9262</v>
      </c>
      <c r="H53" s="9">
        <v>0</v>
      </c>
    </row>
    <row r="54" spans="1:8">
      <c r="A54" t="s">
        <v>138</v>
      </c>
      <c r="B54" t="s">
        <v>143</v>
      </c>
      <c r="C54" t="s">
        <v>25</v>
      </c>
      <c r="D54" t="s">
        <v>39</v>
      </c>
      <c r="E54" s="9">
        <v>32975</v>
      </c>
      <c r="F54" s="9">
        <v>71571</v>
      </c>
      <c r="G54" s="9">
        <v>8404</v>
      </c>
      <c r="H54" s="9">
        <v>0</v>
      </c>
    </row>
    <row r="55" spans="1:8">
      <c r="A55" t="s">
        <v>138</v>
      </c>
      <c r="B55" t="s">
        <v>145</v>
      </c>
      <c r="C55" t="s">
        <v>25</v>
      </c>
      <c r="D55" t="s">
        <v>26</v>
      </c>
      <c r="E55" s="9">
        <v>28750</v>
      </c>
      <c r="F55" s="9">
        <v>54442</v>
      </c>
      <c r="G55" s="9">
        <v>10033</v>
      </c>
      <c r="H55" s="9">
        <v>0</v>
      </c>
    </row>
    <row r="56" spans="1:8">
      <c r="A56" t="s">
        <v>138</v>
      </c>
      <c r="B56" t="s">
        <v>147</v>
      </c>
      <c r="C56" t="s">
        <v>25</v>
      </c>
      <c r="D56" t="s">
        <v>26</v>
      </c>
      <c r="E56" s="9">
        <v>28705</v>
      </c>
      <c r="F56" s="9">
        <v>54107</v>
      </c>
      <c r="G56" s="9">
        <v>9137</v>
      </c>
      <c r="H56" s="9">
        <v>0</v>
      </c>
    </row>
    <row r="57" spans="1:8">
      <c r="A57" t="s">
        <v>138</v>
      </c>
      <c r="B57" t="s">
        <v>148</v>
      </c>
      <c r="C57" t="s">
        <v>25</v>
      </c>
      <c r="D57" t="s">
        <v>32</v>
      </c>
      <c r="E57" s="9">
        <v>33465</v>
      </c>
      <c r="F57" s="9">
        <v>65216</v>
      </c>
      <c r="G57" s="9">
        <v>9829</v>
      </c>
      <c r="H57" s="9">
        <v>0</v>
      </c>
    </row>
    <row r="58" spans="1:8">
      <c r="A58" t="s">
        <v>138</v>
      </c>
      <c r="B58" t="s">
        <v>150</v>
      </c>
      <c r="C58" t="s">
        <v>25</v>
      </c>
      <c r="D58" t="s">
        <v>76</v>
      </c>
      <c r="E58" s="9">
        <v>39730</v>
      </c>
      <c r="F58" s="9">
        <v>66811.199999999997</v>
      </c>
      <c r="G58" s="9">
        <v>9600</v>
      </c>
      <c r="H58" s="9">
        <v>0</v>
      </c>
    </row>
    <row r="59" spans="1:8">
      <c r="A59" t="s">
        <v>138</v>
      </c>
      <c r="B59" t="s">
        <v>151</v>
      </c>
      <c r="C59" t="s">
        <v>25</v>
      </c>
      <c r="D59" t="s">
        <v>26</v>
      </c>
      <c r="E59" s="9">
        <v>34300</v>
      </c>
      <c r="F59" s="9">
        <v>69220</v>
      </c>
      <c r="G59" s="9">
        <v>11397</v>
      </c>
      <c r="H59" s="9">
        <v>0</v>
      </c>
    </row>
    <row r="60" spans="1:8">
      <c r="A60" t="s">
        <v>138</v>
      </c>
      <c r="B60" t="s">
        <v>153</v>
      </c>
      <c r="C60" t="s">
        <v>25</v>
      </c>
      <c r="D60" t="s">
        <v>32</v>
      </c>
      <c r="E60" s="9">
        <v>37800</v>
      </c>
      <c r="F60" s="9">
        <v>70140</v>
      </c>
      <c r="G60" s="9">
        <v>10300</v>
      </c>
      <c r="H60" s="9">
        <v>0</v>
      </c>
    </row>
    <row r="61" spans="1:8">
      <c r="A61" t="s">
        <v>138</v>
      </c>
      <c r="B61" t="s">
        <v>155</v>
      </c>
      <c r="C61" t="s">
        <v>25</v>
      </c>
      <c r="D61" t="s">
        <v>26</v>
      </c>
      <c r="E61" s="9">
        <v>37200</v>
      </c>
      <c r="F61" s="9">
        <v>68109</v>
      </c>
      <c r="G61" s="9">
        <v>10759</v>
      </c>
      <c r="H61" s="9">
        <v>0</v>
      </c>
    </row>
    <row r="62" spans="1:8">
      <c r="A62" t="s">
        <v>138</v>
      </c>
      <c r="B62" t="s">
        <v>157</v>
      </c>
      <c r="C62" t="s">
        <v>25</v>
      </c>
      <c r="D62" t="s">
        <v>39</v>
      </c>
      <c r="E62" s="9">
        <v>42600</v>
      </c>
      <c r="F62" s="9">
        <v>69837</v>
      </c>
      <c r="G62" s="9">
        <v>1731</v>
      </c>
      <c r="H62" s="9">
        <v>7500</v>
      </c>
    </row>
    <row r="63" spans="1:8">
      <c r="A63" t="s">
        <v>138</v>
      </c>
      <c r="B63" t="s">
        <v>158</v>
      </c>
      <c r="C63" t="s">
        <v>25</v>
      </c>
      <c r="D63" t="s">
        <v>39</v>
      </c>
      <c r="E63" s="9">
        <v>66200</v>
      </c>
      <c r="F63" s="9">
        <v>107128</v>
      </c>
      <c r="G63" s="9">
        <v>4470</v>
      </c>
      <c r="H63" s="9">
        <v>7500</v>
      </c>
    </row>
    <row r="64" spans="1:8">
      <c r="A64" t="s">
        <v>138</v>
      </c>
      <c r="B64" t="s">
        <v>162</v>
      </c>
      <c r="C64" t="s">
        <v>47</v>
      </c>
      <c r="D64" t="s">
        <v>26</v>
      </c>
      <c r="E64" s="9">
        <v>22125</v>
      </c>
      <c r="F64" s="9">
        <v>42804</v>
      </c>
      <c r="G64" s="9">
        <v>8517</v>
      </c>
      <c r="H64" s="9">
        <v>0</v>
      </c>
    </row>
    <row r="65" spans="1:8">
      <c r="A65" t="s">
        <v>138</v>
      </c>
      <c r="B65" t="s">
        <v>163</v>
      </c>
      <c r="C65" t="s">
        <v>47</v>
      </c>
      <c r="D65" t="s">
        <v>32</v>
      </c>
      <c r="E65" s="9">
        <v>25450</v>
      </c>
      <c r="F65" s="9">
        <v>51405</v>
      </c>
      <c r="G65" s="9">
        <v>9405</v>
      </c>
      <c r="H65" s="9">
        <v>0</v>
      </c>
    </row>
    <row r="66" spans="1:8">
      <c r="A66" t="s">
        <v>138</v>
      </c>
      <c r="B66" t="s">
        <v>165</v>
      </c>
      <c r="C66" t="s">
        <v>47</v>
      </c>
      <c r="D66" t="s">
        <v>26</v>
      </c>
      <c r="E66" s="9">
        <v>34350</v>
      </c>
      <c r="F66" s="9">
        <v>62231</v>
      </c>
      <c r="G66" s="9">
        <v>11096</v>
      </c>
      <c r="H66" s="9">
        <v>0</v>
      </c>
    </row>
    <row r="67" spans="1:8">
      <c r="A67" t="s">
        <v>138</v>
      </c>
      <c r="B67" t="s">
        <v>167</v>
      </c>
      <c r="C67" t="s">
        <v>47</v>
      </c>
      <c r="D67" t="s">
        <v>32</v>
      </c>
      <c r="E67" s="9">
        <v>26900</v>
      </c>
      <c r="F67" s="9">
        <v>52460</v>
      </c>
      <c r="G67" s="9">
        <v>7550</v>
      </c>
      <c r="H67" s="9">
        <v>0</v>
      </c>
    </row>
    <row r="68" spans="1:8">
      <c r="A68" t="s">
        <v>138</v>
      </c>
      <c r="B68" t="s">
        <v>169</v>
      </c>
      <c r="C68" t="s">
        <v>47</v>
      </c>
      <c r="D68" t="s">
        <v>39</v>
      </c>
      <c r="E68" s="9">
        <v>37850</v>
      </c>
      <c r="F68" s="9">
        <v>72275</v>
      </c>
      <c r="G68" s="9">
        <v>10506</v>
      </c>
      <c r="H68" s="9">
        <v>0</v>
      </c>
    </row>
    <row r="69" spans="1:8">
      <c r="A69" t="s">
        <v>170</v>
      </c>
      <c r="B69" t="s">
        <v>171</v>
      </c>
      <c r="C69" t="s">
        <v>47</v>
      </c>
      <c r="D69" t="s">
        <v>26</v>
      </c>
      <c r="E69" s="9">
        <v>31920</v>
      </c>
      <c r="F69" s="9">
        <v>81523</v>
      </c>
      <c r="G69" s="9">
        <v>12336</v>
      </c>
      <c r="H69" s="9">
        <v>0</v>
      </c>
    </row>
    <row r="70" spans="1:8">
      <c r="A70" t="s">
        <v>170</v>
      </c>
      <c r="B70" t="s">
        <v>173</v>
      </c>
      <c r="C70" t="s">
        <v>25</v>
      </c>
      <c r="D70" t="s">
        <v>32</v>
      </c>
      <c r="E70" s="9">
        <v>32830</v>
      </c>
      <c r="F70" s="9">
        <v>62898</v>
      </c>
      <c r="G70" s="9">
        <v>10367</v>
      </c>
      <c r="H70" s="9">
        <v>0</v>
      </c>
    </row>
    <row r="71" spans="1:8">
      <c r="A71" t="s">
        <v>170</v>
      </c>
      <c r="B71" t="s">
        <v>175</v>
      </c>
      <c r="C71" t="s">
        <v>25</v>
      </c>
      <c r="D71" t="s">
        <v>26</v>
      </c>
      <c r="E71" s="9">
        <v>29795</v>
      </c>
      <c r="F71" s="9">
        <v>59989</v>
      </c>
      <c r="G71" s="9">
        <v>9912</v>
      </c>
      <c r="H71" s="9">
        <v>0</v>
      </c>
    </row>
    <row r="72" spans="1:8">
      <c r="A72" t="s">
        <v>170</v>
      </c>
      <c r="B72" t="s">
        <v>177</v>
      </c>
      <c r="C72" t="s">
        <v>25</v>
      </c>
      <c r="D72" t="s">
        <v>26</v>
      </c>
      <c r="E72" s="9">
        <v>39630</v>
      </c>
      <c r="F72" s="9">
        <v>69606.100000000006</v>
      </c>
      <c r="G72" s="9">
        <v>11350</v>
      </c>
      <c r="H72" s="9">
        <v>0</v>
      </c>
    </row>
    <row r="73" spans="1:8">
      <c r="A73" t="s">
        <v>170</v>
      </c>
      <c r="B73" t="s">
        <v>178</v>
      </c>
      <c r="C73" t="s">
        <v>25</v>
      </c>
      <c r="D73" t="s">
        <v>26</v>
      </c>
      <c r="E73" s="9">
        <v>39755</v>
      </c>
      <c r="F73" s="9">
        <v>85623</v>
      </c>
      <c r="G73" s="9">
        <v>11927</v>
      </c>
      <c r="H73" s="9">
        <v>0</v>
      </c>
    </row>
    <row r="74" spans="1:8">
      <c r="A74" t="s">
        <v>170</v>
      </c>
      <c r="B74" t="s">
        <v>180</v>
      </c>
      <c r="C74" t="s">
        <v>25</v>
      </c>
      <c r="D74" t="s">
        <v>26</v>
      </c>
      <c r="E74" s="9">
        <v>38465</v>
      </c>
      <c r="F74" s="9">
        <v>77691</v>
      </c>
      <c r="G74" s="9">
        <v>11692</v>
      </c>
      <c r="H74" s="9">
        <v>0</v>
      </c>
    </row>
    <row r="75" spans="1:8">
      <c r="A75" t="s">
        <v>170</v>
      </c>
      <c r="B75" t="s">
        <v>181</v>
      </c>
      <c r="C75" t="s">
        <v>25</v>
      </c>
      <c r="D75" t="s">
        <v>39</v>
      </c>
      <c r="E75" s="9">
        <v>39995</v>
      </c>
      <c r="F75" s="9">
        <v>84645</v>
      </c>
      <c r="G75" s="9">
        <v>10747</v>
      </c>
      <c r="H75" s="9">
        <v>0</v>
      </c>
    </row>
    <row r="76" spans="1:8">
      <c r="A76" t="s">
        <v>170</v>
      </c>
      <c r="B76" t="s">
        <v>182</v>
      </c>
      <c r="C76" t="s">
        <v>25</v>
      </c>
      <c r="D76" t="s">
        <v>26</v>
      </c>
      <c r="E76" s="9">
        <v>55630</v>
      </c>
      <c r="F76" s="9">
        <v>92163.5</v>
      </c>
      <c r="G76" s="9">
        <v>11500</v>
      </c>
      <c r="H76" s="9">
        <v>0</v>
      </c>
    </row>
    <row r="77" spans="1:8">
      <c r="A77" t="s">
        <v>170</v>
      </c>
      <c r="B77" t="s">
        <v>184</v>
      </c>
      <c r="C77" t="s">
        <v>66</v>
      </c>
      <c r="D77" t="s">
        <v>32</v>
      </c>
      <c r="E77" s="9">
        <v>26420</v>
      </c>
      <c r="F77" s="9">
        <v>49609</v>
      </c>
      <c r="G77" s="9">
        <v>11300</v>
      </c>
      <c r="H77" s="9">
        <v>0</v>
      </c>
    </row>
    <row r="78" spans="1:8">
      <c r="A78" t="s">
        <v>170</v>
      </c>
      <c r="B78" t="s">
        <v>186</v>
      </c>
      <c r="C78" t="s">
        <v>66</v>
      </c>
      <c r="D78" t="s">
        <v>26</v>
      </c>
      <c r="E78" s="9">
        <v>32820</v>
      </c>
      <c r="F78" s="9">
        <v>52403.199999999997</v>
      </c>
      <c r="G78" s="9">
        <v>11050</v>
      </c>
      <c r="H78" s="9">
        <v>0</v>
      </c>
    </row>
    <row r="79" spans="1:8">
      <c r="A79" t="s">
        <v>170</v>
      </c>
      <c r="B79" t="s">
        <v>188</v>
      </c>
      <c r="C79" t="s">
        <v>66</v>
      </c>
      <c r="D79" t="s">
        <v>32</v>
      </c>
      <c r="E79" s="9">
        <v>44100</v>
      </c>
      <c r="F79" s="9">
        <v>75595</v>
      </c>
      <c r="G79" s="9">
        <v>11650</v>
      </c>
      <c r="H79" s="9">
        <v>0</v>
      </c>
    </row>
    <row r="80" spans="1:8">
      <c r="A80" t="s">
        <v>170</v>
      </c>
      <c r="B80" t="s">
        <v>190</v>
      </c>
      <c r="C80" t="s">
        <v>63</v>
      </c>
      <c r="D80" t="s">
        <v>39</v>
      </c>
      <c r="E80" s="9">
        <v>45700</v>
      </c>
      <c r="F80" s="9">
        <v>71594</v>
      </c>
      <c r="G80" s="9">
        <v>6700</v>
      </c>
      <c r="H80" s="9">
        <v>3750</v>
      </c>
    </row>
    <row r="81" spans="1:8">
      <c r="A81" t="s">
        <v>170</v>
      </c>
      <c r="B81" t="s">
        <v>191</v>
      </c>
      <c r="C81" t="s">
        <v>66</v>
      </c>
      <c r="D81" t="s">
        <v>39</v>
      </c>
      <c r="E81" s="9">
        <v>62995</v>
      </c>
      <c r="F81" s="9">
        <v>121753</v>
      </c>
      <c r="G81" s="9">
        <v>2394</v>
      </c>
      <c r="H81" s="9">
        <v>7500</v>
      </c>
    </row>
    <row r="82" spans="1:8">
      <c r="A82" t="s">
        <v>170</v>
      </c>
      <c r="B82" t="s">
        <v>192</v>
      </c>
      <c r="C82" t="s">
        <v>63</v>
      </c>
      <c r="D82" t="s">
        <v>26</v>
      </c>
      <c r="E82" s="9">
        <v>54365</v>
      </c>
      <c r="F82" s="9">
        <v>87758.3</v>
      </c>
      <c r="G82" s="9">
        <v>10560</v>
      </c>
      <c r="H82" s="9">
        <v>0</v>
      </c>
    </row>
  </sheetData>
  <conditionalFormatting sqref="E2:E82">
    <cfRule type="colorScale" priority="13">
      <colorScale>
        <cfvo type="min"/>
        <cfvo type="percentile" val="50"/>
        <cfvo type="max"/>
        <color rgb="FF63BE7B"/>
        <color rgb="FFFFEB84"/>
        <color rgb="FFF8696B"/>
      </colorScale>
    </cfRule>
  </conditionalFormatting>
  <conditionalFormatting sqref="F2:F82">
    <cfRule type="colorScale" priority="12">
      <colorScale>
        <cfvo type="min"/>
        <cfvo type="percentile" val="50"/>
        <cfvo type="max"/>
        <color rgb="FFF8696B"/>
        <color rgb="FFFFEB84"/>
        <color rgb="FF63BE7B"/>
      </colorScale>
    </cfRule>
  </conditionalFormatting>
  <conditionalFormatting sqref="F2:F82">
    <cfRule type="colorScale" priority="11">
      <colorScale>
        <cfvo type="min"/>
        <cfvo type="percentile" val="50"/>
        <cfvo type="max"/>
        <color rgb="FF63BE7B"/>
        <color rgb="FFFFEB84"/>
        <color rgb="FFF8696B"/>
      </colorScale>
    </cfRule>
  </conditionalFormatting>
  <conditionalFormatting sqref="G2:G82">
    <cfRule type="colorScale" priority="10">
      <colorScale>
        <cfvo type="min"/>
        <cfvo type="percentile" val="50"/>
        <cfvo type="max"/>
        <color rgb="FFF8696B"/>
        <color rgb="FFFFEB84"/>
        <color rgb="FF63BE7B"/>
      </colorScale>
    </cfRule>
  </conditionalFormatting>
  <conditionalFormatting sqref="G2:G82">
    <cfRule type="colorScale" priority="9">
      <colorScale>
        <cfvo type="min"/>
        <cfvo type="percentile" val="50"/>
        <cfvo type="max"/>
        <color rgb="FF63BE7B"/>
        <color rgb="FFFFEB84"/>
        <color rgb="FFF8696B"/>
      </colorScale>
    </cfRule>
  </conditionalFormatting>
  <conditionalFormatting sqref="H2:H82">
    <cfRule type="colorScale" priority="8">
      <colorScale>
        <cfvo type="min"/>
        <cfvo type="max"/>
        <color rgb="FF63BE7B"/>
        <color rgb="FFFCFCFF"/>
      </colorScale>
    </cfRule>
  </conditionalFormatting>
  <conditionalFormatting sqref="H2:H82">
    <cfRule type="colorScale" priority="7">
      <colorScale>
        <cfvo type="min"/>
        <cfvo type="max"/>
        <color rgb="FFFCFCFF"/>
        <color rgb="FF63BE7B"/>
      </colorScale>
    </cfRule>
  </conditionalFormatting>
  <conditionalFormatting sqref="G2:G82">
    <cfRule type="colorScale" priority="6">
      <colorScale>
        <cfvo type="min"/>
        <cfvo type="max"/>
        <color rgb="FFFCFCFF"/>
        <color rgb="FF63BE7B"/>
      </colorScale>
    </cfRule>
  </conditionalFormatting>
  <conditionalFormatting sqref="G2:G82">
    <cfRule type="colorScale" priority="5">
      <colorScale>
        <cfvo type="min"/>
        <cfvo type="max"/>
        <color rgb="FF63BE7B"/>
        <color rgb="FFFCFCFF"/>
      </colorScale>
    </cfRule>
  </conditionalFormatting>
  <conditionalFormatting sqref="F2:F82">
    <cfRule type="colorScale" priority="4">
      <colorScale>
        <cfvo type="min"/>
        <cfvo type="max"/>
        <color rgb="FFFCFCFF"/>
        <color rgb="FF63BE7B"/>
      </colorScale>
    </cfRule>
  </conditionalFormatting>
  <conditionalFormatting sqref="F2:F82">
    <cfRule type="colorScale" priority="3">
      <colorScale>
        <cfvo type="min"/>
        <cfvo type="max"/>
        <color rgb="FF63BE7B"/>
        <color rgb="FFFCFCFF"/>
      </colorScale>
    </cfRule>
  </conditionalFormatting>
  <conditionalFormatting sqref="F2:F82">
    <cfRule type="colorScale" priority="2">
      <colorScale>
        <cfvo type="min"/>
        <cfvo type="percentile" val="50"/>
        <cfvo type="max"/>
        <color rgb="FFF8696B"/>
        <color rgb="FFFFEB84"/>
        <color rgb="FF63BE7B"/>
      </colorScale>
    </cfRule>
  </conditionalFormatting>
  <conditionalFormatting sqref="F2:F82">
    <cfRule type="colorScale" priority="1">
      <colorScale>
        <cfvo type="min"/>
        <cfvo type="percentile" val="50"/>
        <cfvo type="max"/>
        <color rgb="FF63BE7B"/>
        <color rgb="FFFFEB84"/>
        <color rgb="FFF8696B"/>
      </colorScale>
    </cfRule>
  </conditionalFormatting>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7EA80-D1D4-4127-9EB0-C9C921768EA5}">
  <dimension ref="A1:AF85"/>
  <sheetViews>
    <sheetView workbookViewId="0"/>
  </sheetViews>
  <sheetFormatPr defaultRowHeight="15"/>
  <cols>
    <col min="1" max="1" width="8.42578125" bestFit="1" customWidth="1"/>
    <col min="2" max="2" width="32.7109375" bestFit="1" customWidth="1"/>
    <col min="3" max="3" width="12" bestFit="1" customWidth="1"/>
    <col min="4" max="4" width="15.42578125" bestFit="1" customWidth="1"/>
    <col min="5" max="5" width="14" customWidth="1"/>
    <col min="6" max="6" width="23.85546875" bestFit="1" customWidth="1"/>
    <col min="7" max="7" width="21.85546875" customWidth="1"/>
  </cols>
  <sheetData>
    <row r="1" spans="1:32" ht="22.5" customHeight="1">
      <c r="A1" s="15" t="s">
        <v>0</v>
      </c>
      <c r="B1" s="15" t="s">
        <v>1</v>
      </c>
      <c r="C1" s="15" t="s">
        <v>194</v>
      </c>
      <c r="D1" s="15" t="s">
        <v>195</v>
      </c>
      <c r="E1" s="15" t="s">
        <v>196</v>
      </c>
      <c r="F1" s="15" t="s">
        <v>200</v>
      </c>
      <c r="G1" s="15" t="s">
        <v>201</v>
      </c>
    </row>
    <row r="2" spans="1:32">
      <c r="A2" t="s">
        <v>138</v>
      </c>
      <c r="B2" t="s">
        <v>139</v>
      </c>
      <c r="C2" t="s">
        <v>25</v>
      </c>
      <c r="D2" t="s">
        <v>26</v>
      </c>
      <c r="E2" s="9">
        <v>20200</v>
      </c>
      <c r="F2" s="9">
        <v>28752</v>
      </c>
      <c r="G2" s="9">
        <f>IFERROR(Table3[[#This Row],[Total $ Spent Over 5 Yrs]]-Table3[[#This Row],[MSRP]],"")</f>
        <v>8552</v>
      </c>
      <c r="AA2" t="str" cm="1">
        <f t="array" ref="AA2:AF85">_xlfn._xlws.SORT(_xlfn.CHOOSECOLS(Table1[], 1, 2, 3, 4, 5, 23), 5, 1)</f>
        <v>Hyundai</v>
      </c>
      <c r="AB2" t="str">
        <v>Venue</v>
      </c>
      <c r="AC2" t="str">
        <v>SUV</v>
      </c>
      <c r="AD2" t="str">
        <v>Gas</v>
      </c>
      <c r="AE2">
        <v>20200</v>
      </c>
      <c r="AF2">
        <v>28752</v>
      </c>
    </row>
    <row r="3" spans="1:32">
      <c r="A3" t="s">
        <v>138</v>
      </c>
      <c r="B3" t="s">
        <v>162</v>
      </c>
      <c r="C3" t="s">
        <v>47</v>
      </c>
      <c r="D3" t="s">
        <v>26</v>
      </c>
      <c r="E3" s="9">
        <v>22125</v>
      </c>
      <c r="F3" s="9">
        <v>30642</v>
      </c>
      <c r="G3" s="9">
        <f>IFERROR(Table3[[#This Row],[Total $ Spent Over 5 Yrs]]-Table3[[#This Row],[MSRP]],"")</f>
        <v>8517</v>
      </c>
      <c r="AA3" t="str">
        <v>Hyundai</v>
      </c>
      <c r="AB3" t="str">
        <v>Elantra</v>
      </c>
      <c r="AC3" t="str">
        <v>Sedan</v>
      </c>
      <c r="AD3" t="str">
        <v>Gas</v>
      </c>
      <c r="AE3">
        <v>22125</v>
      </c>
      <c r="AF3">
        <v>30642</v>
      </c>
    </row>
    <row r="4" spans="1:32">
      <c r="A4" t="s">
        <v>68</v>
      </c>
      <c r="B4" t="s">
        <v>69</v>
      </c>
      <c r="C4" t="s">
        <v>47</v>
      </c>
      <c r="D4" t="s">
        <v>26</v>
      </c>
      <c r="E4" s="9">
        <v>22325</v>
      </c>
      <c r="F4" s="9">
        <v>31205</v>
      </c>
      <c r="G4" s="9">
        <f>IFERROR(Table3[[#This Row],[Total $ Spent Over 5 Yrs]]-Table3[[#This Row],[MSRP]],"")</f>
        <v>8880</v>
      </c>
      <c r="AA4" t="str">
        <v>Toyota</v>
      </c>
      <c r="AB4" t="str">
        <v>Corolla</v>
      </c>
      <c r="AC4" t="str">
        <v>Sedan</v>
      </c>
      <c r="AD4" t="str">
        <v>Gas</v>
      </c>
      <c r="AE4">
        <v>22325</v>
      </c>
      <c r="AF4">
        <v>31205</v>
      </c>
    </row>
    <row r="5" spans="1:32">
      <c r="A5" t="s">
        <v>68</v>
      </c>
      <c r="B5" t="s">
        <v>72</v>
      </c>
      <c r="C5" t="s">
        <v>47</v>
      </c>
      <c r="D5" t="s">
        <v>26</v>
      </c>
      <c r="E5" s="9">
        <v>23780</v>
      </c>
      <c r="F5" s="9">
        <v>33719</v>
      </c>
      <c r="G5" s="9">
        <f>IFERROR(Table3[[#This Row],[Total $ Spent Over 5 Yrs]]-Table3[[#This Row],[MSRP]],"")</f>
        <v>9939</v>
      </c>
      <c r="AA5" t="str">
        <v>Toyota</v>
      </c>
      <c r="AB5" t="str">
        <v>Corolla Hatchback</v>
      </c>
      <c r="AC5" t="str">
        <v>Sedan</v>
      </c>
      <c r="AD5" t="str">
        <v>Gas</v>
      </c>
      <c r="AE5">
        <v>23780</v>
      </c>
      <c r="AF5">
        <v>33719</v>
      </c>
    </row>
    <row r="6" spans="1:32">
      <c r="A6" t="s">
        <v>68</v>
      </c>
      <c r="B6" t="s">
        <v>70</v>
      </c>
      <c r="C6" t="s">
        <v>47</v>
      </c>
      <c r="D6" t="s">
        <v>32</v>
      </c>
      <c r="E6" s="9">
        <v>23825</v>
      </c>
      <c r="F6" s="9">
        <v>33627</v>
      </c>
      <c r="G6" s="9">
        <f>IFERROR(Table3[[#This Row],[Total $ Spent Over 5 Yrs]]-Table3[[#This Row],[MSRP]],"")</f>
        <v>9802</v>
      </c>
      <c r="AA6" t="str">
        <v>Toyota</v>
      </c>
      <c r="AB6" t="str">
        <v>Corolla Hybrid</v>
      </c>
      <c r="AC6" t="str">
        <v>Sedan</v>
      </c>
      <c r="AD6" t="str">
        <v>Hybrid EV</v>
      </c>
      <c r="AE6">
        <v>23825</v>
      </c>
      <c r="AF6">
        <v>33627</v>
      </c>
    </row>
    <row r="7" spans="1:32">
      <c r="A7" t="s">
        <v>68</v>
      </c>
      <c r="B7" t="s">
        <v>100</v>
      </c>
      <c r="C7" t="s">
        <v>25</v>
      </c>
      <c r="D7" t="s">
        <v>26</v>
      </c>
      <c r="E7" s="9">
        <v>24035</v>
      </c>
      <c r="F7" s="9">
        <v>33591</v>
      </c>
      <c r="G7" s="9">
        <f>IFERROR(Table3[[#This Row],[Total $ Spent Over 5 Yrs]]-Table3[[#This Row],[MSRP]],"")</f>
        <v>9556</v>
      </c>
      <c r="AA7" t="str">
        <v>Toyota</v>
      </c>
      <c r="AB7" t="str">
        <v>Corolla Cross</v>
      </c>
      <c r="AC7" t="str">
        <v>SUV</v>
      </c>
      <c r="AD7" t="str">
        <v>Gas</v>
      </c>
      <c r="AE7">
        <v>24035</v>
      </c>
      <c r="AF7">
        <v>33591</v>
      </c>
    </row>
    <row r="8" spans="1:32">
      <c r="A8" t="s">
        <v>23</v>
      </c>
      <c r="B8" t="s">
        <v>46</v>
      </c>
      <c r="C8" t="s">
        <v>47</v>
      </c>
      <c r="D8" t="s">
        <v>26</v>
      </c>
      <c r="E8" s="9">
        <v>24250</v>
      </c>
      <c r="F8" s="9">
        <v>33566</v>
      </c>
      <c r="G8" s="9">
        <f>IFERROR(Table3[[#This Row],[Total $ Spent Over 5 Yrs]]-Table3[[#This Row],[MSRP]],"")</f>
        <v>9316</v>
      </c>
      <c r="AA8" t="str">
        <v>Honda</v>
      </c>
      <c r="AB8" t="str">
        <v>Civic Sedan</v>
      </c>
      <c r="AC8" t="str">
        <v>Sedan</v>
      </c>
      <c r="AD8" t="str">
        <v>Gas</v>
      </c>
      <c r="AE8">
        <v>24250</v>
      </c>
      <c r="AF8">
        <v>33566</v>
      </c>
    </row>
    <row r="9" spans="1:32">
      <c r="A9" t="s">
        <v>138</v>
      </c>
      <c r="B9" t="s">
        <v>141</v>
      </c>
      <c r="C9" t="s">
        <v>25</v>
      </c>
      <c r="D9" t="s">
        <v>26</v>
      </c>
      <c r="E9" s="9">
        <v>24550</v>
      </c>
      <c r="F9" s="9">
        <v>33812</v>
      </c>
      <c r="G9" s="9">
        <f>IFERROR(Table3[[#This Row],[Total $ Spent Over 5 Yrs]]-Table3[[#This Row],[MSRP]],"")</f>
        <v>9262</v>
      </c>
      <c r="AA9" t="str">
        <v>Hyundai</v>
      </c>
      <c r="AB9" t="str">
        <v>Kona</v>
      </c>
      <c r="AC9" t="str">
        <v>SUV</v>
      </c>
      <c r="AD9" t="str">
        <v>Gas</v>
      </c>
      <c r="AE9">
        <v>24550</v>
      </c>
      <c r="AF9">
        <v>33812</v>
      </c>
    </row>
    <row r="10" spans="1:32">
      <c r="A10" t="s">
        <v>23</v>
      </c>
      <c r="B10" t="s">
        <v>24</v>
      </c>
      <c r="C10" t="s">
        <v>25</v>
      </c>
      <c r="D10" t="s">
        <v>26</v>
      </c>
      <c r="E10" s="9">
        <v>25400</v>
      </c>
      <c r="F10" s="9">
        <v>36547</v>
      </c>
      <c r="G10" s="9">
        <f>IFERROR(Table3[[#This Row],[Total $ Spent Over 5 Yrs]]-Table3[[#This Row],[MSRP]],"")</f>
        <v>11147</v>
      </c>
      <c r="AA10" t="str">
        <v>Honda</v>
      </c>
      <c r="AB10" t="str">
        <v>HR-V</v>
      </c>
      <c r="AC10" t="str">
        <v>SUV</v>
      </c>
      <c r="AD10" t="str">
        <v>Gas</v>
      </c>
      <c r="AE10">
        <v>25400</v>
      </c>
      <c r="AF10">
        <v>36547</v>
      </c>
    </row>
    <row r="11" spans="1:32">
      <c r="A11" t="s">
        <v>138</v>
      </c>
      <c r="B11" t="s">
        <v>163</v>
      </c>
      <c r="C11" t="s">
        <v>47</v>
      </c>
      <c r="D11" t="s">
        <v>32</v>
      </c>
      <c r="E11" s="9">
        <v>25450</v>
      </c>
      <c r="F11" s="9">
        <v>34855</v>
      </c>
      <c r="G11" s="9">
        <f>IFERROR(Table3[[#This Row],[Total $ Spent Over 5 Yrs]]-Table3[[#This Row],[MSRP]],"")</f>
        <v>9405</v>
      </c>
      <c r="AA11" t="str">
        <v>Hyundai</v>
      </c>
      <c r="AB11" t="str">
        <v>Elantra Hybrid</v>
      </c>
      <c r="AC11" t="str">
        <v>Sedan</v>
      </c>
      <c r="AD11" t="str">
        <v>Hybrid EV</v>
      </c>
      <c r="AE11">
        <v>25450</v>
      </c>
      <c r="AF11">
        <v>34855</v>
      </c>
    </row>
    <row r="12" spans="1:32">
      <c r="A12" t="s">
        <v>170</v>
      </c>
      <c r="B12" t="s">
        <v>184</v>
      </c>
      <c r="C12" t="s">
        <v>66</v>
      </c>
      <c r="D12" t="s">
        <v>32</v>
      </c>
      <c r="E12" s="9">
        <v>26420</v>
      </c>
      <c r="F12" s="9">
        <v>37720</v>
      </c>
      <c r="G12" s="9">
        <f>IFERROR(Table3[[#This Row],[Total $ Spent Over 5 Yrs]]-Table3[[#This Row],[MSRP]],"")</f>
        <v>11300</v>
      </c>
      <c r="AA12" t="str">
        <v>Ford</v>
      </c>
      <c r="AB12" t="str">
        <v>Maverick</v>
      </c>
      <c r="AC12" t="str">
        <v>Truck</v>
      </c>
      <c r="AD12" t="str">
        <v>Hybrid EV</v>
      </c>
      <c r="AE12">
        <v>26420</v>
      </c>
      <c r="AF12">
        <v>37720</v>
      </c>
    </row>
    <row r="13" spans="1:32">
      <c r="A13" t="s">
        <v>138</v>
      </c>
      <c r="B13" t="s">
        <v>167</v>
      </c>
      <c r="C13" t="s">
        <v>47</v>
      </c>
      <c r="D13" t="s">
        <v>32</v>
      </c>
      <c r="E13" s="9">
        <v>26900</v>
      </c>
      <c r="F13" s="9">
        <v>34450</v>
      </c>
      <c r="G13" s="9">
        <f>IFERROR(Table3[[#This Row],[Total $ Spent Over 5 Yrs]]-Table3[[#This Row],[MSRP]],"")</f>
        <v>7550</v>
      </c>
      <c r="AA13" t="str">
        <v>Hyundai</v>
      </c>
      <c r="AB13" t="str">
        <v>Sonata Gas &amp; Hybrid</v>
      </c>
      <c r="AC13" t="str">
        <v>Sedan</v>
      </c>
      <c r="AD13" t="str">
        <v>Hybrid EV</v>
      </c>
      <c r="AE13">
        <v>26900</v>
      </c>
      <c r="AF13">
        <v>34450</v>
      </c>
    </row>
    <row r="14" spans="1:32">
      <c r="A14" t="s">
        <v>23</v>
      </c>
      <c r="B14" t="s">
        <v>57</v>
      </c>
      <c r="C14" t="s">
        <v>58</v>
      </c>
      <c r="D14" t="s">
        <v>26</v>
      </c>
      <c r="E14" s="9">
        <v>27450</v>
      </c>
      <c r="F14" s="9">
        <v>37014</v>
      </c>
      <c r="G14" s="9">
        <f>IFERROR(Table3[[#This Row],[Total $ Spent Over 5 Yrs]]-Table3[[#This Row],[MSRP]],"")</f>
        <v>9564</v>
      </c>
      <c r="AA14" t="str">
        <v>Honda</v>
      </c>
      <c r="AB14" t="str">
        <v>Civic Hatchback</v>
      </c>
      <c r="AC14" t="str">
        <v>Hatchback</v>
      </c>
      <c r="AD14" t="str">
        <v>Gas</v>
      </c>
      <c r="AE14">
        <v>27450</v>
      </c>
      <c r="AF14">
        <v>37014</v>
      </c>
    </row>
    <row r="15" spans="1:32">
      <c r="A15" t="s">
        <v>23</v>
      </c>
      <c r="B15" t="s">
        <v>53</v>
      </c>
      <c r="C15" t="s">
        <v>47</v>
      </c>
      <c r="D15" t="s">
        <v>26</v>
      </c>
      <c r="E15" s="9">
        <v>28295</v>
      </c>
      <c r="F15" s="9">
        <v>38858</v>
      </c>
      <c r="G15" s="9">
        <f>IFERROR(Table3[[#This Row],[Total $ Spent Over 5 Yrs]]-Table3[[#This Row],[MSRP]],"")</f>
        <v>10563</v>
      </c>
      <c r="AA15" t="str">
        <v>Honda</v>
      </c>
      <c r="AB15" t="str">
        <v>Accord</v>
      </c>
      <c r="AC15" t="str">
        <v>Sedan</v>
      </c>
      <c r="AD15" t="str">
        <v>Gas</v>
      </c>
      <c r="AE15">
        <v>28295</v>
      </c>
      <c r="AF15">
        <v>38858</v>
      </c>
    </row>
    <row r="16" spans="1:32">
      <c r="A16" t="s">
        <v>68</v>
      </c>
      <c r="B16" t="s">
        <v>73</v>
      </c>
      <c r="C16" t="s">
        <v>47</v>
      </c>
      <c r="D16" t="s">
        <v>32</v>
      </c>
      <c r="E16" s="9">
        <v>28350</v>
      </c>
      <c r="F16" s="9">
        <v>38425</v>
      </c>
      <c r="G16" s="9">
        <f>IFERROR(Table3[[#This Row],[Total $ Spent Over 5 Yrs]]-Table3[[#This Row],[MSRP]],"")</f>
        <v>10075</v>
      </c>
      <c r="AA16" t="str">
        <v>Toyota</v>
      </c>
      <c r="AB16" t="str">
        <v>Prius</v>
      </c>
      <c r="AC16" t="str">
        <v>Sedan</v>
      </c>
      <c r="AD16" t="str">
        <v>Hybrid EV</v>
      </c>
      <c r="AE16">
        <v>28350</v>
      </c>
      <c r="AF16">
        <v>38425</v>
      </c>
    </row>
    <row r="17" spans="1:32">
      <c r="A17" t="s">
        <v>68</v>
      </c>
      <c r="B17" t="s">
        <v>102</v>
      </c>
      <c r="C17" t="s">
        <v>25</v>
      </c>
      <c r="D17" t="s">
        <v>32</v>
      </c>
      <c r="E17" s="9">
        <v>28395</v>
      </c>
      <c r="F17" s="9">
        <v>35837</v>
      </c>
      <c r="G17" s="9">
        <f>IFERROR(Table3[[#This Row],[Total $ Spent Over 5 Yrs]]-Table3[[#This Row],[MSRP]],"")</f>
        <v>7442</v>
      </c>
      <c r="AA17" t="str">
        <v>Toyota</v>
      </c>
      <c r="AB17" t="str">
        <v>Corolla Cross Hybrid</v>
      </c>
      <c r="AC17" t="str">
        <v>SUV</v>
      </c>
      <c r="AD17" t="str">
        <v>Hybrid EV</v>
      </c>
      <c r="AE17">
        <v>28395</v>
      </c>
      <c r="AF17">
        <v>35837</v>
      </c>
    </row>
    <row r="18" spans="1:32">
      <c r="A18" t="s">
        <v>68</v>
      </c>
      <c r="B18" t="s">
        <v>78</v>
      </c>
      <c r="C18" t="s">
        <v>47</v>
      </c>
      <c r="D18" t="s">
        <v>32</v>
      </c>
      <c r="E18" s="9">
        <v>28700</v>
      </c>
      <c r="F18" s="9">
        <v>37220</v>
      </c>
      <c r="G18" s="9">
        <f>IFERROR(Table3[[#This Row],[Total $ Spent Over 5 Yrs]]-Table3[[#This Row],[MSRP]],"")</f>
        <v>8520</v>
      </c>
      <c r="AA18" t="str">
        <v>Toyota</v>
      </c>
      <c r="AB18" t="str">
        <v>Camry</v>
      </c>
      <c r="AC18" t="str">
        <v>Sedan</v>
      </c>
      <c r="AD18" t="str">
        <v>Hybrid EV</v>
      </c>
      <c r="AE18">
        <v>28700</v>
      </c>
      <c r="AF18">
        <v>37220</v>
      </c>
    </row>
    <row r="19" spans="1:32">
      <c r="A19" t="s">
        <v>138</v>
      </c>
      <c r="B19" t="s">
        <v>147</v>
      </c>
      <c r="C19" t="s">
        <v>25</v>
      </c>
      <c r="D19" t="s">
        <v>26</v>
      </c>
      <c r="E19" s="9">
        <v>28705</v>
      </c>
      <c r="F19" s="9">
        <v>37842</v>
      </c>
      <c r="G19" s="9">
        <f>IFERROR(Table3[[#This Row],[Total $ Spent Over 5 Yrs]]-Table3[[#This Row],[MSRP]],"")</f>
        <v>9137</v>
      </c>
      <c r="AA19" t="str">
        <v>Hyundai</v>
      </c>
      <c r="AB19" t="str">
        <v>Tucson</v>
      </c>
      <c r="AC19" t="str">
        <v>SUV</v>
      </c>
      <c r="AD19" t="str">
        <v>Gas</v>
      </c>
      <c r="AE19">
        <v>28705</v>
      </c>
      <c r="AF19">
        <v>37842</v>
      </c>
    </row>
    <row r="20" spans="1:32">
      <c r="A20" t="s">
        <v>138</v>
      </c>
      <c r="B20" t="s">
        <v>145</v>
      </c>
      <c r="C20" t="s">
        <v>25</v>
      </c>
      <c r="D20" t="s">
        <v>26</v>
      </c>
      <c r="E20" s="9">
        <v>28750</v>
      </c>
      <c r="F20" s="9">
        <v>38783</v>
      </c>
      <c r="G20" s="9">
        <f>IFERROR(Table3[[#This Row],[Total $ Spent Over 5 Yrs]]-Table3[[#This Row],[MSRP]],"")</f>
        <v>10033</v>
      </c>
      <c r="AA20" t="str">
        <v>Hyundai</v>
      </c>
      <c r="AB20" t="str">
        <v>Santa Cruz</v>
      </c>
      <c r="AC20" t="str">
        <v>SUV</v>
      </c>
      <c r="AD20" t="str">
        <v>Gas</v>
      </c>
      <c r="AE20">
        <v>28750</v>
      </c>
      <c r="AF20">
        <v>38783</v>
      </c>
    </row>
    <row r="21" spans="1:32">
      <c r="A21" t="s">
        <v>23</v>
      </c>
      <c r="B21" t="s">
        <v>49</v>
      </c>
      <c r="C21" t="s">
        <v>47</v>
      </c>
      <c r="D21" t="s">
        <v>32</v>
      </c>
      <c r="E21" s="9">
        <v>28950</v>
      </c>
      <c r="F21" s="9">
        <v>37040</v>
      </c>
      <c r="G21" s="9">
        <f>IFERROR(Table3[[#This Row],[Total $ Spent Over 5 Yrs]]-Table3[[#This Row],[MSRP]],"")</f>
        <v>8090</v>
      </c>
      <c r="AA21" t="str">
        <v>Honda</v>
      </c>
      <c r="AB21" t="str">
        <v>Civic Sedan Hybrid</v>
      </c>
      <c r="AC21" t="str">
        <v>Sedan</v>
      </c>
      <c r="AD21" t="str">
        <v>Hybrid EV</v>
      </c>
      <c r="AE21">
        <v>28950</v>
      </c>
      <c r="AF21">
        <v>37040</v>
      </c>
    </row>
    <row r="22" spans="1:32">
      <c r="A22" t="s">
        <v>68</v>
      </c>
      <c r="B22" t="s">
        <v>104</v>
      </c>
      <c r="C22" t="s">
        <v>25</v>
      </c>
      <c r="D22" t="s">
        <v>26</v>
      </c>
      <c r="E22" s="9">
        <v>29250</v>
      </c>
      <c r="F22" s="9">
        <v>39630</v>
      </c>
      <c r="G22" s="9">
        <f>IFERROR(Table3[[#This Row],[Total $ Spent Over 5 Yrs]]-Table3[[#This Row],[MSRP]],"")</f>
        <v>10380</v>
      </c>
      <c r="AA22" t="str">
        <v>Toyota</v>
      </c>
      <c r="AB22" t="str">
        <v>RAV4</v>
      </c>
      <c r="AC22" t="str">
        <v>SUV</v>
      </c>
      <c r="AD22" t="str">
        <v>Gas</v>
      </c>
      <c r="AE22">
        <v>29250</v>
      </c>
      <c r="AF22">
        <v>39630</v>
      </c>
    </row>
    <row r="23" spans="1:32">
      <c r="A23" t="s">
        <v>170</v>
      </c>
      <c r="B23" t="s">
        <v>175</v>
      </c>
      <c r="C23" t="s">
        <v>25</v>
      </c>
      <c r="D23" t="s">
        <v>26</v>
      </c>
      <c r="E23" s="9">
        <v>29795</v>
      </c>
      <c r="F23" s="9">
        <v>39707</v>
      </c>
      <c r="G23" s="9">
        <f>IFERROR(Table3[[#This Row],[Total $ Spent Over 5 Yrs]]-Table3[[#This Row],[MSRP]],"")</f>
        <v>9912</v>
      </c>
      <c r="AA23" t="str">
        <v>Ford</v>
      </c>
      <c r="AB23" t="str">
        <v>Bronco Sport</v>
      </c>
      <c r="AC23" t="str">
        <v>SUV</v>
      </c>
      <c r="AD23" t="str">
        <v>Gas</v>
      </c>
      <c r="AE23">
        <v>29795</v>
      </c>
      <c r="AF23">
        <v>39707</v>
      </c>
    </row>
    <row r="24" spans="1:32">
      <c r="A24" t="s">
        <v>68</v>
      </c>
      <c r="B24" t="s">
        <v>86</v>
      </c>
      <c r="C24" t="s">
        <v>47</v>
      </c>
      <c r="D24" t="s">
        <v>26</v>
      </c>
      <c r="E24" s="9">
        <v>30000</v>
      </c>
      <c r="F24" s="9">
        <v>44791</v>
      </c>
      <c r="G24" s="9">
        <f>IFERROR(Table3[[#This Row],[Total $ Spent Over 5 Yrs]]-Table3[[#This Row],[MSRP]],"")</f>
        <v>14791</v>
      </c>
      <c r="AA24" t="str">
        <v>Toyota</v>
      </c>
      <c r="AB24" t="str">
        <v>GR86</v>
      </c>
      <c r="AC24" t="str">
        <v>Sedan</v>
      </c>
      <c r="AD24" t="str">
        <v>Gas</v>
      </c>
      <c r="AE24">
        <v>30000</v>
      </c>
      <c r="AF24">
        <v>44791</v>
      </c>
    </row>
    <row r="25" spans="1:32">
      <c r="A25" t="s">
        <v>23</v>
      </c>
      <c r="B25" t="s">
        <v>29</v>
      </c>
      <c r="C25" t="s">
        <v>25</v>
      </c>
      <c r="D25" t="s">
        <v>26</v>
      </c>
      <c r="E25" s="9">
        <v>30100</v>
      </c>
      <c r="F25" s="9">
        <v>40604</v>
      </c>
      <c r="G25" s="9">
        <f>IFERROR(Table3[[#This Row],[Total $ Spent Over 5 Yrs]]-Table3[[#This Row],[MSRP]],"")</f>
        <v>10504</v>
      </c>
      <c r="AA25" t="str">
        <v>Honda</v>
      </c>
      <c r="AB25" t="str">
        <v>CR-V</v>
      </c>
      <c r="AC25" t="str">
        <v>SUV</v>
      </c>
      <c r="AD25" t="str">
        <v>Gas</v>
      </c>
      <c r="AE25">
        <v>30100</v>
      </c>
      <c r="AF25">
        <v>40604</v>
      </c>
    </row>
    <row r="26" spans="1:32">
      <c r="A26" t="s">
        <v>23</v>
      </c>
      <c r="B26" t="s">
        <v>60</v>
      </c>
      <c r="C26" t="s">
        <v>58</v>
      </c>
      <c r="D26" t="s">
        <v>32</v>
      </c>
      <c r="E26" s="9">
        <v>30150</v>
      </c>
      <c r="F26" s="9">
        <v>38200</v>
      </c>
      <c r="G26" s="9">
        <f>IFERROR(Table3[[#This Row],[Total $ Spent Over 5 Yrs]]-Table3[[#This Row],[MSRP]],"")</f>
        <v>8050</v>
      </c>
      <c r="AA26" t="str">
        <v>Honda</v>
      </c>
      <c r="AB26" t="str">
        <v>Civic Hatchback Hybrid</v>
      </c>
      <c r="AC26" t="str">
        <v>Hatchback</v>
      </c>
      <c r="AD26" t="str">
        <v>Hybrid EV</v>
      </c>
      <c r="AE26">
        <v>30150</v>
      </c>
      <c r="AF26">
        <v>38200</v>
      </c>
    </row>
    <row r="27" spans="1:32">
      <c r="A27" t="s">
        <v>23</v>
      </c>
      <c r="B27" t="s">
        <v>51</v>
      </c>
      <c r="C27" t="s">
        <v>47</v>
      </c>
      <c r="D27" t="s">
        <v>26</v>
      </c>
      <c r="E27" s="9">
        <v>30250</v>
      </c>
      <c r="F27" s="9">
        <v>40128</v>
      </c>
      <c r="G27" s="9">
        <f>IFERROR(Table3[[#This Row],[Total $ Spent Over 5 Yrs]]-Table3[[#This Row],[MSRP]],"")</f>
        <v>9878</v>
      </c>
      <c r="AA27" t="str">
        <v>Honda</v>
      </c>
      <c r="AB27" t="str">
        <v>Civic Si Sedan</v>
      </c>
      <c r="AC27" t="str">
        <v>Sedan</v>
      </c>
      <c r="AD27" t="str">
        <v>Gas</v>
      </c>
      <c r="AE27">
        <v>30250</v>
      </c>
      <c r="AF27">
        <v>40128</v>
      </c>
    </row>
    <row r="28" spans="1:32">
      <c r="A28" t="s">
        <v>68</v>
      </c>
      <c r="B28" t="s">
        <v>94</v>
      </c>
      <c r="C28" t="s">
        <v>66</v>
      </c>
      <c r="D28" t="s">
        <v>26</v>
      </c>
      <c r="E28" s="9">
        <v>31590</v>
      </c>
      <c r="F28" s="9">
        <v>43309</v>
      </c>
      <c r="G28" s="9">
        <f>IFERROR(Table3[[#This Row],[Total $ Spent Over 5 Yrs]]-Table3[[#This Row],[MSRP]],"")</f>
        <v>11719</v>
      </c>
      <c r="AA28" t="str">
        <v>Toyota</v>
      </c>
      <c r="AB28" t="str">
        <v>Tacoma</v>
      </c>
      <c r="AC28" t="str">
        <v>Truck</v>
      </c>
      <c r="AD28" t="str">
        <v>Gas</v>
      </c>
      <c r="AE28">
        <v>31590</v>
      </c>
      <c r="AF28">
        <v>43309</v>
      </c>
    </row>
    <row r="29" spans="1:32">
      <c r="A29" t="s">
        <v>170</v>
      </c>
      <c r="B29" t="s">
        <v>171</v>
      </c>
      <c r="C29" t="s">
        <v>47</v>
      </c>
      <c r="D29" t="s">
        <v>26</v>
      </c>
      <c r="E29" s="9">
        <v>31920</v>
      </c>
      <c r="F29" s="9">
        <v>44256</v>
      </c>
      <c r="G29" s="9">
        <f>IFERROR(Table3[[#This Row],[Total $ Spent Over 5 Yrs]]-Table3[[#This Row],[MSRP]],"")</f>
        <v>12336</v>
      </c>
      <c r="AA29" t="str">
        <v>Ford</v>
      </c>
      <c r="AB29" t="str">
        <v>Mustang</v>
      </c>
      <c r="AC29" t="str">
        <v>Sedan</v>
      </c>
      <c r="AD29" t="str">
        <v>Gas</v>
      </c>
      <c r="AE29">
        <v>31920</v>
      </c>
      <c r="AF29">
        <v>44256</v>
      </c>
    </row>
    <row r="30" spans="1:32">
      <c r="A30" t="s">
        <v>68</v>
      </c>
      <c r="B30" t="s">
        <v>106</v>
      </c>
      <c r="C30" t="s">
        <v>25</v>
      </c>
      <c r="D30" t="s">
        <v>32</v>
      </c>
      <c r="E30" s="9">
        <v>32300</v>
      </c>
      <c r="F30" s="9">
        <v>43097</v>
      </c>
      <c r="G30" s="9">
        <f>IFERROR(Table3[[#This Row],[Total $ Spent Over 5 Yrs]]-Table3[[#This Row],[MSRP]],"")</f>
        <v>10797</v>
      </c>
      <c r="AA30" t="str">
        <v>Toyota</v>
      </c>
      <c r="AB30" t="str">
        <v>RAV4 Hybrid</v>
      </c>
      <c r="AC30" t="str">
        <v>SUV</v>
      </c>
      <c r="AD30" t="str">
        <v>Hybrid EV</v>
      </c>
      <c r="AE30">
        <v>32300</v>
      </c>
      <c r="AF30">
        <v>43097</v>
      </c>
    </row>
    <row r="31" spans="1:32">
      <c r="A31" t="s">
        <v>170</v>
      </c>
      <c r="B31" t="s">
        <v>186</v>
      </c>
      <c r="C31" t="s">
        <v>66</v>
      </c>
      <c r="D31" t="s">
        <v>26</v>
      </c>
      <c r="E31" s="9">
        <v>32820</v>
      </c>
      <c r="F31" s="9">
        <v>43870</v>
      </c>
      <c r="G31" s="9">
        <f>IFERROR(Table3[[#This Row],[Total $ Spent Over 5 Yrs]]-Table3[[#This Row],[MSRP]],"")</f>
        <v>11050</v>
      </c>
      <c r="AA31" t="str">
        <v>Ford</v>
      </c>
      <c r="AB31" t="str">
        <v>Ranger</v>
      </c>
      <c r="AC31" t="str">
        <v>Truck</v>
      </c>
      <c r="AD31" t="str">
        <v>Gas</v>
      </c>
      <c r="AE31">
        <v>32820</v>
      </c>
      <c r="AF31">
        <v>43870</v>
      </c>
    </row>
    <row r="32" spans="1:32">
      <c r="A32" t="s">
        <v>170</v>
      </c>
      <c r="B32" t="s">
        <v>173</v>
      </c>
      <c r="C32" t="s">
        <v>25</v>
      </c>
      <c r="D32" t="s">
        <v>32</v>
      </c>
      <c r="E32" s="9">
        <v>32830</v>
      </c>
      <c r="F32" s="9">
        <v>43197</v>
      </c>
      <c r="G32" s="9">
        <f>IFERROR(Table3[[#This Row],[Total $ Spent Over 5 Yrs]]-Table3[[#This Row],[MSRP]],"")</f>
        <v>10367</v>
      </c>
      <c r="AA32" t="str">
        <v>Ford</v>
      </c>
      <c r="AB32" t="str">
        <v>Escape Hybrid</v>
      </c>
      <c r="AC32" t="str">
        <v>SUV</v>
      </c>
      <c r="AD32" t="str">
        <v>Hybrid EV</v>
      </c>
      <c r="AE32">
        <v>32830</v>
      </c>
      <c r="AF32">
        <v>43197</v>
      </c>
    </row>
    <row r="33" spans="1:32">
      <c r="A33" t="s">
        <v>138</v>
      </c>
      <c r="B33" t="s">
        <v>143</v>
      </c>
      <c r="C33" t="s">
        <v>25</v>
      </c>
      <c r="D33" t="s">
        <v>39</v>
      </c>
      <c r="E33" s="9">
        <v>32975</v>
      </c>
      <c r="F33" s="9">
        <v>41379</v>
      </c>
      <c r="G33" s="9">
        <f>IFERROR(Table3[[#This Row],[Total $ Spent Over 5 Yrs]]-Table3[[#This Row],[MSRP]],"")</f>
        <v>8404</v>
      </c>
      <c r="AA33" t="str">
        <v>Hyundai</v>
      </c>
      <c r="AB33" t="str">
        <v>Kona Electric</v>
      </c>
      <c r="AC33" t="str">
        <v>SUV</v>
      </c>
      <c r="AD33" t="str">
        <v>Battery EV</v>
      </c>
      <c r="AE33">
        <v>32975</v>
      </c>
      <c r="AF33">
        <v>41379</v>
      </c>
    </row>
    <row r="34" spans="1:32">
      <c r="A34" t="s">
        <v>68</v>
      </c>
      <c r="B34" t="s">
        <v>75</v>
      </c>
      <c r="C34" t="s">
        <v>47</v>
      </c>
      <c r="D34" t="s">
        <v>76</v>
      </c>
      <c r="E34" s="9">
        <v>33375</v>
      </c>
      <c r="F34" s="9">
        <v>32975</v>
      </c>
      <c r="G34" s="9">
        <f>IFERROR(Table3[[#This Row],[Total $ Spent Over 5 Yrs]]-Table3[[#This Row],[MSRP]],"")</f>
        <v>-400</v>
      </c>
      <c r="AA34" t="str">
        <v>Toyota</v>
      </c>
      <c r="AB34" t="str">
        <v>Prius Plug-in Hybrid</v>
      </c>
      <c r="AC34" t="str">
        <v>Sedan</v>
      </c>
      <c r="AD34" t="str">
        <v>Plug-in Hybrid EV</v>
      </c>
      <c r="AE34">
        <v>33375</v>
      </c>
      <c r="AF34">
        <v>32975</v>
      </c>
    </row>
    <row r="35" spans="1:32">
      <c r="A35" t="s">
        <v>138</v>
      </c>
      <c r="B35" t="s">
        <v>148</v>
      </c>
      <c r="C35" t="s">
        <v>25</v>
      </c>
      <c r="D35" t="s">
        <v>32</v>
      </c>
      <c r="E35" s="9">
        <v>33465</v>
      </c>
      <c r="F35" s="9">
        <v>43294</v>
      </c>
      <c r="G35" s="9">
        <f>IFERROR(Table3[[#This Row],[Total $ Spent Over 5 Yrs]]-Table3[[#This Row],[MSRP]],"")</f>
        <v>9829</v>
      </c>
      <c r="AA35" t="str">
        <v>Hyundai</v>
      </c>
      <c r="AB35" t="str">
        <v>Tucson Hybrid</v>
      </c>
      <c r="AC35" t="str">
        <v>SUV</v>
      </c>
      <c r="AD35" t="str">
        <v>Hybrid EV</v>
      </c>
      <c r="AE35">
        <v>33465</v>
      </c>
      <c r="AF35">
        <v>43294</v>
      </c>
    </row>
    <row r="36" spans="1:32">
      <c r="A36" t="s">
        <v>23</v>
      </c>
      <c r="B36" t="s">
        <v>55</v>
      </c>
      <c r="C36" t="s">
        <v>47</v>
      </c>
      <c r="D36" t="s">
        <v>32</v>
      </c>
      <c r="E36" s="9">
        <v>33655</v>
      </c>
      <c r="F36" s="9">
        <v>43718</v>
      </c>
      <c r="G36" s="9">
        <f>IFERROR(Table3[[#This Row],[Total $ Spent Over 5 Yrs]]-Table3[[#This Row],[MSRP]],"")</f>
        <v>10063</v>
      </c>
      <c r="AA36" t="str">
        <v>Honda</v>
      </c>
      <c r="AB36" t="str">
        <v>Accord Hybrid</v>
      </c>
      <c r="AC36" t="str">
        <v>Sedan</v>
      </c>
      <c r="AD36" t="str">
        <v>Hybrid EV</v>
      </c>
      <c r="AE36">
        <v>33655</v>
      </c>
      <c r="AF36">
        <v>43718</v>
      </c>
    </row>
    <row r="37" spans="1:32">
      <c r="A37" t="s">
        <v>138</v>
      </c>
      <c r="B37" t="s">
        <v>151</v>
      </c>
      <c r="C37" t="s">
        <v>25</v>
      </c>
      <c r="D37" t="s">
        <v>26</v>
      </c>
      <c r="E37" s="9">
        <v>34300</v>
      </c>
      <c r="F37" s="9">
        <v>45697</v>
      </c>
      <c r="G37" s="9">
        <f>IFERROR(Table3[[#This Row],[Total $ Spent Over 5 Yrs]]-Table3[[#This Row],[MSRP]],"")</f>
        <v>11397</v>
      </c>
      <c r="AA37" t="str">
        <v>Hyundai</v>
      </c>
      <c r="AB37" t="str">
        <v>Santa Fe</v>
      </c>
      <c r="AC37" t="str">
        <v>SUV</v>
      </c>
      <c r="AD37" t="str">
        <v>Gas</v>
      </c>
      <c r="AE37">
        <v>34300</v>
      </c>
      <c r="AF37">
        <v>45697</v>
      </c>
    </row>
    <row r="38" spans="1:32">
      <c r="A38" t="s">
        <v>138</v>
      </c>
      <c r="B38" t="s">
        <v>165</v>
      </c>
      <c r="C38" t="s">
        <v>47</v>
      </c>
      <c r="D38" t="s">
        <v>26</v>
      </c>
      <c r="E38" s="9">
        <v>34350</v>
      </c>
      <c r="F38" s="9">
        <v>45446</v>
      </c>
      <c r="G38" s="9">
        <f>IFERROR(Table3[[#This Row],[Total $ Spent Over 5 Yrs]]-Table3[[#This Row],[MSRP]],"")</f>
        <v>11096</v>
      </c>
      <c r="AA38" t="str">
        <v>Hyundai</v>
      </c>
      <c r="AB38" t="str">
        <v>Elantra N</v>
      </c>
      <c r="AC38" t="str">
        <v>Sedan</v>
      </c>
      <c r="AD38" t="str">
        <v>Gas</v>
      </c>
      <c r="AE38">
        <v>34350</v>
      </c>
      <c r="AF38">
        <v>45446</v>
      </c>
    </row>
    <row r="39" spans="1:32">
      <c r="A39" t="s">
        <v>126</v>
      </c>
      <c r="B39" t="s">
        <v>129</v>
      </c>
      <c r="C39" t="s">
        <v>47</v>
      </c>
      <c r="D39" t="s">
        <v>39</v>
      </c>
      <c r="E39" s="9">
        <v>34490</v>
      </c>
      <c r="F39" s="9">
        <v>34891</v>
      </c>
      <c r="G39" s="9">
        <f>IFERROR(Table3[[#This Row],[Total $ Spent Over 5 Yrs]]-Table3[[#This Row],[MSRP]],"")</f>
        <v>401</v>
      </c>
      <c r="AA39" t="str">
        <v>Tesla</v>
      </c>
      <c r="AB39" t="str">
        <v>Model Y (Long Range All-Wheel Drive)</v>
      </c>
      <c r="AC39" t="str">
        <v>Sedan</v>
      </c>
      <c r="AD39" t="str">
        <v>Battery EV</v>
      </c>
      <c r="AE39">
        <v>34490</v>
      </c>
      <c r="AF39">
        <v>34891</v>
      </c>
    </row>
    <row r="40" spans="1:32">
      <c r="A40" t="s">
        <v>23</v>
      </c>
      <c r="B40" t="s">
        <v>31</v>
      </c>
      <c r="C40" t="s">
        <v>25</v>
      </c>
      <c r="D40" t="s">
        <v>32</v>
      </c>
      <c r="E40" s="9">
        <v>34650</v>
      </c>
      <c r="F40" s="9">
        <v>45327</v>
      </c>
      <c r="G40" s="9">
        <f>IFERROR(Table3[[#This Row],[Total $ Spent Over 5 Yrs]]-Table3[[#This Row],[MSRP]],"")</f>
        <v>10677</v>
      </c>
      <c r="AA40" t="str">
        <v>Honda</v>
      </c>
      <c r="AB40" t="str">
        <v>CR-V Hybrid</v>
      </c>
      <c r="AC40" t="str">
        <v>SUV</v>
      </c>
      <c r="AD40" t="str">
        <v>Hybrid EV</v>
      </c>
      <c r="AE40">
        <v>34650</v>
      </c>
      <c r="AF40">
        <v>45327</v>
      </c>
    </row>
    <row r="41" spans="1:32">
      <c r="A41" t="s">
        <v>126</v>
      </c>
      <c r="B41" t="s">
        <v>127</v>
      </c>
      <c r="C41" t="s">
        <v>47</v>
      </c>
      <c r="D41" t="s">
        <v>39</v>
      </c>
      <c r="E41" s="9">
        <v>34990</v>
      </c>
      <c r="F41" s="9">
        <v>37865</v>
      </c>
      <c r="G41" s="9">
        <f>IFERROR(Table3[[#This Row],[Total $ Spent Over 5 Yrs]]-Table3[[#This Row],[MSRP]],"")</f>
        <v>2875</v>
      </c>
      <c r="AA41" t="str">
        <v>Tesla</v>
      </c>
      <c r="AB41" t="str">
        <v>Model 3 (Long Range All-Wheel Drive)</v>
      </c>
      <c r="AC41" t="str">
        <v>Sedan</v>
      </c>
      <c r="AD41" t="str">
        <v>Battery EV</v>
      </c>
      <c r="AE41">
        <v>34990</v>
      </c>
      <c r="AF41">
        <v>37865</v>
      </c>
    </row>
    <row r="42" spans="1:32">
      <c r="A42" t="s">
        <v>68</v>
      </c>
      <c r="B42" t="s">
        <v>116</v>
      </c>
      <c r="C42" t="s">
        <v>25</v>
      </c>
      <c r="D42" t="s">
        <v>39</v>
      </c>
      <c r="E42" s="9">
        <v>37070</v>
      </c>
      <c r="F42" s="9">
        <v>38605</v>
      </c>
      <c r="G42" s="9">
        <f>IFERROR(Table3[[#This Row],[Total $ Spent Over 5 Yrs]]-Table3[[#This Row],[MSRP]],"")</f>
        <v>1535</v>
      </c>
      <c r="AA42" t="str">
        <v>Toyota</v>
      </c>
      <c r="AB42" t="str">
        <v>bZ4X</v>
      </c>
      <c r="AC42" t="str">
        <v>SUV</v>
      </c>
      <c r="AD42" t="str">
        <v>Battery EV</v>
      </c>
      <c r="AE42">
        <v>37070</v>
      </c>
      <c r="AF42">
        <v>38605</v>
      </c>
    </row>
    <row r="43" spans="1:32">
      <c r="A43" t="s">
        <v>138</v>
      </c>
      <c r="B43" t="s">
        <v>155</v>
      </c>
      <c r="C43" t="s">
        <v>25</v>
      </c>
      <c r="D43" t="s">
        <v>26</v>
      </c>
      <c r="E43" s="9">
        <v>37200</v>
      </c>
      <c r="F43" s="9">
        <v>47959</v>
      </c>
      <c r="G43" s="9">
        <f>IFERROR(Table3[[#This Row],[Total $ Spent Over 5 Yrs]]-Table3[[#This Row],[MSRP]],"")</f>
        <v>10759</v>
      </c>
      <c r="AA43" t="str">
        <v>Hyundai</v>
      </c>
      <c r="AB43" t="str">
        <v>Palisade</v>
      </c>
      <c r="AC43" t="str">
        <v>SUV</v>
      </c>
      <c r="AD43" t="str">
        <v>Gas</v>
      </c>
      <c r="AE43">
        <v>37200</v>
      </c>
      <c r="AF43">
        <v>47959</v>
      </c>
    </row>
    <row r="44" spans="1:32">
      <c r="A44" t="s">
        <v>138</v>
      </c>
      <c r="B44" t="s">
        <v>153</v>
      </c>
      <c r="C44" t="s">
        <v>25</v>
      </c>
      <c r="D44" t="s">
        <v>32</v>
      </c>
      <c r="E44" s="9">
        <v>37800</v>
      </c>
      <c r="F44" s="9">
        <v>48100</v>
      </c>
      <c r="G44" s="9">
        <f>IFERROR(Table3[[#This Row],[Total $ Spent Over 5 Yrs]]-Table3[[#This Row],[MSRP]],"")</f>
        <v>10300</v>
      </c>
      <c r="AA44" t="str">
        <v>Hyundai</v>
      </c>
      <c r="AB44" t="str">
        <v>Santa Fe Hybrid</v>
      </c>
      <c r="AC44" t="str">
        <v>SUV</v>
      </c>
      <c r="AD44" t="str">
        <v>Hybrid EV</v>
      </c>
      <c r="AE44">
        <v>37800</v>
      </c>
      <c r="AF44">
        <v>48100</v>
      </c>
    </row>
    <row r="45" spans="1:32">
      <c r="A45" t="s">
        <v>138</v>
      </c>
      <c r="B45" t="s">
        <v>169</v>
      </c>
      <c r="C45" t="s">
        <v>47</v>
      </c>
      <c r="D45" t="s">
        <v>39</v>
      </c>
      <c r="E45" s="9">
        <v>37850</v>
      </c>
      <c r="F45" s="9">
        <v>48356</v>
      </c>
      <c r="G45" s="9">
        <f>IFERROR(Table3[[#This Row],[Total $ Spent Over 5 Yrs]]-Table3[[#This Row],[MSRP]],"")</f>
        <v>10506</v>
      </c>
      <c r="AA45" t="str">
        <v>Hyundai</v>
      </c>
      <c r="AB45" t="str">
        <v>Ioniq 6</v>
      </c>
      <c r="AC45" t="str">
        <v>Sedan</v>
      </c>
      <c r="AD45" t="str">
        <v>Battery EV</v>
      </c>
      <c r="AE45">
        <v>37850</v>
      </c>
      <c r="AF45">
        <v>48356</v>
      </c>
    </row>
    <row r="46" spans="1:32">
      <c r="A46" t="s">
        <v>170</v>
      </c>
      <c r="B46" t="s">
        <v>180</v>
      </c>
      <c r="C46" t="s">
        <v>25</v>
      </c>
      <c r="D46" t="s">
        <v>26</v>
      </c>
      <c r="E46" s="9">
        <v>38465</v>
      </c>
      <c r="F46" s="9">
        <v>50157</v>
      </c>
      <c r="G46" s="9">
        <f>IFERROR(Table3[[#This Row],[Total $ Spent Over 5 Yrs]]-Table3[[#This Row],[MSRP]],"")</f>
        <v>11692</v>
      </c>
      <c r="AA46" t="str">
        <v>Ford</v>
      </c>
      <c r="AB46" t="str">
        <v>Edge</v>
      </c>
      <c r="AC46" t="str">
        <v>SUV</v>
      </c>
      <c r="AD46" t="str">
        <v>Gas</v>
      </c>
      <c r="AE46">
        <v>38465</v>
      </c>
      <c r="AF46">
        <v>50157</v>
      </c>
    </row>
    <row r="47" spans="1:32">
      <c r="A47" t="s">
        <v>68</v>
      </c>
      <c r="B47" t="s">
        <v>88</v>
      </c>
      <c r="C47" t="s">
        <v>47</v>
      </c>
      <c r="D47" t="s">
        <v>26</v>
      </c>
      <c r="E47" s="9">
        <v>38860</v>
      </c>
      <c r="F47" s="9">
        <v>50160</v>
      </c>
      <c r="G47" s="9">
        <f>IFERROR(Table3[[#This Row],[Total $ Spent Over 5 Yrs]]-Table3[[#This Row],[MSRP]],"")</f>
        <v>11300</v>
      </c>
      <c r="AA47" t="str">
        <v>Toyota</v>
      </c>
      <c r="AB47" t="str">
        <v>GR Corolla</v>
      </c>
      <c r="AC47" t="str">
        <v>Sedan</v>
      </c>
      <c r="AD47" t="str">
        <v>Gas</v>
      </c>
      <c r="AE47">
        <v>38860</v>
      </c>
      <c r="AF47">
        <v>50160</v>
      </c>
    </row>
    <row r="48" spans="1:32">
      <c r="A48" t="s">
        <v>68</v>
      </c>
      <c r="B48" t="s">
        <v>92</v>
      </c>
      <c r="C48" t="s">
        <v>47</v>
      </c>
      <c r="D48" t="s">
        <v>32</v>
      </c>
      <c r="E48" s="9">
        <v>39185</v>
      </c>
      <c r="F48" s="9">
        <v>49065</v>
      </c>
      <c r="G48" s="9">
        <f>IFERROR(Table3[[#This Row],[Total $ Spent Over 5 Yrs]]-Table3[[#This Row],[MSRP]],"")</f>
        <v>9880</v>
      </c>
      <c r="AA48" t="str">
        <v>Toyota</v>
      </c>
      <c r="AB48" t="str">
        <v>Sienna</v>
      </c>
      <c r="AC48" t="str">
        <v>Sedan</v>
      </c>
      <c r="AD48" t="str">
        <v>Hybrid EV</v>
      </c>
      <c r="AE48">
        <v>39185</v>
      </c>
      <c r="AF48">
        <v>49065</v>
      </c>
    </row>
    <row r="49" spans="1:32">
      <c r="A49" t="s">
        <v>68</v>
      </c>
      <c r="B49" t="s">
        <v>110</v>
      </c>
      <c r="C49" t="s">
        <v>25</v>
      </c>
      <c r="D49" t="s">
        <v>26</v>
      </c>
      <c r="E49" s="9">
        <v>39520</v>
      </c>
      <c r="F49" s="9">
        <v>51124</v>
      </c>
      <c r="G49" s="9">
        <f>IFERROR(Table3[[#This Row],[Total $ Spent Over 5 Yrs]]-Table3[[#This Row],[MSRP]],"")</f>
        <v>11604</v>
      </c>
      <c r="AA49" t="str">
        <v>Toyota</v>
      </c>
      <c r="AB49" t="str">
        <v>Highlander</v>
      </c>
      <c r="AC49" t="str">
        <v>SUV</v>
      </c>
      <c r="AD49" t="str">
        <v>Gas</v>
      </c>
      <c r="AE49">
        <v>39520</v>
      </c>
      <c r="AF49">
        <v>51124</v>
      </c>
    </row>
    <row r="50" spans="1:32">
      <c r="A50" t="s">
        <v>170</v>
      </c>
      <c r="B50" t="s">
        <v>177</v>
      </c>
      <c r="C50" t="s">
        <v>25</v>
      </c>
      <c r="D50" t="s">
        <v>26</v>
      </c>
      <c r="E50" s="9">
        <v>39630</v>
      </c>
      <c r="F50" s="9">
        <v>50980</v>
      </c>
      <c r="G50" s="9">
        <f>IFERROR(Table3[[#This Row],[Total $ Spent Over 5 Yrs]]-Table3[[#This Row],[MSRP]],"")</f>
        <v>11350</v>
      </c>
      <c r="AA50" t="str">
        <v>Ford</v>
      </c>
      <c r="AB50" t="str">
        <v>Bronco</v>
      </c>
      <c r="AC50" t="str">
        <v>SUV</v>
      </c>
      <c r="AD50" t="str">
        <v>Gas</v>
      </c>
      <c r="AE50">
        <v>39630</v>
      </c>
      <c r="AF50">
        <v>50980</v>
      </c>
    </row>
    <row r="51" spans="1:32">
      <c r="A51" t="s">
        <v>138</v>
      </c>
      <c r="B51" t="s">
        <v>150</v>
      </c>
      <c r="C51" t="s">
        <v>25</v>
      </c>
      <c r="D51" t="s">
        <v>76</v>
      </c>
      <c r="E51" s="9">
        <v>39730</v>
      </c>
      <c r="F51" s="9">
        <v>49330</v>
      </c>
      <c r="G51" s="9">
        <f>IFERROR(Table3[[#This Row],[Total $ Spent Over 5 Yrs]]-Table3[[#This Row],[MSRP]],"")</f>
        <v>9600</v>
      </c>
      <c r="AA51" t="str">
        <v>Hyundai</v>
      </c>
      <c r="AB51" t="str">
        <v>Tucson Plug-in Hybrid</v>
      </c>
      <c r="AC51" t="str">
        <v>SUV</v>
      </c>
      <c r="AD51" t="str">
        <v>Plug-in Hybrid EV</v>
      </c>
      <c r="AE51">
        <v>39730</v>
      </c>
      <c r="AF51">
        <v>49330</v>
      </c>
    </row>
    <row r="52" spans="1:32">
      <c r="A52" t="s">
        <v>170</v>
      </c>
      <c r="B52" t="s">
        <v>178</v>
      </c>
      <c r="C52" t="s">
        <v>25</v>
      </c>
      <c r="D52" t="s">
        <v>26</v>
      </c>
      <c r="E52" s="9">
        <v>39755</v>
      </c>
      <c r="F52" s="9">
        <v>51682</v>
      </c>
      <c r="G52" s="9">
        <f>IFERROR(Table3[[#This Row],[Total $ Spent Over 5 Yrs]]-Table3[[#This Row],[MSRP]],"")</f>
        <v>11927</v>
      </c>
      <c r="AA52" t="str">
        <v>Ford</v>
      </c>
      <c r="AB52" t="str">
        <v>Explorer</v>
      </c>
      <c r="AC52" t="str">
        <v>SUV</v>
      </c>
      <c r="AD52" t="str">
        <v>Gas</v>
      </c>
      <c r="AE52">
        <v>39755</v>
      </c>
      <c r="AF52">
        <v>51682</v>
      </c>
    </row>
    <row r="53" spans="1:32">
      <c r="A53" t="s">
        <v>170</v>
      </c>
      <c r="B53" t="s">
        <v>181</v>
      </c>
      <c r="C53" t="s">
        <v>25</v>
      </c>
      <c r="D53" t="s">
        <v>39</v>
      </c>
      <c r="E53" s="9">
        <v>39995</v>
      </c>
      <c r="F53" s="9">
        <v>50742</v>
      </c>
      <c r="G53" s="9">
        <f>IFERROR(Table3[[#This Row],[Total $ Spent Over 5 Yrs]]-Table3[[#This Row],[MSRP]],"")</f>
        <v>10747</v>
      </c>
      <c r="AA53" t="str">
        <v>Ford</v>
      </c>
      <c r="AB53" t="str">
        <v>Mustang Mach-E</v>
      </c>
      <c r="AC53" t="str">
        <v>SUV</v>
      </c>
      <c r="AD53" t="str">
        <v>Battery EV</v>
      </c>
      <c r="AE53">
        <v>39995</v>
      </c>
      <c r="AF53">
        <v>50742</v>
      </c>
    </row>
    <row r="54" spans="1:32">
      <c r="A54" t="s">
        <v>68</v>
      </c>
      <c r="B54" t="s">
        <v>97</v>
      </c>
      <c r="C54" t="s">
        <v>66</v>
      </c>
      <c r="D54" t="s">
        <v>26</v>
      </c>
      <c r="E54" s="9">
        <v>40090</v>
      </c>
      <c r="F54" s="9">
        <v>51584</v>
      </c>
      <c r="G54" s="9">
        <f>IFERROR(Table3[[#This Row],[Total $ Spent Over 5 Yrs]]-Table3[[#This Row],[MSRP]],"")</f>
        <v>11494</v>
      </c>
      <c r="AA54" t="str">
        <v>Toyota</v>
      </c>
      <c r="AB54" t="str">
        <v>Tundra</v>
      </c>
      <c r="AC54" t="str">
        <v>Truck</v>
      </c>
      <c r="AD54" t="str">
        <v>Gas</v>
      </c>
      <c r="AE54">
        <v>40090</v>
      </c>
      <c r="AF54">
        <v>51584</v>
      </c>
    </row>
    <row r="55" spans="1:32">
      <c r="A55" t="s">
        <v>23</v>
      </c>
      <c r="B55" t="s">
        <v>65</v>
      </c>
      <c r="C55" t="s">
        <v>66</v>
      </c>
      <c r="D55" t="s">
        <v>26</v>
      </c>
      <c r="E55" s="9">
        <v>40150</v>
      </c>
      <c r="F55" s="9">
        <v>51943</v>
      </c>
      <c r="G55" s="9">
        <f>IFERROR(Table3[[#This Row],[Total $ Spent Over 5 Yrs]]-Table3[[#This Row],[MSRP]],"")</f>
        <v>11793</v>
      </c>
      <c r="AA55" t="str">
        <v>Honda</v>
      </c>
      <c r="AB55" t="str">
        <v>Ridgeline</v>
      </c>
      <c r="AC55" t="str">
        <v>Truck</v>
      </c>
      <c r="AD55" t="str">
        <v>Gas</v>
      </c>
      <c r="AE55">
        <v>40150</v>
      </c>
      <c r="AF55">
        <v>51943</v>
      </c>
    </row>
    <row r="56" spans="1:32">
      <c r="A56" t="s">
        <v>23</v>
      </c>
      <c r="B56" t="s">
        <v>36</v>
      </c>
      <c r="C56" t="s">
        <v>25</v>
      </c>
      <c r="D56" t="s">
        <v>26</v>
      </c>
      <c r="E56" s="9">
        <v>40200</v>
      </c>
      <c r="F56" s="9">
        <v>52331</v>
      </c>
      <c r="G56" s="9">
        <f>IFERROR(Table3[[#This Row],[Total $ Spent Over 5 Yrs]]-Table3[[#This Row],[MSRP]],"")</f>
        <v>12131</v>
      </c>
      <c r="AA56" t="str">
        <v>Honda</v>
      </c>
      <c r="AB56" t="str">
        <v>Pilot</v>
      </c>
      <c r="AC56" t="str">
        <v>SUV</v>
      </c>
      <c r="AD56" t="str">
        <v>Gas</v>
      </c>
      <c r="AE56">
        <v>40200</v>
      </c>
      <c r="AF56">
        <v>52331</v>
      </c>
    </row>
    <row r="57" spans="1:32">
      <c r="A57" t="s">
        <v>68</v>
      </c>
      <c r="B57" t="s">
        <v>114</v>
      </c>
      <c r="C57" t="s">
        <v>25</v>
      </c>
      <c r="D57" t="s">
        <v>26</v>
      </c>
      <c r="E57" s="9">
        <v>40770</v>
      </c>
      <c r="F57" s="9">
        <v>52939</v>
      </c>
      <c r="G57" s="9">
        <f>IFERROR(Table3[[#This Row],[Total $ Spent Over 5 Yrs]]-Table3[[#This Row],[MSRP]],"")</f>
        <v>12169</v>
      </c>
      <c r="AA57" t="str">
        <v>Toyota</v>
      </c>
      <c r="AB57" t="str">
        <v>4Runner</v>
      </c>
      <c r="AC57" t="str">
        <v>SUV</v>
      </c>
      <c r="AD57" t="str">
        <v>Gas</v>
      </c>
      <c r="AE57">
        <v>40770</v>
      </c>
      <c r="AF57">
        <v>52939</v>
      </c>
    </row>
    <row r="58" spans="1:32">
      <c r="A58" t="s">
        <v>68</v>
      </c>
      <c r="B58" t="s">
        <v>117</v>
      </c>
      <c r="C58" t="s">
        <v>25</v>
      </c>
      <c r="D58" t="s">
        <v>26</v>
      </c>
      <c r="E58" s="9">
        <v>40860</v>
      </c>
      <c r="F58" s="9">
        <v>52132</v>
      </c>
      <c r="G58" s="9">
        <f>IFERROR(Table3[[#This Row],[Total $ Spent Over 5 Yrs]]-Table3[[#This Row],[MSRP]],"")</f>
        <v>11272</v>
      </c>
      <c r="AA58" t="str">
        <v>Toyota</v>
      </c>
      <c r="AB58" t="str">
        <v>Grand Highlander</v>
      </c>
      <c r="AC58" t="str">
        <v>SUV</v>
      </c>
      <c r="AD58" t="str">
        <v>Gas</v>
      </c>
      <c r="AE58">
        <v>40860</v>
      </c>
      <c r="AF58">
        <v>52132</v>
      </c>
    </row>
    <row r="59" spans="1:32">
      <c r="A59" t="s">
        <v>68</v>
      </c>
      <c r="B59" t="s">
        <v>80</v>
      </c>
      <c r="C59" t="s">
        <v>47</v>
      </c>
      <c r="D59" t="s">
        <v>32</v>
      </c>
      <c r="E59" s="9">
        <v>41440</v>
      </c>
      <c r="F59" s="9">
        <v>50090</v>
      </c>
      <c r="G59" s="9">
        <f>IFERROR(Table3[[#This Row],[Total $ Spent Over 5 Yrs]]-Table3[[#This Row],[MSRP]],"")</f>
        <v>8650</v>
      </c>
      <c r="AA59" t="str">
        <v>Toyota</v>
      </c>
      <c r="AB59" t="str">
        <v>Toyota Crown</v>
      </c>
      <c r="AC59" t="str">
        <v>Sedan</v>
      </c>
      <c r="AD59" t="str">
        <v>Hybrid EV</v>
      </c>
      <c r="AE59">
        <v>41440</v>
      </c>
      <c r="AF59">
        <v>50090</v>
      </c>
    </row>
    <row r="60" spans="1:32">
      <c r="A60" t="s">
        <v>23</v>
      </c>
      <c r="B60" t="s">
        <v>62</v>
      </c>
      <c r="C60" t="s">
        <v>63</v>
      </c>
      <c r="D60" t="s">
        <v>26</v>
      </c>
      <c r="E60" s="9">
        <v>42220</v>
      </c>
      <c r="F60" s="9">
        <v>52168</v>
      </c>
      <c r="G60" s="9">
        <f>IFERROR(Table3[[#This Row],[Total $ Spent Over 5 Yrs]]-Table3[[#This Row],[MSRP]],"")</f>
        <v>9948</v>
      </c>
      <c r="AA60" t="str">
        <v>Honda</v>
      </c>
      <c r="AB60" t="str">
        <v>Odyssey</v>
      </c>
      <c r="AC60" t="str">
        <v>Minivan</v>
      </c>
      <c r="AD60" t="str">
        <v>Gas</v>
      </c>
      <c r="AE60">
        <v>42220</v>
      </c>
      <c r="AF60">
        <v>52168</v>
      </c>
    </row>
    <row r="61" spans="1:32">
      <c r="A61" t="s">
        <v>138</v>
      </c>
      <c r="B61" t="s">
        <v>157</v>
      </c>
      <c r="C61" t="s">
        <v>25</v>
      </c>
      <c r="D61" t="s">
        <v>39</v>
      </c>
      <c r="E61" s="9">
        <v>42600</v>
      </c>
      <c r="F61" s="9">
        <v>44331</v>
      </c>
      <c r="G61" s="9">
        <f>IFERROR(Table3[[#This Row],[Total $ Spent Over 5 Yrs]]-Table3[[#This Row],[MSRP]],"")</f>
        <v>1731</v>
      </c>
      <c r="AA61" t="str">
        <v>Hyundai</v>
      </c>
      <c r="AB61" t="str">
        <v>Ioniq 5</v>
      </c>
      <c r="AC61" t="str">
        <v>SUV</v>
      </c>
      <c r="AD61" t="str">
        <v>Battery EV</v>
      </c>
      <c r="AE61">
        <v>42600</v>
      </c>
      <c r="AF61">
        <v>44331</v>
      </c>
    </row>
    <row r="62" spans="1:32">
      <c r="A62" t="s">
        <v>68</v>
      </c>
      <c r="B62" t="s">
        <v>120</v>
      </c>
      <c r="C62" t="s">
        <v>25</v>
      </c>
      <c r="D62" t="s">
        <v>32</v>
      </c>
      <c r="E62" s="9">
        <v>43590</v>
      </c>
      <c r="F62" s="9">
        <v>51430</v>
      </c>
      <c r="G62" s="9">
        <f>IFERROR(Table3[[#This Row],[Total $ Spent Over 5 Yrs]]-Table3[[#This Row],[MSRP]],"")</f>
        <v>7840</v>
      </c>
      <c r="AA62" t="str">
        <v>Toyota</v>
      </c>
      <c r="AB62" t="str">
        <v>Toyata Crown Signia</v>
      </c>
      <c r="AC62" t="str">
        <v>SUV</v>
      </c>
      <c r="AD62" t="str">
        <v>Hybrid EV</v>
      </c>
      <c r="AE62">
        <v>43590</v>
      </c>
      <c r="AF62">
        <v>51430</v>
      </c>
    </row>
    <row r="63" spans="1:32">
      <c r="A63" t="s">
        <v>170</v>
      </c>
      <c r="B63" t="s">
        <v>188</v>
      </c>
      <c r="C63" t="s">
        <v>66</v>
      </c>
      <c r="D63" t="s">
        <v>32</v>
      </c>
      <c r="E63" s="9">
        <v>44100</v>
      </c>
      <c r="F63" s="9">
        <v>55750</v>
      </c>
      <c r="G63" s="9">
        <f>IFERROR(Table3[[#This Row],[Total $ Spent Over 5 Yrs]]-Table3[[#This Row],[MSRP]],"")</f>
        <v>11650</v>
      </c>
      <c r="AA63" t="str">
        <v>Ford</v>
      </c>
      <c r="AB63" t="str">
        <v>F-150</v>
      </c>
      <c r="AC63" t="str">
        <v>Truck</v>
      </c>
      <c r="AD63" t="str">
        <v>Hybrid EV</v>
      </c>
      <c r="AE63">
        <v>44100</v>
      </c>
      <c r="AF63">
        <v>55750</v>
      </c>
    </row>
    <row r="64" spans="1:32">
      <c r="A64" t="s">
        <v>68</v>
      </c>
      <c r="B64" t="s">
        <v>118</v>
      </c>
      <c r="C64" t="s">
        <v>25</v>
      </c>
      <c r="D64" t="s">
        <v>32</v>
      </c>
      <c r="E64" s="9">
        <v>44210</v>
      </c>
      <c r="F64" s="9">
        <v>54010</v>
      </c>
      <c r="G64" s="9">
        <f>IFERROR(Table3[[#This Row],[Total $ Spent Over 5 Yrs]]-Table3[[#This Row],[MSRP]],"")</f>
        <v>9800</v>
      </c>
      <c r="AA64" t="str">
        <v>Toyota</v>
      </c>
      <c r="AB64" t="str">
        <v>Grand Highlander Hybrid</v>
      </c>
      <c r="AC64" t="str">
        <v>SUV</v>
      </c>
      <c r="AD64" t="str">
        <v>Hybrid EV</v>
      </c>
      <c r="AE64">
        <v>44210</v>
      </c>
      <c r="AF64">
        <v>54010</v>
      </c>
    </row>
    <row r="65" spans="1:32">
      <c r="A65" t="s">
        <v>68</v>
      </c>
      <c r="B65" t="s">
        <v>108</v>
      </c>
      <c r="C65" t="s">
        <v>25</v>
      </c>
      <c r="D65" t="s">
        <v>76</v>
      </c>
      <c r="E65" s="9">
        <v>44265</v>
      </c>
      <c r="F65" s="9">
        <v>47610</v>
      </c>
      <c r="G65" s="9">
        <f>IFERROR(Table3[[#This Row],[Total $ Spent Over 5 Yrs]]-Table3[[#This Row],[MSRP]],"")</f>
        <v>3345</v>
      </c>
      <c r="AA65" t="str">
        <v>Toyota</v>
      </c>
      <c r="AB65" t="str">
        <v>RAV4 Plug-in Hybrid</v>
      </c>
      <c r="AC65" t="str">
        <v>SUV</v>
      </c>
      <c r="AD65" t="str">
        <v>Plug-in Hybrid EV</v>
      </c>
      <c r="AE65">
        <v>44265</v>
      </c>
      <c r="AF65">
        <v>47610</v>
      </c>
    </row>
    <row r="66" spans="1:32">
      <c r="A66" t="s">
        <v>23</v>
      </c>
      <c r="B66" t="s">
        <v>34</v>
      </c>
      <c r="C66" t="s">
        <v>25</v>
      </c>
      <c r="D66" t="s">
        <v>26</v>
      </c>
      <c r="E66" s="9">
        <v>44750</v>
      </c>
      <c r="F66" s="9">
        <v>57151</v>
      </c>
      <c r="G66" s="9">
        <f>IFERROR(Table3[[#This Row],[Total $ Spent Over 5 Yrs]]-Table3[[#This Row],[MSRP]],"")</f>
        <v>12401</v>
      </c>
      <c r="AA66" t="str">
        <v>Honda</v>
      </c>
      <c r="AB66" t="str">
        <v>Passport</v>
      </c>
      <c r="AC66" t="str">
        <v>SUV</v>
      </c>
      <c r="AD66" t="str">
        <v>Gas</v>
      </c>
      <c r="AE66">
        <v>44750</v>
      </c>
      <c r="AF66">
        <v>57151</v>
      </c>
    </row>
    <row r="67" spans="1:32">
      <c r="A67" t="s">
        <v>170</v>
      </c>
      <c r="B67" t="s">
        <v>190</v>
      </c>
      <c r="C67" t="s">
        <v>63</v>
      </c>
      <c r="D67" t="s">
        <v>39</v>
      </c>
      <c r="E67" s="9">
        <v>45700</v>
      </c>
      <c r="F67" s="9">
        <v>52400</v>
      </c>
      <c r="G67" s="9">
        <f>IFERROR(Table3[[#This Row],[Total $ Spent Over 5 Yrs]]-Table3[[#This Row],[MSRP]],"")</f>
        <v>6700</v>
      </c>
      <c r="AA67" t="str">
        <v>Ford</v>
      </c>
      <c r="AB67" t="str">
        <v>E-Transit</v>
      </c>
      <c r="AC67" t="str">
        <v>Minivan</v>
      </c>
      <c r="AD67" t="str">
        <v>Battery EV</v>
      </c>
      <c r="AE67">
        <v>45700</v>
      </c>
      <c r="AF67">
        <v>52400</v>
      </c>
    </row>
    <row r="68" spans="1:32">
      <c r="A68" t="s">
        <v>68</v>
      </c>
      <c r="B68" t="s">
        <v>112</v>
      </c>
      <c r="C68" t="s">
        <v>25</v>
      </c>
      <c r="D68" t="s">
        <v>32</v>
      </c>
      <c r="E68" s="9">
        <v>46020</v>
      </c>
      <c r="F68" s="9">
        <v>57856</v>
      </c>
      <c r="G68" s="9">
        <f>IFERROR(Table3[[#This Row],[Total $ Spent Over 5 Yrs]]-Table3[[#This Row],[MSRP]],"")</f>
        <v>11836</v>
      </c>
      <c r="AA68" t="str">
        <v>Toyota</v>
      </c>
      <c r="AB68" t="str">
        <v>Highlander Hybrid</v>
      </c>
      <c r="AC68" t="str">
        <v>SUV</v>
      </c>
      <c r="AD68" t="str">
        <v>Hybrid EV</v>
      </c>
      <c r="AE68">
        <v>46020</v>
      </c>
      <c r="AF68">
        <v>57856</v>
      </c>
    </row>
    <row r="69" spans="1:32">
      <c r="A69" t="s">
        <v>68</v>
      </c>
      <c r="B69" t="s">
        <v>96</v>
      </c>
      <c r="C69" t="s">
        <v>66</v>
      </c>
      <c r="D69" t="s">
        <v>32</v>
      </c>
      <c r="E69" s="9">
        <v>46320</v>
      </c>
      <c r="F69" s="9">
        <v>57141</v>
      </c>
      <c r="G69" s="9">
        <f>IFERROR(Table3[[#This Row],[Total $ Spent Over 5 Yrs]]-Table3[[#This Row],[MSRP]],"")</f>
        <v>10821</v>
      </c>
      <c r="AA69" t="str">
        <v>Toyota</v>
      </c>
      <c r="AB69" t="str">
        <v>Tacoma i-FORCE MAX</v>
      </c>
      <c r="AC69" t="str">
        <v>Truck</v>
      </c>
      <c r="AD69" t="str">
        <v>Hybrid EV</v>
      </c>
      <c r="AE69">
        <v>46320</v>
      </c>
      <c r="AF69">
        <v>57141</v>
      </c>
    </row>
    <row r="70" spans="1:32">
      <c r="A70" t="s">
        <v>23</v>
      </c>
      <c r="B70" t="s">
        <v>38</v>
      </c>
      <c r="C70" t="s">
        <v>25</v>
      </c>
      <c r="D70" t="s">
        <v>39</v>
      </c>
      <c r="E70" s="9">
        <v>47400</v>
      </c>
      <c r="F70" s="9">
        <v>50921</v>
      </c>
      <c r="G70" s="9">
        <f>IFERROR(Table3[[#This Row],[Total $ Spent Over 5 Yrs]]-Table3[[#This Row],[MSRP]],"")</f>
        <v>3521</v>
      </c>
      <c r="AA70" t="str">
        <v>Honda</v>
      </c>
      <c r="AB70" t="str">
        <v>Prologue</v>
      </c>
      <c r="AC70" t="str">
        <v>SUV</v>
      </c>
      <c r="AD70" t="str">
        <v>Battery EV</v>
      </c>
      <c r="AE70">
        <v>47400</v>
      </c>
      <c r="AF70">
        <v>50921</v>
      </c>
    </row>
    <row r="71" spans="1:32">
      <c r="A71" t="s">
        <v>23</v>
      </c>
      <c r="B71" t="s">
        <v>41</v>
      </c>
      <c r="C71" t="s">
        <v>25</v>
      </c>
      <c r="D71" t="s">
        <v>42</v>
      </c>
      <c r="E71" s="9">
        <v>50000</v>
      </c>
      <c r="F71" s="9" t="s">
        <v>202</v>
      </c>
      <c r="G71" s="9" t="str">
        <f>IFERROR(Table3[[#This Row],[Total $ Spent Over 5 Yrs]]-Table3[[#This Row],[MSRP]],"")</f>
        <v/>
      </c>
      <c r="AA71" t="str">
        <v>Honda</v>
      </c>
      <c r="AB71" t="str">
        <v>CR-V e:FCEV</v>
      </c>
      <c r="AC71" t="str">
        <v>SUV</v>
      </c>
      <c r="AD71" t="str">
        <v>Fuel Cell EV</v>
      </c>
      <c r="AE71">
        <v>50000</v>
      </c>
      <c r="AF71" t="str">
        <v/>
      </c>
    </row>
    <row r="72" spans="1:32">
      <c r="A72" t="s">
        <v>68</v>
      </c>
      <c r="B72" t="s">
        <v>82</v>
      </c>
      <c r="C72" t="s">
        <v>47</v>
      </c>
      <c r="D72" t="s">
        <v>42</v>
      </c>
      <c r="E72" s="9">
        <v>50190</v>
      </c>
      <c r="F72" s="9" t="s">
        <v>202</v>
      </c>
      <c r="G72" s="9" t="str">
        <f>IFERROR(Table3[[#This Row],[Total $ Spent Over 5 Yrs]]-Table3[[#This Row],[MSRP]],"")</f>
        <v/>
      </c>
      <c r="AA72" t="str">
        <v>Toyota</v>
      </c>
      <c r="AB72" t="str">
        <v>Mirai</v>
      </c>
      <c r="AC72" t="str">
        <v>Sedan</v>
      </c>
      <c r="AD72" t="str">
        <v>Fuel Cell EV</v>
      </c>
      <c r="AE72">
        <v>50190</v>
      </c>
      <c r="AF72" t="str">
        <v/>
      </c>
    </row>
    <row r="73" spans="1:32">
      <c r="A73" t="s">
        <v>68</v>
      </c>
      <c r="B73" t="s">
        <v>115</v>
      </c>
      <c r="C73" t="s">
        <v>25</v>
      </c>
      <c r="D73" t="s">
        <v>32</v>
      </c>
      <c r="E73" s="9">
        <v>51990</v>
      </c>
      <c r="F73" s="9">
        <v>60988</v>
      </c>
      <c r="G73" s="9">
        <f>IFERROR(Table3[[#This Row],[Total $ Spent Over 5 Yrs]]-Table3[[#This Row],[MSRP]],"")</f>
        <v>8998</v>
      </c>
      <c r="AA73" t="str">
        <v>Toyota</v>
      </c>
      <c r="AB73" t="str">
        <v>4Runner i-FORCE MAX</v>
      </c>
      <c r="AC73" t="str">
        <v>SUV</v>
      </c>
      <c r="AD73" t="str">
        <v>Hybrid EV</v>
      </c>
      <c r="AE73">
        <v>51990</v>
      </c>
      <c r="AF73">
        <v>60988</v>
      </c>
    </row>
    <row r="74" spans="1:32">
      <c r="A74" t="s">
        <v>170</v>
      </c>
      <c r="B74" t="s">
        <v>192</v>
      </c>
      <c r="C74" t="s">
        <v>63</v>
      </c>
      <c r="D74" t="s">
        <v>26</v>
      </c>
      <c r="E74" s="9">
        <v>54365</v>
      </c>
      <c r="F74" s="9">
        <v>64925</v>
      </c>
      <c r="G74" s="9">
        <f>IFERROR(Table3[[#This Row],[Total $ Spent Over 5 Yrs]]-Table3[[#This Row],[MSRP]],"")</f>
        <v>10560</v>
      </c>
      <c r="AA74" t="str">
        <v>Ford</v>
      </c>
      <c r="AB74" t="str">
        <v>Transit</v>
      </c>
      <c r="AC74" t="str">
        <v>Minivan</v>
      </c>
      <c r="AD74" t="str">
        <v>Gas</v>
      </c>
      <c r="AE74">
        <v>54365</v>
      </c>
      <c r="AF74">
        <v>64925</v>
      </c>
    </row>
    <row r="75" spans="1:32">
      <c r="A75" t="s">
        <v>170</v>
      </c>
      <c r="B75" t="s">
        <v>182</v>
      </c>
      <c r="C75" t="s">
        <v>25</v>
      </c>
      <c r="D75" t="s">
        <v>26</v>
      </c>
      <c r="E75" s="9">
        <v>55630</v>
      </c>
      <c r="F75" s="9">
        <v>67130</v>
      </c>
      <c r="G75" s="9">
        <f>IFERROR(Table3[[#This Row],[Total $ Spent Over 5 Yrs]]-Table3[[#This Row],[MSRP]],"")</f>
        <v>11500</v>
      </c>
      <c r="AA75" t="str">
        <v>Ford</v>
      </c>
      <c r="AB75" t="str">
        <v>Expedition</v>
      </c>
      <c r="AC75" t="str">
        <v>SUV</v>
      </c>
      <c r="AD75" t="str">
        <v>Gas</v>
      </c>
      <c r="AE75">
        <v>55630</v>
      </c>
      <c r="AF75">
        <v>67130</v>
      </c>
    </row>
    <row r="76" spans="1:32">
      <c r="A76" t="s">
        <v>68</v>
      </c>
      <c r="B76" t="s">
        <v>122</v>
      </c>
      <c r="C76" t="s">
        <v>25</v>
      </c>
      <c r="D76" t="s">
        <v>32</v>
      </c>
      <c r="E76" s="9">
        <v>56700</v>
      </c>
      <c r="F76" s="9">
        <v>66670</v>
      </c>
      <c r="G76" s="9">
        <f>IFERROR(Table3[[#This Row],[Total $ Spent Over 5 Yrs]]-Table3[[#This Row],[MSRP]],"")</f>
        <v>9970</v>
      </c>
      <c r="AA76" t="str">
        <v>Toyota</v>
      </c>
      <c r="AB76" t="str">
        <v>Land Cruiser</v>
      </c>
      <c r="AC76" t="str">
        <v>SUV</v>
      </c>
      <c r="AD76" t="str">
        <v>Hybrid EV</v>
      </c>
      <c r="AE76">
        <v>56700</v>
      </c>
      <c r="AF76">
        <v>66670</v>
      </c>
    </row>
    <row r="77" spans="1:32">
      <c r="A77" t="s">
        <v>68</v>
      </c>
      <c r="B77" t="s">
        <v>90</v>
      </c>
      <c r="C77" t="s">
        <v>47</v>
      </c>
      <c r="D77" t="s">
        <v>26</v>
      </c>
      <c r="E77" s="9">
        <v>56900</v>
      </c>
      <c r="F77" s="9">
        <v>65887</v>
      </c>
      <c r="G77" s="9">
        <f>IFERROR(Table3[[#This Row],[Total $ Spent Over 5 Yrs]]-Table3[[#This Row],[MSRP]],"")</f>
        <v>8987</v>
      </c>
      <c r="AA77" t="str">
        <v>Toyota</v>
      </c>
      <c r="AB77" t="str">
        <v>GR Supra</v>
      </c>
      <c r="AC77" t="str">
        <v>Sedan</v>
      </c>
      <c r="AD77" t="str">
        <v>Gas</v>
      </c>
      <c r="AE77">
        <v>56900</v>
      </c>
      <c r="AF77">
        <v>65887</v>
      </c>
    </row>
    <row r="78" spans="1:32">
      <c r="A78" t="s">
        <v>68</v>
      </c>
      <c r="B78" t="s">
        <v>99</v>
      </c>
      <c r="C78" t="s">
        <v>66</v>
      </c>
      <c r="D78" t="s">
        <v>32</v>
      </c>
      <c r="E78" s="9">
        <v>58005</v>
      </c>
      <c r="F78" s="9">
        <v>68644</v>
      </c>
      <c r="G78" s="9">
        <f>IFERROR(Table3[[#This Row],[Total $ Spent Over 5 Yrs]]-Table3[[#This Row],[MSRP]],"")</f>
        <v>10639</v>
      </c>
      <c r="AA78" t="str">
        <v>Toyota</v>
      </c>
      <c r="AB78" t="str">
        <v>Tundra i-FORCE MAX</v>
      </c>
      <c r="AC78" t="str">
        <v>Truck</v>
      </c>
      <c r="AD78" t="str">
        <v>Hybrid EV</v>
      </c>
      <c r="AE78">
        <v>58005</v>
      </c>
      <c r="AF78">
        <v>68644</v>
      </c>
    </row>
    <row r="79" spans="1:32">
      <c r="A79" t="s">
        <v>138</v>
      </c>
      <c r="B79" t="s">
        <v>160</v>
      </c>
      <c r="C79" t="s">
        <v>25</v>
      </c>
      <c r="D79" t="s">
        <v>42</v>
      </c>
      <c r="E79" s="9">
        <v>60135</v>
      </c>
      <c r="F79" s="9" t="s">
        <v>202</v>
      </c>
      <c r="G79" s="9" t="str">
        <f>IFERROR(Table3[[#This Row],[Total $ Spent Over 5 Yrs]]-Table3[[#This Row],[MSRP]],"")</f>
        <v/>
      </c>
      <c r="AA79" t="str">
        <v>Hyundai</v>
      </c>
      <c r="AB79" t="str">
        <v>NEXO Fuel Cell</v>
      </c>
      <c r="AC79" t="str">
        <v>SUV</v>
      </c>
      <c r="AD79" t="str">
        <v>Fuel Cell EV</v>
      </c>
      <c r="AE79">
        <v>60135</v>
      </c>
      <c r="AF79" t="str">
        <v/>
      </c>
    </row>
    <row r="80" spans="1:32">
      <c r="A80" t="s">
        <v>68</v>
      </c>
      <c r="B80" t="s">
        <v>124</v>
      </c>
      <c r="C80" t="s">
        <v>25</v>
      </c>
      <c r="D80" t="s">
        <v>32</v>
      </c>
      <c r="E80" s="9">
        <v>62425</v>
      </c>
      <c r="F80" s="9">
        <v>75404</v>
      </c>
      <c r="G80" s="9">
        <f>IFERROR(Table3[[#This Row],[Total $ Spent Over 5 Yrs]]-Table3[[#This Row],[MSRP]],"")</f>
        <v>12979</v>
      </c>
      <c r="AA80" t="str">
        <v>Toyota</v>
      </c>
      <c r="AB80" t="str">
        <v>Sequoia</v>
      </c>
      <c r="AC80" t="str">
        <v>SUV</v>
      </c>
      <c r="AD80" t="str">
        <v>Hybrid EV</v>
      </c>
      <c r="AE80">
        <v>62425</v>
      </c>
      <c r="AF80">
        <v>75404</v>
      </c>
    </row>
    <row r="81" spans="1:32">
      <c r="A81" t="s">
        <v>170</v>
      </c>
      <c r="B81" t="s">
        <v>191</v>
      </c>
      <c r="C81" t="s">
        <v>66</v>
      </c>
      <c r="D81" t="s">
        <v>39</v>
      </c>
      <c r="E81" s="9">
        <v>62995</v>
      </c>
      <c r="F81" s="9">
        <v>65389</v>
      </c>
      <c r="G81" s="9">
        <f>IFERROR(Table3[[#This Row],[Total $ Spent Over 5 Yrs]]-Table3[[#This Row],[MSRP]],"")</f>
        <v>2394</v>
      </c>
      <c r="AA81" t="str">
        <v>Ford</v>
      </c>
      <c r="AB81" t="str">
        <v>F-150 Lightning</v>
      </c>
      <c r="AC81" t="str">
        <v>Truck</v>
      </c>
      <c r="AD81" t="str">
        <v>Battery EV</v>
      </c>
      <c r="AE81">
        <v>62995</v>
      </c>
      <c r="AF81">
        <v>65389</v>
      </c>
    </row>
    <row r="82" spans="1:32">
      <c r="A82" t="s">
        <v>138</v>
      </c>
      <c r="B82" t="s">
        <v>158</v>
      </c>
      <c r="C82" t="s">
        <v>25</v>
      </c>
      <c r="D82" t="s">
        <v>39</v>
      </c>
      <c r="E82" s="9">
        <v>66200</v>
      </c>
      <c r="F82" s="9">
        <v>70670</v>
      </c>
      <c r="G82" s="9">
        <f>IFERROR(Table3[[#This Row],[Total $ Spent Over 5 Yrs]]-Table3[[#This Row],[MSRP]],"")</f>
        <v>4470</v>
      </c>
      <c r="AA82" t="str">
        <v>Hyundai</v>
      </c>
      <c r="AB82" t="str">
        <v>Ioniq 5 N</v>
      </c>
      <c r="AC82" t="str">
        <v>SUV</v>
      </c>
      <c r="AD82" t="str">
        <v>Battery EV</v>
      </c>
      <c r="AE82">
        <v>66200</v>
      </c>
      <c r="AF82">
        <v>70670</v>
      </c>
    </row>
    <row r="83" spans="1:32">
      <c r="A83" t="s">
        <v>126</v>
      </c>
      <c r="B83" t="s">
        <v>132</v>
      </c>
      <c r="C83" t="s">
        <v>66</v>
      </c>
      <c r="D83" t="s">
        <v>39</v>
      </c>
      <c r="E83" s="9">
        <v>66990</v>
      </c>
      <c r="F83" s="9">
        <v>68290</v>
      </c>
      <c r="G83" s="9">
        <f>IFERROR(Table3[[#This Row],[Total $ Spent Over 5 Yrs]]-Table3[[#This Row],[MSRP]],"")</f>
        <v>1300</v>
      </c>
      <c r="AA83" t="str">
        <v>Tesla</v>
      </c>
      <c r="AB83" t="str">
        <v>Cybertruck (All-Wheel Drive)</v>
      </c>
      <c r="AC83" t="str">
        <v>Truck</v>
      </c>
      <c r="AD83" t="str">
        <v>Battery EV</v>
      </c>
      <c r="AE83">
        <v>66990</v>
      </c>
      <c r="AF83">
        <v>68290</v>
      </c>
    </row>
    <row r="84" spans="1:32">
      <c r="A84" t="s">
        <v>126</v>
      </c>
      <c r="B84" t="s">
        <v>136</v>
      </c>
      <c r="C84" t="s">
        <v>47</v>
      </c>
      <c r="D84" t="s">
        <v>39</v>
      </c>
      <c r="E84" s="9">
        <v>73490</v>
      </c>
      <c r="F84" s="9">
        <v>73990</v>
      </c>
      <c r="G84" s="9">
        <f>IFERROR(Table3[[#This Row],[Total $ Spent Over 5 Yrs]]-Table3[[#This Row],[MSRP]],"")</f>
        <v>500</v>
      </c>
      <c r="AA84" t="str">
        <v>Tesla</v>
      </c>
      <c r="AB84" t="str">
        <v>Model S (All-Wheel Drive)</v>
      </c>
      <c r="AC84" t="str">
        <v>Sedan</v>
      </c>
      <c r="AD84" t="str">
        <v>Battery EV</v>
      </c>
      <c r="AE84">
        <v>73490</v>
      </c>
      <c r="AF84">
        <v>73990</v>
      </c>
    </row>
    <row r="85" spans="1:32">
      <c r="A85" t="s">
        <v>126</v>
      </c>
      <c r="B85" t="s">
        <v>134</v>
      </c>
      <c r="C85" t="s">
        <v>47</v>
      </c>
      <c r="D85" t="s">
        <v>39</v>
      </c>
      <c r="E85" s="9">
        <v>78490</v>
      </c>
      <c r="F85" s="9">
        <v>79565</v>
      </c>
      <c r="G85" s="9">
        <f>IFERROR(Table3[[#This Row],[Total $ Spent Over 5 Yrs]]-Table3[[#This Row],[MSRP]],"")</f>
        <v>1075</v>
      </c>
      <c r="AA85" t="str">
        <v>Tesla</v>
      </c>
      <c r="AB85" t="str">
        <v>Model X (All-Wheel Drive)</v>
      </c>
      <c r="AC85" t="str">
        <v>Sedan</v>
      </c>
      <c r="AD85" t="str">
        <v>Battery EV</v>
      </c>
      <c r="AE85">
        <v>78490</v>
      </c>
      <c r="AF85">
        <v>79565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E5361-2B0E-4DE6-A731-71E2CDF6863A}">
  <dimension ref="A3:G24"/>
  <sheetViews>
    <sheetView workbookViewId="0">
      <selection activeCell="E19" sqref="E19"/>
    </sheetView>
  </sheetViews>
  <sheetFormatPr defaultRowHeight="15"/>
  <cols>
    <col min="1" max="1" width="11.140625" bestFit="1" customWidth="1"/>
    <col min="2" max="2" width="31.140625" bestFit="1" customWidth="1"/>
    <col min="3" max="3" width="6.28515625" bestFit="1" customWidth="1"/>
    <col min="4" max="4" width="11.42578125" customWidth="1"/>
    <col min="5" max="5" width="12.28515625" bestFit="1" customWidth="1"/>
    <col min="6" max="6" width="17.42578125" bestFit="1" customWidth="1"/>
    <col min="7" max="7" width="17.85546875" bestFit="1" customWidth="1"/>
  </cols>
  <sheetData>
    <row r="3" spans="1:7">
      <c r="A3" s="10" t="s">
        <v>0</v>
      </c>
      <c r="B3" s="10" t="s">
        <v>3</v>
      </c>
      <c r="C3" t="s">
        <v>203</v>
      </c>
      <c r="D3" t="s">
        <v>204</v>
      </c>
      <c r="E3" t="s">
        <v>205</v>
      </c>
      <c r="F3" t="s">
        <v>206</v>
      </c>
      <c r="G3" t="s">
        <v>207</v>
      </c>
    </row>
    <row r="4" spans="1:7">
      <c r="A4" t="s">
        <v>170</v>
      </c>
      <c r="B4" t="s">
        <v>39</v>
      </c>
      <c r="C4">
        <v>3</v>
      </c>
      <c r="D4" s="9">
        <v>49563.333333333336</v>
      </c>
      <c r="E4" s="9">
        <v>92664</v>
      </c>
      <c r="F4" s="9">
        <v>6613.666666666667</v>
      </c>
      <c r="G4" s="9">
        <v>56177</v>
      </c>
    </row>
    <row r="5" spans="1:7">
      <c r="B5" t="s">
        <v>26</v>
      </c>
      <c r="C5">
        <v>8</v>
      </c>
      <c r="D5" s="9">
        <v>40297.5</v>
      </c>
      <c r="E5" s="9">
        <v>75844.637499999997</v>
      </c>
      <c r="F5" s="9">
        <v>11290.875</v>
      </c>
      <c r="G5" s="9">
        <v>51588.375</v>
      </c>
    </row>
    <row r="6" spans="1:7">
      <c r="B6" t="s">
        <v>32</v>
      </c>
      <c r="C6">
        <v>3</v>
      </c>
      <c r="D6" s="9">
        <v>34450</v>
      </c>
      <c r="E6" s="9">
        <v>62700.666666666664</v>
      </c>
      <c r="F6" s="9">
        <v>11105.666666666666</v>
      </c>
      <c r="G6" s="9">
        <v>45555.666666666664</v>
      </c>
    </row>
    <row r="7" spans="1:7">
      <c r="A7" t="s">
        <v>208</v>
      </c>
      <c r="C7">
        <v>14</v>
      </c>
      <c r="D7" s="9">
        <v>41030</v>
      </c>
      <c r="E7" s="9">
        <v>76632.221428571429</v>
      </c>
      <c r="F7" s="9">
        <v>10248.928571428571</v>
      </c>
      <c r="G7" s="9">
        <v>51278.928571428572</v>
      </c>
    </row>
    <row r="8" spans="1:7">
      <c r="A8" t="s">
        <v>23</v>
      </c>
      <c r="B8" t="s">
        <v>39</v>
      </c>
      <c r="C8">
        <v>1</v>
      </c>
      <c r="D8" s="9">
        <v>47400</v>
      </c>
      <c r="E8" s="9">
        <v>81278</v>
      </c>
      <c r="F8" s="9">
        <v>3521</v>
      </c>
      <c r="G8" s="9">
        <v>50921</v>
      </c>
    </row>
    <row r="9" spans="1:7">
      <c r="B9" t="s">
        <v>26</v>
      </c>
      <c r="C9">
        <v>10</v>
      </c>
      <c r="D9" s="9">
        <v>33306.5</v>
      </c>
      <c r="E9" s="9">
        <v>59325.4</v>
      </c>
      <c r="F9" s="9">
        <v>10724.5</v>
      </c>
      <c r="G9" s="9">
        <v>44031</v>
      </c>
    </row>
    <row r="10" spans="1:7">
      <c r="B10" t="s">
        <v>32</v>
      </c>
      <c r="C10">
        <v>4</v>
      </c>
      <c r="D10" s="9">
        <v>31851.25</v>
      </c>
      <c r="E10" s="9">
        <v>54532</v>
      </c>
      <c r="F10" s="9">
        <v>9220</v>
      </c>
      <c r="G10" s="9">
        <v>41071.25</v>
      </c>
    </row>
    <row r="11" spans="1:7">
      <c r="A11" t="s">
        <v>209</v>
      </c>
      <c r="C11">
        <v>15</v>
      </c>
      <c r="D11" s="9">
        <v>33858</v>
      </c>
      <c r="E11" s="9">
        <v>59510.666666666664</v>
      </c>
      <c r="F11" s="9">
        <v>9843.0666666666675</v>
      </c>
      <c r="G11" s="9">
        <v>43701.066666666666</v>
      </c>
    </row>
    <row r="12" spans="1:7">
      <c r="A12" t="s">
        <v>138</v>
      </c>
      <c r="B12" t="s">
        <v>39</v>
      </c>
      <c r="C12">
        <v>4</v>
      </c>
      <c r="D12" s="9">
        <v>44906.25</v>
      </c>
      <c r="E12" s="9">
        <v>80202.75</v>
      </c>
      <c r="F12" s="9">
        <v>6277.75</v>
      </c>
      <c r="G12" s="9">
        <v>51184</v>
      </c>
    </row>
    <row r="13" spans="1:7">
      <c r="B13" t="s">
        <v>26</v>
      </c>
      <c r="C13">
        <v>8</v>
      </c>
      <c r="D13" s="9">
        <v>28772.5</v>
      </c>
      <c r="E13" s="9">
        <v>54989</v>
      </c>
      <c r="F13" s="9">
        <v>9844.125</v>
      </c>
      <c r="G13" s="9">
        <v>38616.625</v>
      </c>
    </row>
    <row r="14" spans="1:7">
      <c r="B14" t="s">
        <v>32</v>
      </c>
      <c r="C14">
        <v>4</v>
      </c>
      <c r="D14" s="9">
        <v>30903.75</v>
      </c>
      <c r="E14" s="9">
        <v>59805.25</v>
      </c>
      <c r="F14" s="9">
        <v>9271</v>
      </c>
      <c r="G14" s="9">
        <v>40174.75</v>
      </c>
    </row>
    <row r="15" spans="1:7">
      <c r="B15" t="s">
        <v>76</v>
      </c>
      <c r="C15">
        <v>1</v>
      </c>
      <c r="D15" s="9">
        <v>39730</v>
      </c>
      <c r="E15" s="9">
        <v>66811.199999999997</v>
      </c>
      <c r="F15" s="9">
        <v>9600</v>
      </c>
      <c r="G15" s="9">
        <v>49330</v>
      </c>
    </row>
    <row r="16" spans="1:7">
      <c r="A16" t="s">
        <v>210</v>
      </c>
      <c r="C16">
        <v>17</v>
      </c>
      <c r="D16" s="9">
        <v>33714.705882352944</v>
      </c>
      <c r="E16" s="9">
        <v>62750.305882352935</v>
      </c>
      <c r="F16" s="9">
        <v>8855.7647058823532</v>
      </c>
      <c r="G16" s="9">
        <v>42570.470588235294</v>
      </c>
    </row>
    <row r="17" spans="1:7">
      <c r="A17" t="s">
        <v>126</v>
      </c>
      <c r="B17" t="s">
        <v>39</v>
      </c>
      <c r="C17">
        <v>5</v>
      </c>
      <c r="D17" s="9">
        <v>57690</v>
      </c>
      <c r="E17" s="9">
        <v>96423.6</v>
      </c>
      <c r="F17" s="9">
        <v>1230.2</v>
      </c>
      <c r="G17" s="9">
        <v>58920.2</v>
      </c>
    </row>
    <row r="18" spans="1:7">
      <c r="A18" t="s">
        <v>211</v>
      </c>
      <c r="C18">
        <v>5</v>
      </c>
      <c r="D18" s="9">
        <v>57690</v>
      </c>
      <c r="E18" s="9">
        <v>96423.6</v>
      </c>
      <c r="F18" s="9">
        <v>1230.2</v>
      </c>
      <c r="G18" s="9">
        <v>58920.2</v>
      </c>
    </row>
    <row r="19" spans="1:7">
      <c r="A19" t="s">
        <v>68</v>
      </c>
      <c r="B19" t="s">
        <v>39</v>
      </c>
      <c r="C19">
        <v>1</v>
      </c>
      <c r="D19" s="9">
        <v>37070</v>
      </c>
      <c r="E19" s="9">
        <v>68317</v>
      </c>
      <c r="F19" s="9">
        <v>1535</v>
      </c>
      <c r="G19" s="9">
        <v>38605</v>
      </c>
    </row>
    <row r="20" spans="1:7">
      <c r="B20" t="s">
        <v>26</v>
      </c>
      <c r="C20">
        <v>12</v>
      </c>
      <c r="D20" s="9">
        <v>34831.666666666664</v>
      </c>
      <c r="E20" s="9">
        <v>63623.916666666664</v>
      </c>
      <c r="F20" s="9">
        <v>11007.583333333334</v>
      </c>
      <c r="G20" s="9">
        <v>45839.25</v>
      </c>
    </row>
    <row r="21" spans="1:7">
      <c r="B21" t="s">
        <v>32</v>
      </c>
      <c r="C21">
        <v>15</v>
      </c>
      <c r="D21" s="9">
        <v>42097</v>
      </c>
      <c r="E21" s="9">
        <v>72710.600000000006</v>
      </c>
      <c r="F21" s="9">
        <v>9869.9333333333325</v>
      </c>
      <c r="G21" s="9">
        <v>51966.933333333334</v>
      </c>
    </row>
    <row r="22" spans="1:7">
      <c r="B22" t="s">
        <v>76</v>
      </c>
      <c r="C22">
        <v>2</v>
      </c>
      <c r="D22" s="9">
        <v>38820</v>
      </c>
      <c r="E22" s="9">
        <v>58720</v>
      </c>
      <c r="F22" s="9">
        <v>1472.5</v>
      </c>
      <c r="G22" s="9">
        <v>40292.5</v>
      </c>
    </row>
    <row r="23" spans="1:7">
      <c r="A23" t="s">
        <v>212</v>
      </c>
      <c r="C23">
        <v>30</v>
      </c>
      <c r="D23" s="9">
        <v>38804.833333333336</v>
      </c>
      <c r="E23" s="9">
        <v>67996.766666666663</v>
      </c>
      <c r="F23" s="9">
        <v>9487.3333333333339</v>
      </c>
      <c r="G23" s="9">
        <v>48292.166666666664</v>
      </c>
    </row>
    <row r="24" spans="1:7">
      <c r="A24" t="s">
        <v>213</v>
      </c>
      <c r="C24">
        <v>81</v>
      </c>
      <c r="D24" s="9">
        <v>38370.8024691358</v>
      </c>
      <c r="E24" s="9">
        <v>68571.448148148163</v>
      </c>
      <c r="F24" s="9">
        <v>9042.5925925925931</v>
      </c>
      <c r="G24" s="9">
        <v>47413.395061728392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D0AB88-C3BC-42DD-BB26-E8872E5C9396}">
  <dimension ref="A3:E8"/>
  <sheetViews>
    <sheetView workbookViewId="0">
      <selection activeCell="C4" sqref="C4"/>
    </sheetView>
  </sheetViews>
  <sheetFormatPr defaultRowHeight="15"/>
  <cols>
    <col min="1" max="1" width="31.140625" bestFit="1" customWidth="1"/>
    <col min="2" max="2" width="18.42578125" bestFit="1" customWidth="1"/>
    <col min="3" max="3" width="41.28515625" bestFit="1" customWidth="1"/>
    <col min="4" max="4" width="39.140625" bestFit="1" customWidth="1"/>
    <col min="5" max="7" width="36.28515625" bestFit="1" customWidth="1"/>
  </cols>
  <sheetData>
    <row r="3" spans="1:5">
      <c r="A3" s="10" t="s">
        <v>3</v>
      </c>
      <c r="B3" t="s">
        <v>214</v>
      </c>
      <c r="C3" t="s">
        <v>215</v>
      </c>
      <c r="D3" t="s">
        <v>216</v>
      </c>
      <c r="E3" t="s">
        <v>217</v>
      </c>
    </row>
    <row r="4" spans="1:5">
      <c r="A4" t="s">
        <v>39</v>
      </c>
      <c r="B4" s="9">
        <v>50088.214285714283</v>
      </c>
      <c r="C4" s="9">
        <v>4053.5714285714284</v>
      </c>
      <c r="D4" s="9">
        <v>5086.1428571428569</v>
      </c>
      <c r="E4" s="9">
        <v>33794.428571428572</v>
      </c>
    </row>
    <row r="5" spans="1:5">
      <c r="A5" t="s">
        <v>26</v>
      </c>
      <c r="B5" s="9">
        <v>34305.394736842107</v>
      </c>
      <c r="C5" s="9">
        <v>9425.5263157894733</v>
      </c>
      <c r="D5" s="9">
        <v>4605.4193548387093</v>
      </c>
      <c r="E5" s="9">
        <v>18194.45</v>
      </c>
    </row>
    <row r="6" spans="1:5">
      <c r="A6" t="s">
        <v>32</v>
      </c>
      <c r="B6" s="9">
        <v>37916.346153846156</v>
      </c>
      <c r="C6" s="9">
        <v>6903.8461538461543</v>
      </c>
      <c r="D6" s="9">
        <v>4595.0714285714284</v>
      </c>
      <c r="E6" s="9">
        <v>19036.73076923077</v>
      </c>
    </row>
    <row r="7" spans="1:5">
      <c r="A7" t="s">
        <v>76</v>
      </c>
      <c r="B7" s="9">
        <v>39123.333333333336</v>
      </c>
      <c r="C7" s="9">
        <v>4666.666666666667</v>
      </c>
      <c r="D7" s="9">
        <v>4595</v>
      </c>
      <c r="E7" s="9">
        <v>18112.066666666666</v>
      </c>
    </row>
    <row r="8" spans="1:5">
      <c r="A8" t="s">
        <v>213</v>
      </c>
      <c r="B8" s="9">
        <v>38370.8024691358</v>
      </c>
      <c r="C8" s="9">
        <v>7511.358024691358</v>
      </c>
      <c r="D8">
        <v>4665.9811320754716</v>
      </c>
      <c r="E8" s="9">
        <v>21158.053086419754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B35A70-D7D7-4223-9E21-CCC22EFF026C}">
  <dimension ref="A1:D56"/>
  <sheetViews>
    <sheetView workbookViewId="0">
      <selection activeCell="C10" sqref="C10"/>
    </sheetView>
  </sheetViews>
  <sheetFormatPr defaultRowHeight="15"/>
  <cols>
    <col min="1" max="1" width="24.5703125" bestFit="1" customWidth="1"/>
    <col min="2" max="2" width="32.7109375" bestFit="1" customWidth="1"/>
    <col min="3" max="3" width="15.5703125" bestFit="1" customWidth="1"/>
    <col min="4" max="4" width="13.7109375" bestFit="1" customWidth="1"/>
  </cols>
  <sheetData>
    <row r="1" spans="1:4">
      <c r="A1" s="10" t="s">
        <v>2</v>
      </c>
      <c r="B1" t="s">
        <v>218</v>
      </c>
    </row>
    <row r="2" spans="1:4">
      <c r="A2" s="10" t="s">
        <v>3</v>
      </c>
      <c r="B2" t="s">
        <v>219</v>
      </c>
    </row>
    <row r="4" spans="1:4">
      <c r="A4" s="10" t="s">
        <v>0</v>
      </c>
      <c r="B4" s="10" t="s">
        <v>1</v>
      </c>
      <c r="C4" t="s">
        <v>220</v>
      </c>
      <c r="D4" t="s">
        <v>221</v>
      </c>
    </row>
    <row r="5" spans="1:4">
      <c r="A5" t="s">
        <v>170</v>
      </c>
      <c r="B5" t="s">
        <v>173</v>
      </c>
    </row>
    <row r="6" spans="1:4">
      <c r="B6" t="s">
        <v>190</v>
      </c>
      <c r="C6">
        <v>1</v>
      </c>
      <c r="D6">
        <v>3750</v>
      </c>
    </row>
    <row r="7" spans="1:4">
      <c r="B7" t="s">
        <v>188</v>
      </c>
    </row>
    <row r="8" spans="1:4">
      <c r="B8" t="s">
        <v>191</v>
      </c>
      <c r="C8">
        <v>1</v>
      </c>
      <c r="D8">
        <v>7500</v>
      </c>
    </row>
    <row r="9" spans="1:4">
      <c r="B9" t="s">
        <v>184</v>
      </c>
    </row>
    <row r="10" spans="1:4">
      <c r="B10" t="s">
        <v>181</v>
      </c>
    </row>
    <row r="11" spans="1:4">
      <c r="A11" t="s">
        <v>208</v>
      </c>
      <c r="C11">
        <v>2</v>
      </c>
      <c r="D11">
        <v>7500</v>
      </c>
    </row>
    <row r="12" spans="1:4">
      <c r="A12" t="s">
        <v>23</v>
      </c>
      <c r="B12" t="s">
        <v>55</v>
      </c>
    </row>
    <row r="13" spans="1:4">
      <c r="B13" t="s">
        <v>60</v>
      </c>
    </row>
    <row r="14" spans="1:4">
      <c r="B14" t="s">
        <v>49</v>
      </c>
    </row>
    <row r="15" spans="1:4">
      <c r="B15" t="s">
        <v>41</v>
      </c>
      <c r="C15">
        <v>1</v>
      </c>
      <c r="D15">
        <v>7500</v>
      </c>
    </row>
    <row r="16" spans="1:4">
      <c r="B16" t="s">
        <v>31</v>
      </c>
    </row>
    <row r="17" spans="1:4">
      <c r="B17" t="s">
        <v>38</v>
      </c>
      <c r="C17">
        <v>1</v>
      </c>
      <c r="D17">
        <v>7500</v>
      </c>
    </row>
    <row r="18" spans="1:4">
      <c r="A18" t="s">
        <v>209</v>
      </c>
      <c r="C18">
        <v>2</v>
      </c>
      <c r="D18">
        <v>7500</v>
      </c>
    </row>
    <row r="19" spans="1:4">
      <c r="A19" t="s">
        <v>138</v>
      </c>
      <c r="B19" t="s">
        <v>163</v>
      </c>
    </row>
    <row r="20" spans="1:4">
      <c r="B20" t="s">
        <v>157</v>
      </c>
      <c r="C20">
        <v>1</v>
      </c>
      <c r="D20">
        <v>7500</v>
      </c>
    </row>
    <row r="21" spans="1:4">
      <c r="B21" t="s">
        <v>158</v>
      </c>
      <c r="C21">
        <v>1</v>
      </c>
      <c r="D21">
        <v>7500</v>
      </c>
    </row>
    <row r="22" spans="1:4">
      <c r="B22" t="s">
        <v>169</v>
      </c>
    </row>
    <row r="23" spans="1:4">
      <c r="B23" t="s">
        <v>143</v>
      </c>
    </row>
    <row r="24" spans="1:4">
      <c r="B24" t="s">
        <v>160</v>
      </c>
      <c r="C24">
        <v>1</v>
      </c>
      <c r="D24">
        <v>7500</v>
      </c>
    </row>
    <row r="25" spans="1:4">
      <c r="B25" t="s">
        <v>153</v>
      </c>
    </row>
    <row r="26" spans="1:4">
      <c r="B26" t="s">
        <v>167</v>
      </c>
    </row>
    <row r="27" spans="1:4">
      <c r="B27" t="s">
        <v>148</v>
      </c>
    </row>
    <row r="28" spans="1:4">
      <c r="B28" t="s">
        <v>150</v>
      </c>
    </row>
    <row r="29" spans="1:4">
      <c r="A29" t="s">
        <v>210</v>
      </c>
      <c r="C29">
        <v>3</v>
      </c>
      <c r="D29">
        <v>7500</v>
      </c>
    </row>
    <row r="30" spans="1:4">
      <c r="A30" t="s">
        <v>126</v>
      </c>
      <c r="B30" t="s">
        <v>132</v>
      </c>
      <c r="C30">
        <v>1</v>
      </c>
      <c r="D30">
        <v>7500</v>
      </c>
    </row>
    <row r="31" spans="1:4">
      <c r="B31" t="s">
        <v>127</v>
      </c>
      <c r="C31">
        <v>1</v>
      </c>
      <c r="D31">
        <v>7500</v>
      </c>
    </row>
    <row r="32" spans="1:4">
      <c r="B32" t="s">
        <v>136</v>
      </c>
      <c r="C32">
        <v>1</v>
      </c>
      <c r="D32">
        <v>7500</v>
      </c>
    </row>
    <row r="33" spans="1:4">
      <c r="B33" t="s">
        <v>134</v>
      </c>
      <c r="C33">
        <v>1</v>
      </c>
      <c r="D33">
        <v>7500</v>
      </c>
    </row>
    <row r="34" spans="1:4">
      <c r="B34" t="s">
        <v>129</v>
      </c>
      <c r="C34">
        <v>1</v>
      </c>
      <c r="D34">
        <v>7500</v>
      </c>
    </row>
    <row r="35" spans="1:4">
      <c r="A35" t="s">
        <v>211</v>
      </c>
      <c r="C35">
        <v>5</v>
      </c>
      <c r="D35">
        <v>7500</v>
      </c>
    </row>
    <row r="36" spans="1:4">
      <c r="A36" t="s">
        <v>68</v>
      </c>
      <c r="B36" t="s">
        <v>115</v>
      </c>
    </row>
    <row r="37" spans="1:4">
      <c r="B37" t="s">
        <v>116</v>
      </c>
      <c r="C37">
        <v>1</v>
      </c>
      <c r="D37">
        <v>7500</v>
      </c>
    </row>
    <row r="38" spans="1:4">
      <c r="B38" t="s">
        <v>78</v>
      </c>
    </row>
    <row r="39" spans="1:4">
      <c r="B39" t="s">
        <v>102</v>
      </c>
    </row>
    <row r="40" spans="1:4">
      <c r="B40" t="s">
        <v>70</v>
      </c>
    </row>
    <row r="41" spans="1:4">
      <c r="B41" t="s">
        <v>118</v>
      </c>
    </row>
    <row r="42" spans="1:4">
      <c r="B42" t="s">
        <v>112</v>
      </c>
    </row>
    <row r="43" spans="1:4">
      <c r="B43" t="s">
        <v>122</v>
      </c>
    </row>
    <row r="44" spans="1:4">
      <c r="B44" t="s">
        <v>82</v>
      </c>
      <c r="C44">
        <v>1</v>
      </c>
      <c r="D44">
        <v>7500</v>
      </c>
    </row>
    <row r="45" spans="1:4">
      <c r="B45" t="s">
        <v>73</v>
      </c>
    </row>
    <row r="46" spans="1:4">
      <c r="B46" t="s">
        <v>75</v>
      </c>
      <c r="C46">
        <v>1</v>
      </c>
      <c r="D46">
        <v>7500</v>
      </c>
    </row>
    <row r="47" spans="1:4">
      <c r="B47" t="s">
        <v>106</v>
      </c>
    </row>
    <row r="48" spans="1:4">
      <c r="B48" t="s">
        <v>108</v>
      </c>
      <c r="C48">
        <v>1</v>
      </c>
      <c r="D48">
        <v>7500</v>
      </c>
    </row>
    <row r="49" spans="1:4">
      <c r="B49" t="s">
        <v>124</v>
      </c>
    </row>
    <row r="50" spans="1:4">
      <c r="B50" t="s">
        <v>92</v>
      </c>
    </row>
    <row r="51" spans="1:4">
      <c r="B51" t="s">
        <v>96</v>
      </c>
    </row>
    <row r="52" spans="1:4">
      <c r="B52" t="s">
        <v>120</v>
      </c>
    </row>
    <row r="53" spans="1:4">
      <c r="B53" t="s">
        <v>80</v>
      </c>
    </row>
    <row r="54" spans="1:4">
      <c r="B54" t="s">
        <v>99</v>
      </c>
    </row>
    <row r="55" spans="1:4">
      <c r="A55" t="s">
        <v>212</v>
      </c>
      <c r="C55">
        <v>4</v>
      </c>
      <c r="D55">
        <v>7500</v>
      </c>
    </row>
    <row r="56" spans="1:4">
      <c r="A56" t="s">
        <v>213</v>
      </c>
      <c r="C56">
        <v>16</v>
      </c>
      <c r="D56">
        <v>7500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75433-91C8-4987-8886-87AB622A38FB}">
  <dimension ref="A3:G9"/>
  <sheetViews>
    <sheetView workbookViewId="0">
      <selection activeCell="C5" sqref="C5"/>
    </sheetView>
  </sheetViews>
  <sheetFormatPr defaultRowHeight="15"/>
  <cols>
    <col min="1" max="1" width="28.5703125" bestFit="1" customWidth="1"/>
    <col min="2" max="2" width="31.140625" bestFit="1" customWidth="1"/>
    <col min="3" max="5" width="11.42578125" bestFit="1" customWidth="1"/>
    <col min="6" max="6" width="16" bestFit="1" customWidth="1"/>
    <col min="7" max="7" width="11.42578125" bestFit="1" customWidth="1"/>
  </cols>
  <sheetData>
    <row r="3" spans="1:7">
      <c r="A3" s="10" t="s">
        <v>214</v>
      </c>
      <c r="B3" s="10" t="s">
        <v>3</v>
      </c>
    </row>
    <row r="4" spans="1:7">
      <c r="A4" s="10" t="s">
        <v>2</v>
      </c>
      <c r="B4" t="s">
        <v>39</v>
      </c>
      <c r="C4" t="s">
        <v>42</v>
      </c>
      <c r="D4" t="s">
        <v>26</v>
      </c>
      <c r="E4" t="s">
        <v>32</v>
      </c>
      <c r="F4" t="s">
        <v>76</v>
      </c>
      <c r="G4" t="s">
        <v>213</v>
      </c>
    </row>
    <row r="5" spans="1:7">
      <c r="A5" t="s">
        <v>66</v>
      </c>
      <c r="B5" s="9">
        <v>64992.5</v>
      </c>
      <c r="C5" s="9"/>
      <c r="D5" s="9">
        <v>36162.5</v>
      </c>
      <c r="E5" s="9">
        <v>43711.25</v>
      </c>
      <c r="F5" s="9"/>
      <c r="G5" s="9">
        <v>44948</v>
      </c>
    </row>
    <row r="6" spans="1:7">
      <c r="A6" t="s">
        <v>25</v>
      </c>
      <c r="B6" s="9">
        <v>44373.333333333336</v>
      </c>
      <c r="C6" s="9">
        <v>55067.5</v>
      </c>
      <c r="D6" s="9">
        <v>34593.25</v>
      </c>
      <c r="E6" s="9">
        <v>42031.25</v>
      </c>
      <c r="F6" s="9">
        <v>41997.5</v>
      </c>
      <c r="G6" s="9">
        <v>39443.095238095237</v>
      </c>
    </row>
    <row r="7" spans="1:7">
      <c r="A7" t="s">
        <v>47</v>
      </c>
      <c r="B7" s="9">
        <v>51862</v>
      </c>
      <c r="C7" s="9">
        <v>50190</v>
      </c>
      <c r="D7" s="9">
        <v>31186.81818181818</v>
      </c>
      <c r="E7" s="9">
        <v>30717.222222222223</v>
      </c>
      <c r="F7" s="9">
        <v>33375</v>
      </c>
      <c r="G7" s="9">
        <v>35643.888888888891</v>
      </c>
    </row>
    <row r="8" spans="1:7">
      <c r="A8" t="s">
        <v>63</v>
      </c>
      <c r="B8" s="9">
        <v>45700</v>
      </c>
      <c r="C8" s="9"/>
      <c r="D8" s="9">
        <v>48292.5</v>
      </c>
      <c r="E8" s="9"/>
      <c r="F8" s="9"/>
      <c r="G8" s="9">
        <v>47428.333333333336</v>
      </c>
    </row>
    <row r="9" spans="1:7">
      <c r="A9" t="s">
        <v>213</v>
      </c>
      <c r="B9" s="9">
        <v>50088.214285714283</v>
      </c>
      <c r="C9" s="9">
        <v>53441.666666666664</v>
      </c>
      <c r="D9" s="9">
        <v>34490.675675675673</v>
      </c>
      <c r="E9" s="9">
        <v>38227</v>
      </c>
      <c r="F9" s="9">
        <v>39123.333333333336</v>
      </c>
      <c r="G9" s="9">
        <v>39155.609756097561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1B007-C16E-46C4-9083-0DAD737BDDBE}">
  <dimension ref="A1:C10"/>
  <sheetViews>
    <sheetView workbookViewId="0">
      <selection activeCell="C7" sqref="C7"/>
    </sheetView>
  </sheetViews>
  <sheetFormatPr defaultRowHeight="15"/>
  <cols>
    <col min="1" max="1" width="11.140625" bestFit="1" customWidth="1"/>
    <col min="2" max="2" width="9.42578125" bestFit="1" customWidth="1"/>
    <col min="3" max="3" width="36.28515625" bestFit="1" customWidth="1"/>
  </cols>
  <sheetData>
    <row r="1" spans="1:3">
      <c r="A1" s="10" t="s">
        <v>2</v>
      </c>
      <c r="B1" t="s">
        <v>218</v>
      </c>
    </row>
    <row r="2" spans="1:3">
      <c r="A2" s="10" t="s">
        <v>3</v>
      </c>
      <c r="B2" t="s">
        <v>218</v>
      </c>
    </row>
    <row r="4" spans="1:3">
      <c r="A4" s="10" t="s">
        <v>0</v>
      </c>
      <c r="B4" s="10" t="s">
        <v>1</v>
      </c>
      <c r="C4" t="s">
        <v>217</v>
      </c>
    </row>
    <row r="5" spans="1:3">
      <c r="A5" t="s">
        <v>23</v>
      </c>
      <c r="C5" s="9">
        <v>16196.5</v>
      </c>
    </row>
    <row r="6" spans="1:3">
      <c r="A6" t="s">
        <v>68</v>
      </c>
      <c r="C6" s="9">
        <v>19810.903225806451</v>
      </c>
    </row>
    <row r="7" spans="1:3">
      <c r="A7" t="s">
        <v>138</v>
      </c>
      <c r="C7" s="9">
        <v>20294.841666666667</v>
      </c>
    </row>
    <row r="8" spans="1:3">
      <c r="A8" t="s">
        <v>170</v>
      </c>
      <c r="C8" s="9">
        <v>25353.29285714286</v>
      </c>
    </row>
    <row r="9" spans="1:3">
      <c r="A9" t="s">
        <v>126</v>
      </c>
      <c r="C9" s="9">
        <v>37503.4</v>
      </c>
    </row>
    <row r="10" spans="1:3">
      <c r="A10" t="s">
        <v>213</v>
      </c>
      <c r="C10" s="9">
        <v>21203.002976190477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E04C7-FB85-4F41-88D5-2B77E2606848}">
  <dimension ref="A1:C10"/>
  <sheetViews>
    <sheetView workbookViewId="0">
      <selection activeCell="B6" sqref="B6"/>
    </sheetView>
  </sheetViews>
  <sheetFormatPr defaultRowHeight="15"/>
  <cols>
    <col min="1" max="1" width="31.140625" bestFit="1" customWidth="1"/>
    <col min="2" max="2" width="17.42578125" bestFit="1" customWidth="1"/>
    <col min="3" max="3" width="36.28515625" bestFit="1" customWidth="1"/>
    <col min="4" max="5" width="11.42578125" bestFit="1" customWidth="1"/>
    <col min="6" max="6" width="16" bestFit="1" customWidth="1"/>
    <col min="7" max="7" width="11.42578125" bestFit="1" customWidth="1"/>
  </cols>
  <sheetData>
    <row r="1" spans="1:3">
      <c r="A1" s="10" t="s">
        <v>0</v>
      </c>
      <c r="B1" t="s">
        <v>218</v>
      </c>
    </row>
    <row r="2" spans="1:3">
      <c r="A2" s="10" t="s">
        <v>2</v>
      </c>
      <c r="B2" t="s">
        <v>219</v>
      </c>
    </row>
    <row r="4" spans="1:3">
      <c r="A4" s="10" t="s">
        <v>3</v>
      </c>
      <c r="B4" t="s">
        <v>203</v>
      </c>
      <c r="C4" t="s">
        <v>217</v>
      </c>
    </row>
    <row r="5" spans="1:3">
      <c r="A5" t="s">
        <v>76</v>
      </c>
      <c r="B5">
        <v>3</v>
      </c>
      <c r="C5" s="9">
        <v>18112.066666666666</v>
      </c>
    </row>
    <row r="6" spans="1:3">
      <c r="A6" t="s">
        <v>26</v>
      </c>
      <c r="B6">
        <v>32</v>
      </c>
      <c r="C6" s="9">
        <v>18431.143749999999</v>
      </c>
    </row>
    <row r="7" spans="1:3">
      <c r="A7" t="s">
        <v>32</v>
      </c>
      <c r="B7">
        <v>22</v>
      </c>
      <c r="C7" s="9">
        <v>18973.272727272728</v>
      </c>
    </row>
    <row r="8" spans="1:3">
      <c r="A8" t="s">
        <v>42</v>
      </c>
      <c r="B8">
        <v>3</v>
      </c>
      <c r="C8" s="9">
        <v>22416.649999999998</v>
      </c>
    </row>
    <row r="9" spans="1:3">
      <c r="A9" t="s">
        <v>39</v>
      </c>
      <c r="B9">
        <v>11</v>
      </c>
      <c r="C9" s="9">
        <v>33706.181818181816</v>
      </c>
    </row>
    <row r="10" spans="1:3">
      <c r="A10" t="s">
        <v>213</v>
      </c>
      <c r="B10">
        <v>71</v>
      </c>
      <c r="C10" s="9">
        <v>21120.602112676053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03DC1-79FE-41AE-9417-8EE0C2A15F3C}">
  <dimension ref="A1:E85"/>
  <sheetViews>
    <sheetView workbookViewId="0">
      <selection activeCell="A2" sqref="A2"/>
    </sheetView>
  </sheetViews>
  <sheetFormatPr defaultRowHeight="15"/>
  <cols>
    <col min="1" max="1" width="11.42578125" bestFit="1" customWidth="1"/>
    <col min="2" max="2" width="17.28515625" customWidth="1"/>
    <col min="4" max="4" width="11.85546875" bestFit="1" customWidth="1"/>
    <col min="5" max="5" width="63.42578125" bestFit="1" customWidth="1"/>
    <col min="17" max="17" width="32.7109375" bestFit="1" customWidth="1"/>
    <col min="18" max="18" width="27.7109375" bestFit="1" customWidth="1"/>
    <col min="19" max="19" width="30.28515625" bestFit="1" customWidth="1"/>
    <col min="20" max="20" width="34" bestFit="1" customWidth="1"/>
    <col min="21" max="21" width="25.28515625" bestFit="1" customWidth="1"/>
    <col min="22" max="22" width="29" bestFit="1" customWidth="1"/>
    <col min="23" max="23" width="31.85546875" bestFit="1" customWidth="1"/>
  </cols>
  <sheetData>
    <row r="1" spans="1:5">
      <c r="A1" t="str" cm="1">
        <f t="array" ref="A1:B85">_xlfn._xlws.FILTER(_xlfn.CHOOSECOLS('Car Data Table'!A8:U95, 5, 21), 'Car Data Table'!U8:U95&lt;&gt;0)</f>
        <v>MSRP ($)</v>
      </c>
      <c r="B1" t="str">
        <v>Total Cost of Ownership (TCO) Over 5 Years - Including Depreciation</v>
      </c>
      <c r="D1" s="9" t="s">
        <v>4</v>
      </c>
      <c r="E1" s="9" t="s">
        <v>20</v>
      </c>
    </row>
    <row r="2" spans="1:5">
      <c r="A2" s="9">
        <v>25400</v>
      </c>
      <c r="B2" s="9">
        <v>49924</v>
      </c>
      <c r="D2" s="9">
        <v>25400</v>
      </c>
      <c r="E2" s="9">
        <v>49924</v>
      </c>
    </row>
    <row r="3" spans="1:5">
      <c r="A3" s="9">
        <v>30100</v>
      </c>
      <c r="B3" s="9">
        <v>54089</v>
      </c>
      <c r="D3" s="9">
        <v>30100</v>
      </c>
      <c r="E3" s="9">
        <v>54089</v>
      </c>
    </row>
    <row r="4" spans="1:5">
      <c r="A4" s="9">
        <v>34650</v>
      </c>
      <c r="B4" s="9">
        <v>59767</v>
      </c>
      <c r="D4" s="9">
        <v>34650</v>
      </c>
      <c r="E4" s="9">
        <v>59767</v>
      </c>
    </row>
    <row r="5" spans="1:5">
      <c r="A5" s="9">
        <v>44750</v>
      </c>
      <c r="B5" s="9">
        <v>77683</v>
      </c>
      <c r="D5" s="9">
        <v>44750</v>
      </c>
      <c r="E5" s="9">
        <v>77683</v>
      </c>
    </row>
    <row r="6" spans="1:5">
      <c r="A6" s="9">
        <v>40200</v>
      </c>
      <c r="B6" s="9">
        <v>72958</v>
      </c>
      <c r="D6" s="9">
        <v>40200</v>
      </c>
      <c r="E6" s="9">
        <v>72958</v>
      </c>
    </row>
    <row r="7" spans="1:5">
      <c r="A7" s="9">
        <v>47400</v>
      </c>
      <c r="B7" s="9">
        <v>81278</v>
      </c>
      <c r="D7" s="9">
        <v>47400</v>
      </c>
      <c r="E7" s="9">
        <v>81278</v>
      </c>
    </row>
    <row r="8" spans="1:5" hidden="1">
      <c r="A8" s="9">
        <v>50000</v>
      </c>
      <c r="B8" s="9" t="str">
        <v/>
      </c>
      <c r="D8" s="9">
        <v>50000</v>
      </c>
      <c r="E8" s="9" t="s">
        <v>202</v>
      </c>
    </row>
    <row r="9" spans="1:5">
      <c r="A9" s="9">
        <v>24250</v>
      </c>
      <c r="B9" s="9">
        <v>43682</v>
      </c>
      <c r="D9" s="9">
        <v>24250</v>
      </c>
      <c r="E9" s="9">
        <v>43682</v>
      </c>
    </row>
    <row r="10" spans="1:5">
      <c r="A10" s="9">
        <v>28950</v>
      </c>
      <c r="B10" s="9">
        <v>48620</v>
      </c>
      <c r="D10" s="9">
        <v>28950</v>
      </c>
      <c r="E10" s="9">
        <v>48620</v>
      </c>
    </row>
    <row r="11" spans="1:5">
      <c r="A11" s="9">
        <v>30250</v>
      </c>
      <c r="B11" s="9">
        <v>51957</v>
      </c>
      <c r="D11" s="9">
        <v>30250</v>
      </c>
      <c r="E11" s="9">
        <v>51957</v>
      </c>
    </row>
    <row r="12" spans="1:5">
      <c r="A12" s="9">
        <v>28295</v>
      </c>
      <c r="B12" s="9">
        <v>54018</v>
      </c>
      <c r="D12" s="9">
        <v>28295</v>
      </c>
      <c r="E12" s="9">
        <v>54018</v>
      </c>
    </row>
    <row r="13" spans="1:5">
      <c r="A13" s="9">
        <v>33655</v>
      </c>
      <c r="B13" s="9">
        <v>58878</v>
      </c>
      <c r="D13" s="9">
        <v>33655</v>
      </c>
      <c r="E13" s="9">
        <v>58878</v>
      </c>
    </row>
    <row r="14" spans="1:5">
      <c r="A14" s="9">
        <v>27450</v>
      </c>
      <c r="B14" s="9">
        <v>47539</v>
      </c>
      <c r="D14" s="9">
        <v>27450</v>
      </c>
      <c r="E14" s="9">
        <v>47539</v>
      </c>
    </row>
    <row r="15" spans="1:5">
      <c r="A15" s="9">
        <v>30150</v>
      </c>
      <c r="B15" s="9">
        <v>50863</v>
      </c>
      <c r="D15" s="9">
        <v>30150</v>
      </c>
      <c r="E15" s="9">
        <v>50863</v>
      </c>
    </row>
    <row r="16" spans="1:5">
      <c r="A16" s="9">
        <v>42220</v>
      </c>
      <c r="B16" s="9">
        <v>69523</v>
      </c>
      <c r="D16" s="9">
        <v>42220</v>
      </c>
      <c r="E16" s="9">
        <v>69523</v>
      </c>
    </row>
    <row r="17" spans="1:5">
      <c r="A17" s="9">
        <v>40150</v>
      </c>
      <c r="B17" s="9">
        <v>71881</v>
      </c>
      <c r="D17" s="9">
        <v>40150</v>
      </c>
      <c r="E17" s="9">
        <v>71881</v>
      </c>
    </row>
    <row r="18" spans="1:5">
      <c r="A18" s="9">
        <v>22325</v>
      </c>
      <c r="B18" s="9">
        <v>43400</v>
      </c>
      <c r="D18" s="9">
        <v>22325</v>
      </c>
      <c r="E18" s="9">
        <v>43400</v>
      </c>
    </row>
    <row r="19" spans="1:5">
      <c r="A19" s="9">
        <v>23825</v>
      </c>
      <c r="B19" s="9">
        <v>44948</v>
      </c>
      <c r="D19" s="9">
        <v>23825</v>
      </c>
      <c r="E19" s="9">
        <v>44948</v>
      </c>
    </row>
    <row r="20" spans="1:5">
      <c r="A20" s="9">
        <v>23780</v>
      </c>
      <c r="B20" s="9">
        <v>45310</v>
      </c>
      <c r="D20" s="9">
        <v>23780</v>
      </c>
      <c r="E20" s="9">
        <v>45310</v>
      </c>
    </row>
    <row r="21" spans="1:5">
      <c r="A21" s="9">
        <v>28350</v>
      </c>
      <c r="B21" s="9">
        <v>51491</v>
      </c>
      <c r="D21" s="9">
        <v>28350</v>
      </c>
      <c r="E21" s="9">
        <v>51491</v>
      </c>
    </row>
    <row r="22" spans="1:5">
      <c r="A22" s="9">
        <v>33375</v>
      </c>
      <c r="B22" s="9">
        <v>48975</v>
      </c>
      <c r="D22" s="9">
        <v>33375</v>
      </c>
      <c r="E22" s="9">
        <v>48975</v>
      </c>
    </row>
    <row r="23" spans="1:5">
      <c r="A23" s="9">
        <v>28700</v>
      </c>
      <c r="B23" s="9">
        <v>49989</v>
      </c>
      <c r="D23" s="9">
        <v>28700</v>
      </c>
      <c r="E23" s="9">
        <v>49989</v>
      </c>
    </row>
    <row r="24" spans="1:5">
      <c r="A24" s="9">
        <v>41440</v>
      </c>
      <c r="B24" s="9">
        <v>70090</v>
      </c>
      <c r="D24" s="9">
        <v>41440</v>
      </c>
      <c r="E24" s="9">
        <v>70090</v>
      </c>
    </row>
    <row r="25" spans="1:5" hidden="1">
      <c r="A25" s="9">
        <v>50190</v>
      </c>
      <c r="B25" s="9" t="str">
        <v/>
      </c>
      <c r="D25" s="9">
        <v>50190</v>
      </c>
      <c r="E25" s="9" t="s">
        <v>202</v>
      </c>
    </row>
    <row r="26" spans="1:5">
      <c r="A26" s="9">
        <v>30000</v>
      </c>
      <c r="B26" s="9">
        <v>59772</v>
      </c>
      <c r="D26" s="9">
        <v>30000</v>
      </c>
      <c r="E26" s="9">
        <v>59772</v>
      </c>
    </row>
    <row r="27" spans="1:5">
      <c r="A27" s="9">
        <v>38860</v>
      </c>
      <c r="B27" s="9">
        <v>69765</v>
      </c>
      <c r="D27" s="9">
        <v>38860</v>
      </c>
      <c r="E27" s="9">
        <v>69765</v>
      </c>
    </row>
    <row r="28" spans="1:5">
      <c r="A28" s="9">
        <v>56900</v>
      </c>
      <c r="B28" s="9">
        <v>93887</v>
      </c>
      <c r="D28" s="9">
        <v>56900</v>
      </c>
      <c r="E28" s="9">
        <v>93887</v>
      </c>
    </row>
    <row r="29" spans="1:5">
      <c r="A29" s="9">
        <v>39185</v>
      </c>
      <c r="B29" s="9">
        <v>67758</v>
      </c>
      <c r="D29" s="9">
        <v>39185</v>
      </c>
      <c r="E29" s="9">
        <v>67758</v>
      </c>
    </row>
    <row r="30" spans="1:5">
      <c r="A30" s="9">
        <v>31590</v>
      </c>
      <c r="B30" s="9">
        <v>58648</v>
      </c>
      <c r="D30" s="9">
        <v>31590</v>
      </c>
      <c r="E30" s="9">
        <v>58648</v>
      </c>
    </row>
    <row r="31" spans="1:5">
      <c r="A31" s="9">
        <v>46320</v>
      </c>
      <c r="B31" s="9">
        <v>76462</v>
      </c>
      <c r="D31" s="9">
        <v>46320</v>
      </c>
      <c r="E31" s="9">
        <v>76462</v>
      </c>
    </row>
    <row r="32" spans="1:5">
      <c r="A32" s="9">
        <v>40090</v>
      </c>
      <c r="B32" s="9">
        <v>69178</v>
      </c>
      <c r="D32" s="9">
        <v>40090</v>
      </c>
      <c r="E32" s="9">
        <v>69178</v>
      </c>
    </row>
    <row r="33" spans="1:5">
      <c r="A33" s="9">
        <v>58005</v>
      </c>
      <c r="B33" s="9">
        <v>95132</v>
      </c>
      <c r="D33" s="9">
        <v>58005</v>
      </c>
      <c r="E33" s="9">
        <v>95132</v>
      </c>
    </row>
    <row r="34" spans="1:5">
      <c r="A34" s="9">
        <v>24035</v>
      </c>
      <c r="B34" s="9">
        <v>46275</v>
      </c>
      <c r="D34" s="9">
        <v>24035</v>
      </c>
      <c r="E34" s="9">
        <v>46275</v>
      </c>
    </row>
    <row r="35" spans="1:5">
      <c r="A35" s="9">
        <v>28395</v>
      </c>
      <c r="B35" s="9">
        <v>51837</v>
      </c>
      <c r="D35" s="9">
        <v>28395</v>
      </c>
      <c r="E35" s="9">
        <v>51837</v>
      </c>
    </row>
    <row r="36" spans="1:5">
      <c r="A36" s="9">
        <v>29250</v>
      </c>
      <c r="B36" s="9">
        <v>53175</v>
      </c>
      <c r="D36" s="9">
        <v>29250</v>
      </c>
      <c r="E36" s="9">
        <v>53175</v>
      </c>
    </row>
    <row r="37" spans="1:5">
      <c r="A37" s="9">
        <v>32300</v>
      </c>
      <c r="B37" s="9">
        <v>58002</v>
      </c>
      <c r="D37" s="9">
        <v>32300</v>
      </c>
      <c r="E37" s="9">
        <v>58002</v>
      </c>
    </row>
    <row r="38" spans="1:5">
      <c r="A38" s="9">
        <v>44265</v>
      </c>
      <c r="B38" s="9">
        <v>68465</v>
      </c>
      <c r="D38" s="9">
        <v>44265</v>
      </c>
      <c r="E38" s="9">
        <v>68465</v>
      </c>
    </row>
    <row r="39" spans="1:5">
      <c r="A39" s="9">
        <v>39520</v>
      </c>
      <c r="B39" s="9">
        <v>75795</v>
      </c>
      <c r="D39" s="9">
        <v>39520</v>
      </c>
      <c r="E39" s="9">
        <v>75795</v>
      </c>
    </row>
    <row r="40" spans="1:5">
      <c r="A40" s="9">
        <v>46020</v>
      </c>
      <c r="B40" s="9">
        <v>82119</v>
      </c>
      <c r="D40" s="9">
        <v>46020</v>
      </c>
      <c r="E40" s="9">
        <v>82119</v>
      </c>
    </row>
    <row r="41" spans="1:5">
      <c r="A41" s="9">
        <v>40770</v>
      </c>
      <c r="B41" s="9">
        <v>70150</v>
      </c>
      <c r="D41" s="9">
        <v>40770</v>
      </c>
      <c r="E41" s="9">
        <v>70150</v>
      </c>
    </row>
    <row r="42" spans="1:5">
      <c r="A42" s="9">
        <v>51990</v>
      </c>
      <c r="B42" s="9">
        <v>81264</v>
      </c>
      <c r="D42" s="9">
        <v>51990</v>
      </c>
      <c r="E42" s="9">
        <v>81264</v>
      </c>
    </row>
    <row r="43" spans="1:5">
      <c r="A43" s="9">
        <v>37070</v>
      </c>
      <c r="B43" s="9">
        <v>68317</v>
      </c>
      <c r="D43" s="9">
        <v>37070</v>
      </c>
      <c r="E43" s="9">
        <v>68317</v>
      </c>
    </row>
    <row r="44" spans="1:5">
      <c r="A44" s="9">
        <v>40860</v>
      </c>
      <c r="B44" s="9">
        <v>78132</v>
      </c>
      <c r="D44" s="9">
        <v>40860</v>
      </c>
      <c r="E44" s="9">
        <v>78132</v>
      </c>
    </row>
    <row r="45" spans="1:5">
      <c r="A45" s="9">
        <v>44210</v>
      </c>
      <c r="B45" s="9">
        <v>79010</v>
      </c>
      <c r="D45" s="9">
        <v>44210</v>
      </c>
      <c r="E45" s="9">
        <v>79010</v>
      </c>
    </row>
    <row r="46" spans="1:5">
      <c r="A46" s="9">
        <v>43590</v>
      </c>
      <c r="B46" s="9">
        <v>77584</v>
      </c>
      <c r="D46" s="9">
        <v>43590</v>
      </c>
      <c r="E46" s="9">
        <v>77584</v>
      </c>
    </row>
    <row r="47" spans="1:5">
      <c r="A47" s="9">
        <v>56700</v>
      </c>
      <c r="B47" s="9">
        <v>95055</v>
      </c>
      <c r="D47" s="9">
        <v>56700</v>
      </c>
      <c r="E47" s="9">
        <v>95055</v>
      </c>
    </row>
    <row r="48" spans="1:5">
      <c r="A48" s="9">
        <v>62425</v>
      </c>
      <c r="B48" s="9">
        <v>109918</v>
      </c>
      <c r="D48" s="9">
        <v>62425</v>
      </c>
      <c r="E48" s="9">
        <v>109918</v>
      </c>
    </row>
    <row r="49" spans="1:5">
      <c r="A49" s="9">
        <v>34990</v>
      </c>
      <c r="B49" s="9">
        <v>69476</v>
      </c>
      <c r="D49" s="9">
        <v>34990</v>
      </c>
      <c r="E49" s="9">
        <v>69476</v>
      </c>
    </row>
    <row r="50" spans="1:5">
      <c r="A50" s="9">
        <v>34490</v>
      </c>
      <c r="B50" s="9">
        <v>62964</v>
      </c>
      <c r="D50" s="9">
        <v>34490</v>
      </c>
      <c r="E50" s="9">
        <v>62964</v>
      </c>
    </row>
    <row r="51" spans="1:5">
      <c r="A51" s="9">
        <v>66990</v>
      </c>
      <c r="B51" s="9">
        <v>95086</v>
      </c>
      <c r="D51" s="9">
        <v>66990</v>
      </c>
      <c r="E51" s="9">
        <v>95086</v>
      </c>
    </row>
    <row r="52" spans="1:5">
      <c r="A52" s="9">
        <v>78490</v>
      </c>
      <c r="B52" s="9">
        <v>130602</v>
      </c>
      <c r="D52" s="9">
        <v>78490</v>
      </c>
      <c r="E52" s="9">
        <v>130602</v>
      </c>
    </row>
    <row r="53" spans="1:5">
      <c r="A53" s="9">
        <v>73490</v>
      </c>
      <c r="B53" s="9">
        <v>123990</v>
      </c>
      <c r="D53" s="9">
        <v>73490</v>
      </c>
      <c r="E53" s="9">
        <v>123990</v>
      </c>
    </row>
    <row r="54" spans="1:5">
      <c r="A54" s="9">
        <v>20200</v>
      </c>
      <c r="B54" s="9">
        <v>40963</v>
      </c>
      <c r="D54" s="9">
        <v>20200</v>
      </c>
      <c r="E54" s="9">
        <v>40963</v>
      </c>
    </row>
    <row r="55" spans="1:5">
      <c r="A55" s="9">
        <v>24550</v>
      </c>
      <c r="B55" s="9">
        <v>48036</v>
      </c>
      <c r="D55" s="9">
        <v>24550</v>
      </c>
      <c r="E55" s="9">
        <v>48036</v>
      </c>
    </row>
    <row r="56" spans="1:5">
      <c r="A56" s="9">
        <v>32975</v>
      </c>
      <c r="B56" s="9">
        <v>71571</v>
      </c>
      <c r="D56" s="9">
        <v>32975</v>
      </c>
      <c r="E56" s="9">
        <v>71571</v>
      </c>
    </row>
    <row r="57" spans="1:5">
      <c r="A57" s="9">
        <v>28750</v>
      </c>
      <c r="B57" s="9">
        <v>54442</v>
      </c>
      <c r="D57" s="9">
        <v>28750</v>
      </c>
      <c r="E57" s="9">
        <v>54442</v>
      </c>
    </row>
    <row r="58" spans="1:5">
      <c r="A58" s="9">
        <v>28705</v>
      </c>
      <c r="B58" s="9">
        <v>54107</v>
      </c>
      <c r="D58" s="9">
        <v>28705</v>
      </c>
      <c r="E58" s="9">
        <v>54107</v>
      </c>
    </row>
    <row r="59" spans="1:5">
      <c r="A59" s="9">
        <v>33465</v>
      </c>
      <c r="B59" s="9">
        <v>65216</v>
      </c>
      <c r="D59" s="9">
        <v>33465</v>
      </c>
      <c r="E59" s="9">
        <v>65216</v>
      </c>
    </row>
    <row r="60" spans="1:5">
      <c r="A60" s="9">
        <v>39730</v>
      </c>
      <c r="B60" s="9">
        <v>66811.199999999997</v>
      </c>
      <c r="D60" s="9">
        <v>39730</v>
      </c>
      <c r="E60" s="9">
        <v>66811.199999999997</v>
      </c>
    </row>
    <row r="61" spans="1:5">
      <c r="A61" s="9">
        <v>34300</v>
      </c>
      <c r="B61" s="9">
        <v>69220</v>
      </c>
      <c r="D61" s="9">
        <v>34300</v>
      </c>
      <c r="E61" s="9">
        <v>69220</v>
      </c>
    </row>
    <row r="62" spans="1:5">
      <c r="A62" s="9">
        <v>37800</v>
      </c>
      <c r="B62" s="9">
        <v>70140</v>
      </c>
      <c r="D62" s="9">
        <v>37800</v>
      </c>
      <c r="E62" s="9">
        <v>70140</v>
      </c>
    </row>
    <row r="63" spans="1:5">
      <c r="A63" s="9">
        <v>37200</v>
      </c>
      <c r="B63" s="9">
        <v>68109</v>
      </c>
      <c r="D63" s="9">
        <v>37200</v>
      </c>
      <c r="E63" s="9">
        <v>68109</v>
      </c>
    </row>
    <row r="64" spans="1:5">
      <c r="A64" s="9">
        <v>42600</v>
      </c>
      <c r="B64" s="9">
        <v>69837</v>
      </c>
      <c r="D64" s="9">
        <v>42600</v>
      </c>
      <c r="E64" s="9">
        <v>69837</v>
      </c>
    </row>
    <row r="65" spans="1:5">
      <c r="A65" s="9">
        <v>66200</v>
      </c>
      <c r="B65" s="9">
        <v>107128</v>
      </c>
      <c r="D65" s="9">
        <v>66200</v>
      </c>
      <c r="E65" s="9">
        <v>107128</v>
      </c>
    </row>
    <row r="66" spans="1:5" hidden="1">
      <c r="A66" s="9">
        <v>60135</v>
      </c>
      <c r="B66" s="9" t="str">
        <v/>
      </c>
      <c r="D66" s="9">
        <v>60135</v>
      </c>
      <c r="E66" s="9"/>
    </row>
    <row r="67" spans="1:5">
      <c r="A67" s="9">
        <v>22125</v>
      </c>
      <c r="B67" s="9">
        <v>42804</v>
      </c>
      <c r="D67" s="9">
        <v>22125</v>
      </c>
      <c r="E67" s="9">
        <v>42804</v>
      </c>
    </row>
    <row r="68" spans="1:5">
      <c r="A68" s="9">
        <v>25450</v>
      </c>
      <c r="B68" s="9">
        <v>51405</v>
      </c>
      <c r="D68" s="9">
        <v>25450</v>
      </c>
      <c r="E68" s="9">
        <v>51405</v>
      </c>
    </row>
    <row r="69" spans="1:5">
      <c r="A69" s="9">
        <v>34350</v>
      </c>
      <c r="B69" s="9">
        <v>62231</v>
      </c>
      <c r="D69" s="9">
        <v>34350</v>
      </c>
      <c r="E69" s="9">
        <v>62231</v>
      </c>
    </row>
    <row r="70" spans="1:5">
      <c r="A70" s="9">
        <v>26900</v>
      </c>
      <c r="B70" s="9">
        <v>52460</v>
      </c>
      <c r="D70" s="9">
        <v>26900</v>
      </c>
      <c r="E70" s="9">
        <v>52460</v>
      </c>
    </row>
    <row r="71" spans="1:5">
      <c r="A71" s="9">
        <v>37850</v>
      </c>
      <c r="B71" s="9">
        <v>72275</v>
      </c>
      <c r="D71" s="9">
        <v>37850</v>
      </c>
      <c r="E71" s="9">
        <v>72275</v>
      </c>
    </row>
    <row r="72" spans="1:5">
      <c r="A72" s="9">
        <v>31920</v>
      </c>
      <c r="B72" s="9">
        <v>81523</v>
      </c>
      <c r="D72" s="9">
        <v>31920</v>
      </c>
      <c r="E72" s="9">
        <v>81523</v>
      </c>
    </row>
    <row r="73" spans="1:5">
      <c r="A73" s="9">
        <v>32830</v>
      </c>
      <c r="B73" s="9">
        <v>62898</v>
      </c>
      <c r="D73" s="9">
        <v>32830</v>
      </c>
      <c r="E73" s="9">
        <v>62898</v>
      </c>
    </row>
    <row r="74" spans="1:5">
      <c r="A74" s="9">
        <v>29795</v>
      </c>
      <c r="B74" s="9">
        <v>59989</v>
      </c>
      <c r="D74" s="9">
        <v>29795</v>
      </c>
      <c r="E74" s="9">
        <v>59989</v>
      </c>
    </row>
    <row r="75" spans="1:5">
      <c r="A75" s="9">
        <v>39630</v>
      </c>
      <c r="B75" s="9">
        <v>69606.100000000006</v>
      </c>
      <c r="D75" s="9">
        <v>39630</v>
      </c>
      <c r="E75" s="9">
        <v>69606.100000000006</v>
      </c>
    </row>
    <row r="76" spans="1:5">
      <c r="A76" s="9">
        <v>39755</v>
      </c>
      <c r="B76" s="9">
        <v>85623</v>
      </c>
      <c r="D76" s="9">
        <v>39755</v>
      </c>
      <c r="E76" s="9">
        <v>85623</v>
      </c>
    </row>
    <row r="77" spans="1:5">
      <c r="A77" s="9">
        <v>38465</v>
      </c>
      <c r="B77" s="9">
        <v>77691</v>
      </c>
      <c r="D77" s="9">
        <v>38465</v>
      </c>
      <c r="E77" s="9">
        <v>77691</v>
      </c>
    </row>
    <row r="78" spans="1:5">
      <c r="A78" s="9">
        <v>39995</v>
      </c>
      <c r="B78" s="9">
        <v>84645</v>
      </c>
      <c r="D78" s="9">
        <v>39995</v>
      </c>
      <c r="E78" s="9">
        <v>84645</v>
      </c>
    </row>
    <row r="79" spans="1:5">
      <c r="A79" s="9">
        <v>55630</v>
      </c>
      <c r="B79" s="9">
        <v>92163.5</v>
      </c>
      <c r="D79" s="9">
        <v>55630</v>
      </c>
      <c r="E79" s="9">
        <v>92163.5</v>
      </c>
    </row>
    <row r="80" spans="1:5">
      <c r="A80" s="9">
        <v>26420</v>
      </c>
      <c r="B80" s="9">
        <v>49609</v>
      </c>
      <c r="D80" s="9">
        <v>26420</v>
      </c>
      <c r="E80" s="9">
        <v>49609</v>
      </c>
    </row>
    <row r="81" spans="1:5">
      <c r="A81" s="9">
        <v>32820</v>
      </c>
      <c r="B81" s="9">
        <v>52403.199999999997</v>
      </c>
      <c r="D81" s="9">
        <v>32820</v>
      </c>
      <c r="E81" s="9">
        <v>52403.199999999997</v>
      </c>
    </row>
    <row r="82" spans="1:5">
      <c r="A82" s="9">
        <v>44100</v>
      </c>
      <c r="B82" s="9">
        <v>75595</v>
      </c>
      <c r="D82" s="9">
        <v>44100</v>
      </c>
      <c r="E82" s="9">
        <v>75595</v>
      </c>
    </row>
    <row r="83" spans="1:5">
      <c r="A83" s="9">
        <v>45700</v>
      </c>
      <c r="B83" s="9">
        <v>71594</v>
      </c>
      <c r="D83" s="9">
        <v>45700</v>
      </c>
      <c r="E83" s="9">
        <v>71594</v>
      </c>
    </row>
    <row r="84" spans="1:5">
      <c r="A84" s="9">
        <v>62995</v>
      </c>
      <c r="B84" s="9">
        <v>121753</v>
      </c>
      <c r="D84" s="9">
        <v>62995</v>
      </c>
      <c r="E84" s="9">
        <v>121753</v>
      </c>
    </row>
    <row r="85" spans="1:5">
      <c r="A85" s="9">
        <v>54365</v>
      </c>
      <c r="B85" s="9">
        <v>87758.3</v>
      </c>
      <c r="D85" s="9">
        <v>54365</v>
      </c>
      <c r="E85" s="9">
        <v>87758.3</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0F4A8-D985-4E13-BDA2-5FF19C03F78B}">
  <dimension ref="A3:E6"/>
  <sheetViews>
    <sheetView workbookViewId="0">
      <selection activeCell="B5" sqref="B5"/>
    </sheetView>
  </sheetViews>
  <sheetFormatPr defaultRowHeight="15"/>
  <cols>
    <col min="1" max="1" width="11.140625" bestFit="1" customWidth="1"/>
    <col min="2" max="2" width="28.5703125" bestFit="1" customWidth="1"/>
    <col min="3" max="3" width="41.28515625" bestFit="1" customWidth="1"/>
    <col min="4" max="4" width="36.28515625" bestFit="1" customWidth="1"/>
    <col min="5" max="6" width="39.140625" bestFit="1" customWidth="1"/>
  </cols>
  <sheetData>
    <row r="3" spans="1:5">
      <c r="A3" s="10" t="s">
        <v>0</v>
      </c>
      <c r="B3" s="10" t="s">
        <v>2</v>
      </c>
      <c r="C3" t="s">
        <v>215</v>
      </c>
      <c r="D3" t="s">
        <v>217</v>
      </c>
      <c r="E3" t="s">
        <v>216</v>
      </c>
    </row>
    <row r="4" spans="1:5">
      <c r="A4" t="s">
        <v>23</v>
      </c>
      <c r="B4" t="s">
        <v>66</v>
      </c>
      <c r="C4" s="9">
        <v>11250</v>
      </c>
      <c r="D4" s="9">
        <v>19938</v>
      </c>
      <c r="E4">
        <v>4199</v>
      </c>
    </row>
    <row r="5" spans="1:5">
      <c r="A5" t="s">
        <v>209</v>
      </c>
      <c r="C5" s="9">
        <v>11250</v>
      </c>
      <c r="D5" s="9">
        <v>19938</v>
      </c>
      <c r="E5">
        <v>4199</v>
      </c>
    </row>
    <row r="6" spans="1:5">
      <c r="A6" t="s">
        <v>213</v>
      </c>
      <c r="C6" s="9">
        <v>11250</v>
      </c>
      <c r="D6" s="9">
        <v>19938</v>
      </c>
      <c r="E6">
        <v>4199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FF35A2-A25D-4D3F-9C40-499B0A776A09}">
  <dimension ref="A1:F2"/>
  <sheetViews>
    <sheetView workbookViewId="0">
      <selection activeCell="D2" sqref="D2"/>
    </sheetView>
  </sheetViews>
  <sheetFormatPr defaultRowHeight="15"/>
  <cols>
    <col min="2" max="2" width="24.5703125" bestFit="1" customWidth="1"/>
    <col min="3" max="3" width="39.7109375" bestFit="1" customWidth="1"/>
    <col min="4" max="4" width="31.5703125" bestFit="1" customWidth="1"/>
    <col min="5" max="5" width="35" bestFit="1" customWidth="1"/>
    <col min="6" max="6" width="37.85546875" bestFit="1" customWidth="1"/>
  </cols>
  <sheetData>
    <row r="1" spans="1:6">
      <c r="A1" t="s">
        <v>0</v>
      </c>
      <c r="B1" t="s">
        <v>2</v>
      </c>
      <c r="C1" t="s">
        <v>215</v>
      </c>
      <c r="D1" t="s">
        <v>222</v>
      </c>
      <c r="E1" t="s">
        <v>217</v>
      </c>
      <c r="F1" t="s">
        <v>216</v>
      </c>
    </row>
    <row r="2" spans="1:6">
      <c r="A2" t="s">
        <v>23</v>
      </c>
      <c r="B2" t="s">
        <v>47</v>
      </c>
      <c r="C2">
        <v>6050</v>
      </c>
      <c r="D2">
        <v>3306.8</v>
      </c>
      <c r="E2">
        <v>12769</v>
      </c>
      <c r="F2">
        <v>5081.5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E0843-F630-4219-847A-BF93EDB847D2}">
  <dimension ref="A1:R82"/>
  <sheetViews>
    <sheetView workbookViewId="0"/>
  </sheetViews>
  <sheetFormatPr defaultRowHeight="15"/>
  <cols>
    <col min="6" max="6" width="32.7109375" bestFit="1" customWidth="1"/>
    <col min="7" max="7" width="11" bestFit="1" customWidth="1"/>
    <col min="8" max="8" width="31.140625" bestFit="1" customWidth="1"/>
    <col min="9" max="9" width="8.42578125" bestFit="1" customWidth="1"/>
    <col min="10" max="10" width="32.7109375" bestFit="1" customWidth="1"/>
    <col min="11" max="11" width="8.42578125" bestFit="1" customWidth="1"/>
    <col min="12" max="12" width="32.7109375" bestFit="1" customWidth="1"/>
    <col min="13" max="13" width="12" bestFit="1" customWidth="1"/>
    <col min="14" max="14" width="15.42578125" bestFit="1" customWidth="1"/>
    <col min="15" max="15" width="11.42578125" bestFit="1" customWidth="1"/>
    <col min="16" max="16" width="27" bestFit="1" customWidth="1"/>
    <col min="17" max="17" width="25.7109375" bestFit="1" customWidth="1"/>
    <col min="18" max="18" width="22.85546875" bestFit="1" customWidth="1"/>
  </cols>
  <sheetData>
    <row r="1" spans="1:18">
      <c r="A1" t="str" cm="1">
        <f t="array" ref="A1:H82">_xlfn._xlws.FILTER(_xlfn.CHOOSECOLS('Car Data Table'!A11:V95, 1, 2, 3, 4, 5, 21, 22, 20), 'Car Data Table'!V11:V95&lt;&gt;"")</f>
        <v>Brand</v>
      </c>
      <c r="B1" t="str">
        <v>Model</v>
      </c>
      <c r="C1" t="str">
        <v>Body Type (Sedan/ SUV/etc)</v>
      </c>
      <c r="D1" t="str">
        <v>Fuel Type (Gas/Hybrid/EV/ etc)</v>
      </c>
      <c r="E1" t="str">
        <v>MSRP ($)</v>
      </c>
      <c r="F1" t="str">
        <v>Total Cost of Ownership (TCO) Over 5 Years - Including Depreciation</v>
      </c>
      <c r="G1" t="str">
        <v>Total Running Cost Over 5 Years</v>
      </c>
      <c r="H1" t="str">
        <v>Possible Tax Credit ($)</v>
      </c>
      <c r="I1" s="16"/>
      <c r="J1" s="16"/>
      <c r="K1" s="16" t="s">
        <v>0</v>
      </c>
      <c r="L1" s="16" t="s">
        <v>1</v>
      </c>
      <c r="M1" s="16" t="s">
        <v>194</v>
      </c>
      <c r="N1" s="16" t="s">
        <v>195</v>
      </c>
      <c r="O1" s="16" t="s">
        <v>196</v>
      </c>
      <c r="P1" s="16" t="s">
        <v>197</v>
      </c>
      <c r="Q1" s="16" t="s">
        <v>198</v>
      </c>
      <c r="R1" s="16" t="s">
        <v>199</v>
      </c>
    </row>
    <row r="2" spans="1:18">
      <c r="A2" t="str">
        <v>Honda</v>
      </c>
      <c r="B2" t="str">
        <v>HR-V</v>
      </c>
      <c r="C2" t="str">
        <v>SUV</v>
      </c>
      <c r="D2" t="str">
        <v>Gas</v>
      </c>
      <c r="E2">
        <v>25400</v>
      </c>
      <c r="F2">
        <v>49924</v>
      </c>
      <c r="G2">
        <v>11147</v>
      </c>
      <c r="H2">
        <v>0</v>
      </c>
      <c r="K2" t="s">
        <v>23</v>
      </c>
      <c r="L2" t="s">
        <v>24</v>
      </c>
      <c r="M2" t="s">
        <v>25</v>
      </c>
      <c r="N2" t="s">
        <v>26</v>
      </c>
      <c r="O2" s="9">
        <v>25400</v>
      </c>
      <c r="P2" s="9">
        <v>49924</v>
      </c>
      <c r="Q2" s="9">
        <v>11147</v>
      </c>
      <c r="R2" s="9">
        <v>0</v>
      </c>
    </row>
    <row r="3" spans="1:18">
      <c r="A3" t="str">
        <v>Honda</v>
      </c>
      <c r="B3" t="str">
        <v>CR-V</v>
      </c>
      <c r="C3" t="str">
        <v>SUV</v>
      </c>
      <c r="D3" t="str">
        <v>Gas</v>
      </c>
      <c r="E3">
        <v>30100</v>
      </c>
      <c r="F3">
        <v>54089</v>
      </c>
      <c r="G3">
        <v>10504</v>
      </c>
      <c r="H3">
        <v>0</v>
      </c>
      <c r="K3" t="s">
        <v>23</v>
      </c>
      <c r="L3" t="s">
        <v>29</v>
      </c>
      <c r="M3" t="s">
        <v>25</v>
      </c>
      <c r="N3" t="s">
        <v>26</v>
      </c>
      <c r="O3" s="9">
        <v>30100</v>
      </c>
      <c r="P3" s="9">
        <v>54089</v>
      </c>
      <c r="Q3" s="9">
        <v>10504</v>
      </c>
      <c r="R3" s="9">
        <v>0</v>
      </c>
    </row>
    <row r="4" spans="1:18">
      <c r="A4" t="str">
        <v>Honda</v>
      </c>
      <c r="B4" t="str">
        <v>CR-V Hybrid</v>
      </c>
      <c r="C4" t="str">
        <v>SUV</v>
      </c>
      <c r="D4" t="str">
        <v>Hybrid EV</v>
      </c>
      <c r="E4">
        <v>34650</v>
      </c>
      <c r="F4">
        <v>59767</v>
      </c>
      <c r="G4">
        <v>10677</v>
      </c>
      <c r="H4">
        <v>0</v>
      </c>
      <c r="K4" t="s">
        <v>23</v>
      </c>
      <c r="L4" t="s">
        <v>31</v>
      </c>
      <c r="M4" t="s">
        <v>25</v>
      </c>
      <c r="N4" t="s">
        <v>32</v>
      </c>
      <c r="O4" s="9">
        <v>34650</v>
      </c>
      <c r="P4" s="9">
        <v>59767</v>
      </c>
      <c r="Q4" s="9">
        <v>10677</v>
      </c>
      <c r="R4" s="9">
        <v>0</v>
      </c>
    </row>
    <row r="5" spans="1:18">
      <c r="A5" t="str">
        <v>Honda</v>
      </c>
      <c r="B5" t="str">
        <v>Passport</v>
      </c>
      <c r="C5" t="str">
        <v>SUV</v>
      </c>
      <c r="D5" t="str">
        <v>Gas</v>
      </c>
      <c r="E5">
        <v>44750</v>
      </c>
      <c r="F5">
        <v>77683</v>
      </c>
      <c r="G5">
        <v>12401</v>
      </c>
      <c r="H5">
        <v>0</v>
      </c>
      <c r="K5" t="s">
        <v>23</v>
      </c>
      <c r="L5" t="s">
        <v>34</v>
      </c>
      <c r="M5" t="s">
        <v>25</v>
      </c>
      <c r="N5" t="s">
        <v>26</v>
      </c>
      <c r="O5" s="9">
        <v>44750</v>
      </c>
      <c r="P5" s="9">
        <v>77683</v>
      </c>
      <c r="Q5" s="9">
        <v>12401</v>
      </c>
      <c r="R5" s="9">
        <v>0</v>
      </c>
    </row>
    <row r="6" spans="1:18">
      <c r="A6" t="str">
        <v>Honda</v>
      </c>
      <c r="B6" t="str">
        <v>Pilot</v>
      </c>
      <c r="C6" t="str">
        <v>SUV</v>
      </c>
      <c r="D6" t="str">
        <v>Gas</v>
      </c>
      <c r="E6">
        <v>40200</v>
      </c>
      <c r="F6">
        <v>72958</v>
      </c>
      <c r="G6">
        <v>12131</v>
      </c>
      <c r="H6">
        <v>0</v>
      </c>
      <c r="K6" t="s">
        <v>23</v>
      </c>
      <c r="L6" t="s">
        <v>36</v>
      </c>
      <c r="M6" t="s">
        <v>25</v>
      </c>
      <c r="N6" t="s">
        <v>26</v>
      </c>
      <c r="O6" s="9">
        <v>40200</v>
      </c>
      <c r="P6" s="9">
        <v>72958</v>
      </c>
      <c r="Q6" s="9">
        <v>12131</v>
      </c>
      <c r="R6" s="9">
        <v>0</v>
      </c>
    </row>
    <row r="7" spans="1:18">
      <c r="A7" t="str">
        <v>Honda</v>
      </c>
      <c r="B7" t="str">
        <v>Prologue</v>
      </c>
      <c r="C7" t="str">
        <v>SUV</v>
      </c>
      <c r="D7" t="str">
        <v>Battery EV</v>
      </c>
      <c r="E7">
        <v>47400</v>
      </c>
      <c r="F7">
        <v>81278</v>
      </c>
      <c r="G7">
        <v>3521</v>
      </c>
      <c r="H7">
        <v>7500</v>
      </c>
      <c r="K7" t="s">
        <v>23</v>
      </c>
      <c r="L7" t="s">
        <v>38</v>
      </c>
      <c r="M7" t="s">
        <v>25</v>
      </c>
      <c r="N7" t="s">
        <v>39</v>
      </c>
      <c r="O7" s="9">
        <v>47400</v>
      </c>
      <c r="P7" s="9">
        <v>81278</v>
      </c>
      <c r="Q7" s="9">
        <v>3521</v>
      </c>
      <c r="R7" s="9">
        <v>7500</v>
      </c>
    </row>
    <row r="8" spans="1:18">
      <c r="A8" t="str">
        <v>Honda</v>
      </c>
      <c r="B8" t="str">
        <v>Civic Sedan</v>
      </c>
      <c r="C8" t="str">
        <v>Sedan</v>
      </c>
      <c r="D8" t="str">
        <v>Gas</v>
      </c>
      <c r="E8">
        <v>24250</v>
      </c>
      <c r="F8">
        <v>43682</v>
      </c>
      <c r="G8">
        <v>9316</v>
      </c>
      <c r="H8">
        <v>0</v>
      </c>
      <c r="K8" t="s">
        <v>23</v>
      </c>
      <c r="L8" t="s">
        <v>46</v>
      </c>
      <c r="M8" t="s">
        <v>47</v>
      </c>
      <c r="N8" t="s">
        <v>26</v>
      </c>
      <c r="O8" s="9">
        <v>24250</v>
      </c>
      <c r="P8" s="9">
        <v>43682</v>
      </c>
      <c r="Q8" s="9">
        <v>9316</v>
      </c>
      <c r="R8" s="9">
        <v>0</v>
      </c>
    </row>
    <row r="9" spans="1:18">
      <c r="A9" t="str">
        <v>Honda</v>
      </c>
      <c r="B9" t="str">
        <v>Civic Sedan Hybrid</v>
      </c>
      <c r="C9" t="str">
        <v>Sedan</v>
      </c>
      <c r="D9" t="str">
        <v>Hybrid EV</v>
      </c>
      <c r="E9">
        <v>28950</v>
      </c>
      <c r="F9">
        <v>48620</v>
      </c>
      <c r="G9">
        <v>8090</v>
      </c>
      <c r="H9">
        <v>0</v>
      </c>
      <c r="K9" t="s">
        <v>23</v>
      </c>
      <c r="L9" t="s">
        <v>49</v>
      </c>
      <c r="M9" t="s">
        <v>47</v>
      </c>
      <c r="N9" t="s">
        <v>32</v>
      </c>
      <c r="O9" s="9">
        <v>28950</v>
      </c>
      <c r="P9" s="9">
        <v>48620</v>
      </c>
      <c r="Q9" s="9">
        <v>8090</v>
      </c>
      <c r="R9" s="9">
        <v>0</v>
      </c>
    </row>
    <row r="10" spans="1:18">
      <c r="A10" t="str">
        <v>Honda</v>
      </c>
      <c r="B10" t="str">
        <v>Civic Si Sedan</v>
      </c>
      <c r="C10" t="str">
        <v>Sedan</v>
      </c>
      <c r="D10" t="str">
        <v>Gas</v>
      </c>
      <c r="E10">
        <v>30250</v>
      </c>
      <c r="F10">
        <v>51957</v>
      </c>
      <c r="G10">
        <v>9878</v>
      </c>
      <c r="H10">
        <v>0</v>
      </c>
      <c r="K10" t="s">
        <v>23</v>
      </c>
      <c r="L10" t="s">
        <v>51</v>
      </c>
      <c r="M10" t="s">
        <v>47</v>
      </c>
      <c r="N10" t="s">
        <v>26</v>
      </c>
      <c r="O10" s="9">
        <v>30250</v>
      </c>
      <c r="P10" s="9">
        <v>51957</v>
      </c>
      <c r="Q10" s="9">
        <v>9878</v>
      </c>
      <c r="R10" s="9">
        <v>0</v>
      </c>
    </row>
    <row r="11" spans="1:18">
      <c r="A11" t="str">
        <v>Honda</v>
      </c>
      <c r="B11" t="str">
        <v>Accord</v>
      </c>
      <c r="C11" t="str">
        <v>Sedan</v>
      </c>
      <c r="D11" t="str">
        <v>Gas</v>
      </c>
      <c r="E11">
        <v>28295</v>
      </c>
      <c r="F11">
        <v>54018</v>
      </c>
      <c r="G11">
        <v>10563</v>
      </c>
      <c r="H11">
        <v>0</v>
      </c>
      <c r="K11" t="s">
        <v>23</v>
      </c>
      <c r="L11" t="s">
        <v>53</v>
      </c>
      <c r="M11" t="s">
        <v>47</v>
      </c>
      <c r="N11" t="s">
        <v>26</v>
      </c>
      <c r="O11" s="9">
        <v>28295</v>
      </c>
      <c r="P11" s="9">
        <v>54018</v>
      </c>
      <c r="Q11" s="9">
        <v>10563</v>
      </c>
      <c r="R11" s="9">
        <v>0</v>
      </c>
    </row>
    <row r="12" spans="1:18">
      <c r="A12" t="str">
        <v>Honda</v>
      </c>
      <c r="B12" t="str">
        <v>Accord Hybrid</v>
      </c>
      <c r="C12" t="str">
        <v>Sedan</v>
      </c>
      <c r="D12" t="str">
        <v>Hybrid EV</v>
      </c>
      <c r="E12">
        <v>33655</v>
      </c>
      <c r="F12">
        <v>58878</v>
      </c>
      <c r="G12">
        <v>10063</v>
      </c>
      <c r="H12">
        <v>0</v>
      </c>
      <c r="K12" t="s">
        <v>23</v>
      </c>
      <c r="L12" t="s">
        <v>55</v>
      </c>
      <c r="M12" t="s">
        <v>47</v>
      </c>
      <c r="N12" t="s">
        <v>32</v>
      </c>
      <c r="O12" s="9">
        <v>33655</v>
      </c>
      <c r="P12" s="9">
        <v>58878</v>
      </c>
      <c r="Q12" s="9">
        <v>10063</v>
      </c>
      <c r="R12" s="9">
        <v>0</v>
      </c>
    </row>
    <row r="13" spans="1:18">
      <c r="A13" t="str">
        <v>Honda</v>
      </c>
      <c r="B13" t="str">
        <v>Civic Hatchback</v>
      </c>
      <c r="C13" t="str">
        <v>Hatchback</v>
      </c>
      <c r="D13" t="str">
        <v>Gas</v>
      </c>
      <c r="E13">
        <v>27450</v>
      </c>
      <c r="F13">
        <v>47539</v>
      </c>
      <c r="G13">
        <v>9564</v>
      </c>
      <c r="H13">
        <v>0</v>
      </c>
      <c r="K13" t="s">
        <v>23</v>
      </c>
      <c r="L13" t="s">
        <v>57</v>
      </c>
      <c r="M13" t="s">
        <v>58</v>
      </c>
      <c r="N13" t="s">
        <v>26</v>
      </c>
      <c r="O13" s="9">
        <v>27450</v>
      </c>
      <c r="P13" s="9">
        <v>47539</v>
      </c>
      <c r="Q13" s="9">
        <v>9564</v>
      </c>
      <c r="R13" s="9">
        <v>0</v>
      </c>
    </row>
    <row r="14" spans="1:18">
      <c r="A14" t="str">
        <v>Honda</v>
      </c>
      <c r="B14" t="str">
        <v>Civic Hatchback Hybrid</v>
      </c>
      <c r="C14" t="str">
        <v>Hatchback</v>
      </c>
      <c r="D14" t="str">
        <v>Hybrid EV</v>
      </c>
      <c r="E14">
        <v>30150</v>
      </c>
      <c r="F14">
        <v>50863</v>
      </c>
      <c r="G14">
        <v>8050</v>
      </c>
      <c r="H14">
        <v>0</v>
      </c>
      <c r="K14" t="s">
        <v>23</v>
      </c>
      <c r="L14" t="s">
        <v>60</v>
      </c>
      <c r="M14" t="s">
        <v>58</v>
      </c>
      <c r="N14" t="s">
        <v>32</v>
      </c>
      <c r="O14" s="9">
        <v>30150</v>
      </c>
      <c r="P14" s="9">
        <v>50863</v>
      </c>
      <c r="Q14" s="9">
        <v>8050</v>
      </c>
      <c r="R14" s="9">
        <v>0</v>
      </c>
    </row>
    <row r="15" spans="1:18">
      <c r="A15" t="str">
        <v>Honda</v>
      </c>
      <c r="B15" t="str">
        <v>Odyssey</v>
      </c>
      <c r="C15" t="str">
        <v>Minivan</v>
      </c>
      <c r="D15" t="str">
        <v>Gas</v>
      </c>
      <c r="E15">
        <v>42220</v>
      </c>
      <c r="F15">
        <v>69523</v>
      </c>
      <c r="G15">
        <v>9948</v>
      </c>
      <c r="H15">
        <v>0</v>
      </c>
      <c r="K15" t="s">
        <v>23</v>
      </c>
      <c r="L15" t="s">
        <v>62</v>
      </c>
      <c r="M15" t="s">
        <v>63</v>
      </c>
      <c r="N15" t="s">
        <v>26</v>
      </c>
      <c r="O15" s="9">
        <v>42220</v>
      </c>
      <c r="P15" s="9">
        <v>69523</v>
      </c>
      <c r="Q15" s="9">
        <v>9948</v>
      </c>
      <c r="R15" s="9">
        <v>0</v>
      </c>
    </row>
    <row r="16" spans="1:18">
      <c r="A16" t="str">
        <v>Honda</v>
      </c>
      <c r="B16" t="str">
        <v>Ridgeline</v>
      </c>
      <c r="C16" t="str">
        <v>Truck</v>
      </c>
      <c r="D16" t="str">
        <v>Gas</v>
      </c>
      <c r="E16">
        <v>40150</v>
      </c>
      <c r="F16">
        <v>71881</v>
      </c>
      <c r="G16">
        <v>11793</v>
      </c>
      <c r="H16">
        <v>0</v>
      </c>
      <c r="K16" t="s">
        <v>23</v>
      </c>
      <c r="L16" t="s">
        <v>65</v>
      </c>
      <c r="M16" t="s">
        <v>66</v>
      </c>
      <c r="N16" t="s">
        <v>26</v>
      </c>
      <c r="O16" s="9">
        <v>40150</v>
      </c>
      <c r="P16" s="9">
        <v>71881</v>
      </c>
      <c r="Q16" s="9">
        <v>11793</v>
      </c>
      <c r="R16" s="9">
        <v>0</v>
      </c>
    </row>
    <row r="17" spans="1:18">
      <c r="A17" t="str">
        <v>Toyota</v>
      </c>
      <c r="B17" t="str">
        <v>Corolla</v>
      </c>
      <c r="C17" t="str">
        <v>Sedan</v>
      </c>
      <c r="D17" t="str">
        <v>Gas</v>
      </c>
      <c r="E17">
        <v>22325</v>
      </c>
      <c r="F17">
        <v>43400</v>
      </c>
      <c r="G17">
        <v>8880</v>
      </c>
      <c r="H17">
        <v>0</v>
      </c>
      <c r="K17" t="s">
        <v>68</v>
      </c>
      <c r="L17" t="s">
        <v>69</v>
      </c>
      <c r="M17" t="s">
        <v>47</v>
      </c>
      <c r="N17" t="s">
        <v>26</v>
      </c>
      <c r="O17" s="9">
        <v>22325</v>
      </c>
      <c r="P17" s="9">
        <v>43400</v>
      </c>
      <c r="Q17" s="9">
        <v>8880</v>
      </c>
      <c r="R17" s="9">
        <v>0</v>
      </c>
    </row>
    <row r="18" spans="1:18">
      <c r="A18" t="str">
        <v>Toyota</v>
      </c>
      <c r="B18" t="str">
        <v>Corolla Hybrid</v>
      </c>
      <c r="C18" t="str">
        <v>Sedan</v>
      </c>
      <c r="D18" t="str">
        <v>Hybrid EV</v>
      </c>
      <c r="E18">
        <v>23825</v>
      </c>
      <c r="F18">
        <v>44948</v>
      </c>
      <c r="G18">
        <v>9802</v>
      </c>
      <c r="H18">
        <v>0</v>
      </c>
      <c r="K18" t="s">
        <v>68</v>
      </c>
      <c r="L18" t="s">
        <v>70</v>
      </c>
      <c r="M18" t="s">
        <v>47</v>
      </c>
      <c r="N18" t="s">
        <v>32</v>
      </c>
      <c r="O18" s="9">
        <v>23825</v>
      </c>
      <c r="P18" s="9">
        <v>44948</v>
      </c>
      <c r="Q18" s="9">
        <v>9802</v>
      </c>
      <c r="R18" s="9">
        <v>0</v>
      </c>
    </row>
    <row r="19" spans="1:18">
      <c r="A19" t="str">
        <v>Toyota</v>
      </c>
      <c r="B19" t="str">
        <v>Corolla Hatchback</v>
      </c>
      <c r="C19" t="str">
        <v>Sedan</v>
      </c>
      <c r="D19" t="str">
        <v>Gas</v>
      </c>
      <c r="E19">
        <v>23780</v>
      </c>
      <c r="F19">
        <v>45310</v>
      </c>
      <c r="G19">
        <v>9939</v>
      </c>
      <c r="H19">
        <v>0</v>
      </c>
      <c r="K19" t="s">
        <v>68</v>
      </c>
      <c r="L19" t="s">
        <v>72</v>
      </c>
      <c r="M19" t="s">
        <v>47</v>
      </c>
      <c r="N19" t="s">
        <v>26</v>
      </c>
      <c r="O19" s="9">
        <v>23780</v>
      </c>
      <c r="P19" s="9">
        <v>45310</v>
      </c>
      <c r="Q19" s="9">
        <v>9939</v>
      </c>
      <c r="R19" s="9">
        <v>0</v>
      </c>
    </row>
    <row r="20" spans="1:18">
      <c r="A20" t="str">
        <v>Toyota</v>
      </c>
      <c r="B20" t="str">
        <v>Prius</v>
      </c>
      <c r="C20" t="str">
        <v>Sedan</v>
      </c>
      <c r="D20" t="str">
        <v>Hybrid EV</v>
      </c>
      <c r="E20">
        <v>28350</v>
      </c>
      <c r="F20">
        <v>51491</v>
      </c>
      <c r="G20">
        <v>10075</v>
      </c>
      <c r="H20">
        <v>0</v>
      </c>
      <c r="K20" t="s">
        <v>68</v>
      </c>
      <c r="L20" t="s">
        <v>73</v>
      </c>
      <c r="M20" t="s">
        <v>47</v>
      </c>
      <c r="N20" t="s">
        <v>32</v>
      </c>
      <c r="O20" s="9">
        <v>28350</v>
      </c>
      <c r="P20" s="9">
        <v>51491</v>
      </c>
      <c r="Q20" s="9">
        <v>10075</v>
      </c>
      <c r="R20" s="9">
        <v>0</v>
      </c>
    </row>
    <row r="21" spans="1:18">
      <c r="A21" t="str">
        <v>Toyota</v>
      </c>
      <c r="B21" t="str">
        <v>Prius Plug-in Hybrid</v>
      </c>
      <c r="C21" t="str">
        <v>Sedan</v>
      </c>
      <c r="D21" t="str">
        <v>Plug-in Hybrid EV</v>
      </c>
      <c r="E21">
        <v>33375</v>
      </c>
      <c r="F21">
        <v>48975</v>
      </c>
      <c r="G21">
        <v>-400</v>
      </c>
      <c r="H21">
        <v>7500</v>
      </c>
      <c r="K21" t="s">
        <v>68</v>
      </c>
      <c r="L21" t="s">
        <v>75</v>
      </c>
      <c r="M21" t="s">
        <v>47</v>
      </c>
      <c r="N21" t="s">
        <v>76</v>
      </c>
      <c r="O21" s="9">
        <v>33375</v>
      </c>
      <c r="P21" s="9">
        <v>48975</v>
      </c>
      <c r="Q21" s="9">
        <v>-400</v>
      </c>
      <c r="R21" s="9">
        <v>7500</v>
      </c>
    </row>
    <row r="22" spans="1:18">
      <c r="A22" t="str">
        <v>Toyota</v>
      </c>
      <c r="B22" t="str">
        <v>Camry</v>
      </c>
      <c r="C22" t="str">
        <v>Sedan</v>
      </c>
      <c r="D22" t="str">
        <v>Hybrid EV</v>
      </c>
      <c r="E22">
        <v>28700</v>
      </c>
      <c r="F22">
        <v>49989</v>
      </c>
      <c r="G22">
        <v>8520</v>
      </c>
      <c r="H22">
        <v>0</v>
      </c>
      <c r="K22" t="s">
        <v>68</v>
      </c>
      <c r="L22" t="s">
        <v>78</v>
      </c>
      <c r="M22" t="s">
        <v>47</v>
      </c>
      <c r="N22" t="s">
        <v>32</v>
      </c>
      <c r="O22" s="9">
        <v>28700</v>
      </c>
      <c r="P22" s="9">
        <v>49989</v>
      </c>
      <c r="Q22" s="9">
        <v>8520</v>
      </c>
      <c r="R22" s="9">
        <v>0</v>
      </c>
    </row>
    <row r="23" spans="1:18">
      <c r="A23" t="str">
        <v>Toyota</v>
      </c>
      <c r="B23" t="str">
        <v>Toyota Crown</v>
      </c>
      <c r="C23" t="str">
        <v>Sedan</v>
      </c>
      <c r="D23" t="str">
        <v>Hybrid EV</v>
      </c>
      <c r="E23">
        <v>41440</v>
      </c>
      <c r="F23">
        <v>70090</v>
      </c>
      <c r="G23">
        <v>8650</v>
      </c>
      <c r="H23">
        <v>0</v>
      </c>
      <c r="K23" t="s">
        <v>68</v>
      </c>
      <c r="L23" t="s">
        <v>80</v>
      </c>
      <c r="M23" t="s">
        <v>47</v>
      </c>
      <c r="N23" t="s">
        <v>32</v>
      </c>
      <c r="O23" s="9">
        <v>41440</v>
      </c>
      <c r="P23" s="9">
        <v>70090</v>
      </c>
      <c r="Q23" s="9">
        <v>8650</v>
      </c>
      <c r="R23" s="9">
        <v>0</v>
      </c>
    </row>
    <row r="24" spans="1:18">
      <c r="A24" t="str">
        <v>Toyota</v>
      </c>
      <c r="B24" t="str">
        <v>GR86</v>
      </c>
      <c r="C24" t="str">
        <v>Sedan</v>
      </c>
      <c r="D24" t="str">
        <v>Gas</v>
      </c>
      <c r="E24">
        <v>30000</v>
      </c>
      <c r="F24">
        <v>59772</v>
      </c>
      <c r="G24">
        <v>14791</v>
      </c>
      <c r="H24">
        <v>0</v>
      </c>
      <c r="K24" t="s">
        <v>68</v>
      </c>
      <c r="L24" t="s">
        <v>86</v>
      </c>
      <c r="M24" t="s">
        <v>47</v>
      </c>
      <c r="N24" t="s">
        <v>26</v>
      </c>
      <c r="O24" s="9">
        <v>30000</v>
      </c>
      <c r="P24" s="9">
        <v>59772</v>
      </c>
      <c r="Q24" s="9">
        <v>14791</v>
      </c>
      <c r="R24" s="9">
        <v>0</v>
      </c>
    </row>
    <row r="25" spans="1:18">
      <c r="A25" t="str">
        <v>Toyota</v>
      </c>
      <c r="B25" t="str">
        <v>GR Corolla</v>
      </c>
      <c r="C25" t="str">
        <v>Sedan</v>
      </c>
      <c r="D25" t="str">
        <v>Gas</v>
      </c>
      <c r="E25">
        <v>38860</v>
      </c>
      <c r="F25">
        <v>69765</v>
      </c>
      <c r="G25">
        <v>11300</v>
      </c>
      <c r="H25">
        <v>0</v>
      </c>
      <c r="K25" t="s">
        <v>68</v>
      </c>
      <c r="L25" t="s">
        <v>88</v>
      </c>
      <c r="M25" t="s">
        <v>47</v>
      </c>
      <c r="N25" t="s">
        <v>26</v>
      </c>
      <c r="O25" s="9">
        <v>38860</v>
      </c>
      <c r="P25" s="9">
        <v>69765</v>
      </c>
      <c r="Q25" s="9">
        <v>11300</v>
      </c>
      <c r="R25" s="9">
        <v>0</v>
      </c>
    </row>
    <row r="26" spans="1:18">
      <c r="A26" t="str">
        <v>Toyota</v>
      </c>
      <c r="B26" t="str">
        <v>GR Supra</v>
      </c>
      <c r="C26" t="str">
        <v>Sedan</v>
      </c>
      <c r="D26" t="str">
        <v>Gas</v>
      </c>
      <c r="E26">
        <v>56900</v>
      </c>
      <c r="F26">
        <v>93887</v>
      </c>
      <c r="G26">
        <v>8987</v>
      </c>
      <c r="H26">
        <v>0</v>
      </c>
      <c r="K26" t="s">
        <v>68</v>
      </c>
      <c r="L26" t="s">
        <v>90</v>
      </c>
      <c r="M26" t="s">
        <v>47</v>
      </c>
      <c r="N26" t="s">
        <v>26</v>
      </c>
      <c r="O26" s="9">
        <v>56900</v>
      </c>
      <c r="P26" s="9">
        <v>93887</v>
      </c>
      <c r="Q26" s="9">
        <v>8987</v>
      </c>
      <c r="R26" s="9">
        <v>0</v>
      </c>
    </row>
    <row r="27" spans="1:18">
      <c r="A27" t="str">
        <v>Toyota</v>
      </c>
      <c r="B27" t="str">
        <v>Sienna</v>
      </c>
      <c r="C27" t="str">
        <v>Sedan</v>
      </c>
      <c r="D27" t="str">
        <v>Hybrid EV</v>
      </c>
      <c r="E27">
        <v>39185</v>
      </c>
      <c r="F27">
        <v>67758</v>
      </c>
      <c r="G27">
        <v>9880</v>
      </c>
      <c r="H27">
        <v>0</v>
      </c>
      <c r="K27" t="s">
        <v>68</v>
      </c>
      <c r="L27" t="s">
        <v>92</v>
      </c>
      <c r="M27" t="s">
        <v>47</v>
      </c>
      <c r="N27" t="s">
        <v>32</v>
      </c>
      <c r="O27" s="9">
        <v>39185</v>
      </c>
      <c r="P27" s="9">
        <v>67758</v>
      </c>
      <c r="Q27" s="9">
        <v>9880</v>
      </c>
      <c r="R27" s="9">
        <v>0</v>
      </c>
    </row>
    <row r="28" spans="1:18">
      <c r="A28" t="str">
        <v>Toyota</v>
      </c>
      <c r="B28" t="str">
        <v>Tacoma</v>
      </c>
      <c r="C28" t="str">
        <v>Truck</v>
      </c>
      <c r="D28" t="str">
        <v>Gas</v>
      </c>
      <c r="E28">
        <v>31590</v>
      </c>
      <c r="F28">
        <v>58648</v>
      </c>
      <c r="G28">
        <v>11719</v>
      </c>
      <c r="H28">
        <v>0</v>
      </c>
      <c r="K28" t="s">
        <v>68</v>
      </c>
      <c r="L28" t="s">
        <v>94</v>
      </c>
      <c r="M28" t="s">
        <v>66</v>
      </c>
      <c r="N28" t="s">
        <v>26</v>
      </c>
      <c r="O28" s="9">
        <v>31590</v>
      </c>
      <c r="P28" s="9">
        <v>58648</v>
      </c>
      <c r="Q28" s="9">
        <v>11719</v>
      </c>
      <c r="R28" s="9">
        <v>0</v>
      </c>
    </row>
    <row r="29" spans="1:18">
      <c r="A29" t="str">
        <v>Toyota</v>
      </c>
      <c r="B29" t="str">
        <v>Tacoma i-FORCE MAX</v>
      </c>
      <c r="C29" t="str">
        <v>Truck</v>
      </c>
      <c r="D29" t="str">
        <v>Hybrid EV</v>
      </c>
      <c r="E29">
        <v>46320</v>
      </c>
      <c r="F29">
        <v>76462</v>
      </c>
      <c r="G29">
        <v>10821</v>
      </c>
      <c r="H29">
        <v>0</v>
      </c>
      <c r="K29" t="s">
        <v>68</v>
      </c>
      <c r="L29" t="s">
        <v>96</v>
      </c>
      <c r="M29" t="s">
        <v>66</v>
      </c>
      <c r="N29" t="s">
        <v>32</v>
      </c>
      <c r="O29" s="9">
        <v>46320</v>
      </c>
      <c r="P29" s="9">
        <v>76462</v>
      </c>
      <c r="Q29" s="9">
        <v>10821</v>
      </c>
      <c r="R29" s="9">
        <v>0</v>
      </c>
    </row>
    <row r="30" spans="1:18">
      <c r="A30" t="str">
        <v>Toyota</v>
      </c>
      <c r="B30" t="str">
        <v>Tundra</v>
      </c>
      <c r="C30" t="str">
        <v>Truck</v>
      </c>
      <c r="D30" t="str">
        <v>Gas</v>
      </c>
      <c r="E30">
        <v>40090</v>
      </c>
      <c r="F30">
        <v>69178</v>
      </c>
      <c r="G30">
        <v>11494</v>
      </c>
      <c r="H30">
        <v>0</v>
      </c>
      <c r="K30" t="s">
        <v>68</v>
      </c>
      <c r="L30" t="s">
        <v>97</v>
      </c>
      <c r="M30" t="s">
        <v>66</v>
      </c>
      <c r="N30" t="s">
        <v>26</v>
      </c>
      <c r="O30" s="9">
        <v>40090</v>
      </c>
      <c r="P30" s="9">
        <v>69178</v>
      </c>
      <c r="Q30" s="9">
        <v>11494</v>
      </c>
      <c r="R30" s="9">
        <v>0</v>
      </c>
    </row>
    <row r="31" spans="1:18">
      <c r="A31" t="str">
        <v>Toyota</v>
      </c>
      <c r="B31" t="str">
        <v>Tundra i-FORCE MAX</v>
      </c>
      <c r="C31" t="str">
        <v>Truck</v>
      </c>
      <c r="D31" t="str">
        <v>Hybrid EV</v>
      </c>
      <c r="E31">
        <v>58005</v>
      </c>
      <c r="F31">
        <v>95132</v>
      </c>
      <c r="G31">
        <v>10639</v>
      </c>
      <c r="H31">
        <v>0</v>
      </c>
      <c r="K31" t="s">
        <v>68</v>
      </c>
      <c r="L31" t="s">
        <v>99</v>
      </c>
      <c r="M31" t="s">
        <v>66</v>
      </c>
      <c r="N31" t="s">
        <v>32</v>
      </c>
      <c r="O31" s="9">
        <v>58005</v>
      </c>
      <c r="P31" s="9">
        <v>95132</v>
      </c>
      <c r="Q31" s="9">
        <v>10639</v>
      </c>
      <c r="R31" s="9">
        <v>0</v>
      </c>
    </row>
    <row r="32" spans="1:18">
      <c r="A32" t="str">
        <v>Toyota</v>
      </c>
      <c r="B32" t="str">
        <v>Corolla Cross</v>
      </c>
      <c r="C32" t="str">
        <v>SUV</v>
      </c>
      <c r="D32" t="str">
        <v>Gas</v>
      </c>
      <c r="E32">
        <v>24035</v>
      </c>
      <c r="F32">
        <v>46275</v>
      </c>
      <c r="G32">
        <v>9556</v>
      </c>
      <c r="H32">
        <v>0</v>
      </c>
      <c r="K32" t="s">
        <v>68</v>
      </c>
      <c r="L32" t="s">
        <v>100</v>
      </c>
      <c r="M32" t="s">
        <v>25</v>
      </c>
      <c r="N32" t="s">
        <v>26</v>
      </c>
      <c r="O32" s="9">
        <v>24035</v>
      </c>
      <c r="P32" s="9">
        <v>46275</v>
      </c>
      <c r="Q32" s="9">
        <v>9556</v>
      </c>
      <c r="R32" s="9">
        <v>0</v>
      </c>
    </row>
    <row r="33" spans="1:18">
      <c r="A33" t="str">
        <v>Toyota</v>
      </c>
      <c r="B33" t="str">
        <v>Corolla Cross Hybrid</v>
      </c>
      <c r="C33" t="str">
        <v>SUV</v>
      </c>
      <c r="D33" t="str">
        <v>Hybrid EV</v>
      </c>
      <c r="E33">
        <v>28395</v>
      </c>
      <c r="F33">
        <v>51837</v>
      </c>
      <c r="G33">
        <v>7442</v>
      </c>
      <c r="H33">
        <v>0</v>
      </c>
      <c r="K33" t="s">
        <v>68</v>
      </c>
      <c r="L33" t="s">
        <v>102</v>
      </c>
      <c r="M33" t="s">
        <v>25</v>
      </c>
      <c r="N33" t="s">
        <v>32</v>
      </c>
      <c r="O33" s="9">
        <v>28395</v>
      </c>
      <c r="P33" s="9">
        <v>51837</v>
      </c>
      <c r="Q33" s="9">
        <v>7442</v>
      </c>
      <c r="R33" s="9">
        <v>0</v>
      </c>
    </row>
    <row r="34" spans="1:18">
      <c r="A34" t="str">
        <v>Toyota</v>
      </c>
      <c r="B34" t="str">
        <v>RAV4</v>
      </c>
      <c r="C34" t="str">
        <v>SUV</v>
      </c>
      <c r="D34" t="str">
        <v>Gas</v>
      </c>
      <c r="E34">
        <v>29250</v>
      </c>
      <c r="F34">
        <v>53175</v>
      </c>
      <c r="G34">
        <v>10380</v>
      </c>
      <c r="H34">
        <v>0</v>
      </c>
      <c r="K34" t="s">
        <v>68</v>
      </c>
      <c r="L34" t="s">
        <v>104</v>
      </c>
      <c r="M34" t="s">
        <v>25</v>
      </c>
      <c r="N34" t="s">
        <v>26</v>
      </c>
      <c r="O34" s="9">
        <v>29250</v>
      </c>
      <c r="P34" s="9">
        <v>53175</v>
      </c>
      <c r="Q34" s="9">
        <v>10380</v>
      </c>
      <c r="R34" s="9">
        <v>0</v>
      </c>
    </row>
    <row r="35" spans="1:18">
      <c r="A35" t="str">
        <v>Toyota</v>
      </c>
      <c r="B35" t="str">
        <v>RAV4 Hybrid</v>
      </c>
      <c r="C35" t="str">
        <v>SUV</v>
      </c>
      <c r="D35" t="str">
        <v>Hybrid EV</v>
      </c>
      <c r="E35">
        <v>32300</v>
      </c>
      <c r="F35">
        <v>58002</v>
      </c>
      <c r="G35">
        <v>10797</v>
      </c>
      <c r="H35">
        <v>0</v>
      </c>
      <c r="K35" t="s">
        <v>68</v>
      </c>
      <c r="L35" t="s">
        <v>106</v>
      </c>
      <c r="M35" t="s">
        <v>25</v>
      </c>
      <c r="N35" t="s">
        <v>32</v>
      </c>
      <c r="O35" s="9">
        <v>32300</v>
      </c>
      <c r="P35" s="9">
        <v>58002</v>
      </c>
      <c r="Q35" s="9">
        <v>10797</v>
      </c>
      <c r="R35" s="9">
        <v>0</v>
      </c>
    </row>
    <row r="36" spans="1:18">
      <c r="A36" t="str">
        <v>Toyota</v>
      </c>
      <c r="B36" t="str">
        <v>RAV4 Plug-in Hybrid</v>
      </c>
      <c r="C36" t="str">
        <v>SUV</v>
      </c>
      <c r="D36" t="str">
        <v>Plug-in Hybrid EV</v>
      </c>
      <c r="E36">
        <v>44265</v>
      </c>
      <c r="F36">
        <v>68465</v>
      </c>
      <c r="G36">
        <v>3345</v>
      </c>
      <c r="H36">
        <v>7500</v>
      </c>
      <c r="K36" t="s">
        <v>68</v>
      </c>
      <c r="L36" t="s">
        <v>108</v>
      </c>
      <c r="M36" t="s">
        <v>25</v>
      </c>
      <c r="N36" t="s">
        <v>76</v>
      </c>
      <c r="O36" s="9">
        <v>44265</v>
      </c>
      <c r="P36" s="9">
        <v>68465</v>
      </c>
      <c r="Q36" s="9">
        <v>3345</v>
      </c>
      <c r="R36" s="9">
        <v>7500</v>
      </c>
    </row>
    <row r="37" spans="1:18">
      <c r="A37" t="str">
        <v>Toyota</v>
      </c>
      <c r="B37" t="str">
        <v>Highlander</v>
      </c>
      <c r="C37" t="str">
        <v>SUV</v>
      </c>
      <c r="D37" t="str">
        <v>Gas</v>
      </c>
      <c r="E37">
        <v>39520</v>
      </c>
      <c r="F37">
        <v>75795</v>
      </c>
      <c r="G37">
        <v>11604</v>
      </c>
      <c r="H37">
        <v>0</v>
      </c>
      <c r="K37" t="s">
        <v>68</v>
      </c>
      <c r="L37" t="s">
        <v>110</v>
      </c>
      <c r="M37" t="s">
        <v>25</v>
      </c>
      <c r="N37" t="s">
        <v>26</v>
      </c>
      <c r="O37" s="9">
        <v>39520</v>
      </c>
      <c r="P37" s="9">
        <v>75795</v>
      </c>
      <c r="Q37" s="9">
        <v>11604</v>
      </c>
      <c r="R37" s="9">
        <v>0</v>
      </c>
    </row>
    <row r="38" spans="1:18">
      <c r="A38" t="str">
        <v>Toyota</v>
      </c>
      <c r="B38" t="str">
        <v>Highlander Hybrid</v>
      </c>
      <c r="C38" t="str">
        <v>SUV</v>
      </c>
      <c r="D38" t="str">
        <v>Hybrid EV</v>
      </c>
      <c r="E38">
        <v>46020</v>
      </c>
      <c r="F38">
        <v>82119</v>
      </c>
      <c r="G38">
        <v>11836</v>
      </c>
      <c r="H38">
        <v>0</v>
      </c>
      <c r="K38" t="s">
        <v>68</v>
      </c>
      <c r="L38" t="s">
        <v>112</v>
      </c>
      <c r="M38" t="s">
        <v>25</v>
      </c>
      <c r="N38" t="s">
        <v>32</v>
      </c>
      <c r="O38" s="9">
        <v>46020</v>
      </c>
      <c r="P38" s="9">
        <v>82119</v>
      </c>
      <c r="Q38" s="9">
        <v>11836</v>
      </c>
      <c r="R38" s="9">
        <v>0</v>
      </c>
    </row>
    <row r="39" spans="1:18">
      <c r="A39" t="str">
        <v>Toyota</v>
      </c>
      <c r="B39" t="str">
        <v>4Runner</v>
      </c>
      <c r="C39" t="str">
        <v>SUV</v>
      </c>
      <c r="D39" t="str">
        <v>Gas</v>
      </c>
      <c r="E39">
        <v>40770</v>
      </c>
      <c r="F39">
        <v>70150</v>
      </c>
      <c r="G39">
        <v>12169</v>
      </c>
      <c r="H39">
        <v>0</v>
      </c>
      <c r="K39" t="s">
        <v>68</v>
      </c>
      <c r="L39" t="s">
        <v>114</v>
      </c>
      <c r="M39" t="s">
        <v>25</v>
      </c>
      <c r="N39" t="s">
        <v>26</v>
      </c>
      <c r="O39" s="9">
        <v>40770</v>
      </c>
      <c r="P39" s="9">
        <v>70150</v>
      </c>
      <c r="Q39" s="9">
        <v>12169</v>
      </c>
      <c r="R39" s="9">
        <v>0</v>
      </c>
    </row>
    <row r="40" spans="1:18">
      <c r="A40" t="str">
        <v>Toyota</v>
      </c>
      <c r="B40" t="str">
        <v>4Runner i-FORCE MAX</v>
      </c>
      <c r="C40" t="str">
        <v>SUV</v>
      </c>
      <c r="D40" t="str">
        <v>Hybrid EV</v>
      </c>
      <c r="E40">
        <v>51990</v>
      </c>
      <c r="F40">
        <v>81264</v>
      </c>
      <c r="G40">
        <v>8998</v>
      </c>
      <c r="H40">
        <v>0</v>
      </c>
      <c r="K40" t="s">
        <v>68</v>
      </c>
      <c r="L40" t="s">
        <v>115</v>
      </c>
      <c r="M40" t="s">
        <v>25</v>
      </c>
      <c r="N40" t="s">
        <v>32</v>
      </c>
      <c r="O40" s="9">
        <v>51990</v>
      </c>
      <c r="P40" s="9">
        <v>81264</v>
      </c>
      <c r="Q40" s="9">
        <v>8998</v>
      </c>
      <c r="R40" s="9">
        <v>0</v>
      </c>
    </row>
    <row r="41" spans="1:18">
      <c r="A41" t="str">
        <v>Toyota</v>
      </c>
      <c r="B41" t="str">
        <v>bZ4X</v>
      </c>
      <c r="C41" t="str">
        <v>SUV</v>
      </c>
      <c r="D41" t="str">
        <v>Battery EV</v>
      </c>
      <c r="E41">
        <v>37070</v>
      </c>
      <c r="F41">
        <v>68317</v>
      </c>
      <c r="G41">
        <v>1535</v>
      </c>
      <c r="H41">
        <v>7500</v>
      </c>
      <c r="K41" t="s">
        <v>68</v>
      </c>
      <c r="L41" t="s">
        <v>116</v>
      </c>
      <c r="M41" t="s">
        <v>25</v>
      </c>
      <c r="N41" t="s">
        <v>39</v>
      </c>
      <c r="O41" s="9">
        <v>37070</v>
      </c>
      <c r="P41" s="9">
        <v>68317</v>
      </c>
      <c r="Q41" s="9">
        <v>1535</v>
      </c>
      <c r="R41" s="9">
        <v>7500</v>
      </c>
    </row>
    <row r="42" spans="1:18">
      <c r="A42" t="str">
        <v>Toyota</v>
      </c>
      <c r="B42" t="str">
        <v>Grand Highlander</v>
      </c>
      <c r="C42" t="str">
        <v>SUV</v>
      </c>
      <c r="D42" t="str">
        <v>Gas</v>
      </c>
      <c r="E42">
        <v>40860</v>
      </c>
      <c r="F42">
        <v>78132</v>
      </c>
      <c r="G42">
        <v>11272</v>
      </c>
      <c r="H42">
        <v>0</v>
      </c>
      <c r="K42" t="s">
        <v>68</v>
      </c>
      <c r="L42" t="s">
        <v>117</v>
      </c>
      <c r="M42" t="s">
        <v>25</v>
      </c>
      <c r="N42" t="s">
        <v>26</v>
      </c>
      <c r="O42" s="9">
        <v>40860</v>
      </c>
      <c r="P42" s="9">
        <v>78132</v>
      </c>
      <c r="Q42" s="9">
        <v>11272</v>
      </c>
      <c r="R42" s="9">
        <v>0</v>
      </c>
    </row>
    <row r="43" spans="1:18">
      <c r="A43" t="str">
        <v>Toyota</v>
      </c>
      <c r="B43" t="str">
        <v>Grand Highlander Hybrid</v>
      </c>
      <c r="C43" t="str">
        <v>SUV</v>
      </c>
      <c r="D43" t="str">
        <v>Hybrid EV</v>
      </c>
      <c r="E43">
        <v>44210</v>
      </c>
      <c r="F43">
        <v>79010</v>
      </c>
      <c r="G43">
        <v>9800</v>
      </c>
      <c r="H43">
        <v>0</v>
      </c>
      <c r="K43" t="s">
        <v>68</v>
      </c>
      <c r="L43" t="s">
        <v>118</v>
      </c>
      <c r="M43" t="s">
        <v>25</v>
      </c>
      <c r="N43" t="s">
        <v>32</v>
      </c>
      <c r="O43" s="9">
        <v>44210</v>
      </c>
      <c r="P43" s="9">
        <v>79010</v>
      </c>
      <c r="Q43" s="9">
        <v>9800</v>
      </c>
      <c r="R43" s="9">
        <v>0</v>
      </c>
    </row>
    <row r="44" spans="1:18">
      <c r="A44" t="str">
        <v>Toyota</v>
      </c>
      <c r="B44" t="str">
        <v>Toyata Crown Signia</v>
      </c>
      <c r="C44" t="str">
        <v>SUV</v>
      </c>
      <c r="D44" t="str">
        <v>Hybrid EV</v>
      </c>
      <c r="E44">
        <v>43590</v>
      </c>
      <c r="F44">
        <v>77584</v>
      </c>
      <c r="G44">
        <v>7840</v>
      </c>
      <c r="H44">
        <v>0</v>
      </c>
      <c r="K44" t="s">
        <v>68</v>
      </c>
      <c r="L44" t="s">
        <v>120</v>
      </c>
      <c r="M44" t="s">
        <v>25</v>
      </c>
      <c r="N44" t="s">
        <v>32</v>
      </c>
      <c r="O44" s="9">
        <v>43590</v>
      </c>
      <c r="P44" s="9">
        <v>77584</v>
      </c>
      <c r="Q44" s="9">
        <v>7840</v>
      </c>
      <c r="R44" s="9">
        <v>0</v>
      </c>
    </row>
    <row r="45" spans="1:18">
      <c r="A45" t="str">
        <v>Toyota</v>
      </c>
      <c r="B45" t="str">
        <v>Land Cruiser</v>
      </c>
      <c r="C45" t="str">
        <v>SUV</v>
      </c>
      <c r="D45" t="str">
        <v>Hybrid EV</v>
      </c>
      <c r="E45">
        <v>56700</v>
      </c>
      <c r="F45">
        <v>95055</v>
      </c>
      <c r="G45">
        <v>9970</v>
      </c>
      <c r="H45">
        <v>0</v>
      </c>
      <c r="K45" t="s">
        <v>68</v>
      </c>
      <c r="L45" t="s">
        <v>122</v>
      </c>
      <c r="M45" t="s">
        <v>25</v>
      </c>
      <c r="N45" t="s">
        <v>32</v>
      </c>
      <c r="O45" s="9">
        <v>56700</v>
      </c>
      <c r="P45" s="9">
        <v>95055</v>
      </c>
      <c r="Q45" s="9">
        <v>9970</v>
      </c>
      <c r="R45" s="9">
        <v>0</v>
      </c>
    </row>
    <row r="46" spans="1:18">
      <c r="A46" t="str">
        <v>Toyota</v>
      </c>
      <c r="B46" t="str">
        <v>Sequoia</v>
      </c>
      <c r="C46" t="str">
        <v>SUV</v>
      </c>
      <c r="D46" t="str">
        <v>Hybrid EV</v>
      </c>
      <c r="E46">
        <v>62425</v>
      </c>
      <c r="F46">
        <v>109918</v>
      </c>
      <c r="G46">
        <v>12979</v>
      </c>
      <c r="H46">
        <v>0</v>
      </c>
      <c r="K46" t="s">
        <v>68</v>
      </c>
      <c r="L46" t="s">
        <v>124</v>
      </c>
      <c r="M46" t="s">
        <v>25</v>
      </c>
      <c r="N46" t="s">
        <v>32</v>
      </c>
      <c r="O46" s="9">
        <v>62425</v>
      </c>
      <c r="P46" s="9">
        <v>109918</v>
      </c>
      <c r="Q46" s="9">
        <v>12979</v>
      </c>
      <c r="R46" s="9">
        <v>0</v>
      </c>
    </row>
    <row r="47" spans="1:18">
      <c r="A47" t="str">
        <v>Tesla</v>
      </c>
      <c r="B47" t="str">
        <v>Model 3 (Long Range All-Wheel Drive)</v>
      </c>
      <c r="C47" t="str">
        <v>Sedan</v>
      </c>
      <c r="D47" t="str">
        <v>Battery EV</v>
      </c>
      <c r="E47">
        <v>34990</v>
      </c>
      <c r="F47">
        <v>69476</v>
      </c>
      <c r="G47">
        <v>2875</v>
      </c>
      <c r="H47">
        <v>7500</v>
      </c>
      <c r="K47" t="s">
        <v>126</v>
      </c>
      <c r="L47" t="s">
        <v>127</v>
      </c>
      <c r="M47" t="s">
        <v>47</v>
      </c>
      <c r="N47" t="s">
        <v>39</v>
      </c>
      <c r="O47" s="9">
        <v>34990</v>
      </c>
      <c r="P47" s="9">
        <v>69476</v>
      </c>
      <c r="Q47" s="9">
        <v>2875</v>
      </c>
      <c r="R47" s="9">
        <v>7500</v>
      </c>
    </row>
    <row r="48" spans="1:18">
      <c r="A48" t="str">
        <v>Tesla</v>
      </c>
      <c r="B48" t="str">
        <v>Model Y (Long Range All-Wheel Drive)</v>
      </c>
      <c r="C48" t="str">
        <v>Sedan</v>
      </c>
      <c r="D48" t="str">
        <v>Battery EV</v>
      </c>
      <c r="E48">
        <v>34490</v>
      </c>
      <c r="F48">
        <v>62964</v>
      </c>
      <c r="G48">
        <v>401</v>
      </c>
      <c r="H48">
        <v>7500</v>
      </c>
      <c r="K48" t="s">
        <v>126</v>
      </c>
      <c r="L48" t="s">
        <v>129</v>
      </c>
      <c r="M48" t="s">
        <v>47</v>
      </c>
      <c r="N48" t="s">
        <v>39</v>
      </c>
      <c r="O48" s="9">
        <v>34490</v>
      </c>
      <c r="P48" s="9">
        <v>62964</v>
      </c>
      <c r="Q48" s="9">
        <v>401</v>
      </c>
      <c r="R48" s="9">
        <v>7500</v>
      </c>
    </row>
    <row r="49" spans="1:18">
      <c r="A49" t="str">
        <v>Tesla</v>
      </c>
      <c r="B49" t="str">
        <v>Cybertruck (All-Wheel Drive)</v>
      </c>
      <c r="C49" t="str">
        <v>Truck</v>
      </c>
      <c r="D49" t="str">
        <v>Battery EV</v>
      </c>
      <c r="E49">
        <v>66990</v>
      </c>
      <c r="F49">
        <v>95086</v>
      </c>
      <c r="G49">
        <v>1300</v>
      </c>
      <c r="H49">
        <v>7500</v>
      </c>
      <c r="K49" t="s">
        <v>126</v>
      </c>
      <c r="L49" t="s">
        <v>132</v>
      </c>
      <c r="M49" t="s">
        <v>66</v>
      </c>
      <c r="N49" t="s">
        <v>39</v>
      </c>
      <c r="O49" s="9">
        <v>66990</v>
      </c>
      <c r="P49" s="9">
        <v>95086</v>
      </c>
      <c r="Q49" s="9">
        <v>1300</v>
      </c>
      <c r="R49" s="9">
        <v>7500</v>
      </c>
    </row>
    <row r="50" spans="1:18">
      <c r="A50" t="str">
        <v>Tesla</v>
      </c>
      <c r="B50" t="str">
        <v>Model X (All-Wheel Drive)</v>
      </c>
      <c r="C50" t="str">
        <v>Sedan</v>
      </c>
      <c r="D50" t="str">
        <v>Battery EV</v>
      </c>
      <c r="E50">
        <v>78490</v>
      </c>
      <c r="F50">
        <v>130602</v>
      </c>
      <c r="G50">
        <v>1075</v>
      </c>
      <c r="H50">
        <v>7500</v>
      </c>
      <c r="K50" t="s">
        <v>126</v>
      </c>
      <c r="L50" t="s">
        <v>134</v>
      </c>
      <c r="M50" t="s">
        <v>47</v>
      </c>
      <c r="N50" t="s">
        <v>39</v>
      </c>
      <c r="O50" s="9">
        <v>78490</v>
      </c>
      <c r="P50" s="9">
        <v>130602</v>
      </c>
      <c r="Q50" s="9">
        <v>1075</v>
      </c>
      <c r="R50" s="9">
        <v>7500</v>
      </c>
    </row>
    <row r="51" spans="1:18">
      <c r="A51" t="str">
        <v>Tesla</v>
      </c>
      <c r="B51" t="str">
        <v>Model S (All-Wheel Drive)</v>
      </c>
      <c r="C51" t="str">
        <v>Sedan</v>
      </c>
      <c r="D51" t="str">
        <v>Battery EV</v>
      </c>
      <c r="E51">
        <v>73490</v>
      </c>
      <c r="F51">
        <v>123990</v>
      </c>
      <c r="G51">
        <v>500</v>
      </c>
      <c r="H51">
        <v>7500</v>
      </c>
      <c r="K51" t="s">
        <v>126</v>
      </c>
      <c r="L51" t="s">
        <v>136</v>
      </c>
      <c r="M51" t="s">
        <v>47</v>
      </c>
      <c r="N51" t="s">
        <v>39</v>
      </c>
      <c r="O51" s="9">
        <v>73490</v>
      </c>
      <c r="P51" s="9">
        <v>123990</v>
      </c>
      <c r="Q51" s="9">
        <v>500</v>
      </c>
      <c r="R51" s="9">
        <v>7500</v>
      </c>
    </row>
    <row r="52" spans="1:18">
      <c r="A52" t="str">
        <v>Hyundai</v>
      </c>
      <c r="B52" t="str">
        <v>Venue</v>
      </c>
      <c r="C52" t="str">
        <v>SUV</v>
      </c>
      <c r="D52" t="str">
        <v>Gas</v>
      </c>
      <c r="E52">
        <v>20200</v>
      </c>
      <c r="F52">
        <v>40963</v>
      </c>
      <c r="G52">
        <v>8552</v>
      </c>
      <c r="H52">
        <v>0</v>
      </c>
      <c r="K52" t="s">
        <v>138</v>
      </c>
      <c r="L52" t="s">
        <v>139</v>
      </c>
      <c r="M52" t="s">
        <v>25</v>
      </c>
      <c r="N52" t="s">
        <v>26</v>
      </c>
      <c r="O52" s="9">
        <v>20200</v>
      </c>
      <c r="P52" s="9">
        <v>40963</v>
      </c>
      <c r="Q52" s="9">
        <v>8552</v>
      </c>
      <c r="R52" s="9">
        <v>0</v>
      </c>
    </row>
    <row r="53" spans="1:18">
      <c r="A53" t="str">
        <v>Hyundai</v>
      </c>
      <c r="B53" t="str">
        <v>Kona</v>
      </c>
      <c r="C53" t="str">
        <v>SUV</v>
      </c>
      <c r="D53" t="str">
        <v>Gas</v>
      </c>
      <c r="E53">
        <v>24550</v>
      </c>
      <c r="F53">
        <v>48036</v>
      </c>
      <c r="G53">
        <v>9262</v>
      </c>
      <c r="H53">
        <v>0</v>
      </c>
      <c r="K53" t="s">
        <v>138</v>
      </c>
      <c r="L53" t="s">
        <v>141</v>
      </c>
      <c r="M53" t="s">
        <v>25</v>
      </c>
      <c r="N53" t="s">
        <v>26</v>
      </c>
      <c r="O53" s="9">
        <v>24550</v>
      </c>
      <c r="P53" s="9">
        <v>48036</v>
      </c>
      <c r="Q53" s="9">
        <v>9262</v>
      </c>
      <c r="R53" s="9">
        <v>0</v>
      </c>
    </row>
    <row r="54" spans="1:18">
      <c r="A54" t="str">
        <v>Hyundai</v>
      </c>
      <c r="B54" t="str">
        <v>Kona Electric</v>
      </c>
      <c r="C54" t="str">
        <v>SUV</v>
      </c>
      <c r="D54" t="str">
        <v>Battery EV</v>
      </c>
      <c r="E54">
        <v>32975</v>
      </c>
      <c r="F54">
        <v>71571</v>
      </c>
      <c r="G54">
        <v>8404</v>
      </c>
      <c r="H54">
        <v>0</v>
      </c>
      <c r="K54" t="s">
        <v>138</v>
      </c>
      <c r="L54" t="s">
        <v>143</v>
      </c>
      <c r="M54" t="s">
        <v>25</v>
      </c>
      <c r="N54" t="s">
        <v>39</v>
      </c>
      <c r="O54" s="9">
        <v>32975</v>
      </c>
      <c r="P54" s="9">
        <v>71571</v>
      </c>
      <c r="Q54" s="9">
        <v>8404</v>
      </c>
      <c r="R54" s="9">
        <v>0</v>
      </c>
    </row>
    <row r="55" spans="1:18">
      <c r="A55" t="str">
        <v>Hyundai</v>
      </c>
      <c r="B55" t="str">
        <v>Santa Cruz</v>
      </c>
      <c r="C55" t="str">
        <v>SUV</v>
      </c>
      <c r="D55" t="str">
        <v>Gas</v>
      </c>
      <c r="E55">
        <v>28750</v>
      </c>
      <c r="F55">
        <v>54442</v>
      </c>
      <c r="G55">
        <v>10033</v>
      </c>
      <c r="H55">
        <v>0</v>
      </c>
      <c r="K55" t="s">
        <v>138</v>
      </c>
      <c r="L55" t="s">
        <v>145</v>
      </c>
      <c r="M55" t="s">
        <v>25</v>
      </c>
      <c r="N55" t="s">
        <v>26</v>
      </c>
      <c r="O55" s="9">
        <v>28750</v>
      </c>
      <c r="P55" s="9">
        <v>54442</v>
      </c>
      <c r="Q55" s="9">
        <v>10033</v>
      </c>
      <c r="R55" s="9">
        <v>0</v>
      </c>
    </row>
    <row r="56" spans="1:18">
      <c r="A56" t="str">
        <v>Hyundai</v>
      </c>
      <c r="B56" t="str">
        <v>Tucson</v>
      </c>
      <c r="C56" t="str">
        <v>SUV</v>
      </c>
      <c r="D56" t="str">
        <v>Gas</v>
      </c>
      <c r="E56">
        <v>28705</v>
      </c>
      <c r="F56">
        <v>54107</v>
      </c>
      <c r="G56">
        <v>9137</v>
      </c>
      <c r="H56">
        <v>0</v>
      </c>
      <c r="K56" t="s">
        <v>138</v>
      </c>
      <c r="L56" t="s">
        <v>147</v>
      </c>
      <c r="M56" t="s">
        <v>25</v>
      </c>
      <c r="N56" t="s">
        <v>26</v>
      </c>
      <c r="O56" s="9">
        <v>28705</v>
      </c>
      <c r="P56" s="9">
        <v>54107</v>
      </c>
      <c r="Q56" s="9">
        <v>9137</v>
      </c>
      <c r="R56" s="9">
        <v>0</v>
      </c>
    </row>
    <row r="57" spans="1:18">
      <c r="A57" t="str">
        <v>Hyundai</v>
      </c>
      <c r="B57" t="str">
        <v>Tucson Hybrid</v>
      </c>
      <c r="C57" t="str">
        <v>SUV</v>
      </c>
      <c r="D57" t="str">
        <v>Hybrid EV</v>
      </c>
      <c r="E57">
        <v>33465</v>
      </c>
      <c r="F57">
        <v>65216</v>
      </c>
      <c r="G57">
        <v>9829</v>
      </c>
      <c r="H57">
        <v>0</v>
      </c>
      <c r="K57" t="s">
        <v>138</v>
      </c>
      <c r="L57" t="s">
        <v>148</v>
      </c>
      <c r="M57" t="s">
        <v>25</v>
      </c>
      <c r="N57" t="s">
        <v>32</v>
      </c>
      <c r="O57" s="9">
        <v>33465</v>
      </c>
      <c r="P57" s="9">
        <v>65216</v>
      </c>
      <c r="Q57" s="9">
        <v>9829</v>
      </c>
      <c r="R57" s="9">
        <v>0</v>
      </c>
    </row>
    <row r="58" spans="1:18">
      <c r="A58" t="str">
        <v>Hyundai</v>
      </c>
      <c r="B58" t="str">
        <v>Tucson Plug-in Hybrid</v>
      </c>
      <c r="C58" t="str">
        <v>SUV</v>
      </c>
      <c r="D58" t="str">
        <v>Plug-in Hybrid EV</v>
      </c>
      <c r="E58">
        <v>39730</v>
      </c>
      <c r="F58">
        <v>66811.199999999997</v>
      </c>
      <c r="G58">
        <v>9600</v>
      </c>
      <c r="H58">
        <v>0</v>
      </c>
      <c r="K58" t="s">
        <v>138</v>
      </c>
      <c r="L58" t="s">
        <v>150</v>
      </c>
      <c r="M58" t="s">
        <v>25</v>
      </c>
      <c r="N58" t="s">
        <v>76</v>
      </c>
      <c r="O58" s="9">
        <v>39730</v>
      </c>
      <c r="P58" s="9">
        <v>66811.199999999997</v>
      </c>
      <c r="Q58" s="9">
        <v>9600</v>
      </c>
      <c r="R58" s="9">
        <v>0</v>
      </c>
    </row>
    <row r="59" spans="1:18">
      <c r="A59" t="str">
        <v>Hyundai</v>
      </c>
      <c r="B59" t="str">
        <v>Santa Fe</v>
      </c>
      <c r="C59" t="str">
        <v>SUV</v>
      </c>
      <c r="D59" t="str">
        <v>Gas</v>
      </c>
      <c r="E59">
        <v>34300</v>
      </c>
      <c r="F59">
        <v>69220</v>
      </c>
      <c r="G59">
        <v>11397</v>
      </c>
      <c r="H59">
        <v>0</v>
      </c>
      <c r="K59" t="s">
        <v>138</v>
      </c>
      <c r="L59" t="s">
        <v>151</v>
      </c>
      <c r="M59" t="s">
        <v>25</v>
      </c>
      <c r="N59" t="s">
        <v>26</v>
      </c>
      <c r="O59" s="9">
        <v>34300</v>
      </c>
      <c r="P59" s="9">
        <v>69220</v>
      </c>
      <c r="Q59" s="9">
        <v>11397</v>
      </c>
      <c r="R59" s="9">
        <v>0</v>
      </c>
    </row>
    <row r="60" spans="1:18">
      <c r="A60" t="str">
        <v>Hyundai</v>
      </c>
      <c r="B60" t="str">
        <v>Santa Fe Hybrid</v>
      </c>
      <c r="C60" t="str">
        <v>SUV</v>
      </c>
      <c r="D60" t="str">
        <v>Hybrid EV</v>
      </c>
      <c r="E60">
        <v>37800</v>
      </c>
      <c r="F60">
        <v>70140</v>
      </c>
      <c r="G60">
        <v>10300</v>
      </c>
      <c r="H60">
        <v>0</v>
      </c>
      <c r="K60" t="s">
        <v>138</v>
      </c>
      <c r="L60" t="s">
        <v>153</v>
      </c>
      <c r="M60" t="s">
        <v>25</v>
      </c>
      <c r="N60" t="s">
        <v>32</v>
      </c>
      <c r="O60" s="9">
        <v>37800</v>
      </c>
      <c r="P60" s="9">
        <v>70140</v>
      </c>
      <c r="Q60" s="9">
        <v>10300</v>
      </c>
      <c r="R60" s="9">
        <v>0</v>
      </c>
    </row>
    <row r="61" spans="1:18">
      <c r="A61" t="str">
        <v>Hyundai</v>
      </c>
      <c r="B61" t="str">
        <v>Palisade</v>
      </c>
      <c r="C61" t="str">
        <v>SUV</v>
      </c>
      <c r="D61" t="str">
        <v>Gas</v>
      </c>
      <c r="E61">
        <v>37200</v>
      </c>
      <c r="F61">
        <v>68109</v>
      </c>
      <c r="G61">
        <v>10759</v>
      </c>
      <c r="H61">
        <v>0</v>
      </c>
      <c r="K61" t="s">
        <v>138</v>
      </c>
      <c r="L61" t="s">
        <v>155</v>
      </c>
      <c r="M61" t="s">
        <v>25</v>
      </c>
      <c r="N61" t="s">
        <v>26</v>
      </c>
      <c r="O61" s="9">
        <v>37200</v>
      </c>
      <c r="P61" s="9">
        <v>68109</v>
      </c>
      <c r="Q61" s="9">
        <v>10759</v>
      </c>
      <c r="R61" s="9">
        <v>0</v>
      </c>
    </row>
    <row r="62" spans="1:18">
      <c r="A62" t="str">
        <v>Hyundai</v>
      </c>
      <c r="B62" t="str">
        <v>Ioniq 5</v>
      </c>
      <c r="C62" t="str">
        <v>SUV</v>
      </c>
      <c r="D62" t="str">
        <v>Battery EV</v>
      </c>
      <c r="E62">
        <v>42600</v>
      </c>
      <c r="F62">
        <v>69837</v>
      </c>
      <c r="G62">
        <v>1731</v>
      </c>
      <c r="H62">
        <v>7500</v>
      </c>
      <c r="K62" t="s">
        <v>138</v>
      </c>
      <c r="L62" t="s">
        <v>157</v>
      </c>
      <c r="M62" t="s">
        <v>25</v>
      </c>
      <c r="N62" t="s">
        <v>39</v>
      </c>
      <c r="O62" s="9">
        <v>42600</v>
      </c>
      <c r="P62" s="9">
        <v>69837</v>
      </c>
      <c r="Q62" s="9">
        <v>1731</v>
      </c>
      <c r="R62" s="9">
        <v>7500</v>
      </c>
    </row>
    <row r="63" spans="1:18">
      <c r="A63" t="str">
        <v>Hyundai</v>
      </c>
      <c r="B63" t="str">
        <v>Ioniq 5 N</v>
      </c>
      <c r="C63" t="str">
        <v>SUV</v>
      </c>
      <c r="D63" t="str">
        <v>Battery EV</v>
      </c>
      <c r="E63">
        <v>66200</v>
      </c>
      <c r="F63">
        <v>107128</v>
      </c>
      <c r="G63">
        <v>4470</v>
      </c>
      <c r="H63">
        <v>7500</v>
      </c>
      <c r="K63" t="s">
        <v>138</v>
      </c>
      <c r="L63" t="s">
        <v>158</v>
      </c>
      <c r="M63" t="s">
        <v>25</v>
      </c>
      <c r="N63" t="s">
        <v>39</v>
      </c>
      <c r="O63" s="9">
        <v>66200</v>
      </c>
      <c r="P63" s="9">
        <v>107128</v>
      </c>
      <c r="Q63" s="9">
        <v>4470</v>
      </c>
      <c r="R63" s="9">
        <v>7500</v>
      </c>
    </row>
    <row r="64" spans="1:18">
      <c r="A64" t="str">
        <v>Hyundai</v>
      </c>
      <c r="B64" t="str">
        <v>Elantra</v>
      </c>
      <c r="C64" t="str">
        <v>Sedan</v>
      </c>
      <c r="D64" t="str">
        <v>Gas</v>
      </c>
      <c r="E64">
        <v>22125</v>
      </c>
      <c r="F64">
        <v>42804</v>
      </c>
      <c r="G64">
        <v>8517</v>
      </c>
      <c r="H64">
        <v>0</v>
      </c>
      <c r="K64" t="s">
        <v>138</v>
      </c>
      <c r="L64" t="s">
        <v>162</v>
      </c>
      <c r="M64" t="s">
        <v>47</v>
      </c>
      <c r="N64" t="s">
        <v>26</v>
      </c>
      <c r="O64" s="9">
        <v>22125</v>
      </c>
      <c r="P64" s="9">
        <v>42804</v>
      </c>
      <c r="Q64" s="9">
        <v>8517</v>
      </c>
      <c r="R64" s="9">
        <v>0</v>
      </c>
    </row>
    <row r="65" spans="1:18">
      <c r="A65" t="str">
        <v>Hyundai</v>
      </c>
      <c r="B65" t="str">
        <v>Elantra Hybrid</v>
      </c>
      <c r="C65" t="str">
        <v>Sedan</v>
      </c>
      <c r="D65" t="str">
        <v>Hybrid EV</v>
      </c>
      <c r="E65">
        <v>25450</v>
      </c>
      <c r="F65">
        <v>51405</v>
      </c>
      <c r="G65">
        <v>9405</v>
      </c>
      <c r="H65">
        <v>0</v>
      </c>
      <c r="K65" t="s">
        <v>138</v>
      </c>
      <c r="L65" t="s">
        <v>163</v>
      </c>
      <c r="M65" t="s">
        <v>47</v>
      </c>
      <c r="N65" t="s">
        <v>32</v>
      </c>
      <c r="O65" s="9">
        <v>25450</v>
      </c>
      <c r="P65" s="9">
        <v>51405</v>
      </c>
      <c r="Q65" s="9">
        <v>9405</v>
      </c>
      <c r="R65" s="9">
        <v>0</v>
      </c>
    </row>
    <row r="66" spans="1:18">
      <c r="A66" t="str">
        <v>Hyundai</v>
      </c>
      <c r="B66" t="str">
        <v>Elantra N</v>
      </c>
      <c r="C66" t="str">
        <v>Sedan</v>
      </c>
      <c r="D66" t="str">
        <v>Gas</v>
      </c>
      <c r="E66">
        <v>34350</v>
      </c>
      <c r="F66">
        <v>62231</v>
      </c>
      <c r="G66">
        <v>11096</v>
      </c>
      <c r="H66">
        <v>0</v>
      </c>
      <c r="K66" t="s">
        <v>138</v>
      </c>
      <c r="L66" t="s">
        <v>165</v>
      </c>
      <c r="M66" t="s">
        <v>47</v>
      </c>
      <c r="N66" t="s">
        <v>26</v>
      </c>
      <c r="O66" s="9">
        <v>34350</v>
      </c>
      <c r="P66" s="9">
        <v>62231</v>
      </c>
      <c r="Q66" s="9">
        <v>11096</v>
      </c>
      <c r="R66" s="9">
        <v>0</v>
      </c>
    </row>
    <row r="67" spans="1:18">
      <c r="A67" t="str">
        <v>Hyundai</v>
      </c>
      <c r="B67" t="str">
        <v>Sonata Gas &amp; Hybrid</v>
      </c>
      <c r="C67" t="str">
        <v>Sedan</v>
      </c>
      <c r="D67" t="str">
        <v>Hybrid EV</v>
      </c>
      <c r="E67">
        <v>26900</v>
      </c>
      <c r="F67">
        <v>52460</v>
      </c>
      <c r="G67">
        <v>7550</v>
      </c>
      <c r="H67">
        <v>0</v>
      </c>
      <c r="K67" t="s">
        <v>138</v>
      </c>
      <c r="L67" t="s">
        <v>167</v>
      </c>
      <c r="M67" t="s">
        <v>47</v>
      </c>
      <c r="N67" t="s">
        <v>32</v>
      </c>
      <c r="O67" s="9">
        <v>26900</v>
      </c>
      <c r="P67" s="9">
        <v>52460</v>
      </c>
      <c r="Q67" s="9">
        <v>7550</v>
      </c>
      <c r="R67" s="9">
        <v>0</v>
      </c>
    </row>
    <row r="68" spans="1:18">
      <c r="A68" t="str">
        <v>Hyundai</v>
      </c>
      <c r="B68" t="str">
        <v>Ioniq 6</v>
      </c>
      <c r="C68" t="str">
        <v>Sedan</v>
      </c>
      <c r="D68" t="str">
        <v>Battery EV</v>
      </c>
      <c r="E68">
        <v>37850</v>
      </c>
      <c r="F68">
        <v>72275</v>
      </c>
      <c r="G68">
        <v>10506</v>
      </c>
      <c r="H68">
        <v>0</v>
      </c>
      <c r="K68" t="s">
        <v>138</v>
      </c>
      <c r="L68" t="s">
        <v>169</v>
      </c>
      <c r="M68" t="s">
        <v>47</v>
      </c>
      <c r="N68" t="s">
        <v>39</v>
      </c>
      <c r="O68" s="9">
        <v>37850</v>
      </c>
      <c r="P68" s="9">
        <v>72275</v>
      </c>
      <c r="Q68" s="9">
        <v>10506</v>
      </c>
      <c r="R68" s="9">
        <v>0</v>
      </c>
    </row>
    <row r="69" spans="1:18">
      <c r="A69" t="str">
        <v>Ford</v>
      </c>
      <c r="B69" t="str">
        <v>Mustang</v>
      </c>
      <c r="C69" t="str">
        <v>Sedan</v>
      </c>
      <c r="D69" t="str">
        <v>Gas</v>
      </c>
      <c r="E69">
        <v>31920</v>
      </c>
      <c r="F69">
        <v>81523</v>
      </c>
      <c r="G69">
        <v>12336</v>
      </c>
      <c r="H69">
        <v>0</v>
      </c>
      <c r="K69" t="s">
        <v>170</v>
      </c>
      <c r="L69" t="s">
        <v>171</v>
      </c>
      <c r="M69" t="s">
        <v>47</v>
      </c>
      <c r="N69" t="s">
        <v>26</v>
      </c>
      <c r="O69" s="9">
        <v>31920</v>
      </c>
      <c r="P69" s="9">
        <v>81523</v>
      </c>
      <c r="Q69" s="9">
        <v>12336</v>
      </c>
      <c r="R69" s="9">
        <v>0</v>
      </c>
    </row>
    <row r="70" spans="1:18">
      <c r="A70" t="str">
        <v>Ford</v>
      </c>
      <c r="B70" t="str">
        <v>Escape Hybrid</v>
      </c>
      <c r="C70" t="str">
        <v>SUV</v>
      </c>
      <c r="D70" t="str">
        <v>Hybrid EV</v>
      </c>
      <c r="E70">
        <v>32830</v>
      </c>
      <c r="F70">
        <v>62898</v>
      </c>
      <c r="G70">
        <v>10367</v>
      </c>
      <c r="H70">
        <v>0</v>
      </c>
      <c r="K70" t="s">
        <v>170</v>
      </c>
      <c r="L70" t="s">
        <v>173</v>
      </c>
      <c r="M70" t="s">
        <v>25</v>
      </c>
      <c r="N70" t="s">
        <v>32</v>
      </c>
      <c r="O70" s="9">
        <v>32830</v>
      </c>
      <c r="P70" s="9">
        <v>62898</v>
      </c>
      <c r="Q70" s="9">
        <v>10367</v>
      </c>
      <c r="R70" s="9">
        <v>0</v>
      </c>
    </row>
    <row r="71" spans="1:18">
      <c r="A71" t="str">
        <v>Ford</v>
      </c>
      <c r="B71" t="str">
        <v>Bronco Sport</v>
      </c>
      <c r="C71" t="str">
        <v>SUV</v>
      </c>
      <c r="D71" t="str">
        <v>Gas</v>
      </c>
      <c r="E71">
        <v>29795</v>
      </c>
      <c r="F71">
        <v>59989</v>
      </c>
      <c r="G71">
        <v>9912</v>
      </c>
      <c r="H71">
        <v>0</v>
      </c>
      <c r="K71" t="s">
        <v>170</v>
      </c>
      <c r="L71" t="s">
        <v>175</v>
      </c>
      <c r="M71" t="s">
        <v>25</v>
      </c>
      <c r="N71" t="s">
        <v>26</v>
      </c>
      <c r="O71" s="9">
        <v>29795</v>
      </c>
      <c r="P71" s="9">
        <v>59989</v>
      </c>
      <c r="Q71" s="9">
        <v>9912</v>
      </c>
      <c r="R71" s="9">
        <v>0</v>
      </c>
    </row>
    <row r="72" spans="1:18">
      <c r="A72" t="str">
        <v>Ford</v>
      </c>
      <c r="B72" t="str">
        <v>Bronco</v>
      </c>
      <c r="C72" t="str">
        <v>SUV</v>
      </c>
      <c r="D72" t="str">
        <v>Gas</v>
      </c>
      <c r="E72">
        <v>39630</v>
      </c>
      <c r="F72">
        <v>69606.100000000006</v>
      </c>
      <c r="G72">
        <v>11350</v>
      </c>
      <c r="H72">
        <v>0</v>
      </c>
      <c r="K72" t="s">
        <v>170</v>
      </c>
      <c r="L72" t="s">
        <v>177</v>
      </c>
      <c r="M72" t="s">
        <v>25</v>
      </c>
      <c r="N72" t="s">
        <v>26</v>
      </c>
      <c r="O72" s="9">
        <v>39630</v>
      </c>
      <c r="P72" s="9">
        <v>69606.100000000006</v>
      </c>
      <c r="Q72" s="9">
        <v>11350</v>
      </c>
      <c r="R72" s="9">
        <v>0</v>
      </c>
    </row>
    <row r="73" spans="1:18">
      <c r="A73" t="str">
        <v>Ford</v>
      </c>
      <c r="B73" t="str">
        <v>Explorer</v>
      </c>
      <c r="C73" t="str">
        <v>SUV</v>
      </c>
      <c r="D73" t="str">
        <v>Gas</v>
      </c>
      <c r="E73">
        <v>39755</v>
      </c>
      <c r="F73">
        <v>85623</v>
      </c>
      <c r="G73">
        <v>11927</v>
      </c>
      <c r="H73">
        <v>0</v>
      </c>
      <c r="K73" t="s">
        <v>170</v>
      </c>
      <c r="L73" t="s">
        <v>178</v>
      </c>
      <c r="M73" t="s">
        <v>25</v>
      </c>
      <c r="N73" t="s">
        <v>26</v>
      </c>
      <c r="O73" s="9">
        <v>39755</v>
      </c>
      <c r="P73" s="9">
        <v>85623</v>
      </c>
      <c r="Q73" s="9">
        <v>11927</v>
      </c>
      <c r="R73" s="9">
        <v>0</v>
      </c>
    </row>
    <row r="74" spans="1:18">
      <c r="A74" t="str">
        <v>Ford</v>
      </c>
      <c r="B74" t="str">
        <v>Edge</v>
      </c>
      <c r="C74" t="str">
        <v>SUV</v>
      </c>
      <c r="D74" t="str">
        <v>Gas</v>
      </c>
      <c r="E74">
        <v>38465</v>
      </c>
      <c r="F74">
        <v>77691</v>
      </c>
      <c r="G74">
        <v>11692</v>
      </c>
      <c r="H74">
        <v>0</v>
      </c>
      <c r="K74" t="s">
        <v>170</v>
      </c>
      <c r="L74" t="s">
        <v>180</v>
      </c>
      <c r="M74" t="s">
        <v>25</v>
      </c>
      <c r="N74" t="s">
        <v>26</v>
      </c>
      <c r="O74" s="9">
        <v>38465</v>
      </c>
      <c r="P74" s="9">
        <v>77691</v>
      </c>
      <c r="Q74" s="9">
        <v>11692</v>
      </c>
      <c r="R74" s="9">
        <v>0</v>
      </c>
    </row>
    <row r="75" spans="1:18">
      <c r="A75" t="str">
        <v>Ford</v>
      </c>
      <c r="B75" t="str">
        <v>Mustang Mach-E</v>
      </c>
      <c r="C75" t="str">
        <v>SUV</v>
      </c>
      <c r="D75" t="str">
        <v>Battery EV</v>
      </c>
      <c r="E75">
        <v>39995</v>
      </c>
      <c r="F75">
        <v>84645</v>
      </c>
      <c r="G75">
        <v>10747</v>
      </c>
      <c r="H75">
        <v>0</v>
      </c>
      <c r="K75" t="s">
        <v>170</v>
      </c>
      <c r="L75" t="s">
        <v>181</v>
      </c>
      <c r="M75" t="s">
        <v>25</v>
      </c>
      <c r="N75" t="s">
        <v>39</v>
      </c>
      <c r="O75" s="9">
        <v>39995</v>
      </c>
      <c r="P75" s="9">
        <v>84645</v>
      </c>
      <c r="Q75" s="9">
        <v>10747</v>
      </c>
      <c r="R75" s="9">
        <v>0</v>
      </c>
    </row>
    <row r="76" spans="1:18">
      <c r="A76" t="str">
        <v>Ford</v>
      </c>
      <c r="B76" t="str">
        <v>Expedition</v>
      </c>
      <c r="C76" t="str">
        <v>SUV</v>
      </c>
      <c r="D76" t="str">
        <v>Gas</v>
      </c>
      <c r="E76">
        <v>55630</v>
      </c>
      <c r="F76">
        <v>92163.5</v>
      </c>
      <c r="G76">
        <v>11500</v>
      </c>
      <c r="H76">
        <v>0</v>
      </c>
      <c r="K76" t="s">
        <v>170</v>
      </c>
      <c r="L76" t="s">
        <v>182</v>
      </c>
      <c r="M76" t="s">
        <v>25</v>
      </c>
      <c r="N76" t="s">
        <v>26</v>
      </c>
      <c r="O76" s="9">
        <v>55630</v>
      </c>
      <c r="P76" s="9">
        <v>92163.5</v>
      </c>
      <c r="Q76" s="9">
        <v>11500</v>
      </c>
      <c r="R76" s="9">
        <v>0</v>
      </c>
    </row>
    <row r="77" spans="1:18">
      <c r="A77" t="str">
        <v>Ford</v>
      </c>
      <c r="B77" t="str">
        <v>Maverick</v>
      </c>
      <c r="C77" t="str">
        <v>Truck</v>
      </c>
      <c r="D77" t="str">
        <v>Hybrid EV</v>
      </c>
      <c r="E77">
        <v>26420</v>
      </c>
      <c r="F77">
        <v>49609</v>
      </c>
      <c r="G77">
        <v>11300</v>
      </c>
      <c r="H77">
        <v>0</v>
      </c>
      <c r="K77" t="s">
        <v>170</v>
      </c>
      <c r="L77" t="s">
        <v>184</v>
      </c>
      <c r="M77" t="s">
        <v>66</v>
      </c>
      <c r="N77" t="s">
        <v>32</v>
      </c>
      <c r="O77" s="9">
        <v>26420</v>
      </c>
      <c r="P77" s="9">
        <v>49609</v>
      </c>
      <c r="Q77" s="9">
        <v>11300</v>
      </c>
      <c r="R77" s="9">
        <v>0</v>
      </c>
    </row>
    <row r="78" spans="1:18">
      <c r="A78" t="str">
        <v>Ford</v>
      </c>
      <c r="B78" t="str">
        <v>Ranger</v>
      </c>
      <c r="C78" t="str">
        <v>Truck</v>
      </c>
      <c r="D78" t="str">
        <v>Gas</v>
      </c>
      <c r="E78">
        <v>32820</v>
      </c>
      <c r="F78">
        <v>52403.199999999997</v>
      </c>
      <c r="G78">
        <v>11050</v>
      </c>
      <c r="H78">
        <v>0</v>
      </c>
      <c r="K78" t="s">
        <v>170</v>
      </c>
      <c r="L78" t="s">
        <v>186</v>
      </c>
      <c r="M78" t="s">
        <v>66</v>
      </c>
      <c r="N78" t="s">
        <v>26</v>
      </c>
      <c r="O78" s="9">
        <v>32820</v>
      </c>
      <c r="P78" s="9">
        <v>52403.199999999997</v>
      </c>
      <c r="Q78" s="9">
        <v>11050</v>
      </c>
      <c r="R78" s="9">
        <v>0</v>
      </c>
    </row>
    <row r="79" spans="1:18">
      <c r="A79" t="str">
        <v>Ford</v>
      </c>
      <c r="B79" t="str">
        <v>F-150</v>
      </c>
      <c r="C79" t="str">
        <v>Truck</v>
      </c>
      <c r="D79" t="str">
        <v>Hybrid EV</v>
      </c>
      <c r="E79">
        <v>44100</v>
      </c>
      <c r="F79">
        <v>75595</v>
      </c>
      <c r="G79">
        <v>11650</v>
      </c>
      <c r="H79">
        <v>0</v>
      </c>
      <c r="K79" t="s">
        <v>170</v>
      </c>
      <c r="L79" t="s">
        <v>188</v>
      </c>
      <c r="M79" t="s">
        <v>66</v>
      </c>
      <c r="N79" t="s">
        <v>32</v>
      </c>
      <c r="O79" s="9">
        <v>44100</v>
      </c>
      <c r="P79" s="9">
        <v>75595</v>
      </c>
      <c r="Q79" s="9">
        <v>11650</v>
      </c>
      <c r="R79" s="9">
        <v>0</v>
      </c>
    </row>
    <row r="80" spans="1:18">
      <c r="A80" t="str">
        <v>Ford</v>
      </c>
      <c r="B80" t="str">
        <v>E-Transit</v>
      </c>
      <c r="C80" t="str">
        <v>Minivan</v>
      </c>
      <c r="D80" t="str">
        <v>Battery EV</v>
      </c>
      <c r="E80">
        <v>45700</v>
      </c>
      <c r="F80">
        <v>71594</v>
      </c>
      <c r="G80">
        <v>6700</v>
      </c>
      <c r="H80">
        <v>3750</v>
      </c>
      <c r="K80" t="s">
        <v>170</v>
      </c>
      <c r="L80" t="s">
        <v>190</v>
      </c>
      <c r="M80" t="s">
        <v>63</v>
      </c>
      <c r="N80" t="s">
        <v>39</v>
      </c>
      <c r="O80" s="9">
        <v>45700</v>
      </c>
      <c r="P80" s="9">
        <v>71594</v>
      </c>
      <c r="Q80" s="9">
        <v>6700</v>
      </c>
      <c r="R80" s="9">
        <v>3750</v>
      </c>
    </row>
    <row r="81" spans="1:18">
      <c r="A81" t="str">
        <v>Ford</v>
      </c>
      <c r="B81" t="str">
        <v>F-150 Lightning</v>
      </c>
      <c r="C81" t="str">
        <v>Truck</v>
      </c>
      <c r="D81" t="str">
        <v>Battery EV</v>
      </c>
      <c r="E81">
        <v>62995</v>
      </c>
      <c r="F81">
        <v>121753</v>
      </c>
      <c r="G81">
        <v>2394</v>
      </c>
      <c r="H81">
        <v>7500</v>
      </c>
      <c r="K81" t="s">
        <v>170</v>
      </c>
      <c r="L81" t="s">
        <v>191</v>
      </c>
      <c r="M81" t="s">
        <v>66</v>
      </c>
      <c r="N81" t="s">
        <v>39</v>
      </c>
      <c r="O81" s="9">
        <v>62995</v>
      </c>
      <c r="P81" s="9">
        <v>121753</v>
      </c>
      <c r="Q81" s="9">
        <v>2394</v>
      </c>
      <c r="R81" s="9">
        <v>7500</v>
      </c>
    </row>
    <row r="82" spans="1:18">
      <c r="A82" t="str">
        <v>Ford</v>
      </c>
      <c r="B82" t="str">
        <v>Transit</v>
      </c>
      <c r="C82" t="str">
        <v>Minivan</v>
      </c>
      <c r="D82" t="str">
        <v>Gas</v>
      </c>
      <c r="E82">
        <v>54365</v>
      </c>
      <c r="F82">
        <v>87758.3</v>
      </c>
      <c r="G82">
        <v>10560</v>
      </c>
      <c r="H82">
        <v>0</v>
      </c>
      <c r="K82" t="s">
        <v>170</v>
      </c>
      <c r="L82" t="s">
        <v>192</v>
      </c>
      <c r="M82" t="s">
        <v>63</v>
      </c>
      <c r="N82" t="s">
        <v>26</v>
      </c>
      <c r="O82" s="9">
        <v>54365</v>
      </c>
      <c r="P82" s="9">
        <v>87758.3</v>
      </c>
      <c r="Q82" s="9">
        <v>10560</v>
      </c>
      <c r="R82" s="9">
        <v>0</v>
      </c>
    </row>
  </sheetData>
  <conditionalFormatting sqref="O2:O82">
    <cfRule type="colorScale" priority="13">
      <colorScale>
        <cfvo type="min"/>
        <cfvo type="percentile" val="50"/>
        <cfvo type="max"/>
        <color rgb="FF63BE7B"/>
        <color rgb="FFFFEB84"/>
        <color rgb="FFF8696B"/>
      </colorScale>
    </cfRule>
  </conditionalFormatting>
  <conditionalFormatting sqref="P2:P82">
    <cfRule type="colorScale" priority="12">
      <colorScale>
        <cfvo type="min"/>
        <cfvo type="percentile" val="50"/>
        <cfvo type="max"/>
        <color rgb="FFF8696B"/>
        <color rgb="FFFFEB84"/>
        <color rgb="FF63BE7B"/>
      </colorScale>
    </cfRule>
  </conditionalFormatting>
  <conditionalFormatting sqref="P2:P82">
    <cfRule type="colorScale" priority="11">
      <colorScale>
        <cfvo type="min"/>
        <cfvo type="percentile" val="50"/>
        <cfvo type="max"/>
        <color rgb="FF63BE7B"/>
        <color rgb="FFFFEB84"/>
        <color rgb="FFF8696B"/>
      </colorScale>
    </cfRule>
  </conditionalFormatting>
  <conditionalFormatting sqref="Q2:Q82">
    <cfRule type="colorScale" priority="10">
      <colorScale>
        <cfvo type="min"/>
        <cfvo type="percentile" val="50"/>
        <cfvo type="max"/>
        <color rgb="FFF8696B"/>
        <color rgb="FFFFEB84"/>
        <color rgb="FF63BE7B"/>
      </colorScale>
    </cfRule>
  </conditionalFormatting>
  <conditionalFormatting sqref="Q2:Q82">
    <cfRule type="colorScale" priority="9">
      <colorScale>
        <cfvo type="min"/>
        <cfvo type="percentile" val="50"/>
        <cfvo type="max"/>
        <color rgb="FF63BE7B"/>
        <color rgb="FFFFEB84"/>
        <color rgb="FFF8696B"/>
      </colorScale>
    </cfRule>
  </conditionalFormatting>
  <conditionalFormatting sqref="R2:R82">
    <cfRule type="colorScale" priority="8">
      <colorScale>
        <cfvo type="min"/>
        <cfvo type="max"/>
        <color rgb="FF63BE7B"/>
        <color rgb="FFFCFCFF"/>
      </colorScale>
    </cfRule>
  </conditionalFormatting>
  <conditionalFormatting sqref="R2:R82">
    <cfRule type="colorScale" priority="7">
      <colorScale>
        <cfvo type="min"/>
        <cfvo type="max"/>
        <color rgb="FFFCFCFF"/>
        <color rgb="FF63BE7B"/>
      </colorScale>
    </cfRule>
  </conditionalFormatting>
  <conditionalFormatting sqref="Q2:Q82">
    <cfRule type="colorScale" priority="6">
      <colorScale>
        <cfvo type="min"/>
        <cfvo type="max"/>
        <color rgb="FFFCFCFF"/>
        <color rgb="FF63BE7B"/>
      </colorScale>
    </cfRule>
  </conditionalFormatting>
  <conditionalFormatting sqref="Q2:Q82">
    <cfRule type="colorScale" priority="5">
      <colorScale>
        <cfvo type="min"/>
        <cfvo type="max"/>
        <color rgb="FF63BE7B"/>
        <color rgb="FFFCFCFF"/>
      </colorScale>
    </cfRule>
  </conditionalFormatting>
  <conditionalFormatting sqref="P2:P82">
    <cfRule type="colorScale" priority="4">
      <colorScale>
        <cfvo type="min"/>
        <cfvo type="max"/>
        <color rgb="FFFCFCFF"/>
        <color rgb="FF63BE7B"/>
      </colorScale>
    </cfRule>
  </conditionalFormatting>
  <conditionalFormatting sqref="P2:P82">
    <cfRule type="colorScale" priority="3">
      <colorScale>
        <cfvo type="min"/>
        <cfvo type="max"/>
        <color rgb="FF63BE7B"/>
        <color rgb="FFFCFCFF"/>
      </colorScale>
    </cfRule>
  </conditionalFormatting>
  <conditionalFormatting sqref="P2:P82">
    <cfRule type="colorScale" priority="2">
      <colorScale>
        <cfvo type="min"/>
        <cfvo type="percentile" val="50"/>
        <cfvo type="max"/>
        <color rgb="FFF8696B"/>
        <color rgb="FFFFEB84"/>
        <color rgb="FF63BE7B"/>
      </colorScale>
    </cfRule>
  </conditionalFormatting>
  <conditionalFormatting sqref="P2:P82">
    <cfRule type="colorScale" priority="1">
      <colorScale>
        <cfvo type="min"/>
        <cfvo type="percentile" val="50"/>
        <cfvo type="max"/>
        <color rgb="FF63BE7B"/>
        <color rgb="FFFFEB84"/>
        <color rgb="FFF8696B"/>
      </colorScale>
    </cfRule>
  </conditionalFormatting>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B6BA6-AB8A-4D1D-875D-BB3A27B47E58}">
  <dimension ref="A1:F20"/>
  <sheetViews>
    <sheetView workbookViewId="0">
      <selection activeCell="A11" sqref="A11"/>
    </sheetView>
  </sheetViews>
  <sheetFormatPr defaultRowHeight="15"/>
  <cols>
    <col min="1" max="1" width="36.140625" bestFit="1" customWidth="1"/>
    <col min="2" max="2" width="85.7109375" customWidth="1"/>
    <col min="3" max="3" width="42.5703125" customWidth="1"/>
    <col min="4" max="4" width="21.7109375" bestFit="1" customWidth="1"/>
  </cols>
  <sheetData>
    <row r="1" spans="1:6">
      <c r="A1" s="11" t="s">
        <v>223</v>
      </c>
      <c r="B1" s="11" t="s">
        <v>224</v>
      </c>
      <c r="C1" s="11" t="s">
        <v>225</v>
      </c>
    </row>
    <row r="2" spans="1:6">
      <c r="A2" s="12" t="s">
        <v>226</v>
      </c>
      <c r="B2" s="13" t="s">
        <v>227</v>
      </c>
      <c r="C2" s="13"/>
      <c r="E2" s="2"/>
      <c r="F2" s="2"/>
    </row>
    <row r="3" spans="1:6">
      <c r="A3" s="12" t="s">
        <v>228</v>
      </c>
      <c r="B3" s="13" t="s">
        <v>227</v>
      </c>
      <c r="C3" s="13"/>
      <c r="E3" s="2"/>
      <c r="F3" s="2"/>
    </row>
    <row r="4" spans="1:6">
      <c r="A4" s="12" t="s">
        <v>229</v>
      </c>
      <c r="B4" s="13" t="s">
        <v>227</v>
      </c>
      <c r="C4" s="13"/>
      <c r="E4" s="2"/>
      <c r="F4" s="2"/>
    </row>
    <row r="5" spans="1:6">
      <c r="A5" s="12" t="s">
        <v>230</v>
      </c>
      <c r="B5" s="13" t="s">
        <v>227</v>
      </c>
      <c r="C5" s="13"/>
      <c r="E5" s="2"/>
      <c r="F5" s="2"/>
    </row>
    <row r="6" spans="1:6">
      <c r="A6" s="12" t="s">
        <v>231</v>
      </c>
      <c r="B6" s="13" t="s">
        <v>227</v>
      </c>
      <c r="C6" s="13"/>
      <c r="E6" s="2"/>
      <c r="F6" s="2"/>
    </row>
    <row r="7" spans="1:6">
      <c r="A7" s="12" t="s">
        <v>232</v>
      </c>
      <c r="B7" s="13" t="s">
        <v>233</v>
      </c>
      <c r="C7" s="13"/>
    </row>
    <row r="8" spans="1:6">
      <c r="A8" s="12" t="s">
        <v>234</v>
      </c>
      <c r="B8" s="13" t="s">
        <v>235</v>
      </c>
      <c r="C8" s="13"/>
    </row>
    <row r="9" spans="1:6" ht="43.5">
      <c r="A9" s="13" t="s">
        <v>236</v>
      </c>
      <c r="B9" s="14" t="s">
        <v>237</v>
      </c>
      <c r="C9" s="14" t="s">
        <v>238</v>
      </c>
    </row>
    <row r="10" spans="1:6">
      <c r="A10" s="2"/>
    </row>
    <row r="12" spans="1:6" ht="150.75" customHeight="1">
      <c r="A12" s="17" t="s">
        <v>239</v>
      </c>
    </row>
    <row r="20" spans="2:2">
      <c r="B20" s="1"/>
    </row>
  </sheetData>
  <hyperlinks>
    <hyperlink ref="A2" r:id="rId1" xr:uid="{DC52DC04-C68A-4ED0-BC07-1D4DC9018727}"/>
    <hyperlink ref="A3" r:id="rId2" xr:uid="{2B83CB82-1F61-4345-BB95-7B694BC9F2D1}"/>
    <hyperlink ref="A4" r:id="rId3" xr:uid="{C83DC3B1-7DCD-4542-BF32-79B00F5AA93D}"/>
    <hyperlink ref="A5" r:id="rId4" xr:uid="{2EB3DDC4-1896-4025-A993-2D55B1B4CB87}"/>
    <hyperlink ref="A6" r:id="rId5" xr:uid="{94A4C904-ED7A-447B-B564-E3F6FB5D9C46}"/>
    <hyperlink ref="A8" r:id="rId6" xr:uid="{243CD2B1-97A3-4B8F-805A-6C02446EE003}"/>
    <hyperlink ref="A7" r:id="rId7" xr:uid="{D87A2B94-1EED-4088-97E3-D92ACE8A11DE}"/>
  </hyperlinks>
  <pageMargins left="0.7" right="0.7" top="0.75" bottom="0.75" header="0.3" footer="0.3"/>
  <tableParts count="1">
    <tablePart r:id="rId8"/>
  </tablePart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2025-03-09T00:42:50Z</dcterms:created>
  <dcterms:modified xsi:type="dcterms:W3CDTF">2025-04-26T23:44:41Z</dcterms:modified>
  <cp:category/>
  <cp:contentStatus/>
</cp:coreProperties>
</file>