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ent Roll Verified\"/>
    </mc:Choice>
  </mc:AlternateContent>
  <xr:revisionPtr revIDLastSave="0" documentId="8_{34502854-BE12-4078-A143-C3AFF4CA663B}" xr6:coauthVersionLast="47" xr6:coauthVersionMax="47" xr10:uidLastSave="{00000000-0000-0000-0000-000000000000}"/>
  <bookViews>
    <workbookView xWindow="-108" yWindow="-108" windowWidth="23256" windowHeight="12456" xr2:uid="{28C4C7B3-8C21-47E9-BD6B-D020848D4897}"/>
  </bookViews>
  <sheets>
    <sheet name="QD_RENTROLL" sheetId="2" r:id="rId1"/>
    <sheet name="Sheet1" sheetId="1" r:id="rId2"/>
  </sheets>
  <definedNames>
    <definedName name="QD_INSERT_RENTROLL_START" hidden="1">QD_RENTROLL!$AA$3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2" l="1"/>
  <c r="U4" i="2" a="1"/>
  <c r="U4" i="2" s="1"/>
  <c r="U5" i="2" a="1"/>
  <c r="U5" i="2" s="1"/>
  <c r="U6" i="2" a="1"/>
  <c r="U6" i="2" s="1"/>
  <c r="U7" i="2"/>
  <c r="U8" i="2"/>
  <c r="U9" i="2"/>
  <c r="U10" i="2"/>
  <c r="U11" i="2"/>
  <c r="U12" i="2"/>
  <c r="K6" i="2"/>
  <c r="M6" i="2" s="1"/>
  <c r="J4" i="2"/>
  <c r="K4" i="2"/>
  <c r="O4" i="2"/>
  <c r="B8" i="2" a="1"/>
  <c r="L6" i="2" l="1"/>
  <c r="L4" i="2" s="1"/>
  <c r="M4" i="2"/>
  <c r="B8" i="2"/>
  <c r="N6" i="2"/>
  <c r="N4" i="2" s="1"/>
  <c r="Z6" i="2" l="1"/>
  <c r="Z9" i="2"/>
  <c r="Z12" i="2"/>
  <c r="Z15" i="2"/>
  <c r="Z18" i="2"/>
  <c r="Z21" i="2"/>
  <c r="Z24" i="2"/>
  <c r="Z27" i="2"/>
  <c r="Z30" i="2"/>
  <c r="Z33" i="2"/>
  <c r="Z36" i="2"/>
  <c r="Z39" i="2"/>
  <c r="Z42" i="2"/>
  <c r="W4" i="2"/>
  <c r="W7" i="2"/>
  <c r="W10" i="2"/>
  <c r="W13" i="2"/>
  <c r="W16" i="2"/>
  <c r="W19" i="2"/>
  <c r="W22" i="2"/>
  <c r="W25" i="2"/>
  <c r="W28" i="2"/>
  <c r="W31" i="2"/>
  <c r="W34" i="2"/>
  <c r="W37" i="2"/>
  <c r="W40" i="2"/>
  <c r="W43" i="2"/>
  <c r="X4" i="2"/>
  <c r="X7" i="2"/>
  <c r="X10" i="2"/>
  <c r="X13" i="2"/>
  <c r="X16" i="2"/>
  <c r="X19" i="2"/>
  <c r="X22" i="2"/>
  <c r="X25" i="2"/>
  <c r="X28" i="2"/>
  <c r="X31" i="2"/>
  <c r="X34" i="2"/>
  <c r="X37" i="2"/>
  <c r="X40" i="2"/>
  <c r="X43" i="2"/>
  <c r="W5" i="2"/>
  <c r="W8" i="2"/>
  <c r="W11" i="2"/>
  <c r="W14" i="2"/>
  <c r="W17" i="2"/>
  <c r="W20" i="2"/>
  <c r="W23" i="2"/>
  <c r="W26" i="2"/>
  <c r="W29" i="2"/>
  <c r="W32" i="2"/>
  <c r="W35" i="2"/>
  <c r="W38" i="2"/>
  <c r="Z5" i="2"/>
  <c r="Z8" i="2"/>
  <c r="Z11" i="2"/>
  <c r="Z14" i="2"/>
  <c r="Z17" i="2"/>
  <c r="Z20" i="2"/>
  <c r="Z23" i="2"/>
  <c r="Z26" i="2"/>
  <c r="Z29" i="2"/>
  <c r="Z32" i="2"/>
  <c r="Z35" i="2"/>
  <c r="Z38" i="2"/>
  <c r="Z41" i="2"/>
  <c r="W6" i="2"/>
  <c r="W9" i="2"/>
  <c r="W12" i="2"/>
  <c r="W15" i="2"/>
  <c r="W18" i="2"/>
  <c r="W21" i="2"/>
  <c r="W24" i="2"/>
  <c r="W27" i="2"/>
  <c r="W30" i="2"/>
  <c r="W33" i="2"/>
  <c r="W36" i="2"/>
  <c r="W39" i="2"/>
  <c r="W42" i="2"/>
  <c r="X6" i="2"/>
  <c r="X9" i="2"/>
  <c r="X12" i="2"/>
  <c r="X15" i="2"/>
  <c r="X18" i="2"/>
  <c r="X21" i="2"/>
  <c r="X24" i="2"/>
  <c r="X30" i="2"/>
  <c r="X36" i="2"/>
  <c r="Y27" i="2"/>
  <c r="Y33" i="2"/>
  <c r="Y42" i="2"/>
  <c r="Y5" i="2"/>
  <c r="Y8" i="2"/>
  <c r="Y11" i="2"/>
  <c r="Y14" i="2"/>
  <c r="Y17" i="2"/>
  <c r="Y20" i="2"/>
  <c r="Y23" i="2"/>
  <c r="Y26" i="2"/>
  <c r="Y29" i="2"/>
  <c r="Y32" i="2"/>
  <c r="Y35" i="2"/>
  <c r="Y38" i="2"/>
  <c r="Y41" i="2"/>
  <c r="Y9" i="2"/>
  <c r="Y4" i="2"/>
  <c r="Y7" i="2"/>
  <c r="Y10" i="2"/>
  <c r="Y13" i="2"/>
  <c r="Y16" i="2"/>
  <c r="Y19" i="2"/>
  <c r="Y22" i="2"/>
  <c r="Y25" i="2"/>
  <c r="Y28" i="2"/>
  <c r="Y31" i="2"/>
  <c r="Y34" i="2"/>
  <c r="Y37" i="2"/>
  <c r="Y40" i="2"/>
  <c r="Y43" i="2"/>
  <c r="Z4" i="2"/>
  <c r="Z7" i="2"/>
  <c r="Z10" i="2"/>
  <c r="Z13" i="2"/>
  <c r="Z16" i="2"/>
  <c r="Z19" i="2"/>
  <c r="Z22" i="2"/>
  <c r="Z25" i="2"/>
  <c r="Z28" i="2"/>
  <c r="Z31" i="2"/>
  <c r="Z34" i="2"/>
  <c r="Z37" i="2"/>
  <c r="Z40" i="2"/>
  <c r="Z43" i="2"/>
  <c r="W41" i="2"/>
  <c r="X5" i="2"/>
  <c r="X8" i="2"/>
  <c r="X11" i="2"/>
  <c r="X14" i="2"/>
  <c r="X17" i="2"/>
  <c r="X20" i="2"/>
  <c r="X23" i="2"/>
  <c r="X26" i="2"/>
  <c r="X29" i="2"/>
  <c r="X32" i="2"/>
  <c r="X35" i="2"/>
  <c r="X38" i="2"/>
  <c r="X41" i="2"/>
  <c r="X27" i="2"/>
  <c r="X33" i="2"/>
  <c r="X39" i="2"/>
  <c r="X42" i="2"/>
  <c r="Y6" i="2"/>
  <c r="Y12" i="2"/>
  <c r="Y15" i="2"/>
  <c r="Y18" i="2"/>
  <c r="Y21" i="2"/>
  <c r="Y24" i="2"/>
  <c r="Y30" i="2"/>
  <c r="Y36" i="2"/>
  <c r="Y39" i="2"/>
  <c r="H8" i="2"/>
  <c r="J8" i="2"/>
  <c r="K8" i="2"/>
  <c r="L8" i="2"/>
  <c r="M8" i="2"/>
  <c r="N8" i="2"/>
  <c r="O8" i="2"/>
  <c r="P8" i="2"/>
  <c r="Q8" i="2"/>
  <c r="G8" i="2"/>
  <c r="E8" i="2" a="1"/>
  <c r="F8" i="2" a="1"/>
  <c r="F8" i="2" l="1"/>
  <c r="E8" i="2"/>
  <c r="H4" i="2"/>
  <c r="D4" i="2" l="1"/>
  <c r="G4" i="2"/>
  <c r="P4" i="2"/>
  <c r="Q4" i="2"/>
  <c r="I8" i="2"/>
  <c r="C8" i="2"/>
  <c r="I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J3" authorId="0" shapeId="0" xr:uid="{49B24410-1BE1-43BE-B127-0B5D85D91138}">
      <text>
        <r>
          <rPr>
            <sz val="9"/>
            <color indexed="81"/>
            <rFont val="Tahoma"/>
            <family val="2"/>
          </rPr>
          <t>Excludes vacant units</t>
        </r>
      </text>
    </comment>
    <comment ref="Q3" authorId="0" shapeId="0" xr:uid="{42B761FB-E3B5-4BE3-A8AA-D711100F80C6}">
      <text>
        <r>
          <rPr>
            <sz val="9"/>
            <color indexed="81"/>
            <rFont val="Tahoma"/>
            <family val="2"/>
          </rPr>
          <t>% / # of tenant that have moved in within the past year_x000D_
_x000D_
This is used to measure the "stickiness" of the tenants. A high 1yr Turnover rate might indicate that tenants are not likely to renew their leases.</t>
        </r>
      </text>
    </comment>
    <comment ref="I6" authorId="0" shapeId="0" xr:uid="{9D8638F8-A336-4A62-8303-BA8FBC18454F}">
      <text>
        <r>
          <rPr>
            <sz val="9"/>
            <color indexed="81"/>
            <rFont val="Tahoma"/>
            <family val="2"/>
          </rPr>
          <t>&lt;optional&gt;_x000D_
_x000D_
Used to override the "Latest Lease:" rent roll date.</t>
        </r>
      </text>
    </comment>
    <comment ref="K6" authorId="0" shapeId="0" xr:uid="{10EC23B7-7D87-4D80-8EF6-5CC5336A632C}">
      <text>
        <r>
          <rPr>
            <sz val="9"/>
            <color indexed="81"/>
            <rFont val="Tahoma"/>
            <family val="2"/>
          </rPr>
          <t>This date is used to calculate the 30 / 60 / 90 lease values (Columns L-N)</t>
        </r>
      </text>
    </comment>
    <comment ref="J7" authorId="0" shapeId="0" xr:uid="{085BEAC6-618E-4822-AD46-33E01265CBA0}">
      <text>
        <r>
          <rPr>
            <sz val="9"/>
            <color indexed="81"/>
            <rFont val="Tahoma"/>
            <family val="2"/>
          </rPr>
          <t>Excludes vacant units</t>
        </r>
      </text>
    </comment>
    <comment ref="L7" authorId="0" shapeId="0" xr:uid="{2DA748CE-A2F3-4D12-B9F3-B844FF26B926}">
      <text>
        <r>
          <rPr>
            <sz val="9"/>
            <color indexed="81"/>
            <rFont val="Tahoma"/>
            <family val="2"/>
          </rPr>
          <t>Number of leases signed in the past 30 days &amp; the average rent for those leases.</t>
        </r>
      </text>
    </comment>
    <comment ref="M7" authorId="0" shapeId="0" xr:uid="{94F95EFD-79C5-40DD-8F83-F0FD3C430514}">
      <text>
        <r>
          <rPr>
            <sz val="9"/>
            <color indexed="81"/>
            <rFont val="Tahoma"/>
            <family val="2"/>
          </rPr>
          <t>Number of leases signed in the past 30 days &amp; the average rent for those leases.</t>
        </r>
      </text>
    </comment>
    <comment ref="N7" authorId="0" shapeId="0" xr:uid="{89C51879-3B3C-48AE-B117-BEB8252B64AA}">
      <text>
        <r>
          <rPr>
            <sz val="9"/>
            <color indexed="81"/>
            <rFont val="Tahoma"/>
            <family val="2"/>
          </rPr>
          <t>Number of leases signed in the past 60-90 days &amp; the average rent for those leases.</t>
        </r>
      </text>
    </comment>
    <comment ref="Q7" authorId="0" shapeId="0" xr:uid="{D13072E1-14D5-4986-B279-94B3B36EAAF1}">
      <text>
        <r>
          <rPr>
            <sz val="9"/>
            <color indexed="81"/>
            <rFont val="Tahoma"/>
            <family val="2"/>
          </rPr>
          <t>% / # of tenant that have moved in within the past year_x000D_
_x000D_
This is used to measure the "stickiness" of the tenants._x000D_
A high 1yr Turnover rate might indicate that tenants are not likely to renew their leases.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<sst xmlns="http://schemas.openxmlformats.org/spreadsheetml/2006/main" count="189" uniqueCount="137">
  <si>
    <t>RENT ROLL TOTAL SUMMARY</t>
  </si>
  <si>
    <t>Renovation Mix</t>
  </si>
  <si>
    <t>Avg. SF</t>
  </si>
  <si>
    <t># of Units</t>
  </si>
  <si>
    <t>Unit Mix</t>
  </si>
  <si>
    <t>Rent (In-Place)</t>
  </si>
  <si>
    <t>Rent (Market)</t>
  </si>
  <si>
    <t>&lt; 30</t>
  </si>
  <si>
    <t>30-60</t>
  </si>
  <si>
    <t>60-90</t>
  </si>
  <si>
    <t>Min / Max</t>
  </si>
  <si>
    <t>Vacancy</t>
  </si>
  <si>
    <t>1yr Turnover</t>
  </si>
  <si>
    <t>TOTAL</t>
  </si>
  <si>
    <t>Classic
Parital
Renovated</t>
  </si>
  <si>
    <t>RENT ROLL UNIT TYPE SUMMARY</t>
  </si>
  <si>
    <t>Date override</t>
  </si>
  <si>
    <t>Newest lease:</t>
  </si>
  <si>
    <t>Unit Type</t>
  </si>
  <si>
    <t>Unit Name</t>
  </si>
  <si>
    <t>Reno</t>
  </si>
  <si>
    <t>Beds</t>
  </si>
  <si>
    <t>Baths</t>
  </si>
  <si>
    <t>DATA VALIDATION</t>
  </si>
  <si>
    <t>Validation</t>
  </si>
  <si>
    <t>Result</t>
  </si>
  <si>
    <t>Duplicate Tenants</t>
  </si>
  <si>
    <t>Duplicate Units</t>
  </si>
  <si>
    <t>Unique Unit Types</t>
  </si>
  <si>
    <t>Count of Units</t>
  </si>
  <si>
    <t># Occupied</t>
  </si>
  <si>
    <t># Vacant</t>
  </si>
  <si>
    <t>Rent (In-Place) TTL</t>
  </si>
  <si>
    <t>Rent (Market) TTL</t>
  </si>
  <si>
    <t>Total Charge TTL</t>
  </si>
  <si>
    <t>PARSED RENT ROLL</t>
  </si>
  <si>
    <t>Dynamic Unit Type Range:</t>
  </si>
  <si>
    <t>Unit Name (UTM)</t>
  </si>
  <si>
    <t>Bed (UTM)</t>
  </si>
  <si>
    <t>Bath (UTM)</t>
  </si>
  <si>
    <t>Reno (UTM)</t>
  </si>
  <si>
    <t>unit_num</t>
  </si>
  <si>
    <t>unit_type</t>
  </si>
  <si>
    <t>sqft</t>
  </si>
  <si>
    <t>br</t>
  </si>
  <si>
    <t>bath</t>
  </si>
  <si>
    <t>occupancy</t>
  </si>
  <si>
    <t>tenant</t>
  </si>
  <si>
    <t>move_in</t>
  </si>
  <si>
    <t>lease_start</t>
  </si>
  <si>
    <t>lease_end</t>
  </si>
  <si>
    <t>rent_market</t>
  </si>
  <si>
    <t>rent_charge</t>
  </si>
  <si>
    <t>total_charge</t>
  </si>
  <si>
    <t>rent_gov_subsidy</t>
  </si>
  <si>
    <t>is_mtm</t>
  </si>
  <si>
    <t>mtm_charge</t>
  </si>
  <si>
    <t>Other Charges</t>
  </si>
  <si>
    <t>OCC</t>
  </si>
  <si>
    <t>VAC</t>
  </si>
  <si>
    <t>&lt;&lt;&lt;Vacant-Assigned&gt;&gt;&gt;</t>
  </si>
  <si>
    <t>&lt;&lt;&lt;Vacant-Unassigned&gt;&gt;</t>
  </si>
  <si>
    <t>604   101</t>
  </si>
  <si>
    <t>WILLIAMS, LAKEISHA G.</t>
  </si>
  <si>
    <t>604   102</t>
  </si>
  <si>
    <t>CURRY, JESSICA</t>
  </si>
  <si>
    <t>604   103</t>
  </si>
  <si>
    <t>604   104</t>
  </si>
  <si>
    <t>604   105</t>
  </si>
  <si>
    <t>JENNINGS, KATRINA L.</t>
  </si>
  <si>
    <t>604   106</t>
  </si>
  <si>
    <t>CANSLER, KIZZY S.</t>
  </si>
  <si>
    <t>604   107</t>
  </si>
  <si>
    <t>NOWICKI, MICHAEL</t>
  </si>
  <si>
    <t>604   108</t>
  </si>
  <si>
    <t>ODOM, TAYLOR</t>
  </si>
  <si>
    <t>604   201</t>
  </si>
  <si>
    <t>BINGEMER, JOSEPH</t>
  </si>
  <si>
    <t>604   202</t>
  </si>
  <si>
    <t>HAYNES, DANIEL</t>
  </si>
  <si>
    <t>604   203</t>
  </si>
  <si>
    <t>COX, JEFFERY</t>
  </si>
  <si>
    <t>604   204</t>
  </si>
  <si>
    <t>RICHARDSON, JAMES</t>
  </si>
  <si>
    <t>604   205</t>
  </si>
  <si>
    <t>SUTTON, CAINE</t>
  </si>
  <si>
    <t>604   206</t>
  </si>
  <si>
    <t>FELDPAUSCH, DAVID</t>
  </si>
  <si>
    <t>604   207</t>
  </si>
  <si>
    <t>SMITH, MACKENZIE</t>
  </si>
  <si>
    <t>604   208</t>
  </si>
  <si>
    <t>PETTUS, DECOREON</t>
  </si>
  <si>
    <t>604   209</t>
  </si>
  <si>
    <t>604   210</t>
  </si>
  <si>
    <t>BROWN, MAKEL</t>
  </si>
  <si>
    <t>604   211</t>
  </si>
  <si>
    <t>STARNES, TAMARA</t>
  </si>
  <si>
    <t>604   212</t>
  </si>
  <si>
    <t>PARKER, GABRIEL T.</t>
  </si>
  <si>
    <t>604   213</t>
  </si>
  <si>
    <t>ALEXANDER, DARIAN</t>
  </si>
  <si>
    <t>604   214</t>
  </si>
  <si>
    <t>604   215</t>
  </si>
  <si>
    <t>HARRIS, BERT</t>
  </si>
  <si>
    <t>604   216</t>
  </si>
  <si>
    <t>TIPPETT, JOSHUA</t>
  </si>
  <si>
    <t>604   301</t>
  </si>
  <si>
    <t>GARY, REBECCA</t>
  </si>
  <si>
    <t>604   302</t>
  </si>
  <si>
    <t>SPRINGFIELD, SABRINA</t>
  </si>
  <si>
    <t>604   303</t>
  </si>
  <si>
    <t>MASON, ROBERT</t>
  </si>
  <si>
    <t>604   304</t>
  </si>
  <si>
    <t>WALLACE, KIMBERLY</t>
  </si>
  <si>
    <t>604   305</t>
  </si>
  <si>
    <t>MAYS III, TERRY S.</t>
  </si>
  <si>
    <t>604   306</t>
  </si>
  <si>
    <t>HENDRICKS, SARAH</t>
  </si>
  <si>
    <t>604   307</t>
  </si>
  <si>
    <t>FOSSUM, BRENDAN</t>
  </si>
  <si>
    <t>604   308</t>
  </si>
  <si>
    <t>WALKER, KATRINA</t>
  </si>
  <si>
    <t>604   309</t>
  </si>
  <si>
    <t>HALL, MAKENZIE</t>
  </si>
  <si>
    <t>604   310</t>
  </si>
  <si>
    <t>CARVER, VERONICA</t>
  </si>
  <si>
    <t>604   311</t>
  </si>
  <si>
    <t>ANTOINE, JEFF</t>
  </si>
  <si>
    <t>604   312</t>
  </si>
  <si>
    <t>604   313</t>
  </si>
  <si>
    <t>BROWN, TIFFANY</t>
  </si>
  <si>
    <t>604   314</t>
  </si>
  <si>
    <t>DOUTHIT, BRANDI</t>
  </si>
  <si>
    <t>604   315</t>
  </si>
  <si>
    <t>KUHS, MEGAN</t>
  </si>
  <si>
    <t>604   316</t>
  </si>
  <si>
    <t>UNDERHILL, 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</si>
</sst>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&quot;MOP$&quot;#,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color rgb="FFAECFD9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C6591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3545E"/>
        <bgColor indexed="64"/>
      </patternFill>
    </fill>
    <fill>
      <patternFill patternType="solid">
        <fgColor rgb="FFE8F1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center" vertical="center"/>
    </xf>
    <xf numFmtId="9" fontId="1" fillId="2" borderId="5" xfId="0" applyNumberFormat="1" applyFont="1" applyFill="1" applyBorder="1" applyAlignment="1">
      <alignment horizontal="center" vertical="center"/>
    </xf>
    <xf numFmtId="165" fontId="1" fillId="2" borderId="5" xfId="0" applyNumberFormat="1" applyFont="1" applyFill="1" applyBorder="1" applyAlignment="1">
      <alignment horizontal="center" vertical="center"/>
    </xf>
    <xf numFmtId="14" fontId="6" fillId="3" borderId="3" xfId="0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14" fontId="9" fillId="5" borderId="2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165" fontId="1" fillId="2" borderId="8" xfId="0" applyNumberFormat="1" applyFont="1" applyFill="1" applyBorder="1" applyAlignment="1">
      <alignment horizontal="center" vertical="center"/>
    </xf>
    <xf numFmtId="165" fontId="1" fillId="2" borderId="7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6" fillId="3" borderId="9" xfId="0" applyFont="1" applyFill="1" applyBorder="1" applyAlignment="1">
      <alignment horizontal="right" vertical="center"/>
    </xf>
    <xf numFmtId="0" fontId="6" fillId="3" borderId="9" xfId="0" applyFont="1" applyFill="1" applyBorder="1" applyAlignment="1">
      <alignment horizontal="left" vertical="center"/>
    </xf>
    <xf numFmtId="14" fontId="1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28"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quickdata.ai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63500</xdr:rowOff>
    </xdr:from>
    <xdr:to>
      <xdr:col>2</xdr:col>
      <xdr:colOff>747607</xdr:colOff>
      <xdr:row>0</xdr:row>
      <xdr:rowOff>317500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F0B485-250B-AECF-F39F-A593B9567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63500"/>
          <a:ext cx="1761067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D12B-BEC0-41C3-8D8B-7DA66DF2F42B}">
  <dimension ref="B1:AQ43"/>
  <sheetViews>
    <sheetView tabSelected="1" topLeftCell="AF1" zoomScaleNormal="100" workbookViewId="0">
      <selection activeCell="AI24" sqref="AI24"/>
    </sheetView>
  </sheetViews>
  <sheetFormatPr defaultRowHeight="13.8" x14ac:dyDescent="0.3"/>
  <cols>
    <col min="1" max="1" width="2.77734375" style="1" customWidth="1"/>
    <col min="2" max="3" width="14.77734375" style="1" customWidth="1"/>
    <col min="4" max="4" width="9.77734375" style="1" customWidth="1"/>
    <col min="5" max="8" width="8.77734375" style="1" customWidth="1"/>
    <col min="9" max="11" width="11.77734375" style="1" customWidth="1"/>
    <col min="12" max="12" width="8.88671875" style="1"/>
    <col min="13" max="14" width="9.77734375" style="1" customWidth="1"/>
    <col min="15" max="17" width="11.77734375" style="1" customWidth="1"/>
    <col min="18" max="18" width="2.77734375" style="1" customWidth="1"/>
    <col min="19" max="19" width="14.77734375" style="1" customWidth="1"/>
    <col min="20" max="20" width="6.77734375" style="1" customWidth="1"/>
    <col min="21" max="21" width="14.77734375" style="1" customWidth="1"/>
    <col min="22" max="22" width="2.77734375" style="1" customWidth="1"/>
    <col min="23" max="23" width="8.88671875" style="1"/>
    <col min="24" max="34" width="10.77734375" style="1" customWidth="1"/>
    <col min="35" max="35" width="30.77734375" style="1" customWidth="1"/>
    <col min="36" max="41" width="10.77734375" style="1" customWidth="1"/>
    <col min="42" max="42" width="10.88671875" style="1" bestFit="1" customWidth="1"/>
    <col min="43" max="43" width="12.33203125" style="1" bestFit="1" customWidth="1"/>
    <col min="44" max="44" width="10.77734375" style="1" customWidth="1"/>
    <col min="45" max="16384" width="8.88671875" style="1"/>
  </cols>
  <sheetData>
    <row r="1" spans="2:43" ht="34.950000000000003" customHeight="1" thickBot="1" x14ac:dyDescent="0.35"/>
    <row r="2" spans="2:43" ht="15.6" x14ac:dyDescent="0.3">
      <c r="B2" s="11" t="s">
        <v>0</v>
      </c>
      <c r="C2" s="3"/>
      <c r="D2" s="3"/>
      <c r="E2" s="3"/>
      <c r="F2" s="3"/>
      <c r="G2" s="3"/>
      <c r="H2" s="3"/>
      <c r="I2" s="3"/>
      <c r="J2" s="3"/>
      <c r="K2" s="8"/>
      <c r="L2" s="3"/>
      <c r="M2" s="3"/>
      <c r="N2" s="3"/>
      <c r="O2" s="3"/>
      <c r="P2" s="3"/>
      <c r="Q2" s="3"/>
      <c r="S2" s="36" t="s">
        <v>23</v>
      </c>
      <c r="T2" s="2"/>
      <c r="U2" s="2"/>
      <c r="W2" s="47" t="s">
        <v>35</v>
      </c>
      <c r="X2" s="39"/>
      <c r="Y2" s="39"/>
      <c r="Z2" s="48" t="s">
        <v>36</v>
      </c>
      <c r="AA2" s="49" t="str">
        <f>"$AB$4:$AB$44"</f>
        <v>$AB$4:$AB$44</v>
      </c>
      <c r="AB2" s="39"/>
      <c r="AC2" s="39"/>
      <c r="AD2" s="40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</row>
    <row r="3" spans="2:43" x14ac:dyDescent="0.3">
      <c r="B3" s="4"/>
      <c r="C3" s="12" t="s">
        <v>1</v>
      </c>
      <c r="D3" s="12"/>
      <c r="E3" s="4"/>
      <c r="F3" s="4"/>
      <c r="G3" s="4" t="s">
        <v>2</v>
      </c>
      <c r="H3" s="4" t="s">
        <v>3</v>
      </c>
      <c r="I3" s="4" t="s">
        <v>4</v>
      </c>
      <c r="J3" s="4" t="s">
        <v>5</v>
      </c>
      <c r="K3" s="9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  <c r="Q3" s="4" t="s">
        <v>12</v>
      </c>
      <c r="S3" s="32" t="s">
        <v>24</v>
      </c>
      <c r="T3" s="32"/>
      <c r="U3" s="32" t="s">
        <v>25</v>
      </c>
      <c r="W3" s="41" t="s">
        <v>37</v>
      </c>
      <c r="X3" s="41" t="s">
        <v>38</v>
      </c>
      <c r="Y3" s="41" t="s">
        <v>39</v>
      </c>
      <c r="Z3" s="41" t="s">
        <v>40</v>
      </c>
      <c r="AA3" s="42" t="s">
        <v>41</v>
      </c>
      <c r="AB3" s="42" t="s">
        <v>42</v>
      </c>
      <c r="AC3" s="42" t="s">
        <v>43</v>
      </c>
      <c r="AD3" s="43" t="s">
        <v>44</v>
      </c>
      <c r="AE3" s="42" t="s">
        <v>45</v>
      </c>
      <c r="AF3" s="42" t="s">
        <v>46</v>
      </c>
      <c r="AG3" s="42" t="s">
        <v>47</v>
      </c>
      <c r="AH3" s="42" t="s">
        <v>48</v>
      </c>
      <c r="AI3" s="42" t="s">
        <v>49</v>
      </c>
      <c r="AJ3" s="42" t="s">
        <v>50</v>
      </c>
      <c r="AK3" s="42" t="s">
        <v>51</v>
      </c>
      <c r="AL3" s="42" t="s">
        <v>52</v>
      </c>
      <c r="AM3" s="42" t="s">
        <v>53</v>
      </c>
      <c r="AN3" s="42" t="s">
        <v>54</v>
      </c>
      <c r="AO3" s="42" t="s">
        <v>55</v>
      </c>
      <c r="AP3" s="42" t="s">
        <v>56</v>
      </c>
      <c r="AQ3" s="42" t="s">
        <v>57</v>
      </c>
    </row>
    <row r="4" spans="2:43" ht="41.4" x14ac:dyDescent="0.3">
      <c r="B4" s="13" t="s">
        <v>13</v>
      </c>
      <c r="C4" s="14" t="s">
        <v>14</v>
      </c>
      <c r="D4" s="16">
        <f ca="1">IFERROR(_xlfn.TEXTJOIN(CHAR(10),TRUE,TEXT(SUMIF($D$8:$D$8, "Classic", $H$8:$H$8)/$H$4, "0%") &amp; " / " &amp; SUMIF($D$8:$D$8, "Classic", $H$8:$H$8) &amp; CHAR(10) &amp; _xlfn.TEXTJOIN(CHAR(10), TRUE,        TEXT(SUMIF($D$8:$D$8, "Partial", $H$8:$H$8)/$H$4, "0%") &amp; " / " &amp; SUMIF($D$8:$D$8, "Partial", $H$8:$H$8),        TEXT(SUMIF($D$8:$D$8, "Renovated", $H$8:$H$8)/$H$4, "0%") &amp; " / " &amp; SUMIF($D$8:$D$8, "Renovated", $H$8:$H$8))),0)</f>
        <v>0</v>
      </c>
      <c r="E4" s="5"/>
      <c r="F4" s="5"/>
      <c r="G4" s="6">
        <f ca="1">IFERROR(SUMPRODUCT($G$8:$G$8,$H$8:$H$8)/$H$4,0)</f>
        <v>0</v>
      </c>
      <c r="H4" s="6">
        <f ca="1">SUM($H$8:$H$8)</f>
        <v>0</v>
      </c>
      <c r="I4" s="15">
        <f ca="1">IFERROR(_xlfn.TEXTJOIN(CHAR(10), TRUE, IF(_xlfn._xlws.SORT(_xlfn.UNIQUE(_xlfn._xlws.FILTER($E$8:$E$8, $E$8:$E$8&lt;&gt;"")))&lt;&gt;"", _xlfn._xlws.SORT(_xlfn.UNIQUE(_xlfn._xlws.FILTER($E$8:$E$8, $E$8:$E$8&lt;&gt;""))) &amp; "b: " &amp; TEXT(SUMIF($E$8:$E$8, _xlfn._xlws.SORT(_xlfn.UNIQUE(_xlfn._xlws.FILTER($E$8:$E$8, $E$8:$E$8&lt;&gt;""))), $H$8:$H$8)/$H$4, "0%") &amp; " / " &amp; SUMIF($E$8:$E$8, _xlfn._xlws.SORT(_xlfn.UNIQUE(_xlfn._xlws.FILTER($E$8:$E$8, $E$8:$E$8&lt;&gt;""))), $H$8:$H$8), "")), 0)</f>
        <v>0</v>
      </c>
      <c r="J4" s="7">
        <f>IFERROR(AVERAGEIFS($AL$4:$AL$44,$AF$4:$AF$44,"&lt;&gt;VAC"),0)</f>
        <v>547.6</v>
      </c>
      <c r="K4" s="10">
        <f>IFERROR(AVERAGE($AK$4:$AK$44),0)</f>
        <v>0</v>
      </c>
      <c r="L4" s="5" t="str">
        <f>IFERROR(TEXT(AVERAGEIFS($AL$4:$AL$44,$AI$4:$AI$44,"&gt;"&amp;L$6),"$0,0"),TEXT(0,"$0"))&amp;" / "&amp;IFERROR(TEXT(COUNTIFS($AI$4:$AI$44,"&gt;"&amp;$L$6),"0"),0)</f>
        <v>$932 / 1</v>
      </c>
      <c r="M4" s="5" t="str">
        <f>IFERROR(TEXT(AVERAGEIFS($AL$4:$AL$44,$AI$4:$AI$44,"&gt;"&amp;M$6,$AI$4:$AI$44,"&lt;="&amp;L$6),"$0,0"),TEXT(0,"$0"))&amp;" / "&amp;IFERROR(TEXT(COUNTIFS($AI$4:$AI$44,"&gt;"&amp;M$6,$AI$4:$AI$44,"&lt;="&amp;L$6),"0"),0)</f>
        <v>$668 / 1</v>
      </c>
      <c r="N4" s="5" t="str">
        <f>IFERROR(TEXT(AVERAGEIFS($AL$4:$AL$44,$AI$4:$AI$44,"&gt;"&amp;N$6,$AI$4:$AI$44,"&lt;="&amp;M$6),"$0,0"),TEXT(0,"$0"))&amp;" / "&amp;IFERROR(TEXT(COUNTIFS($AI$4:$AI$44,"&gt;"&amp;N$6,$AI$4:$AI$44,"&lt;="&amp;M$6),"0"),0)</f>
        <v>$92 / 2</v>
      </c>
      <c r="O4" s="5" t="str">
        <f>IFERROR(TEXT(_xlfn.MINIFS($AL$4:$AL$44,$AF$4:$AF$44,"&lt;&gt;VAC"),"$0")&amp;" / "&amp;TEXT(_xlfn.MAXIFS($AL$4:$AL$44,$AF$4:$AF$44,"&lt;&gt;VAC"),"$0"),"")</f>
        <v>$0 / $932</v>
      </c>
      <c r="P4" s="5" t="str">
        <f ca="1">IFERROR(TEXT(COUNTIFS($AF$4:$AF$44,"VAC")/H4,"0%")&amp;" / "&amp;COUNTIFS($AF$4:$AF$44,"VAC"),"")</f>
        <v/>
      </c>
      <c r="Q4" s="5" t="str">
        <f ca="1">IFERROR(TEXT(COUNTIFS($AH$4:$AH$44,"&lt;"&amp;($K$6-365),$AF$4:$AF$44,"&lt;&gt;VAC")/$H$4,"0%") &amp;" / "&amp; COUNTIFS($AH$4:$AH$44,"&lt;"&amp;($K$6-365),$AF$4:$AF$44,"&lt;&gt;VAC"),"")</f>
        <v/>
      </c>
      <c r="S4" s="33" t="s">
        <v>26</v>
      </c>
      <c r="T4" s="33"/>
      <c r="U4" s="33" cm="1">
        <f t="array" ref="U4">IFERROR(SUM(IF(COUNTIF(AG4:AG44, AG4:AG44)&gt;1, 1/COUNTIF(AG4:AG44, AG4:AG44), 0)),0)</f>
        <v>1</v>
      </c>
      <c r="W4" s="44" t="str">
        <f ca="1">_xlfn.XLOOKUP($AB4,$B$8:$B$8,$C$8:$C$8,"",0)</f>
        <v/>
      </c>
      <c r="X4" s="44" t="str">
        <f ca="1">_xlfn.XLOOKUP($AB4,$B$8:$B$8,$E$8:$E$8,"",0)</f>
        <v/>
      </c>
      <c r="Y4" s="44" t="str">
        <f ca="1">_xlfn.XLOOKUP($AB4,$B$8:$B$8,$F$8:$F$8,"",0)</f>
        <v/>
      </c>
      <c r="Z4" s="44" t="str">
        <f ca="1">IF((_xlfn.XLOOKUP($AB4,$B$8:$B$8,$D$8:$D$8,"",0)=0),"Classic",_xlfn.XLOOKUP($AB4,$B$8:$B$8,$D$8:$D$8,"",0))</f>
        <v/>
      </c>
      <c r="AA4" s="45" t="s">
        <v>62</v>
      </c>
      <c r="AB4" s="45"/>
      <c r="AC4" s="45">
        <v>1066</v>
      </c>
      <c r="AD4" s="46">
        <v>3</v>
      </c>
      <c r="AE4" s="45">
        <v>2</v>
      </c>
      <c r="AF4" s="45" t="s">
        <v>58</v>
      </c>
      <c r="AG4" s="45" t="s">
        <v>63</v>
      </c>
      <c r="AH4" s="50">
        <v>44287</v>
      </c>
      <c r="AI4" s="50">
        <v>44287</v>
      </c>
      <c r="AJ4" s="50">
        <v>45382</v>
      </c>
      <c r="AK4" s="45">
        <v>0</v>
      </c>
      <c r="AL4" s="45">
        <v>860</v>
      </c>
      <c r="AM4" s="45">
        <v>860</v>
      </c>
      <c r="AN4" s="45">
        <v>0</v>
      </c>
      <c r="AO4" s="45" t="b">
        <v>0</v>
      </c>
      <c r="AP4" s="45">
        <v>0</v>
      </c>
      <c r="AQ4" s="45">
        <v>0</v>
      </c>
    </row>
    <row r="5" spans="2:43" x14ac:dyDescent="0.3">
      <c r="S5" s="35" t="s">
        <v>27</v>
      </c>
      <c r="T5" s="35"/>
      <c r="U5" s="35" cm="1">
        <f t="array" ref="U5">IFERROR(SUMPRODUCT((COUNTIF(AA4:AA44, AA4:AA44)&gt;1)/COUNTIF(AA4:AA44, AA4:AA44)),0)</f>
        <v>0</v>
      </c>
      <c r="W5" s="44" t="str">
        <f ca="1">_xlfn.XLOOKUP($AB5,$B$8:$B$8,$C$8:$C$8,"",0)</f>
        <v/>
      </c>
      <c r="X5" s="44" t="str">
        <f ca="1">_xlfn.XLOOKUP($AB5,$B$8:$B$8,$E$8:$E$8,"",0)</f>
        <v/>
      </c>
      <c r="Y5" s="44" t="str">
        <f ca="1">_xlfn.XLOOKUP($AB5,$B$8:$B$8,$F$8:$F$8,"",0)</f>
        <v/>
      </c>
      <c r="Z5" s="44" t="str">
        <f ca="1">IF((_xlfn.XLOOKUP($AB5,$B$8:$B$8,$D$8:$D$8,"",0)=0),"Classic",_xlfn.XLOOKUP($AB5,$B$8:$B$8,$D$8:$D$8,"",0))</f>
        <v/>
      </c>
      <c r="AA5" s="45" t="s">
        <v>64</v>
      </c>
      <c r="AB5" s="45"/>
      <c r="AC5" s="45">
        <v>1066</v>
      </c>
      <c r="AD5" s="46">
        <v>3</v>
      </c>
      <c r="AE5" s="45">
        <v>2</v>
      </c>
      <c r="AF5" s="45" t="s">
        <v>58</v>
      </c>
      <c r="AG5" s="45" t="s">
        <v>65</v>
      </c>
      <c r="AH5" s="50">
        <v>44287</v>
      </c>
      <c r="AI5" s="50">
        <v>44287</v>
      </c>
      <c r="AJ5" s="50">
        <v>45382</v>
      </c>
      <c r="AK5" s="45">
        <v>0</v>
      </c>
      <c r="AL5" s="45">
        <v>910</v>
      </c>
      <c r="AM5" s="45">
        <v>910</v>
      </c>
      <c r="AN5" s="45">
        <v>0</v>
      </c>
      <c r="AO5" s="45" t="b">
        <v>0</v>
      </c>
      <c r="AP5" s="45">
        <v>0</v>
      </c>
      <c r="AQ5" s="45">
        <v>0</v>
      </c>
    </row>
    <row r="6" spans="2:43" ht="15.6" x14ac:dyDescent="0.3">
      <c r="B6" s="11" t="s">
        <v>15</v>
      </c>
      <c r="C6" s="17"/>
      <c r="D6" s="17"/>
      <c r="E6" s="17"/>
      <c r="F6" s="17"/>
      <c r="G6" s="17"/>
      <c r="H6" s="30" t="s">
        <v>16</v>
      </c>
      <c r="I6" s="31"/>
      <c r="J6" s="30" t="s">
        <v>17</v>
      </c>
      <c r="K6" s="28">
        <f>IF(LEN(I6)=0,IF(MAX($AI$4:$AI$44)=0,"",MAX($AI$4:$AI$44)),I6)</f>
        <v>45328</v>
      </c>
      <c r="L6" s="18">
        <f>IF($K$6="","",$K$6-30)</f>
        <v>45298</v>
      </c>
      <c r="M6" s="18">
        <f>IF($K$6="","",$K$6-60)</f>
        <v>45268</v>
      </c>
      <c r="N6" s="18">
        <f>IF($K$6="","",$K$6-90)</f>
        <v>45238</v>
      </c>
      <c r="O6" s="17"/>
      <c r="P6" s="17"/>
      <c r="Q6" s="17"/>
      <c r="S6" s="35" t="s">
        <v>28</v>
      </c>
      <c r="T6" s="35"/>
      <c r="U6" s="35" cm="1">
        <f t="array" ref="U6">IFERROR(SUM(IF(COUNTIF(AB4:AB44, AB4:AB44)=1, 1, 1/COUNTIF(AB4:AB44, AB4:AB44))),0)</f>
        <v>0</v>
      </c>
      <c r="W6" s="44" t="str">
        <f ca="1">_xlfn.XLOOKUP($AB6,$B$8:$B$8,$C$8:$C$8,"",0)</f>
        <v/>
      </c>
      <c r="X6" s="44" t="str">
        <f ca="1">_xlfn.XLOOKUP($AB6,$B$8:$B$8,$E$8:$E$8,"",0)</f>
        <v/>
      </c>
      <c r="Y6" s="44" t="str">
        <f ca="1">_xlfn.XLOOKUP($AB6,$B$8:$B$8,$F$8:$F$8,"",0)</f>
        <v/>
      </c>
      <c r="Z6" s="44" t="str">
        <f ca="1">IF((_xlfn.XLOOKUP($AB6,$B$8:$B$8,$D$8:$D$8,"",0)=0),"Classic",_xlfn.XLOOKUP($AB6,$B$8:$B$8,$D$8:$D$8,"",0))</f>
        <v/>
      </c>
      <c r="AA6" s="45" t="s">
        <v>66</v>
      </c>
      <c r="AB6" s="45"/>
      <c r="AC6" s="45">
        <v>1066</v>
      </c>
      <c r="AD6" s="46">
        <v>3</v>
      </c>
      <c r="AE6" s="45">
        <v>2</v>
      </c>
      <c r="AF6" s="45" t="s">
        <v>59</v>
      </c>
      <c r="AG6" s="45" t="s">
        <v>60</v>
      </c>
      <c r="AH6" s="50"/>
      <c r="AI6" s="50"/>
      <c r="AJ6" s="50"/>
      <c r="AK6" s="45">
        <v>0</v>
      </c>
      <c r="AL6" s="45">
        <v>0</v>
      </c>
      <c r="AM6" s="45">
        <v>0</v>
      </c>
      <c r="AN6" s="45">
        <v>0</v>
      </c>
      <c r="AO6" s="45" t="b">
        <v>0</v>
      </c>
      <c r="AP6" s="45">
        <v>0</v>
      </c>
      <c r="AQ6" s="45">
        <v>0</v>
      </c>
    </row>
    <row r="7" spans="2:43" x14ac:dyDescent="0.3">
      <c r="B7" s="21" t="s">
        <v>18</v>
      </c>
      <c r="C7" s="21" t="s">
        <v>19</v>
      </c>
      <c r="D7" s="21" t="s">
        <v>20</v>
      </c>
      <c r="E7" s="4" t="s">
        <v>21</v>
      </c>
      <c r="F7" s="4" t="s">
        <v>22</v>
      </c>
      <c r="G7" s="4" t="s">
        <v>2</v>
      </c>
      <c r="H7" s="4" t="s">
        <v>3</v>
      </c>
      <c r="I7" s="4" t="s">
        <v>4</v>
      </c>
      <c r="J7" s="4" t="s">
        <v>5</v>
      </c>
      <c r="K7" s="9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S7" s="35" t="s">
        <v>29</v>
      </c>
      <c r="T7" s="35"/>
      <c r="U7" s="35">
        <f>IFERROR(COUNTA($AB$4:$AB$44),0)</f>
        <v>0</v>
      </c>
      <c r="W7" s="44" t="str">
        <f ca="1">_xlfn.XLOOKUP($AB7,$B$8:$B$8,$C$8:$C$8,"",0)</f>
        <v/>
      </c>
      <c r="X7" s="44" t="str">
        <f ca="1">_xlfn.XLOOKUP($AB7,$B$8:$B$8,$E$8:$E$8,"",0)</f>
        <v/>
      </c>
      <c r="Y7" s="44" t="str">
        <f ca="1">_xlfn.XLOOKUP($AB7,$B$8:$B$8,$F$8:$F$8,"",0)</f>
        <v/>
      </c>
      <c r="Z7" s="44" t="str">
        <f ca="1">IF((_xlfn.XLOOKUP($AB7,$B$8:$B$8,$D$8:$D$8,"",0)=0),"Classic",_xlfn.XLOOKUP($AB7,$B$8:$B$8,$D$8:$D$8,"",0))</f>
        <v/>
      </c>
      <c r="AA7" s="45" t="s">
        <v>67</v>
      </c>
      <c r="AB7" s="45"/>
      <c r="AC7" s="45">
        <v>1066</v>
      </c>
      <c r="AD7" s="46">
        <v>3</v>
      </c>
      <c r="AE7" s="45">
        <v>2</v>
      </c>
      <c r="AF7" s="45" t="s">
        <v>59</v>
      </c>
      <c r="AG7" s="45" t="s">
        <v>60</v>
      </c>
      <c r="AH7" s="50"/>
      <c r="AI7" s="50"/>
      <c r="AJ7" s="50"/>
      <c r="AK7" s="45">
        <v>0</v>
      </c>
      <c r="AL7" s="45">
        <v>0</v>
      </c>
      <c r="AM7" s="45">
        <v>0</v>
      </c>
      <c r="AN7" s="45">
        <v>0</v>
      </c>
      <c r="AO7" s="45" t="b">
        <v>0</v>
      </c>
      <c r="AP7" s="45">
        <v>0</v>
      </c>
      <c r="AQ7" s="45">
        <v>0</v>
      </c>
    </row>
    <row r="8" spans="2:43" x14ac:dyDescent="0.3">
      <c r="B8" s="22" t="str" cm="1">
        <f t="array" aca="1" ref="B8" ca="1">IFERROR(_xlfn._xlws.SORT(_xlfn.UNIQUE(_xlfn._xlws.FILTER(INDIRECT($AA$2),INDIRECT($AA$2)&lt;&gt;"")),,1),"")</f>
        <v/>
      </c>
      <c r="C8" s="23" t="str">
        <f ca="1">IF(OR(LEN(B8)&gt;0,LEN(E8)&gt;0,LEN(F8)&gt;0),IF(AND(LEN(E8)&gt;0,LEN(F8)&gt;0),E8&amp;"/"&amp;F8&amp;" ",IF(LEN(E8)&gt;0,E8&amp;" ",IF(LEN(F8)&gt;0,F8&amp;" ","")))&amp;TEXT(G8,"#,##")&amp;"sf"&amp;IF(D8="Renovated"," - R",IF(D8="Partial"," - P","")),"")</f>
        <v/>
      </c>
      <c r="D8" s="24"/>
      <c r="E8" s="20" t="str" cm="1">
        <f t="array" aca="1" ref="E8" ca="1">IF(_xlfn.XLOOKUP(B8,INDIRECT($AA$2),$AD$4:$AD$44,"",0)=0,"",_xlfn.XLOOKUP(B8,INDIRECT($AA$2),$AD$4:$AD$44,"",0))</f>
        <v/>
      </c>
      <c r="F8" s="20" t="str" cm="1">
        <f t="array" aca="1" ref="F8" ca="1">IF(_xlfn.XLOOKUP(B8,INDIRECT($AA$2),$AE$4:$AE$44,"",0)=0,"",_xlfn.XLOOKUP(B8,INDIRECT($AA$2),$AE$4:$AE$44,"",0))</f>
        <v/>
      </c>
      <c r="G8" s="25" t="str">
        <f ca="1">IFERROR(IF(LEN(B8)=0,"",AVERAGEIF(INDIRECT($AA$2),B8,$AC$4:$AC$44)),"")</f>
        <v/>
      </c>
      <c r="H8" s="25" t="str">
        <f ca="1">IFERROR(IF(LEN(B8)&gt;0,COUNTIF(INDIRECT($AA$2),B8),""),"")</f>
        <v/>
      </c>
      <c r="I8" s="26" t="str">
        <f ca="1">IFERROR(H8/$H$4,"")</f>
        <v/>
      </c>
      <c r="J8" s="27" t="str">
        <f ca="1">IF(LEN(B8)&gt;0,IFERROR(AVERAGEIFS($AL$4:$AL$44,INDIRECT($AA$2),$B8,$AF$4:$AF$44,"&lt;&gt;VAC"),0),"")</f>
        <v/>
      </c>
      <c r="K8" s="29" t="str">
        <f ca="1">IF(LEN(B8)&gt;0,IFERROR(AVERAGEIFS($AK$4:$AK$44,INDIRECT($AA$2),$B8),0),"")</f>
        <v/>
      </c>
      <c r="L8" s="19" t="str">
        <f ca="1">IF(LEN(B8)&gt;0,IFERROR(TEXT(AVERAGEIFS($AL$4:$AL$44,INDIRECT($AA$2),$B8,$AI$4:$AI$44,"&gt;"&amp;L$6),"$0,0"),TEXT(0,"$0"))&amp;" / "&amp;IFERROR(TEXT(COUNTIFS(INDIRECT($AA$2),$B8,$AI$4:$AI$44,"&gt;"&amp;$L$6),"0"),0), "")</f>
        <v/>
      </c>
      <c r="M8" s="19" t="str">
        <f ca="1">IF(LEN(B8)&gt;0,IFERROR(TEXT(AVERAGEIFS($AL$4:$AL$44,INDIRECT($AA$2),$B8,$AI$4:$AI$44,"&gt;"&amp;M$6,$AI$4:$AI$44,"&lt;="&amp;L$6),"$0,0"),TEXT(0,"$0"))&amp;" / "&amp;IFERROR(TEXT(COUNTIFS(INDIRECT($AA$2),$B8,$AI$4:$AI$44,"&gt;"&amp;M$6,$AI$4:$AI$44,"&lt;="&amp;L$6),"0"),0), "")</f>
        <v/>
      </c>
      <c r="N8" s="19" t="str">
        <f ca="1">IF(LEN(B8)&gt;0,IFERROR(TEXT(AVERAGEIFS($AL$4:$AL$44,INDIRECT($AA$2),$B8,$AI$4:$AI$44,"&gt;"&amp;N$6,$AI$4:$AI$44,"&lt;="&amp;M$6),"$0,0"),TEXT(0,"$0"))&amp;" / "&amp;IFERROR(TEXT(COUNTIFS(INDIRECT($AA$2),$B8,$AI$4:$AI$44,"&gt;"&amp;N$6,$AI$4:$AI$44,"&lt;="&amp;M$6),"0"),0), "")</f>
        <v/>
      </c>
      <c r="O8" s="19" t="str">
        <f ca="1">IFERROR(IF(LEN(B8)&gt;0,TEXT(_xlfn.MINIFS($AL$4:$AL$44,INDIRECT($AA$2),$B8,$AF$4:$AF$44,"&lt;&gt;VAC"),"$0")&amp;" / "&amp;TEXT(_xlfn.MAXIFS($AL$4:$AL$44,INDIRECT($AA$2),$B8,$AF$4:$AF$44,"&lt;&gt;VAC"),"$0"),""),"")</f>
        <v/>
      </c>
      <c r="P8" s="19" t="str">
        <f ca="1">IFERROR(IF(LEN($B8)&gt;0,(TEXT(COUNTIFS($AF$4:$AF$44,"VAC",INDIRECT($AA$2),$B8)/H8,"0%")&amp;" / "&amp;COUNTIFS($AF$4:$AF$44,"VAC",INDIRECT($AA$2),$B8)),""),"")</f>
        <v/>
      </c>
      <c r="Q8" s="19" t="str">
        <f ca="1">IFERROR(IF(LEN($B8)&gt;0,TEXT(COUNTIFS($AH$4:$AH$44,"&lt;"&amp;($K$6-365),INDIRECT($AA$2),$B8,$AF$4:$AF$44,"&lt;&gt;VAC")/COUNTIFS(INDIRECT($AA$2),$B8),"0%") &amp;" / "&amp; COUNTIFS($AH$4:$AH$44,"&lt;"&amp;($K$6-365),INDIRECT($AA$2),$B8,$AF$4:$AF$44,"&lt;&gt;VAC"),""),"")</f>
        <v/>
      </c>
      <c r="S8" s="35" t="s">
        <v>30</v>
      </c>
      <c r="T8" s="35"/>
      <c r="U8" s="35">
        <f>IFERROR(COUNTIF(AF4:AF44,"OCC"),0)</f>
        <v>35</v>
      </c>
      <c r="W8" s="44" t="str">
        <f ca="1">_xlfn.XLOOKUP($AB8,$B$8:$B$8,$C$8:$C$8,"",0)</f>
        <v/>
      </c>
      <c r="X8" s="44" t="str">
        <f ca="1">_xlfn.XLOOKUP($AB8,$B$8:$B$8,$E$8:$E$8,"",0)</f>
        <v/>
      </c>
      <c r="Y8" s="44" t="str">
        <f ca="1">_xlfn.XLOOKUP($AB8,$B$8:$B$8,$F$8:$F$8,"",0)</f>
        <v/>
      </c>
      <c r="Z8" s="44" t="str">
        <f ca="1">IF((_xlfn.XLOOKUP($AB8,$B$8:$B$8,$D$8:$D$8,"",0)=0),"Classic",_xlfn.XLOOKUP($AB8,$B$8:$B$8,$D$8:$D$8,"",0))</f>
        <v/>
      </c>
      <c r="AA8" s="45" t="s">
        <v>68</v>
      </c>
      <c r="AB8" s="45"/>
      <c r="AC8" s="45">
        <v>1066</v>
      </c>
      <c r="AD8" s="46">
        <v>3</v>
      </c>
      <c r="AE8" s="45">
        <v>2</v>
      </c>
      <c r="AF8" s="45" t="s">
        <v>58</v>
      </c>
      <c r="AG8" s="45" t="s">
        <v>69</v>
      </c>
      <c r="AH8" s="50">
        <v>43883</v>
      </c>
      <c r="AI8" s="50">
        <v>43883</v>
      </c>
      <c r="AJ8" s="50">
        <v>45709</v>
      </c>
      <c r="AK8" s="45">
        <v>0</v>
      </c>
      <c r="AL8" s="45">
        <v>860</v>
      </c>
      <c r="AM8" s="45">
        <v>860</v>
      </c>
      <c r="AN8" s="45">
        <v>0</v>
      </c>
      <c r="AO8" s="45" t="b">
        <v>0</v>
      </c>
      <c r="AP8" s="45">
        <v>0</v>
      </c>
      <c r="AQ8" s="45">
        <v>0</v>
      </c>
    </row>
    <row r="9" spans="2:43" x14ac:dyDescent="0.3">
      <c r="S9" s="35" t="s">
        <v>31</v>
      </c>
      <c r="T9" s="35"/>
      <c r="U9" s="35">
        <f>IFERROR(COUNTIF(AF4:AF44,"VAC"),0)</f>
        <v>5</v>
      </c>
      <c r="W9" s="44" t="str">
        <f ca="1">_xlfn.XLOOKUP($AB9,$B$8:$B$8,$C$8:$C$8,"",0)</f>
        <v/>
      </c>
      <c r="X9" s="44" t="str">
        <f ca="1">_xlfn.XLOOKUP($AB9,$B$8:$B$8,$E$8:$E$8,"",0)</f>
        <v/>
      </c>
      <c r="Y9" s="44" t="str">
        <f ca="1">_xlfn.XLOOKUP($AB9,$B$8:$B$8,$F$8:$F$8,"",0)</f>
        <v/>
      </c>
      <c r="Z9" s="44" t="str">
        <f ca="1">IF((_xlfn.XLOOKUP($AB9,$B$8:$B$8,$D$8:$D$8,"",0)=0),"Classic",_xlfn.XLOOKUP($AB9,$B$8:$B$8,$D$8:$D$8,"",0))</f>
        <v/>
      </c>
      <c r="AA9" s="45" t="s">
        <v>70</v>
      </c>
      <c r="AB9" s="45"/>
      <c r="AC9" s="45">
        <v>1066</v>
      </c>
      <c r="AD9" s="46">
        <v>3</v>
      </c>
      <c r="AE9" s="45">
        <v>2</v>
      </c>
      <c r="AF9" s="45" t="s">
        <v>58</v>
      </c>
      <c r="AG9" s="45" t="s">
        <v>71</v>
      </c>
      <c r="AH9" s="50">
        <v>44470</v>
      </c>
      <c r="AI9" s="50">
        <v>44470</v>
      </c>
      <c r="AJ9" s="50">
        <v>45565</v>
      </c>
      <c r="AK9" s="45">
        <v>0</v>
      </c>
      <c r="AL9" s="45">
        <v>860</v>
      </c>
      <c r="AM9" s="45">
        <v>860</v>
      </c>
      <c r="AN9" s="45">
        <v>0</v>
      </c>
      <c r="AO9" s="45" t="b">
        <v>0</v>
      </c>
      <c r="AP9" s="45">
        <v>0</v>
      </c>
      <c r="AQ9" s="45">
        <v>0</v>
      </c>
    </row>
    <row r="10" spans="2:43" x14ac:dyDescent="0.3">
      <c r="S10" s="35" t="s">
        <v>32</v>
      </c>
      <c r="T10" s="35"/>
      <c r="U10" s="37">
        <f>SUM(AL4:AL44)</f>
        <v>19166</v>
      </c>
      <c r="W10" s="44" t="str">
        <f ca="1">_xlfn.XLOOKUP($AB10,$B$8:$B$8,$C$8:$C$8,"",0)</f>
        <v/>
      </c>
      <c r="X10" s="44" t="str">
        <f ca="1">_xlfn.XLOOKUP($AB10,$B$8:$B$8,$E$8:$E$8,"",0)</f>
        <v/>
      </c>
      <c r="Y10" s="44" t="str">
        <f ca="1">_xlfn.XLOOKUP($AB10,$B$8:$B$8,$F$8:$F$8,"",0)</f>
        <v/>
      </c>
      <c r="Z10" s="44" t="str">
        <f ca="1">IF((_xlfn.XLOOKUP($AB10,$B$8:$B$8,$D$8:$D$8,"",0)=0),"Classic",_xlfn.XLOOKUP($AB10,$B$8:$B$8,$D$8:$D$8,"",0))</f>
        <v/>
      </c>
      <c r="AA10" s="45" t="s">
        <v>72</v>
      </c>
      <c r="AB10" s="45"/>
      <c r="AC10" s="45">
        <v>1066</v>
      </c>
      <c r="AD10" s="46">
        <v>3</v>
      </c>
      <c r="AE10" s="45">
        <v>2</v>
      </c>
      <c r="AF10" s="45" t="s">
        <v>58</v>
      </c>
      <c r="AG10" s="45" t="s">
        <v>73</v>
      </c>
      <c r="AH10" s="50">
        <v>42321</v>
      </c>
      <c r="AI10" s="50">
        <v>42321</v>
      </c>
      <c r="AJ10" s="50">
        <v>45608</v>
      </c>
      <c r="AK10" s="45">
        <v>0</v>
      </c>
      <c r="AL10" s="45">
        <v>860</v>
      </c>
      <c r="AM10" s="45">
        <v>860</v>
      </c>
      <c r="AN10" s="45">
        <v>0</v>
      </c>
      <c r="AO10" s="45" t="b">
        <v>0</v>
      </c>
      <c r="AP10" s="45">
        <v>0</v>
      </c>
      <c r="AQ10" s="45">
        <v>25</v>
      </c>
    </row>
    <row r="11" spans="2:43" x14ac:dyDescent="0.3">
      <c r="S11" s="35" t="s">
        <v>33</v>
      </c>
      <c r="T11" s="35"/>
      <c r="U11" s="37">
        <f>SUM(AK4:AK44)</f>
        <v>0</v>
      </c>
      <c r="W11" s="44" t="str">
        <f ca="1">_xlfn.XLOOKUP($AB11,$B$8:$B$8,$C$8:$C$8,"",0)</f>
        <v/>
      </c>
      <c r="X11" s="44" t="str">
        <f ca="1">_xlfn.XLOOKUP($AB11,$B$8:$B$8,$E$8:$E$8,"",0)</f>
        <v/>
      </c>
      <c r="Y11" s="44" t="str">
        <f ca="1">_xlfn.XLOOKUP($AB11,$B$8:$B$8,$F$8:$F$8,"",0)</f>
        <v/>
      </c>
      <c r="Z11" s="44" t="str">
        <f ca="1">IF((_xlfn.XLOOKUP($AB11,$B$8:$B$8,$D$8:$D$8,"",0)=0),"Classic",_xlfn.XLOOKUP($AB11,$B$8:$B$8,$D$8:$D$8,"",0))</f>
        <v/>
      </c>
      <c r="AA11" s="45" t="s">
        <v>74</v>
      </c>
      <c r="AB11" s="45"/>
      <c r="AC11" s="45">
        <v>1066</v>
      </c>
      <c r="AD11" s="46">
        <v>3</v>
      </c>
      <c r="AE11" s="45">
        <v>2</v>
      </c>
      <c r="AF11" s="45" t="s">
        <v>58</v>
      </c>
      <c r="AG11" s="45" t="s">
        <v>75</v>
      </c>
      <c r="AH11" s="50">
        <v>45328</v>
      </c>
      <c r="AI11" s="50">
        <v>45328</v>
      </c>
      <c r="AJ11" s="50">
        <v>45693</v>
      </c>
      <c r="AK11" s="45">
        <v>0</v>
      </c>
      <c r="AL11" s="45">
        <v>932</v>
      </c>
      <c r="AM11" s="45">
        <v>932</v>
      </c>
      <c r="AN11" s="45">
        <v>0</v>
      </c>
      <c r="AO11" s="45" t="b">
        <v>0</v>
      </c>
      <c r="AP11" s="45">
        <v>0</v>
      </c>
      <c r="AQ11" s="45">
        <v>0</v>
      </c>
    </row>
    <row r="12" spans="2:43" x14ac:dyDescent="0.3">
      <c r="S12" s="34" t="s">
        <v>34</v>
      </c>
      <c r="T12" s="34"/>
      <c r="U12" s="38">
        <f>SUM(AM4:AM44)</f>
        <v>25623</v>
      </c>
      <c r="W12" s="44" t="str">
        <f ca="1">_xlfn.XLOOKUP($AB12,$B$8:$B$8,$C$8:$C$8,"",0)</f>
        <v/>
      </c>
      <c r="X12" s="44" t="str">
        <f ca="1">_xlfn.XLOOKUP($AB12,$B$8:$B$8,$E$8:$E$8,"",0)</f>
        <v/>
      </c>
      <c r="Y12" s="44" t="str">
        <f ca="1">_xlfn.XLOOKUP($AB12,$B$8:$B$8,$F$8:$F$8,"",0)</f>
        <v/>
      </c>
      <c r="Z12" s="44" t="str">
        <f ca="1">IF((_xlfn.XLOOKUP($AB12,$B$8:$B$8,$D$8:$D$8,"",0)=0),"Classic",_xlfn.XLOOKUP($AB12,$B$8:$B$8,$D$8:$D$8,"",0))</f>
        <v/>
      </c>
      <c r="AA12" s="45" t="s">
        <v>76</v>
      </c>
      <c r="AB12" s="45"/>
      <c r="AC12" s="45">
        <v>645</v>
      </c>
      <c r="AD12" s="46">
        <v>1</v>
      </c>
      <c r="AE12" s="45">
        <v>1</v>
      </c>
      <c r="AF12" s="45" t="s">
        <v>58</v>
      </c>
      <c r="AG12" s="45" t="s">
        <v>77</v>
      </c>
      <c r="AH12" s="50">
        <v>36678</v>
      </c>
      <c r="AI12" s="50">
        <v>36678</v>
      </c>
      <c r="AJ12" s="50">
        <v>45443</v>
      </c>
      <c r="AK12" s="45">
        <v>0</v>
      </c>
      <c r="AL12" s="45">
        <v>198</v>
      </c>
      <c r="AM12" s="45">
        <v>650</v>
      </c>
      <c r="AN12" s="45">
        <v>452</v>
      </c>
      <c r="AO12" s="45" t="b">
        <v>0</v>
      </c>
      <c r="AP12" s="45">
        <v>0</v>
      </c>
      <c r="AQ12" s="45">
        <v>0</v>
      </c>
    </row>
    <row r="13" spans="2:43" x14ac:dyDescent="0.3">
      <c r="W13" s="44" t="str">
        <f ca="1">_xlfn.XLOOKUP($AB13,$B$8:$B$8,$C$8:$C$8,"",0)</f>
        <v/>
      </c>
      <c r="X13" s="44" t="str">
        <f ca="1">_xlfn.XLOOKUP($AB13,$B$8:$B$8,$E$8:$E$8,"",0)</f>
        <v/>
      </c>
      <c r="Y13" s="44" t="str">
        <f ca="1">_xlfn.XLOOKUP($AB13,$B$8:$B$8,$F$8:$F$8,"",0)</f>
        <v/>
      </c>
      <c r="Z13" s="44" t="str">
        <f ca="1">IF((_xlfn.XLOOKUP($AB13,$B$8:$B$8,$D$8:$D$8,"",0)=0),"Classic",_xlfn.XLOOKUP($AB13,$B$8:$B$8,$D$8:$D$8,"",0))</f>
        <v/>
      </c>
      <c r="AA13" s="45" t="s">
        <v>78</v>
      </c>
      <c r="AB13" s="45"/>
      <c r="AC13" s="45">
        <v>645</v>
      </c>
      <c r="AD13" s="46">
        <v>1</v>
      </c>
      <c r="AE13" s="45">
        <v>1</v>
      </c>
      <c r="AF13" s="45" t="s">
        <v>58</v>
      </c>
      <c r="AG13" s="45" t="s">
        <v>79</v>
      </c>
      <c r="AH13" s="50">
        <v>45293</v>
      </c>
      <c r="AI13" s="50">
        <v>45293</v>
      </c>
      <c r="AJ13" s="50">
        <v>45658</v>
      </c>
      <c r="AK13" s="45">
        <v>0</v>
      </c>
      <c r="AL13" s="45">
        <v>668</v>
      </c>
      <c r="AM13" s="45">
        <v>668</v>
      </c>
      <c r="AN13" s="45">
        <v>0</v>
      </c>
      <c r="AO13" s="45" t="b">
        <v>0</v>
      </c>
      <c r="AP13" s="45">
        <v>0</v>
      </c>
      <c r="AQ13" s="45">
        <v>0</v>
      </c>
    </row>
    <row r="14" spans="2:43" x14ac:dyDescent="0.3">
      <c r="W14" s="44" t="str">
        <f ca="1">_xlfn.XLOOKUP($AB14,$B$8:$B$8,$C$8:$C$8,"",0)</f>
        <v/>
      </c>
      <c r="X14" s="44" t="str">
        <f ca="1">_xlfn.XLOOKUP($AB14,$B$8:$B$8,$E$8:$E$8,"",0)</f>
        <v/>
      </c>
      <c r="Y14" s="44" t="str">
        <f ca="1">_xlfn.XLOOKUP($AB14,$B$8:$B$8,$F$8:$F$8,"",0)</f>
        <v/>
      </c>
      <c r="Z14" s="44" t="str">
        <f ca="1">IF((_xlfn.XLOOKUP($AB14,$B$8:$B$8,$D$8:$D$8,"",0)=0),"Classic",_xlfn.XLOOKUP($AB14,$B$8:$B$8,$D$8:$D$8,"",0))</f>
        <v/>
      </c>
      <c r="AA14" s="45" t="s">
        <v>80</v>
      </c>
      <c r="AB14" s="45"/>
      <c r="AC14" s="45">
        <v>645</v>
      </c>
      <c r="AD14" s="46">
        <v>1</v>
      </c>
      <c r="AE14" s="45">
        <v>1</v>
      </c>
      <c r="AF14" s="45" t="s">
        <v>58</v>
      </c>
      <c r="AG14" s="45" t="s">
        <v>81</v>
      </c>
      <c r="AH14" s="50">
        <v>43753</v>
      </c>
      <c r="AI14" s="50">
        <v>43753</v>
      </c>
      <c r="AJ14" s="50">
        <v>45579</v>
      </c>
      <c r="AK14" s="45">
        <v>0</v>
      </c>
      <c r="AL14" s="45">
        <v>660</v>
      </c>
      <c r="AM14" s="45">
        <v>660</v>
      </c>
      <c r="AN14" s="45">
        <v>0</v>
      </c>
      <c r="AO14" s="45" t="b">
        <v>0</v>
      </c>
      <c r="AP14" s="45">
        <v>0</v>
      </c>
      <c r="AQ14" s="45">
        <v>10</v>
      </c>
    </row>
    <row r="15" spans="2:43" x14ac:dyDescent="0.3">
      <c r="W15" s="44" t="str">
        <f ca="1">_xlfn.XLOOKUP($AB15,$B$8:$B$8,$C$8:$C$8,"",0)</f>
        <v/>
      </c>
      <c r="X15" s="44" t="str">
        <f ca="1">_xlfn.XLOOKUP($AB15,$B$8:$B$8,$E$8:$E$8,"",0)</f>
        <v/>
      </c>
      <c r="Y15" s="44" t="str">
        <f ca="1">_xlfn.XLOOKUP($AB15,$B$8:$B$8,$F$8:$F$8,"",0)</f>
        <v/>
      </c>
      <c r="Z15" s="44" t="str">
        <f ca="1">IF((_xlfn.XLOOKUP($AB15,$B$8:$B$8,$D$8:$D$8,"",0)=0),"Classic",_xlfn.XLOOKUP($AB15,$B$8:$B$8,$D$8:$D$8,"",0))</f>
        <v/>
      </c>
      <c r="AA15" s="45" t="s">
        <v>82</v>
      </c>
      <c r="AB15" s="45"/>
      <c r="AC15" s="45">
        <v>645</v>
      </c>
      <c r="AD15" s="46">
        <v>1</v>
      </c>
      <c r="AE15" s="45">
        <v>1</v>
      </c>
      <c r="AF15" s="45" t="s">
        <v>58</v>
      </c>
      <c r="AG15" s="45" t="s">
        <v>83</v>
      </c>
      <c r="AH15" s="50">
        <v>42614</v>
      </c>
      <c r="AI15" s="50">
        <v>42614</v>
      </c>
      <c r="AJ15" s="50">
        <v>45535</v>
      </c>
      <c r="AK15" s="45">
        <v>0</v>
      </c>
      <c r="AL15" s="45">
        <v>301</v>
      </c>
      <c r="AM15" s="45">
        <v>660</v>
      </c>
      <c r="AN15" s="45">
        <v>359</v>
      </c>
      <c r="AO15" s="45" t="b">
        <v>0</v>
      </c>
      <c r="AP15" s="45">
        <v>0</v>
      </c>
      <c r="AQ15" s="45">
        <v>0</v>
      </c>
    </row>
    <row r="16" spans="2:43" x14ac:dyDescent="0.3">
      <c r="W16" s="44" t="str">
        <f ca="1">_xlfn.XLOOKUP($AB16,$B$8:$B$8,$C$8:$C$8,"",0)</f>
        <v/>
      </c>
      <c r="X16" s="44" t="str">
        <f ca="1">_xlfn.XLOOKUP($AB16,$B$8:$B$8,$E$8:$E$8,"",0)</f>
        <v/>
      </c>
      <c r="Y16" s="44" t="str">
        <f ca="1">_xlfn.XLOOKUP($AB16,$B$8:$B$8,$F$8:$F$8,"",0)</f>
        <v/>
      </c>
      <c r="Z16" s="44" t="str">
        <f ca="1">IF((_xlfn.XLOOKUP($AB16,$B$8:$B$8,$D$8:$D$8,"",0)=0),"Classic",_xlfn.XLOOKUP($AB16,$B$8:$B$8,$D$8:$D$8,"",0))</f>
        <v/>
      </c>
      <c r="AA16" s="45" t="s">
        <v>84</v>
      </c>
      <c r="AB16" s="45"/>
      <c r="AC16" s="45">
        <v>645</v>
      </c>
      <c r="AD16" s="46">
        <v>1</v>
      </c>
      <c r="AE16" s="45">
        <v>1</v>
      </c>
      <c r="AF16" s="45" t="s">
        <v>58</v>
      </c>
      <c r="AG16" s="45" t="s">
        <v>85</v>
      </c>
      <c r="AH16" s="50">
        <v>45119</v>
      </c>
      <c r="AI16" s="50">
        <v>45119</v>
      </c>
      <c r="AJ16" s="50">
        <v>45484</v>
      </c>
      <c r="AK16" s="45">
        <v>0</v>
      </c>
      <c r="AL16" s="45">
        <v>668</v>
      </c>
      <c r="AM16" s="45">
        <v>668</v>
      </c>
      <c r="AN16" s="45">
        <v>0</v>
      </c>
      <c r="AO16" s="45" t="b">
        <v>0</v>
      </c>
      <c r="AP16" s="45">
        <v>0</v>
      </c>
      <c r="AQ16" s="45">
        <v>0</v>
      </c>
    </row>
    <row r="17" spans="23:43" x14ac:dyDescent="0.3">
      <c r="W17" s="44" t="str">
        <f ca="1">_xlfn.XLOOKUP($AB17,$B$8:$B$8,$C$8:$C$8,"",0)</f>
        <v/>
      </c>
      <c r="X17" s="44" t="str">
        <f ca="1">_xlfn.XLOOKUP($AB17,$B$8:$B$8,$E$8:$E$8,"",0)</f>
        <v/>
      </c>
      <c r="Y17" s="44" t="str">
        <f ca="1">_xlfn.XLOOKUP($AB17,$B$8:$B$8,$F$8:$F$8,"",0)</f>
        <v/>
      </c>
      <c r="Z17" s="44" t="str">
        <f ca="1">IF((_xlfn.XLOOKUP($AB17,$B$8:$B$8,$D$8:$D$8,"",0)=0),"Classic",_xlfn.XLOOKUP($AB17,$B$8:$B$8,$D$8:$D$8,"",0))</f>
        <v/>
      </c>
      <c r="AA17" s="45" t="s">
        <v>86</v>
      </c>
      <c r="AB17" s="45"/>
      <c r="AC17" s="45">
        <v>645</v>
      </c>
      <c r="AD17" s="46">
        <v>1</v>
      </c>
      <c r="AE17" s="45">
        <v>1</v>
      </c>
      <c r="AF17" s="45" t="s">
        <v>58</v>
      </c>
      <c r="AG17" s="45" t="s">
        <v>87</v>
      </c>
      <c r="AH17" s="50">
        <v>38534</v>
      </c>
      <c r="AI17" s="50">
        <v>38534</v>
      </c>
      <c r="AJ17" s="50">
        <v>45473</v>
      </c>
      <c r="AK17" s="45">
        <v>0</v>
      </c>
      <c r="AL17" s="45">
        <v>332</v>
      </c>
      <c r="AM17" s="45">
        <v>650</v>
      </c>
      <c r="AN17" s="45">
        <v>318</v>
      </c>
      <c r="AO17" s="45" t="b">
        <v>0</v>
      </c>
      <c r="AP17" s="45">
        <v>0</v>
      </c>
      <c r="AQ17" s="45">
        <v>0</v>
      </c>
    </row>
    <row r="18" spans="23:43" x14ac:dyDescent="0.3">
      <c r="W18" s="44" t="str">
        <f ca="1">_xlfn.XLOOKUP($AB18,$B$8:$B$8,$C$8:$C$8,"",0)</f>
        <v/>
      </c>
      <c r="X18" s="44" t="str">
        <f ca="1">_xlfn.XLOOKUP($AB18,$B$8:$B$8,$E$8:$E$8,"",0)</f>
        <v/>
      </c>
      <c r="Y18" s="44" t="str">
        <f ca="1">_xlfn.XLOOKUP($AB18,$B$8:$B$8,$F$8:$F$8,"",0)</f>
        <v/>
      </c>
      <c r="Z18" s="44" t="str">
        <f ca="1">IF((_xlfn.XLOOKUP($AB18,$B$8:$B$8,$D$8:$D$8,"",0)=0),"Classic",_xlfn.XLOOKUP($AB18,$B$8:$B$8,$D$8:$D$8,"",0))</f>
        <v/>
      </c>
      <c r="AA18" s="45" t="s">
        <v>88</v>
      </c>
      <c r="AB18" s="45"/>
      <c r="AC18" s="45">
        <v>645</v>
      </c>
      <c r="AD18" s="46">
        <v>1</v>
      </c>
      <c r="AE18" s="45">
        <v>1</v>
      </c>
      <c r="AF18" s="45" t="s">
        <v>58</v>
      </c>
      <c r="AG18" s="45" t="s">
        <v>89</v>
      </c>
      <c r="AH18" s="50">
        <v>45261</v>
      </c>
      <c r="AI18" s="50">
        <v>45261</v>
      </c>
      <c r="AJ18" s="50">
        <v>45626</v>
      </c>
      <c r="AK18" s="45">
        <v>0</v>
      </c>
      <c r="AL18" s="45">
        <v>183</v>
      </c>
      <c r="AM18" s="45">
        <v>668</v>
      </c>
      <c r="AN18" s="45">
        <v>485</v>
      </c>
      <c r="AO18" s="45" t="b">
        <v>0</v>
      </c>
      <c r="AP18" s="45">
        <v>0</v>
      </c>
      <c r="AQ18" s="45">
        <v>0</v>
      </c>
    </row>
    <row r="19" spans="23:43" x14ac:dyDescent="0.3">
      <c r="W19" s="44" t="str">
        <f ca="1">_xlfn.XLOOKUP($AB19,$B$8:$B$8,$C$8:$C$8,"",0)</f>
        <v/>
      </c>
      <c r="X19" s="44" t="str">
        <f ca="1">_xlfn.XLOOKUP($AB19,$B$8:$B$8,$E$8:$E$8,"",0)</f>
        <v/>
      </c>
      <c r="Y19" s="44" t="str">
        <f ca="1">_xlfn.XLOOKUP($AB19,$B$8:$B$8,$F$8:$F$8,"",0)</f>
        <v/>
      </c>
      <c r="Z19" s="44" t="str">
        <f ca="1">IF((_xlfn.XLOOKUP($AB19,$B$8:$B$8,$D$8:$D$8,"",0)=0),"Classic",_xlfn.XLOOKUP($AB19,$B$8:$B$8,$D$8:$D$8,"",0))</f>
        <v/>
      </c>
      <c r="AA19" s="45" t="s">
        <v>90</v>
      </c>
      <c r="AB19" s="45"/>
      <c r="AC19" s="45">
        <v>645</v>
      </c>
      <c r="AD19" s="46">
        <v>1</v>
      </c>
      <c r="AE19" s="45">
        <v>1</v>
      </c>
      <c r="AF19" s="45" t="s">
        <v>58</v>
      </c>
      <c r="AG19" s="45" t="s">
        <v>91</v>
      </c>
      <c r="AH19" s="50">
        <v>43739</v>
      </c>
      <c r="AI19" s="50">
        <v>43739</v>
      </c>
      <c r="AJ19" s="50">
        <v>45565</v>
      </c>
      <c r="AK19" s="45">
        <v>0</v>
      </c>
      <c r="AL19" s="45">
        <v>192</v>
      </c>
      <c r="AM19" s="45">
        <v>660</v>
      </c>
      <c r="AN19" s="45">
        <v>468</v>
      </c>
      <c r="AO19" s="45" t="b">
        <v>0</v>
      </c>
      <c r="AP19" s="45">
        <v>0</v>
      </c>
      <c r="AQ19" s="45">
        <v>0</v>
      </c>
    </row>
    <row r="20" spans="23:43" x14ac:dyDescent="0.3">
      <c r="W20" s="44" t="str">
        <f ca="1">_xlfn.XLOOKUP($AB20,$B$8:$B$8,$C$8:$C$8,"",0)</f>
        <v/>
      </c>
      <c r="X20" s="44" t="str">
        <f ca="1">_xlfn.XLOOKUP($AB20,$B$8:$B$8,$E$8:$E$8,"",0)</f>
        <v/>
      </c>
      <c r="Y20" s="44" t="str">
        <f ca="1">_xlfn.XLOOKUP($AB20,$B$8:$B$8,$F$8:$F$8,"",0)</f>
        <v/>
      </c>
      <c r="Z20" s="44" t="str">
        <f ca="1">IF((_xlfn.XLOOKUP($AB20,$B$8:$B$8,$D$8:$D$8,"",0)=0),"Classic",_xlfn.XLOOKUP($AB20,$B$8:$B$8,$D$8:$D$8,"",0))</f>
        <v/>
      </c>
      <c r="AA20" s="45" t="s">
        <v>92</v>
      </c>
      <c r="AB20" s="45"/>
      <c r="AC20" s="45">
        <v>645</v>
      </c>
      <c r="AD20" s="46">
        <v>1</v>
      </c>
      <c r="AE20" s="45">
        <v>1</v>
      </c>
      <c r="AF20" s="45" t="s">
        <v>59</v>
      </c>
      <c r="AG20" s="45" t="s">
        <v>61</v>
      </c>
      <c r="AH20" s="50"/>
      <c r="AI20" s="50"/>
      <c r="AJ20" s="50"/>
      <c r="AK20" s="45">
        <v>0</v>
      </c>
      <c r="AL20" s="45">
        <v>0</v>
      </c>
      <c r="AM20" s="45">
        <v>0</v>
      </c>
      <c r="AN20" s="45">
        <v>0</v>
      </c>
      <c r="AO20" s="45" t="b">
        <v>0</v>
      </c>
      <c r="AP20" s="45">
        <v>0</v>
      </c>
      <c r="AQ20" s="45">
        <v>0</v>
      </c>
    </row>
    <row r="21" spans="23:43" x14ac:dyDescent="0.3">
      <c r="W21" s="44" t="str">
        <f ca="1">_xlfn.XLOOKUP($AB21,$B$8:$B$8,$C$8:$C$8,"",0)</f>
        <v/>
      </c>
      <c r="X21" s="44" t="str">
        <f ca="1">_xlfn.XLOOKUP($AB21,$B$8:$B$8,$E$8:$E$8,"",0)</f>
        <v/>
      </c>
      <c r="Y21" s="44" t="str">
        <f ca="1">_xlfn.XLOOKUP($AB21,$B$8:$B$8,$F$8:$F$8,"",0)</f>
        <v/>
      </c>
      <c r="Z21" s="44" t="str">
        <f ca="1">IF((_xlfn.XLOOKUP($AB21,$B$8:$B$8,$D$8:$D$8,"",0)=0),"Classic",_xlfn.XLOOKUP($AB21,$B$8:$B$8,$D$8:$D$8,"",0))</f>
        <v/>
      </c>
      <c r="AA21" s="45" t="s">
        <v>93</v>
      </c>
      <c r="AB21" s="45"/>
      <c r="AC21" s="45">
        <v>645</v>
      </c>
      <c r="AD21" s="46">
        <v>1</v>
      </c>
      <c r="AE21" s="45">
        <v>1</v>
      </c>
      <c r="AF21" s="45" t="s">
        <v>58</v>
      </c>
      <c r="AG21" s="45" t="s">
        <v>94</v>
      </c>
      <c r="AH21" s="50">
        <v>45232</v>
      </c>
      <c r="AI21" s="50">
        <v>45232</v>
      </c>
      <c r="AJ21" s="50">
        <v>45597</v>
      </c>
      <c r="AK21" s="45">
        <v>0</v>
      </c>
      <c r="AL21" s="45">
        <v>668</v>
      </c>
      <c r="AM21" s="45">
        <v>668</v>
      </c>
      <c r="AN21" s="45">
        <v>0</v>
      </c>
      <c r="AO21" s="45" t="b">
        <v>0</v>
      </c>
      <c r="AP21" s="45">
        <v>0</v>
      </c>
      <c r="AQ21" s="45">
        <v>0</v>
      </c>
    </row>
    <row r="22" spans="23:43" x14ac:dyDescent="0.3">
      <c r="W22" s="44" t="str">
        <f ca="1">_xlfn.XLOOKUP($AB22,$B$8:$B$8,$C$8:$C$8,"",0)</f>
        <v/>
      </c>
      <c r="X22" s="44" t="str">
        <f ca="1">_xlfn.XLOOKUP($AB22,$B$8:$B$8,$E$8:$E$8,"",0)</f>
        <v/>
      </c>
      <c r="Y22" s="44" t="str">
        <f ca="1">_xlfn.XLOOKUP($AB22,$B$8:$B$8,$F$8:$F$8,"",0)</f>
        <v/>
      </c>
      <c r="Z22" s="44" t="str">
        <f ca="1">IF((_xlfn.XLOOKUP($AB22,$B$8:$B$8,$D$8:$D$8,"",0)=0),"Classic",_xlfn.XLOOKUP($AB22,$B$8:$B$8,$D$8:$D$8,"",0))</f>
        <v/>
      </c>
      <c r="AA22" s="45" t="s">
        <v>95</v>
      </c>
      <c r="AB22" s="45"/>
      <c r="AC22" s="45">
        <v>645</v>
      </c>
      <c r="AD22" s="46">
        <v>1</v>
      </c>
      <c r="AE22" s="45">
        <v>1</v>
      </c>
      <c r="AF22" s="45" t="s">
        <v>58</v>
      </c>
      <c r="AG22" s="45" t="s">
        <v>96</v>
      </c>
      <c r="AH22" s="50">
        <v>44886</v>
      </c>
      <c r="AI22" s="50">
        <v>44886</v>
      </c>
      <c r="AJ22" s="50">
        <v>45616</v>
      </c>
      <c r="AK22" s="45">
        <v>0</v>
      </c>
      <c r="AL22" s="45">
        <v>668</v>
      </c>
      <c r="AM22" s="45">
        <v>668</v>
      </c>
      <c r="AN22" s="45">
        <v>0</v>
      </c>
      <c r="AO22" s="45" t="b">
        <v>0</v>
      </c>
      <c r="AP22" s="45">
        <v>0</v>
      </c>
      <c r="AQ22" s="45">
        <v>0</v>
      </c>
    </row>
    <row r="23" spans="23:43" x14ac:dyDescent="0.3">
      <c r="W23" s="44" t="str">
        <f ca="1">_xlfn.XLOOKUP($AB23,$B$8:$B$8,$C$8:$C$8,"",0)</f>
        <v/>
      </c>
      <c r="X23" s="44" t="str">
        <f ca="1">_xlfn.XLOOKUP($AB23,$B$8:$B$8,$E$8:$E$8,"",0)</f>
        <v/>
      </c>
      <c r="Y23" s="44" t="str">
        <f ca="1">_xlfn.XLOOKUP($AB23,$B$8:$B$8,$F$8:$F$8,"",0)</f>
        <v/>
      </c>
      <c r="Z23" s="44" t="str">
        <f ca="1">IF((_xlfn.XLOOKUP($AB23,$B$8:$B$8,$D$8:$D$8,"",0)=0),"Classic",_xlfn.XLOOKUP($AB23,$B$8:$B$8,$D$8:$D$8,"",0))</f>
        <v/>
      </c>
      <c r="AA23" s="45" t="s">
        <v>97</v>
      </c>
      <c r="AB23" s="45"/>
      <c r="AC23" s="45">
        <v>645</v>
      </c>
      <c r="AD23" s="46">
        <v>1</v>
      </c>
      <c r="AE23" s="45">
        <v>1</v>
      </c>
      <c r="AF23" s="45" t="s">
        <v>58</v>
      </c>
      <c r="AG23" s="45" t="s">
        <v>98</v>
      </c>
      <c r="AH23" s="50">
        <v>44851</v>
      </c>
      <c r="AI23" s="50">
        <v>44851</v>
      </c>
      <c r="AJ23" s="50">
        <v>45581</v>
      </c>
      <c r="AK23" s="45">
        <v>0</v>
      </c>
      <c r="AL23" s="45">
        <v>668</v>
      </c>
      <c r="AM23" s="45">
        <v>668</v>
      </c>
      <c r="AN23" s="45">
        <v>0</v>
      </c>
      <c r="AO23" s="45" t="b">
        <v>0</v>
      </c>
      <c r="AP23" s="45">
        <v>0</v>
      </c>
      <c r="AQ23" s="45">
        <v>25</v>
      </c>
    </row>
    <row r="24" spans="23:43" x14ac:dyDescent="0.3">
      <c r="W24" s="44" t="str">
        <f ca="1">_xlfn.XLOOKUP($AB24,$B$8:$B$8,$C$8:$C$8,"",0)</f>
        <v/>
      </c>
      <c r="X24" s="44" t="str">
        <f ca="1">_xlfn.XLOOKUP($AB24,$B$8:$B$8,$E$8:$E$8,"",0)</f>
        <v/>
      </c>
      <c r="Y24" s="44" t="str">
        <f ca="1">_xlfn.XLOOKUP($AB24,$B$8:$B$8,$F$8:$F$8,"",0)</f>
        <v/>
      </c>
      <c r="Z24" s="44" t="str">
        <f ca="1">IF((_xlfn.XLOOKUP($AB24,$B$8:$B$8,$D$8:$D$8,"",0)=0),"Classic",_xlfn.XLOOKUP($AB24,$B$8:$B$8,$D$8:$D$8,"",0))</f>
        <v/>
      </c>
      <c r="AA24" s="45" t="s">
        <v>99</v>
      </c>
      <c r="AB24" s="45"/>
      <c r="AC24" s="45">
        <v>645</v>
      </c>
      <c r="AD24" s="46">
        <v>1</v>
      </c>
      <c r="AE24" s="45">
        <v>1</v>
      </c>
      <c r="AF24" s="45" t="s">
        <v>58</v>
      </c>
      <c r="AG24" s="45" t="s">
        <v>100</v>
      </c>
      <c r="AH24" s="50">
        <v>44999</v>
      </c>
      <c r="AI24" s="50">
        <v>44999</v>
      </c>
      <c r="AJ24" s="50">
        <v>45729</v>
      </c>
      <c r="AK24" s="45">
        <v>0</v>
      </c>
      <c r="AL24" s="45">
        <v>653</v>
      </c>
      <c r="AM24" s="45">
        <v>653</v>
      </c>
      <c r="AN24" s="45">
        <v>0</v>
      </c>
      <c r="AO24" s="45" t="b">
        <v>0</v>
      </c>
      <c r="AP24" s="45">
        <v>0</v>
      </c>
      <c r="AQ24" s="45">
        <v>0</v>
      </c>
    </row>
    <row r="25" spans="23:43" x14ac:dyDescent="0.3">
      <c r="W25" s="44" t="str">
        <f ca="1">_xlfn.XLOOKUP($AB25,$B$8:$B$8,$C$8:$C$8,"",0)</f>
        <v/>
      </c>
      <c r="X25" s="44" t="str">
        <f ca="1">_xlfn.XLOOKUP($AB25,$B$8:$B$8,$E$8:$E$8,"",0)</f>
        <v/>
      </c>
      <c r="Y25" s="44" t="str">
        <f ca="1">_xlfn.XLOOKUP($AB25,$B$8:$B$8,$F$8:$F$8,"",0)</f>
        <v/>
      </c>
      <c r="Z25" s="44" t="str">
        <f ca="1">IF((_xlfn.XLOOKUP($AB25,$B$8:$B$8,$D$8:$D$8,"",0)=0),"Classic",_xlfn.XLOOKUP($AB25,$B$8:$B$8,$D$8:$D$8,"",0))</f>
        <v/>
      </c>
      <c r="AA25" s="45" t="s">
        <v>101</v>
      </c>
      <c r="AB25" s="45"/>
      <c r="AC25" s="45">
        <v>645</v>
      </c>
      <c r="AD25" s="46">
        <v>1</v>
      </c>
      <c r="AE25" s="45">
        <v>1</v>
      </c>
      <c r="AF25" s="45" t="s">
        <v>59</v>
      </c>
      <c r="AG25" s="45" t="s">
        <v>60</v>
      </c>
      <c r="AH25" s="50"/>
      <c r="AI25" s="50"/>
      <c r="AJ25" s="50"/>
      <c r="AK25" s="45">
        <v>0</v>
      </c>
      <c r="AL25" s="45">
        <v>0</v>
      </c>
      <c r="AM25" s="45">
        <v>0</v>
      </c>
      <c r="AN25" s="45">
        <v>0</v>
      </c>
      <c r="AO25" s="45" t="b">
        <v>0</v>
      </c>
      <c r="AP25" s="45">
        <v>0</v>
      </c>
      <c r="AQ25" s="45">
        <v>0</v>
      </c>
    </row>
    <row r="26" spans="23:43" x14ac:dyDescent="0.3">
      <c r="W26" s="44" t="str">
        <f ca="1">_xlfn.XLOOKUP($AB26,$B$8:$B$8,$C$8:$C$8,"",0)</f>
        <v/>
      </c>
      <c r="X26" s="44" t="str">
        <f ca="1">_xlfn.XLOOKUP($AB26,$B$8:$B$8,$E$8:$E$8,"",0)</f>
        <v/>
      </c>
      <c r="Y26" s="44" t="str">
        <f ca="1">_xlfn.XLOOKUP($AB26,$B$8:$B$8,$F$8:$F$8,"",0)</f>
        <v/>
      </c>
      <c r="Z26" s="44" t="str">
        <f ca="1">IF((_xlfn.XLOOKUP($AB26,$B$8:$B$8,$D$8:$D$8,"",0)=0),"Classic",_xlfn.XLOOKUP($AB26,$B$8:$B$8,$D$8:$D$8,"",0))</f>
        <v/>
      </c>
      <c r="AA26" s="45" t="s">
        <v>102</v>
      </c>
      <c r="AB26" s="45"/>
      <c r="AC26" s="45">
        <v>645</v>
      </c>
      <c r="AD26" s="46">
        <v>1</v>
      </c>
      <c r="AE26" s="45">
        <v>1</v>
      </c>
      <c r="AF26" s="45" t="s">
        <v>58</v>
      </c>
      <c r="AG26" s="45" t="s">
        <v>103</v>
      </c>
      <c r="AH26" s="50">
        <v>41866</v>
      </c>
      <c r="AI26" s="50">
        <v>41866</v>
      </c>
      <c r="AJ26" s="50">
        <v>45518</v>
      </c>
      <c r="AK26" s="45">
        <v>0</v>
      </c>
      <c r="AL26" s="45">
        <v>369</v>
      </c>
      <c r="AM26" s="45">
        <v>660</v>
      </c>
      <c r="AN26" s="45">
        <v>291</v>
      </c>
      <c r="AO26" s="45" t="b">
        <v>0</v>
      </c>
      <c r="AP26" s="45">
        <v>0</v>
      </c>
      <c r="AQ26" s="45">
        <v>0</v>
      </c>
    </row>
    <row r="27" spans="23:43" x14ac:dyDescent="0.3">
      <c r="W27" s="44" t="str">
        <f ca="1">_xlfn.XLOOKUP($AB27,$B$8:$B$8,$C$8:$C$8,"",0)</f>
        <v/>
      </c>
      <c r="X27" s="44" t="str">
        <f ca="1">_xlfn.XLOOKUP($AB27,$B$8:$B$8,$E$8:$E$8,"",0)</f>
        <v/>
      </c>
      <c r="Y27" s="44" t="str">
        <f ca="1">_xlfn.XLOOKUP($AB27,$B$8:$B$8,$F$8:$F$8,"",0)</f>
        <v/>
      </c>
      <c r="Z27" s="44" t="str">
        <f ca="1">IF((_xlfn.XLOOKUP($AB27,$B$8:$B$8,$D$8:$D$8,"",0)=0),"Classic",_xlfn.XLOOKUP($AB27,$B$8:$B$8,$D$8:$D$8,"",0))</f>
        <v/>
      </c>
      <c r="AA27" s="45" t="s">
        <v>104</v>
      </c>
      <c r="AB27" s="45"/>
      <c r="AC27" s="45">
        <v>645</v>
      </c>
      <c r="AD27" s="46">
        <v>1</v>
      </c>
      <c r="AE27" s="45">
        <v>1</v>
      </c>
      <c r="AF27" s="45" t="s">
        <v>58</v>
      </c>
      <c r="AG27" s="45" t="s">
        <v>105</v>
      </c>
      <c r="AH27" s="50">
        <v>43922</v>
      </c>
      <c r="AI27" s="50">
        <v>43922</v>
      </c>
      <c r="AJ27" s="50">
        <v>45747</v>
      </c>
      <c r="AK27" s="45">
        <v>0</v>
      </c>
      <c r="AL27" s="45">
        <v>192</v>
      </c>
      <c r="AM27" s="45">
        <v>650</v>
      </c>
      <c r="AN27" s="45">
        <v>458</v>
      </c>
      <c r="AO27" s="45" t="b">
        <v>0</v>
      </c>
      <c r="AP27" s="45">
        <v>0</v>
      </c>
      <c r="AQ27" s="45">
        <v>0</v>
      </c>
    </row>
    <row r="28" spans="23:43" x14ac:dyDescent="0.3">
      <c r="W28" s="44" t="str">
        <f ca="1">_xlfn.XLOOKUP($AB28,$B$8:$B$8,$C$8:$C$8,"",0)</f>
        <v/>
      </c>
      <c r="X28" s="44" t="str">
        <f ca="1">_xlfn.XLOOKUP($AB28,$B$8:$B$8,$E$8:$E$8,"",0)</f>
        <v/>
      </c>
      <c r="Y28" s="44" t="str">
        <f ca="1">_xlfn.XLOOKUP($AB28,$B$8:$B$8,$F$8:$F$8,"",0)</f>
        <v/>
      </c>
      <c r="Z28" s="44" t="str">
        <f ca="1">IF((_xlfn.XLOOKUP($AB28,$B$8:$B$8,$D$8:$D$8,"",0)=0),"Classic",_xlfn.XLOOKUP($AB28,$B$8:$B$8,$D$8:$D$8,"",0))</f>
        <v/>
      </c>
      <c r="AA28" s="45" t="s">
        <v>106</v>
      </c>
      <c r="AB28" s="45"/>
      <c r="AC28" s="45">
        <v>777</v>
      </c>
      <c r="AD28" s="46">
        <v>2</v>
      </c>
      <c r="AE28" s="45">
        <v>1</v>
      </c>
      <c r="AF28" s="45" t="s">
        <v>58</v>
      </c>
      <c r="AG28" s="45" t="s">
        <v>107</v>
      </c>
      <c r="AH28" s="50">
        <v>42583</v>
      </c>
      <c r="AI28" s="50">
        <v>42583</v>
      </c>
      <c r="AJ28" s="50">
        <v>45504</v>
      </c>
      <c r="AK28" s="45">
        <v>0</v>
      </c>
      <c r="AL28" s="45">
        <v>215</v>
      </c>
      <c r="AM28" s="45">
        <v>735</v>
      </c>
      <c r="AN28" s="45">
        <v>520</v>
      </c>
      <c r="AO28" s="45" t="b">
        <v>0</v>
      </c>
      <c r="AP28" s="45">
        <v>0</v>
      </c>
      <c r="AQ28" s="45">
        <v>0</v>
      </c>
    </row>
    <row r="29" spans="23:43" x14ac:dyDescent="0.3">
      <c r="W29" s="44" t="str">
        <f ca="1">_xlfn.XLOOKUP($AB29,$B$8:$B$8,$C$8:$C$8,"",0)</f>
        <v/>
      </c>
      <c r="X29" s="44" t="str">
        <f ca="1">_xlfn.XLOOKUP($AB29,$B$8:$B$8,$E$8:$E$8,"",0)</f>
        <v/>
      </c>
      <c r="Y29" s="44" t="str">
        <f ca="1">_xlfn.XLOOKUP($AB29,$B$8:$B$8,$F$8:$F$8,"",0)</f>
        <v/>
      </c>
      <c r="Z29" s="44" t="str">
        <f ca="1">IF((_xlfn.XLOOKUP($AB29,$B$8:$B$8,$D$8:$D$8,"",0)=0),"Classic",_xlfn.XLOOKUP($AB29,$B$8:$B$8,$D$8:$D$8,"",0))</f>
        <v/>
      </c>
      <c r="AA29" s="45" t="s">
        <v>108</v>
      </c>
      <c r="AB29" s="45"/>
      <c r="AC29" s="45">
        <v>777</v>
      </c>
      <c r="AD29" s="46">
        <v>2</v>
      </c>
      <c r="AE29" s="45">
        <v>1</v>
      </c>
      <c r="AF29" s="45" t="s">
        <v>58</v>
      </c>
      <c r="AG29" s="45" t="s">
        <v>109</v>
      </c>
      <c r="AH29" s="50">
        <v>45001</v>
      </c>
      <c r="AI29" s="50">
        <v>45001</v>
      </c>
      <c r="AJ29" s="50">
        <v>45731</v>
      </c>
      <c r="AK29" s="45">
        <v>0</v>
      </c>
      <c r="AL29" s="45">
        <v>735</v>
      </c>
      <c r="AM29" s="45">
        <v>735</v>
      </c>
      <c r="AN29" s="45">
        <v>0</v>
      </c>
      <c r="AO29" s="45" t="b">
        <v>0</v>
      </c>
      <c r="AP29" s="45">
        <v>0</v>
      </c>
      <c r="AQ29" s="45">
        <v>0</v>
      </c>
    </row>
    <row r="30" spans="23:43" x14ac:dyDescent="0.3">
      <c r="W30" s="44" t="str">
        <f ca="1">_xlfn.XLOOKUP($AB30,$B$8:$B$8,$C$8:$C$8,"",0)</f>
        <v/>
      </c>
      <c r="X30" s="44" t="str">
        <f ca="1">_xlfn.XLOOKUP($AB30,$B$8:$B$8,$E$8:$E$8,"",0)</f>
        <v/>
      </c>
      <c r="Y30" s="44" t="str">
        <f ca="1">_xlfn.XLOOKUP($AB30,$B$8:$B$8,$F$8:$F$8,"",0)</f>
        <v/>
      </c>
      <c r="Z30" s="44" t="str">
        <f ca="1">IF((_xlfn.XLOOKUP($AB30,$B$8:$B$8,$D$8:$D$8,"",0)=0),"Classic",_xlfn.XLOOKUP($AB30,$B$8:$B$8,$D$8:$D$8,"",0))</f>
        <v/>
      </c>
      <c r="AA30" s="45" t="s">
        <v>110</v>
      </c>
      <c r="AB30" s="45"/>
      <c r="AC30" s="45">
        <v>777</v>
      </c>
      <c r="AD30" s="46">
        <v>2</v>
      </c>
      <c r="AE30" s="45">
        <v>1</v>
      </c>
      <c r="AF30" s="45" t="s">
        <v>58</v>
      </c>
      <c r="AG30" s="45" t="s">
        <v>111</v>
      </c>
      <c r="AH30" s="50">
        <v>45070</v>
      </c>
      <c r="AI30" s="50">
        <v>45070</v>
      </c>
      <c r="AJ30" s="50">
        <v>45435</v>
      </c>
      <c r="AK30" s="45">
        <v>0</v>
      </c>
      <c r="AL30" s="45">
        <v>735</v>
      </c>
      <c r="AM30" s="45">
        <v>735</v>
      </c>
      <c r="AN30" s="45">
        <v>0</v>
      </c>
      <c r="AO30" s="45" t="b">
        <v>0</v>
      </c>
      <c r="AP30" s="45">
        <v>0</v>
      </c>
      <c r="AQ30" s="45">
        <v>0</v>
      </c>
    </row>
    <row r="31" spans="23:43" x14ac:dyDescent="0.3">
      <c r="W31" s="44" t="str">
        <f ca="1">_xlfn.XLOOKUP($AB31,$B$8:$B$8,$C$8:$C$8,"",0)</f>
        <v/>
      </c>
      <c r="X31" s="44" t="str">
        <f ca="1">_xlfn.XLOOKUP($AB31,$B$8:$B$8,$E$8:$E$8,"",0)</f>
        <v/>
      </c>
      <c r="Y31" s="44" t="str">
        <f ca="1">_xlfn.XLOOKUP($AB31,$B$8:$B$8,$F$8:$F$8,"",0)</f>
        <v/>
      </c>
      <c r="Z31" s="44" t="str">
        <f ca="1">IF((_xlfn.XLOOKUP($AB31,$B$8:$B$8,$D$8:$D$8,"",0)=0),"Classic",_xlfn.XLOOKUP($AB31,$B$8:$B$8,$D$8:$D$8,"",0))</f>
        <v/>
      </c>
      <c r="AA31" s="45" t="s">
        <v>112</v>
      </c>
      <c r="AB31" s="45"/>
      <c r="AC31" s="45">
        <v>777</v>
      </c>
      <c r="AD31" s="46">
        <v>2</v>
      </c>
      <c r="AE31" s="45">
        <v>1</v>
      </c>
      <c r="AF31" s="45" t="s">
        <v>58</v>
      </c>
      <c r="AG31" s="45" t="s">
        <v>113</v>
      </c>
      <c r="AH31" s="50">
        <v>44063</v>
      </c>
      <c r="AI31" s="50">
        <v>44063</v>
      </c>
      <c r="AJ31" s="50">
        <v>45523</v>
      </c>
      <c r="AK31" s="45">
        <v>0</v>
      </c>
      <c r="AL31" s="45">
        <v>13</v>
      </c>
      <c r="AM31" s="45">
        <v>735</v>
      </c>
      <c r="AN31" s="45">
        <v>722</v>
      </c>
      <c r="AO31" s="45" t="b">
        <v>0</v>
      </c>
      <c r="AP31" s="45">
        <v>0</v>
      </c>
      <c r="AQ31" s="45">
        <v>25</v>
      </c>
    </row>
    <row r="32" spans="23:43" x14ac:dyDescent="0.3">
      <c r="W32" s="44" t="str">
        <f ca="1">_xlfn.XLOOKUP($AB32,$B$8:$B$8,$C$8:$C$8,"",0)</f>
        <v/>
      </c>
      <c r="X32" s="44" t="str">
        <f ca="1">_xlfn.XLOOKUP($AB32,$B$8:$B$8,$E$8:$E$8,"",0)</f>
        <v/>
      </c>
      <c r="Y32" s="44" t="str">
        <f ca="1">_xlfn.XLOOKUP($AB32,$B$8:$B$8,$F$8:$F$8,"",0)</f>
        <v/>
      </c>
      <c r="Z32" s="44" t="str">
        <f ca="1">IF((_xlfn.XLOOKUP($AB32,$B$8:$B$8,$D$8:$D$8,"",0)=0),"Classic",_xlfn.XLOOKUP($AB32,$B$8:$B$8,$D$8:$D$8,"",0))</f>
        <v/>
      </c>
      <c r="AA32" s="45" t="s">
        <v>114</v>
      </c>
      <c r="AB32" s="45"/>
      <c r="AC32" s="45">
        <v>777</v>
      </c>
      <c r="AD32" s="46">
        <v>2</v>
      </c>
      <c r="AE32" s="45">
        <v>1</v>
      </c>
      <c r="AF32" s="45" t="s">
        <v>58</v>
      </c>
      <c r="AG32" s="45" t="s">
        <v>115</v>
      </c>
      <c r="AH32" s="50">
        <v>44410</v>
      </c>
      <c r="AI32" s="50">
        <v>44410</v>
      </c>
      <c r="AJ32" s="50">
        <v>45505</v>
      </c>
      <c r="AK32" s="45">
        <v>0</v>
      </c>
      <c r="AL32" s="45">
        <v>200</v>
      </c>
      <c r="AM32" s="45">
        <v>735</v>
      </c>
      <c r="AN32" s="45">
        <v>535</v>
      </c>
      <c r="AO32" s="45" t="b">
        <v>0</v>
      </c>
      <c r="AP32" s="45">
        <v>0</v>
      </c>
      <c r="AQ32" s="45">
        <v>0</v>
      </c>
    </row>
    <row r="33" spans="23:43" x14ac:dyDescent="0.3">
      <c r="W33" s="44" t="str">
        <f ca="1">_xlfn.XLOOKUP($AB33,$B$8:$B$8,$C$8:$C$8,"",0)</f>
        <v/>
      </c>
      <c r="X33" s="44" t="str">
        <f ca="1">_xlfn.XLOOKUP($AB33,$B$8:$B$8,$E$8:$E$8,"",0)</f>
        <v/>
      </c>
      <c r="Y33" s="44" t="str">
        <f ca="1">_xlfn.XLOOKUP($AB33,$B$8:$B$8,$F$8:$F$8,"",0)</f>
        <v/>
      </c>
      <c r="Z33" s="44" t="str">
        <f ca="1">IF((_xlfn.XLOOKUP($AB33,$B$8:$B$8,$D$8:$D$8,"",0)=0),"Classic",_xlfn.XLOOKUP($AB33,$B$8:$B$8,$D$8:$D$8,"",0))</f>
        <v/>
      </c>
      <c r="AA33" s="45" t="s">
        <v>116</v>
      </c>
      <c r="AB33" s="45"/>
      <c r="AC33" s="45">
        <v>777</v>
      </c>
      <c r="AD33" s="46">
        <v>2</v>
      </c>
      <c r="AE33" s="45">
        <v>1</v>
      </c>
      <c r="AF33" s="45" t="s">
        <v>58</v>
      </c>
      <c r="AG33" s="45" t="s">
        <v>117</v>
      </c>
      <c r="AH33" s="50">
        <v>43284</v>
      </c>
      <c r="AI33" s="50">
        <v>43284</v>
      </c>
      <c r="AJ33" s="50">
        <v>45475</v>
      </c>
      <c r="AK33" s="45">
        <v>0</v>
      </c>
      <c r="AL33" s="45">
        <v>275</v>
      </c>
      <c r="AM33" s="45">
        <v>735</v>
      </c>
      <c r="AN33" s="45">
        <v>460</v>
      </c>
      <c r="AO33" s="45" t="b">
        <v>0</v>
      </c>
      <c r="AP33" s="45">
        <v>0</v>
      </c>
      <c r="AQ33" s="45">
        <v>0</v>
      </c>
    </row>
    <row r="34" spans="23:43" x14ac:dyDescent="0.3">
      <c r="W34" s="44" t="str">
        <f ca="1">_xlfn.XLOOKUP($AB34,$B$8:$B$8,$C$8:$C$8,"",0)</f>
        <v/>
      </c>
      <c r="X34" s="44" t="str">
        <f ca="1">_xlfn.XLOOKUP($AB34,$B$8:$B$8,$E$8:$E$8,"",0)</f>
        <v/>
      </c>
      <c r="Y34" s="44" t="str">
        <f ca="1">_xlfn.XLOOKUP($AB34,$B$8:$B$8,$F$8:$F$8,"",0)</f>
        <v/>
      </c>
      <c r="Z34" s="44" t="str">
        <f ca="1">IF((_xlfn.XLOOKUP($AB34,$B$8:$B$8,$D$8:$D$8,"",0)=0),"Classic",_xlfn.XLOOKUP($AB34,$B$8:$B$8,$D$8:$D$8,"",0))</f>
        <v/>
      </c>
      <c r="AA34" s="45" t="s">
        <v>118</v>
      </c>
      <c r="AB34" s="45"/>
      <c r="AC34" s="45">
        <v>777</v>
      </c>
      <c r="AD34" s="46">
        <v>2</v>
      </c>
      <c r="AE34" s="45">
        <v>1</v>
      </c>
      <c r="AF34" s="45" t="s">
        <v>58</v>
      </c>
      <c r="AG34" s="45" t="s">
        <v>119</v>
      </c>
      <c r="AH34" s="50">
        <v>44123</v>
      </c>
      <c r="AI34" s="50">
        <v>44123</v>
      </c>
      <c r="AJ34" s="50">
        <v>45583</v>
      </c>
      <c r="AK34" s="45">
        <v>0</v>
      </c>
      <c r="AL34" s="45">
        <v>745</v>
      </c>
      <c r="AM34" s="45">
        <v>745</v>
      </c>
      <c r="AN34" s="45">
        <v>0</v>
      </c>
      <c r="AO34" s="45" t="b">
        <v>0</v>
      </c>
      <c r="AP34" s="45">
        <v>0</v>
      </c>
      <c r="AQ34" s="45">
        <v>25</v>
      </c>
    </row>
    <row r="35" spans="23:43" x14ac:dyDescent="0.3">
      <c r="W35" s="44" t="str">
        <f ca="1">_xlfn.XLOOKUP($AB35,$B$8:$B$8,$C$8:$C$8,"",0)</f>
        <v/>
      </c>
      <c r="X35" s="44" t="str">
        <f ca="1">_xlfn.XLOOKUP($AB35,$B$8:$B$8,$E$8:$E$8,"",0)</f>
        <v/>
      </c>
      <c r="Y35" s="44" t="str">
        <f ca="1">_xlfn.XLOOKUP($AB35,$B$8:$B$8,$F$8:$F$8,"",0)</f>
        <v/>
      </c>
      <c r="Z35" s="44" t="str">
        <f ca="1">IF((_xlfn.XLOOKUP($AB35,$B$8:$B$8,$D$8:$D$8,"",0)=0),"Classic",_xlfn.XLOOKUP($AB35,$B$8:$B$8,$D$8:$D$8,"",0))</f>
        <v/>
      </c>
      <c r="AA35" s="45" t="s">
        <v>120</v>
      </c>
      <c r="AB35" s="45"/>
      <c r="AC35" s="45">
        <v>777</v>
      </c>
      <c r="AD35" s="46">
        <v>2</v>
      </c>
      <c r="AE35" s="45">
        <v>1</v>
      </c>
      <c r="AF35" s="45" t="s">
        <v>58</v>
      </c>
      <c r="AG35" s="45" t="s">
        <v>121</v>
      </c>
      <c r="AH35" s="50">
        <v>37190</v>
      </c>
      <c r="AI35" s="50">
        <v>37190</v>
      </c>
      <c r="AJ35" s="50">
        <v>45590</v>
      </c>
      <c r="AK35" s="45">
        <v>0</v>
      </c>
      <c r="AL35" s="45">
        <v>432</v>
      </c>
      <c r="AM35" s="45">
        <v>745</v>
      </c>
      <c r="AN35" s="45">
        <v>313</v>
      </c>
      <c r="AO35" s="45" t="b">
        <v>0</v>
      </c>
      <c r="AP35" s="45">
        <v>0</v>
      </c>
      <c r="AQ35" s="45">
        <v>0</v>
      </c>
    </row>
    <row r="36" spans="23:43" x14ac:dyDescent="0.3">
      <c r="W36" s="44" t="str">
        <f ca="1">_xlfn.XLOOKUP($AB36,$B$8:$B$8,$C$8:$C$8,"",0)</f>
        <v/>
      </c>
      <c r="X36" s="44" t="str">
        <f ca="1">_xlfn.XLOOKUP($AB36,$B$8:$B$8,$E$8:$E$8,"",0)</f>
        <v/>
      </c>
      <c r="Y36" s="44" t="str">
        <f ca="1">_xlfn.XLOOKUP($AB36,$B$8:$B$8,$F$8:$F$8,"",0)</f>
        <v/>
      </c>
      <c r="Z36" s="44" t="str">
        <f ca="1">IF((_xlfn.XLOOKUP($AB36,$B$8:$B$8,$D$8:$D$8,"",0)=0),"Classic",_xlfn.XLOOKUP($AB36,$B$8:$B$8,$D$8:$D$8,"",0))</f>
        <v/>
      </c>
      <c r="AA36" s="45" t="s">
        <v>122</v>
      </c>
      <c r="AB36" s="45"/>
      <c r="AC36" s="45">
        <v>777</v>
      </c>
      <c r="AD36" s="46">
        <v>2</v>
      </c>
      <c r="AE36" s="45">
        <v>1</v>
      </c>
      <c r="AF36" s="45" t="s">
        <v>58</v>
      </c>
      <c r="AG36" s="45" t="s">
        <v>123</v>
      </c>
      <c r="AH36" s="50">
        <v>45266</v>
      </c>
      <c r="AI36" s="50">
        <v>45266</v>
      </c>
      <c r="AJ36" s="50">
        <v>45631</v>
      </c>
      <c r="AK36" s="45">
        <v>0</v>
      </c>
      <c r="AL36" s="45">
        <v>0</v>
      </c>
      <c r="AM36" s="45">
        <v>750</v>
      </c>
      <c r="AN36" s="45">
        <v>750</v>
      </c>
      <c r="AO36" s="45" t="b">
        <v>0</v>
      </c>
      <c r="AP36" s="45">
        <v>0</v>
      </c>
      <c r="AQ36" s="45">
        <v>10</v>
      </c>
    </row>
    <row r="37" spans="23:43" x14ac:dyDescent="0.3">
      <c r="W37" s="44" t="str">
        <f ca="1">_xlfn.XLOOKUP($AB37,$B$8:$B$8,$C$8:$C$8,"",0)</f>
        <v/>
      </c>
      <c r="X37" s="44" t="str">
        <f ca="1">_xlfn.XLOOKUP($AB37,$B$8:$B$8,$E$8:$E$8,"",0)</f>
        <v/>
      </c>
      <c r="Y37" s="44" t="str">
        <f ca="1">_xlfn.XLOOKUP($AB37,$B$8:$B$8,$F$8:$F$8,"",0)</f>
        <v/>
      </c>
      <c r="Z37" s="44" t="str">
        <f ca="1">IF((_xlfn.XLOOKUP($AB37,$B$8:$B$8,$D$8:$D$8,"",0)=0),"Classic",_xlfn.XLOOKUP($AB37,$B$8:$B$8,$D$8:$D$8,"",0))</f>
        <v/>
      </c>
      <c r="AA37" s="45" t="s">
        <v>124</v>
      </c>
      <c r="AB37" s="45"/>
      <c r="AC37" s="45">
        <v>777</v>
      </c>
      <c r="AD37" s="46">
        <v>2</v>
      </c>
      <c r="AE37" s="45">
        <v>1</v>
      </c>
      <c r="AF37" s="45" t="s">
        <v>58</v>
      </c>
      <c r="AG37" s="45" t="s">
        <v>125</v>
      </c>
      <c r="AH37" s="50">
        <v>44305</v>
      </c>
      <c r="AI37" s="50">
        <v>44305</v>
      </c>
      <c r="AJ37" s="50">
        <v>45400</v>
      </c>
      <c r="AK37" s="45">
        <v>0</v>
      </c>
      <c r="AL37" s="45">
        <v>730</v>
      </c>
      <c r="AM37" s="45">
        <v>730</v>
      </c>
      <c r="AN37" s="45">
        <v>0</v>
      </c>
      <c r="AO37" s="45" t="b">
        <v>0</v>
      </c>
      <c r="AP37" s="45">
        <v>0</v>
      </c>
      <c r="AQ37" s="45">
        <v>25</v>
      </c>
    </row>
    <row r="38" spans="23:43" x14ac:dyDescent="0.3">
      <c r="W38" s="44" t="str">
        <f ca="1">_xlfn.XLOOKUP($AB38,$B$8:$B$8,$C$8:$C$8,"",0)</f>
        <v/>
      </c>
      <c r="X38" s="44" t="str">
        <f ca="1">_xlfn.XLOOKUP($AB38,$B$8:$B$8,$E$8:$E$8,"",0)</f>
        <v/>
      </c>
      <c r="Y38" s="44" t="str">
        <f ca="1">_xlfn.XLOOKUP($AB38,$B$8:$B$8,$F$8:$F$8,"",0)</f>
        <v/>
      </c>
      <c r="Z38" s="44" t="str">
        <f ca="1">IF((_xlfn.XLOOKUP($AB38,$B$8:$B$8,$D$8:$D$8,"",0)=0),"Classic",_xlfn.XLOOKUP($AB38,$B$8:$B$8,$D$8:$D$8,"",0))</f>
        <v/>
      </c>
      <c r="AA38" s="45" t="s">
        <v>126</v>
      </c>
      <c r="AB38" s="45"/>
      <c r="AC38" s="45">
        <v>777</v>
      </c>
      <c r="AD38" s="46">
        <v>2</v>
      </c>
      <c r="AE38" s="45">
        <v>1</v>
      </c>
      <c r="AF38" s="45" t="s">
        <v>58</v>
      </c>
      <c r="AG38" s="45" t="s">
        <v>127</v>
      </c>
      <c r="AH38" s="50">
        <v>44627</v>
      </c>
      <c r="AI38" s="50">
        <v>44627</v>
      </c>
      <c r="AJ38" s="50">
        <v>45357</v>
      </c>
      <c r="AK38" s="45">
        <v>0</v>
      </c>
      <c r="AL38" s="45">
        <v>730</v>
      </c>
      <c r="AM38" s="45">
        <v>730</v>
      </c>
      <c r="AN38" s="45">
        <v>0</v>
      </c>
      <c r="AO38" s="45" t="b">
        <v>0</v>
      </c>
      <c r="AP38" s="45">
        <v>0</v>
      </c>
      <c r="AQ38" s="45">
        <v>0</v>
      </c>
    </row>
    <row r="39" spans="23:43" x14ac:dyDescent="0.3">
      <c r="W39" s="44" t="str">
        <f ca="1">_xlfn.XLOOKUP($AB39,$B$8:$B$8,$C$8:$C$8,"",0)</f>
        <v/>
      </c>
      <c r="X39" s="44" t="str">
        <f ca="1">_xlfn.XLOOKUP($AB39,$B$8:$B$8,$E$8:$E$8,"",0)</f>
        <v/>
      </c>
      <c r="Y39" s="44" t="str">
        <f ca="1">_xlfn.XLOOKUP($AB39,$B$8:$B$8,$F$8:$F$8,"",0)</f>
        <v/>
      </c>
      <c r="Z39" s="44" t="str">
        <f ca="1">IF((_xlfn.XLOOKUP($AB39,$B$8:$B$8,$D$8:$D$8,"",0)=0),"Classic",_xlfn.XLOOKUP($AB39,$B$8:$B$8,$D$8:$D$8,"",0))</f>
        <v/>
      </c>
      <c r="AA39" s="45" t="s">
        <v>128</v>
      </c>
      <c r="AB39" s="45"/>
      <c r="AC39" s="45">
        <v>777</v>
      </c>
      <c r="AD39" s="46">
        <v>2</v>
      </c>
      <c r="AE39" s="45">
        <v>1</v>
      </c>
      <c r="AF39" s="45" t="s">
        <v>59</v>
      </c>
      <c r="AG39" s="45" t="s">
        <v>60</v>
      </c>
      <c r="AH39" s="50"/>
      <c r="AI39" s="50"/>
      <c r="AJ39" s="50"/>
      <c r="AK39" s="45">
        <v>0</v>
      </c>
      <c r="AL39" s="45">
        <v>0</v>
      </c>
      <c r="AM39" s="45">
        <v>0</v>
      </c>
      <c r="AN39" s="45">
        <v>0</v>
      </c>
      <c r="AO39" s="45" t="b">
        <v>0</v>
      </c>
      <c r="AP39" s="45">
        <v>0</v>
      </c>
      <c r="AQ39" s="45">
        <v>0</v>
      </c>
    </row>
    <row r="40" spans="23:43" x14ac:dyDescent="0.3">
      <c r="W40" s="44" t="str">
        <f ca="1">_xlfn.XLOOKUP($AB40,$B$8:$B$8,$C$8:$C$8,"",0)</f>
        <v/>
      </c>
      <c r="X40" s="44" t="str">
        <f ca="1">_xlfn.XLOOKUP($AB40,$B$8:$B$8,$E$8:$E$8,"",0)</f>
        <v/>
      </c>
      <c r="Y40" s="44" t="str">
        <f ca="1">_xlfn.XLOOKUP($AB40,$B$8:$B$8,$F$8:$F$8,"",0)</f>
        <v/>
      </c>
      <c r="Z40" s="44" t="str">
        <f ca="1">IF((_xlfn.XLOOKUP($AB40,$B$8:$B$8,$D$8:$D$8,"",0)=0),"Classic",_xlfn.XLOOKUP($AB40,$B$8:$B$8,$D$8:$D$8,"",0))</f>
        <v/>
      </c>
      <c r="AA40" s="45" t="s">
        <v>129</v>
      </c>
      <c r="AB40" s="45"/>
      <c r="AC40" s="45">
        <v>777</v>
      </c>
      <c r="AD40" s="46">
        <v>2</v>
      </c>
      <c r="AE40" s="45">
        <v>1</v>
      </c>
      <c r="AF40" s="45" t="s">
        <v>58</v>
      </c>
      <c r="AG40" s="45" t="s">
        <v>130</v>
      </c>
      <c r="AH40" s="50">
        <v>42697</v>
      </c>
      <c r="AI40" s="50">
        <v>42697</v>
      </c>
      <c r="AJ40" s="50">
        <v>45618</v>
      </c>
      <c r="AK40" s="45">
        <v>0</v>
      </c>
      <c r="AL40" s="45">
        <v>419</v>
      </c>
      <c r="AM40" s="45">
        <v>745</v>
      </c>
      <c r="AN40" s="45">
        <v>326</v>
      </c>
      <c r="AO40" s="45" t="b">
        <v>0</v>
      </c>
      <c r="AP40" s="45">
        <v>0</v>
      </c>
      <c r="AQ40" s="45">
        <v>0</v>
      </c>
    </row>
    <row r="41" spans="23:43" x14ac:dyDescent="0.3">
      <c r="W41" s="44" t="str">
        <f ca="1">_xlfn.XLOOKUP($AB41,$B$8:$B$8,$C$8:$C$8,"",0)</f>
        <v/>
      </c>
      <c r="X41" s="44" t="str">
        <f ca="1">_xlfn.XLOOKUP($AB41,$B$8:$B$8,$E$8:$E$8,"",0)</f>
        <v/>
      </c>
      <c r="Y41" s="44" t="str">
        <f ca="1">_xlfn.XLOOKUP($AB41,$B$8:$B$8,$F$8:$F$8,"",0)</f>
        <v/>
      </c>
      <c r="Z41" s="44" t="str">
        <f ca="1">IF((_xlfn.XLOOKUP($AB41,$B$8:$B$8,$D$8:$D$8,"",0)=0),"Classic",_xlfn.XLOOKUP($AB41,$B$8:$B$8,$D$8:$D$8,"",0))</f>
        <v/>
      </c>
      <c r="AA41" s="45" t="s">
        <v>131</v>
      </c>
      <c r="AB41" s="45"/>
      <c r="AC41" s="45">
        <v>777</v>
      </c>
      <c r="AD41" s="46">
        <v>2</v>
      </c>
      <c r="AE41" s="45">
        <v>1</v>
      </c>
      <c r="AF41" s="45" t="s">
        <v>58</v>
      </c>
      <c r="AG41" s="45" t="s">
        <v>132</v>
      </c>
      <c r="AH41" s="50">
        <v>44664</v>
      </c>
      <c r="AI41" s="50">
        <v>44664</v>
      </c>
      <c r="AJ41" s="50">
        <v>45394</v>
      </c>
      <c r="AK41" s="45">
        <v>0</v>
      </c>
      <c r="AL41" s="45">
        <v>730</v>
      </c>
      <c r="AM41" s="45">
        <v>730</v>
      </c>
      <c r="AN41" s="45">
        <v>0</v>
      </c>
      <c r="AO41" s="45" t="b">
        <v>0</v>
      </c>
      <c r="AP41" s="45">
        <v>0</v>
      </c>
      <c r="AQ41" s="45">
        <v>0</v>
      </c>
    </row>
    <row r="42" spans="23:43" x14ac:dyDescent="0.3">
      <c r="W42" s="44" t="str">
        <f ca="1">_xlfn.XLOOKUP($AB42,$B$8:$B$8,$C$8:$C$8,"",0)</f>
        <v/>
      </c>
      <c r="X42" s="44" t="str">
        <f ca="1">_xlfn.XLOOKUP($AB42,$B$8:$B$8,$E$8:$E$8,"",0)</f>
        <v/>
      </c>
      <c r="Y42" s="44" t="str">
        <f ca="1">_xlfn.XLOOKUP($AB42,$B$8:$B$8,$F$8:$F$8,"",0)</f>
        <v/>
      </c>
      <c r="Z42" s="44" t="str">
        <f ca="1">IF((_xlfn.XLOOKUP($AB42,$B$8:$B$8,$D$8:$D$8,"",0)=0),"Classic",_xlfn.XLOOKUP($AB42,$B$8:$B$8,$D$8:$D$8,"",0))</f>
        <v/>
      </c>
      <c r="AA42" s="45" t="s">
        <v>133</v>
      </c>
      <c r="AB42" s="45"/>
      <c r="AC42" s="45">
        <v>777</v>
      </c>
      <c r="AD42" s="46">
        <v>2</v>
      </c>
      <c r="AE42" s="45">
        <v>1</v>
      </c>
      <c r="AF42" s="45" t="s">
        <v>58</v>
      </c>
      <c r="AG42" s="45" t="s">
        <v>134</v>
      </c>
      <c r="AH42" s="50">
        <v>43592</v>
      </c>
      <c r="AI42" s="50">
        <v>43592</v>
      </c>
      <c r="AJ42" s="50">
        <v>45418</v>
      </c>
      <c r="AK42" s="45">
        <v>0</v>
      </c>
      <c r="AL42" s="45">
        <v>730</v>
      </c>
      <c r="AM42" s="45">
        <v>730</v>
      </c>
      <c r="AN42" s="45">
        <v>0</v>
      </c>
      <c r="AO42" s="45" t="b">
        <v>0</v>
      </c>
      <c r="AP42" s="45">
        <v>0</v>
      </c>
      <c r="AQ42" s="45">
        <v>25</v>
      </c>
    </row>
    <row r="43" spans="23:43" x14ac:dyDescent="0.3">
      <c r="W43" s="44" t="str">
        <f ca="1">_xlfn.XLOOKUP($AB43,$B$8:$B$8,$C$8:$C$8,"",0)</f>
        <v/>
      </c>
      <c r="X43" s="44" t="str">
        <f ca="1">_xlfn.XLOOKUP($AB43,$B$8:$B$8,$E$8:$E$8,"",0)</f>
        <v/>
      </c>
      <c r="Y43" s="44" t="str">
        <f ca="1">_xlfn.XLOOKUP($AB43,$B$8:$B$8,$F$8:$F$8,"",0)</f>
        <v/>
      </c>
      <c r="Z43" s="44" t="str">
        <f ca="1">IF((_xlfn.XLOOKUP($AB43,$B$8:$B$8,$D$8:$D$8,"",0)=0),"Classic",_xlfn.XLOOKUP($AB43,$B$8:$B$8,$D$8:$D$8,"",0))</f>
        <v/>
      </c>
      <c r="AA43" s="45" t="s">
        <v>135</v>
      </c>
      <c r="AB43" s="45"/>
      <c r="AC43" s="45">
        <v>777</v>
      </c>
      <c r="AD43" s="46">
        <v>2</v>
      </c>
      <c r="AE43" s="45">
        <v>1</v>
      </c>
      <c r="AF43" s="45" t="s">
        <v>58</v>
      </c>
      <c r="AG43" s="45" t="s">
        <v>136</v>
      </c>
      <c r="AH43" s="50">
        <v>44932</v>
      </c>
      <c r="AI43" s="50">
        <v>44932</v>
      </c>
      <c r="AJ43" s="50">
        <v>45662</v>
      </c>
      <c r="AK43" s="45">
        <v>0</v>
      </c>
      <c r="AL43" s="45">
        <v>775</v>
      </c>
      <c r="AM43" s="45">
        <v>775</v>
      </c>
      <c r="AN43" s="45">
        <v>0</v>
      </c>
      <c r="AO43" s="45" t="b">
        <v>0</v>
      </c>
      <c r="AP43" s="45">
        <v>0</v>
      </c>
      <c r="AQ43" s="45">
        <v>0</v>
      </c>
    </row>
  </sheetData>
  <mergeCells count="1">
    <mergeCell ref="C3:D3"/>
  </mergeCells>
  <conditionalFormatting sqref="U4">
    <cfRule type="cellIs" dxfId="3" priority="25" stopIfTrue="1" operator="greaterThan">
      <formula>0</formula>
    </cfRule>
  </conditionalFormatting>
  <conditionalFormatting sqref="U5">
    <cfRule type="cellIs" dxfId="2" priority="26" stopIfTrue="1" operator="greaterThan">
      <formula>0</formula>
    </cfRule>
  </conditionalFormatting>
  <conditionalFormatting sqref="AA4:AA43">
    <cfRule type="duplicateValues" dxfId="1" priority="27"/>
  </conditionalFormatting>
  <conditionalFormatting sqref="AG4:AG43">
    <cfRule type="duplicateValues" dxfId="0" priority="28"/>
  </conditionalFormatting>
  <dataValidations count="1">
    <dataValidation type="list" allowBlank="1" showInputMessage="1" showErrorMessage="1" sqref="D8" xr:uid="{53FD2FFA-EBCC-4493-8C96-A2ED7BBE3C72}">
      <formula1>"Classic,Partial,Renovated"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4BB0-EA08-4E52-B587-C120CECF6C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QD_RENTROLL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Walstar Technologies</dc:creator>
  <cp:lastModifiedBy>Walstar Technologies</cp:lastModifiedBy>
  <dcterms:created xsi:type="dcterms:W3CDTF">2025-03-28T04:34:07Z</dcterms:created>
  <dcterms:modified xsi:type="dcterms:W3CDTF">2025-03-28T05:15:14Z</dcterms:modified>
</cp:coreProperties>
</file>