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Data Collected" sheetId="1" r:id="rId1"/>
    <sheet name="All Sources" sheetId="11" r:id="rId2"/>
    <sheet name="All ELISA" sheetId="14" r:id="rId3"/>
    <sheet name="All PRN" sheetId="12" r:id="rId4"/>
    <sheet name="All PRN and NT" sheetId="13" r:id="rId5"/>
    <sheet name="Source 1" sheetId="2" r:id="rId6"/>
    <sheet name="Source 2" sheetId="3" r:id="rId7"/>
    <sheet name="Source 3" sheetId="4" r:id="rId8"/>
    <sheet name="Source 4" sheetId="5" r:id="rId9"/>
    <sheet name="Source 5" sheetId="6" r:id="rId10"/>
    <sheet name="Source 6" sheetId="7" r:id="rId11"/>
    <sheet name="Source 7" sheetId="8" r:id="rId12"/>
    <sheet name="Source 8" sheetId="9" r:id="rId13"/>
    <sheet name="Source 9" sheetId="10" r:id="rId14"/>
  </sheets>
  <calcPr calcId="125725"/>
</workbook>
</file>

<file path=xl/calcChain.xml><?xml version="1.0" encoding="utf-8"?>
<calcChain xmlns="http://schemas.openxmlformats.org/spreadsheetml/2006/main">
  <c r="F4" i="13"/>
  <c r="G4"/>
  <c r="F5"/>
  <c r="G5"/>
  <c r="F6"/>
  <c r="G6"/>
  <c r="F7"/>
  <c r="G7"/>
  <c r="F8"/>
  <c r="G8"/>
  <c r="G3"/>
  <c r="F3"/>
  <c r="F4" i="12"/>
  <c r="G4"/>
  <c r="F5"/>
  <c r="G5"/>
  <c r="F6"/>
  <c r="G6"/>
  <c r="F7"/>
  <c r="G7"/>
  <c r="F8"/>
  <c r="G8"/>
  <c r="G3"/>
  <c r="F3"/>
  <c r="F4" i="1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G3"/>
  <c r="F3"/>
  <c r="G4" i="11"/>
  <c r="G5"/>
  <c r="G6"/>
  <c r="G7"/>
  <c r="G8"/>
  <c r="G9"/>
  <c r="G10"/>
  <c r="G11"/>
  <c r="G12"/>
  <c r="G13"/>
  <c r="G14"/>
  <c r="G15"/>
  <c r="G16"/>
  <c r="G17"/>
  <c r="G18"/>
  <c r="G19"/>
  <c r="G20"/>
  <c r="G21"/>
  <c r="G3"/>
  <c r="F4"/>
  <c r="F5"/>
  <c r="F6"/>
  <c r="F7"/>
  <c r="F8"/>
  <c r="F9"/>
  <c r="F10"/>
  <c r="F11"/>
  <c r="F12"/>
  <c r="F13"/>
  <c r="F14"/>
  <c r="F15"/>
  <c r="F16"/>
  <c r="F17"/>
  <c r="F18"/>
  <c r="F19"/>
  <c r="F20"/>
  <c r="F21"/>
  <c r="F3"/>
  <c r="D19"/>
  <c r="C19"/>
  <c r="B19"/>
  <c r="D16"/>
  <c r="C16"/>
  <c r="B16"/>
  <c r="E12"/>
  <c r="D12"/>
  <c r="C12"/>
  <c r="B12"/>
  <c r="E10"/>
  <c r="D10"/>
  <c r="C10"/>
  <c r="B10"/>
  <c r="E3"/>
  <c r="D3"/>
  <c r="C3"/>
  <c r="B3"/>
  <c r="E6" i="13"/>
  <c r="D6"/>
  <c r="C6"/>
  <c r="B6"/>
  <c r="E3"/>
  <c r="D3"/>
  <c r="C3"/>
  <c r="B3"/>
  <c r="E6" i="12"/>
  <c r="D6"/>
  <c r="C6"/>
  <c r="B6"/>
  <c r="D18" i="14"/>
  <c r="B18"/>
  <c r="D15"/>
  <c r="B15"/>
  <c r="E11"/>
  <c r="D11"/>
  <c r="C11"/>
  <c r="B11"/>
  <c r="E3"/>
  <c r="D3"/>
  <c r="C3"/>
  <c r="B3"/>
</calcChain>
</file>

<file path=xl/sharedStrings.xml><?xml version="1.0" encoding="utf-8"?>
<sst xmlns="http://schemas.openxmlformats.org/spreadsheetml/2006/main" count="181" uniqueCount="87">
  <si>
    <t>Source</t>
  </si>
  <si>
    <t>Lead Author</t>
  </si>
  <si>
    <t>Country</t>
  </si>
  <si>
    <t>Years of Study</t>
  </si>
  <si>
    <t>Assessment of Maternal Status</t>
  </si>
  <si>
    <t>Threshold</t>
  </si>
  <si>
    <t>Number in Study (Infants)</t>
  </si>
  <si>
    <t>Min Weight (g)</t>
  </si>
  <si>
    <t>Min Gestation(weeks)</t>
  </si>
  <si>
    <t>Independent Data</t>
  </si>
  <si>
    <t>Other</t>
  </si>
  <si>
    <t>Kacica</t>
  </si>
  <si>
    <t>Lauridan</t>
  </si>
  <si>
    <t>Markowitz</t>
  </si>
  <si>
    <t>Linder</t>
  </si>
  <si>
    <t>Brugha</t>
  </si>
  <si>
    <t>Pabst</t>
  </si>
  <si>
    <t>Carson</t>
  </si>
  <si>
    <t>Zanetta</t>
  </si>
  <si>
    <t>Janaszek</t>
  </si>
  <si>
    <t>USA</t>
  </si>
  <si>
    <t>Belgium</t>
  </si>
  <si>
    <t>Isreal</t>
  </si>
  <si>
    <t>UK</t>
  </si>
  <si>
    <t>Canada</t>
  </si>
  <si>
    <t>Brazil</t>
  </si>
  <si>
    <t>Poland</t>
  </si>
  <si>
    <t>1990-1991</t>
  </si>
  <si>
    <t>2006-2008</t>
  </si>
  <si>
    <t>1983-1991</t>
  </si>
  <si>
    <t>1991-1992</t>
  </si>
  <si>
    <t>1997-8</t>
  </si>
  <si>
    <t>ELISA</t>
  </si>
  <si>
    <t>PRN</t>
  </si>
  <si>
    <t>NT</t>
  </si>
  <si>
    <t>EIA/PRN</t>
  </si>
  <si>
    <t xml:space="preserve">Assay </t>
  </si>
  <si>
    <t>Born before 1963 (Unvaccinated). Born after 1963 (Vaccinated)</t>
  </si>
  <si>
    <t>Documented medical history</t>
  </si>
  <si>
    <t>Born before 1957 (Unvaccinated) Born after 1963 (Vaccinated)</t>
  </si>
  <si>
    <t>Born before 1967 (Unvaccinated) Born after 1968 (Vaccinated)</t>
  </si>
  <si>
    <t>Participation in vaccination trial (Vaccinated)</t>
  </si>
  <si>
    <t>Born before 1958 (Unvaccinated) Born after 1964 and documention  (Vaccinated)</t>
  </si>
  <si>
    <t>25 or older(Unvaccinated), 24 or younger (Vaccinated)</t>
  </si>
  <si>
    <t>Born before 1976 Unvaccinated after vaccinatted</t>
  </si>
  <si>
    <t xml:space="preserve">0.3  IU/ml </t>
  </si>
  <si>
    <t>0.2 IU/ml</t>
  </si>
  <si>
    <t>10 AU</t>
  </si>
  <si>
    <t>0.12 IU/ml</t>
  </si>
  <si>
    <t>8 Titre</t>
  </si>
  <si>
    <t>10 Titre</t>
  </si>
  <si>
    <t>0.3 IU/ml / 15 Titre</t>
  </si>
  <si>
    <t>N/A</t>
  </si>
  <si>
    <t>Yes</t>
  </si>
  <si>
    <t>No</t>
  </si>
  <si>
    <t>USA born women only. Ignored women born between 1957-1963</t>
  </si>
  <si>
    <t>Combined group 2 and 3 into a vaccinated group. Assume 1:10 and above is positive</t>
  </si>
  <si>
    <t>yes</t>
  </si>
  <si>
    <t>Stopped using data after 6th month, as increase is likely due to infection</t>
  </si>
  <si>
    <t>Data only taken from full term infants</t>
  </si>
  <si>
    <t>Sample size estimated to be 42 (average).</t>
  </si>
  <si>
    <t>Age (Months)</t>
  </si>
  <si>
    <t>Number Unvaccinated</t>
  </si>
  <si>
    <t>Number immune Unvaccinated</t>
  </si>
  <si>
    <t>Number Vaccinated</t>
  </si>
  <si>
    <t>Number immune Vaccinated</t>
  </si>
  <si>
    <t>Cord</t>
  </si>
  <si>
    <t>Number of infants (Unvaccinated)</t>
  </si>
  <si>
    <t>Number immune (Unvaccinated)</t>
  </si>
  <si>
    <t>Number of infants (Vaccinated)</t>
  </si>
  <si>
    <t>Number immune (Vaccinated)</t>
  </si>
  <si>
    <t>Median Age (Months)</t>
  </si>
  <si>
    <t>0-4 months</t>
  </si>
  <si>
    <t>4-5 months</t>
  </si>
  <si>
    <t>5 + (6-7) months</t>
  </si>
  <si>
    <t>EIA</t>
  </si>
  <si>
    <t>Number of Infants (Unvaccinated)</t>
  </si>
  <si>
    <t>Number Immune (Unvaccinated)</t>
  </si>
  <si>
    <t>Number of Infants (Vaccinated)</t>
  </si>
  <si>
    <t>Number Immune (Vaccinated)</t>
  </si>
  <si>
    <t>Sources</t>
  </si>
  <si>
    <t>1,2,3,4,5,6,7ELISA,8,9</t>
  </si>
  <si>
    <t>1,2,7,8,9</t>
  </si>
  <si>
    <t>3,5,7</t>
  </si>
  <si>
    <t>3,4,5,6,7</t>
  </si>
  <si>
    <t>Unvaccinated Proportion</t>
  </si>
  <si>
    <t>Vaccinated Proportion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</si>
</sst>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>
      <selection activeCell="E8" sqref="E8"/>
    </sheetView>
  </sheetViews>
  <sheetFormatPr defaultRowHeight="15"/>
  <cols>
    <col min="1" max="1" width="7" bestFit="1" customWidth="1"/>
    <col min="2" max="2" width="11.7109375" bestFit="1" customWidth="1"/>
    <col min="3" max="3" width="8" bestFit="1" customWidth="1"/>
    <col min="4" max="4" width="13.5703125" bestFit="1" customWidth="1"/>
    <col min="5" max="5" width="9.7109375" customWidth="1"/>
    <col min="6" max="6" width="73.5703125" bestFit="1" customWidth="1"/>
    <col min="7" max="7" width="17.5703125" bestFit="1" customWidth="1"/>
    <col min="8" max="8" width="10.42578125" bestFit="1" customWidth="1"/>
    <col min="9" max="9" width="10.28515625" bestFit="1" customWidth="1"/>
    <col min="10" max="10" width="16.85546875" bestFit="1" customWidth="1"/>
    <col min="11" max="11" width="12.5703125" bestFit="1" customWidth="1"/>
    <col min="12" max="12" width="76.42578125" bestFit="1" customWidth="1"/>
  </cols>
  <sheetData>
    <row r="1" spans="1:12" ht="45">
      <c r="A1" s="9" t="s">
        <v>0</v>
      </c>
      <c r="B1" s="1" t="s">
        <v>1</v>
      </c>
      <c r="C1" s="1" t="s">
        <v>2</v>
      </c>
      <c r="D1" s="1" t="s">
        <v>3</v>
      </c>
      <c r="E1" s="3" t="s">
        <v>36</v>
      </c>
      <c r="F1" s="3" t="s">
        <v>4</v>
      </c>
      <c r="G1" s="1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2" t="s">
        <v>10</v>
      </c>
    </row>
    <row r="2" spans="1:12">
      <c r="A2">
        <v>1</v>
      </c>
      <c r="B2" s="5" t="s">
        <v>11</v>
      </c>
      <c r="C2" s="6" t="s">
        <v>20</v>
      </c>
      <c r="D2" s="7" t="s">
        <v>27</v>
      </c>
      <c r="E2" s="8" t="s">
        <v>32</v>
      </c>
      <c r="F2" s="6" t="s">
        <v>37</v>
      </c>
      <c r="G2" s="6">
        <v>0.16</v>
      </c>
      <c r="H2" s="5">
        <v>202</v>
      </c>
      <c r="I2" s="6" t="s">
        <v>52</v>
      </c>
      <c r="J2" s="6" t="s">
        <v>52</v>
      </c>
      <c r="K2" s="6" t="s">
        <v>53</v>
      </c>
      <c r="L2" s="6"/>
    </row>
    <row r="3" spans="1:12">
      <c r="A3">
        <v>2</v>
      </c>
      <c r="B3" s="5" t="s">
        <v>12</v>
      </c>
      <c r="C3" s="6" t="s">
        <v>21</v>
      </c>
      <c r="D3" s="7" t="s">
        <v>28</v>
      </c>
      <c r="E3" s="8" t="s">
        <v>32</v>
      </c>
      <c r="F3" s="6" t="s">
        <v>38</v>
      </c>
      <c r="G3" s="6" t="s">
        <v>45</v>
      </c>
      <c r="H3" s="5">
        <v>226</v>
      </c>
      <c r="I3" s="6">
        <v>2400</v>
      </c>
      <c r="J3" s="6">
        <v>36</v>
      </c>
      <c r="K3" s="6" t="s">
        <v>54</v>
      </c>
      <c r="L3" s="6"/>
    </row>
    <row r="4" spans="1:12">
      <c r="A4">
        <v>3</v>
      </c>
      <c r="B4" s="5" t="s">
        <v>13</v>
      </c>
      <c r="C4" s="6" t="s">
        <v>20</v>
      </c>
      <c r="D4" s="7" t="s">
        <v>27</v>
      </c>
      <c r="E4" s="8" t="s">
        <v>33</v>
      </c>
      <c r="F4" s="6" t="s">
        <v>39</v>
      </c>
      <c r="G4" s="6" t="s">
        <v>49</v>
      </c>
      <c r="H4" s="5">
        <v>404</v>
      </c>
      <c r="I4" s="6" t="s">
        <v>52</v>
      </c>
      <c r="J4" s="6" t="s">
        <v>52</v>
      </c>
      <c r="K4" s="6" t="s">
        <v>53</v>
      </c>
      <c r="L4" s="6" t="s">
        <v>55</v>
      </c>
    </row>
    <row r="5" spans="1:12">
      <c r="A5">
        <v>4</v>
      </c>
      <c r="B5" s="5" t="s">
        <v>14</v>
      </c>
      <c r="C5" s="6" t="s">
        <v>22</v>
      </c>
      <c r="D5" s="7">
        <v>1997</v>
      </c>
      <c r="E5" s="8" t="s">
        <v>34</v>
      </c>
      <c r="F5" s="6" t="s">
        <v>40</v>
      </c>
      <c r="G5" s="6" t="s">
        <v>49</v>
      </c>
      <c r="H5" s="5">
        <v>78</v>
      </c>
      <c r="I5" s="6" t="s">
        <v>52</v>
      </c>
      <c r="J5" s="6">
        <v>37</v>
      </c>
      <c r="K5" s="6" t="s">
        <v>53</v>
      </c>
      <c r="L5" s="6" t="s">
        <v>59</v>
      </c>
    </row>
    <row r="6" spans="1:12">
      <c r="A6">
        <v>5</v>
      </c>
      <c r="B6" s="5" t="s">
        <v>15</v>
      </c>
      <c r="C6" s="6" t="s">
        <v>23</v>
      </c>
      <c r="D6" s="7" t="s">
        <v>29</v>
      </c>
      <c r="E6" s="8" t="s">
        <v>33</v>
      </c>
      <c r="F6" s="6" t="s">
        <v>41</v>
      </c>
      <c r="G6" s="6" t="s">
        <v>46</v>
      </c>
      <c r="H6" s="5">
        <v>119</v>
      </c>
      <c r="I6" s="6" t="s">
        <v>52</v>
      </c>
      <c r="J6" s="6" t="s">
        <v>52</v>
      </c>
      <c r="K6" s="6" t="s">
        <v>53</v>
      </c>
      <c r="L6" s="6"/>
    </row>
    <row r="7" spans="1:12">
      <c r="A7">
        <v>6</v>
      </c>
      <c r="B7" s="5" t="s">
        <v>16</v>
      </c>
      <c r="C7" s="6" t="s">
        <v>24</v>
      </c>
      <c r="D7" s="7">
        <v>1992</v>
      </c>
      <c r="E7" s="8" t="s">
        <v>34</v>
      </c>
      <c r="F7" s="6" t="s">
        <v>42</v>
      </c>
      <c r="G7" s="6" t="s">
        <v>50</v>
      </c>
      <c r="H7" s="5">
        <v>278</v>
      </c>
      <c r="I7" s="6">
        <v>2800</v>
      </c>
      <c r="J7" s="6">
        <v>37</v>
      </c>
      <c r="K7" s="6" t="s">
        <v>53</v>
      </c>
      <c r="L7" s="6" t="s">
        <v>56</v>
      </c>
    </row>
    <row r="8" spans="1:12">
      <c r="A8">
        <v>7</v>
      </c>
      <c r="B8" s="5" t="s">
        <v>17</v>
      </c>
      <c r="C8" s="6" t="s">
        <v>24</v>
      </c>
      <c r="D8" s="7" t="s">
        <v>30</v>
      </c>
      <c r="E8" s="8" t="s">
        <v>35</v>
      </c>
      <c r="F8" s="6" t="s">
        <v>42</v>
      </c>
      <c r="G8" s="6" t="s">
        <v>51</v>
      </c>
      <c r="H8" s="5">
        <v>125</v>
      </c>
      <c r="I8" s="6">
        <v>2800</v>
      </c>
      <c r="J8" s="6">
        <v>38</v>
      </c>
      <c r="K8" s="6" t="s">
        <v>53</v>
      </c>
      <c r="L8" s="6" t="s">
        <v>56</v>
      </c>
    </row>
    <row r="9" spans="1:12">
      <c r="A9">
        <v>8</v>
      </c>
      <c r="B9" s="5" t="s">
        <v>18</v>
      </c>
      <c r="C9" s="6" t="s">
        <v>25</v>
      </c>
      <c r="D9" s="7">
        <v>1997</v>
      </c>
      <c r="E9" s="8" t="s">
        <v>32</v>
      </c>
      <c r="F9" s="6" t="s">
        <v>43</v>
      </c>
      <c r="G9" s="6" t="s">
        <v>47</v>
      </c>
      <c r="H9" s="5">
        <v>1216</v>
      </c>
      <c r="I9" s="6">
        <v>2500</v>
      </c>
      <c r="J9" s="6">
        <v>37</v>
      </c>
      <c r="K9" s="6" t="s">
        <v>57</v>
      </c>
      <c r="L9" s="6" t="s">
        <v>58</v>
      </c>
    </row>
    <row r="10" spans="1:12">
      <c r="A10">
        <v>9</v>
      </c>
      <c r="B10" s="6" t="s">
        <v>19</v>
      </c>
      <c r="C10" s="6" t="s">
        <v>26</v>
      </c>
      <c r="D10" s="7" t="s">
        <v>31</v>
      </c>
      <c r="E10" s="4" t="s">
        <v>32</v>
      </c>
      <c r="F10" s="6" t="s">
        <v>44</v>
      </c>
      <c r="G10" s="6" t="s">
        <v>48</v>
      </c>
      <c r="H10" s="6">
        <v>759</v>
      </c>
      <c r="I10" s="6">
        <v>2500</v>
      </c>
      <c r="J10" s="6">
        <v>36</v>
      </c>
      <c r="K10" s="6" t="s">
        <v>57</v>
      </c>
      <c r="L10" s="6" t="s">
        <v>60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B2" sqref="B2:F4"/>
    </sheetView>
  </sheetViews>
  <sheetFormatPr defaultRowHeight="15"/>
  <cols>
    <col min="1" max="1" width="15.28515625" bestFit="1" customWidth="1"/>
    <col min="2" max="2" width="20.42578125" bestFit="1" customWidth="1"/>
    <col min="3" max="3" width="31.5703125" bestFit="1" customWidth="1"/>
    <col min="4" max="4" width="30.5703125" bestFit="1" customWidth="1"/>
    <col min="5" max="5" width="29.28515625" bestFit="1" customWidth="1"/>
    <col min="6" max="6" width="28.28515625" bestFit="1" customWidth="1"/>
  </cols>
  <sheetData>
    <row r="1" spans="1:6">
      <c r="A1" s="14" t="s">
        <v>61</v>
      </c>
      <c r="B1" s="14" t="s">
        <v>71</v>
      </c>
      <c r="C1" s="14" t="s">
        <v>67</v>
      </c>
      <c r="D1" s="14" t="s">
        <v>68</v>
      </c>
      <c r="E1" s="14" t="s">
        <v>69</v>
      </c>
      <c r="F1" s="14" t="s">
        <v>70</v>
      </c>
    </row>
    <row r="2" spans="1:6">
      <c r="A2" s="14" t="s">
        <v>72</v>
      </c>
      <c r="B2" s="14">
        <v>2</v>
      </c>
      <c r="C2" s="14">
        <v>19</v>
      </c>
      <c r="D2" s="14">
        <v>16</v>
      </c>
      <c r="E2" s="14">
        <v>14</v>
      </c>
      <c r="F2" s="14">
        <v>4</v>
      </c>
    </row>
    <row r="3" spans="1:6">
      <c r="A3" s="14" t="s">
        <v>73</v>
      </c>
      <c r="B3" s="14">
        <v>4.5</v>
      </c>
      <c r="C3" s="14">
        <v>12</v>
      </c>
      <c r="D3" s="14">
        <v>10</v>
      </c>
      <c r="E3" s="14">
        <v>25</v>
      </c>
      <c r="F3" s="14">
        <v>7</v>
      </c>
    </row>
    <row r="4" spans="1:6">
      <c r="A4" s="14" t="s">
        <v>74</v>
      </c>
      <c r="B4" s="14">
        <v>6</v>
      </c>
      <c r="C4" s="14">
        <v>20</v>
      </c>
      <c r="D4" s="14">
        <v>8</v>
      </c>
      <c r="E4" s="14">
        <v>19</v>
      </c>
      <c r="F4" s="14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2" sqref="B2:E2"/>
    </sheetView>
  </sheetViews>
  <sheetFormatPr defaultRowHeight="15"/>
  <cols>
    <col min="1" max="1" width="13.140625" bestFit="1" customWidth="1"/>
    <col min="2" max="2" width="31.5703125" bestFit="1" customWidth="1"/>
    <col min="3" max="3" width="30.5703125" bestFit="1" customWidth="1"/>
    <col min="4" max="4" width="29.28515625" bestFit="1" customWidth="1"/>
    <col min="5" max="5" width="28.28515625" bestFit="1" customWidth="1"/>
  </cols>
  <sheetData>
    <row r="1" spans="1:5">
      <c r="A1" s="15" t="s">
        <v>61</v>
      </c>
      <c r="B1" s="15" t="s">
        <v>67</v>
      </c>
      <c r="C1" s="15" t="s">
        <v>68</v>
      </c>
      <c r="D1" s="15" t="s">
        <v>69</v>
      </c>
      <c r="E1" s="15" t="s">
        <v>70</v>
      </c>
    </row>
    <row r="2" spans="1:5">
      <c r="A2" s="15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E6" sqref="B6:E6"/>
    </sheetView>
  </sheetViews>
  <sheetFormatPr defaultRowHeight="15"/>
  <cols>
    <col min="1" max="1" width="13.140625" bestFit="1" customWidth="1"/>
    <col min="2" max="2" width="31.5703125" bestFit="1" customWidth="1"/>
    <col min="3" max="3" width="30.5703125" bestFit="1" customWidth="1"/>
    <col min="4" max="4" width="29.28515625" bestFit="1" customWidth="1"/>
    <col min="5" max="5" width="28.28515625" bestFit="1" customWidth="1"/>
  </cols>
  <sheetData>
    <row r="1" spans="1:5">
      <c r="A1" s="16" t="s">
        <v>75</v>
      </c>
      <c r="B1" s="16"/>
      <c r="C1" s="16"/>
      <c r="D1" s="16"/>
      <c r="E1" s="16"/>
    </row>
    <row r="2" spans="1:5">
      <c r="A2" s="16" t="s">
        <v>61</v>
      </c>
      <c r="B2" s="16" t="s">
        <v>67</v>
      </c>
      <c r="C2" s="16" t="s">
        <v>68</v>
      </c>
      <c r="D2" s="16" t="s">
        <v>69</v>
      </c>
      <c r="E2" s="16" t="s">
        <v>70</v>
      </c>
    </row>
    <row r="3" spans="1:5">
      <c r="A3" s="13" t="s">
        <v>66</v>
      </c>
      <c r="B3" s="16">
        <v>60</v>
      </c>
      <c r="C3" s="16">
        <v>42</v>
      </c>
      <c r="D3" s="16">
        <v>65</v>
      </c>
      <c r="E3" s="16">
        <v>20</v>
      </c>
    </row>
    <row r="5" spans="1:5">
      <c r="A5" s="16" t="s">
        <v>33</v>
      </c>
      <c r="B5" s="16"/>
      <c r="C5" s="16"/>
      <c r="D5" s="16"/>
      <c r="E5" s="16"/>
    </row>
    <row r="6" spans="1:5">
      <c r="A6" s="13" t="s">
        <v>66</v>
      </c>
      <c r="B6" s="16">
        <v>54</v>
      </c>
      <c r="C6" s="16">
        <v>49</v>
      </c>
      <c r="D6" s="16">
        <v>59</v>
      </c>
      <c r="E6" s="16">
        <v>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E2" sqref="A2:E8"/>
    </sheetView>
  </sheetViews>
  <sheetFormatPr defaultRowHeight="15"/>
  <cols>
    <col min="1" max="1" width="13.140625" bestFit="1" customWidth="1"/>
    <col min="2" max="2" width="31.5703125" bestFit="1" customWidth="1"/>
    <col min="3" max="3" width="30.5703125" bestFit="1" customWidth="1"/>
    <col min="4" max="4" width="29.28515625" bestFit="1" customWidth="1"/>
    <col min="5" max="5" width="28.28515625" bestFit="1" customWidth="1"/>
  </cols>
  <sheetData>
    <row r="1" spans="1:5">
      <c r="A1" s="17" t="s">
        <v>61</v>
      </c>
      <c r="B1" s="17" t="s">
        <v>76</v>
      </c>
      <c r="C1" s="17" t="s">
        <v>77</v>
      </c>
      <c r="D1" s="17" t="s">
        <v>78</v>
      </c>
      <c r="E1" s="17" t="s">
        <v>79</v>
      </c>
    </row>
    <row r="2" spans="1:5">
      <c r="A2" s="13" t="s">
        <v>66</v>
      </c>
      <c r="B2" s="17">
        <v>31</v>
      </c>
      <c r="C2" s="17">
        <v>31</v>
      </c>
      <c r="D2" s="17">
        <v>60</v>
      </c>
      <c r="E2" s="17">
        <v>50</v>
      </c>
    </row>
    <row r="3" spans="1:5">
      <c r="A3" s="17">
        <v>1.5</v>
      </c>
      <c r="B3" s="17">
        <v>60</v>
      </c>
      <c r="C3" s="17">
        <v>27</v>
      </c>
      <c r="D3" s="17">
        <v>63</v>
      </c>
      <c r="E3" s="17">
        <v>15</v>
      </c>
    </row>
    <row r="4" spans="1:5">
      <c r="A4" s="17">
        <v>2.5</v>
      </c>
      <c r="B4" s="17">
        <v>57</v>
      </c>
      <c r="C4" s="17">
        <v>14</v>
      </c>
      <c r="D4" s="17">
        <v>53</v>
      </c>
      <c r="E4" s="17">
        <v>9</v>
      </c>
    </row>
    <row r="5" spans="1:5">
      <c r="A5" s="17">
        <v>3.5</v>
      </c>
      <c r="B5" s="17">
        <v>55</v>
      </c>
      <c r="C5" s="17">
        <v>13</v>
      </c>
      <c r="D5" s="17">
        <v>55</v>
      </c>
      <c r="E5" s="17">
        <v>7</v>
      </c>
    </row>
    <row r="6" spans="1:5">
      <c r="A6" s="17">
        <v>4.5</v>
      </c>
      <c r="B6" s="17">
        <v>55</v>
      </c>
      <c r="C6" s="17">
        <v>5</v>
      </c>
      <c r="D6" s="17">
        <v>55</v>
      </c>
      <c r="E6" s="17">
        <v>4</v>
      </c>
    </row>
    <row r="7" spans="1:5">
      <c r="A7" s="17">
        <v>5.5</v>
      </c>
      <c r="B7" s="17">
        <v>50</v>
      </c>
      <c r="C7" s="17">
        <v>7</v>
      </c>
      <c r="D7" s="17">
        <v>53</v>
      </c>
      <c r="E7" s="17">
        <v>5</v>
      </c>
    </row>
    <row r="8" spans="1:5">
      <c r="A8" s="17">
        <v>6.5</v>
      </c>
      <c r="B8" s="17">
        <v>76</v>
      </c>
      <c r="C8" s="17">
        <v>4</v>
      </c>
      <c r="D8" s="17">
        <v>78</v>
      </c>
      <c r="E8" s="17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E2" sqref="A2:E10"/>
    </sheetView>
  </sheetViews>
  <sheetFormatPr defaultRowHeight="15"/>
  <cols>
    <col min="1" max="1" width="13.140625" bestFit="1" customWidth="1"/>
    <col min="2" max="2" width="31.5703125" bestFit="1" customWidth="1"/>
    <col min="3" max="3" width="30.5703125" bestFit="1" customWidth="1"/>
    <col min="4" max="4" width="29.28515625" bestFit="1" customWidth="1"/>
    <col min="5" max="5" width="28.28515625" bestFit="1" customWidth="1"/>
  </cols>
  <sheetData>
    <row r="1" spans="1:5">
      <c r="A1" s="18" t="s">
        <v>61</v>
      </c>
      <c r="B1" s="18" t="s">
        <v>76</v>
      </c>
      <c r="C1" s="18" t="s">
        <v>77</v>
      </c>
      <c r="D1" s="18" t="s">
        <v>78</v>
      </c>
      <c r="E1" s="18" t="s">
        <v>79</v>
      </c>
    </row>
    <row r="2" spans="1:5">
      <c r="A2" s="18">
        <v>6</v>
      </c>
      <c r="B2" s="18">
        <v>42</v>
      </c>
      <c r="C2" s="18">
        <v>31</v>
      </c>
      <c r="D2" s="18">
        <v>42</v>
      </c>
      <c r="E2" s="18">
        <v>20</v>
      </c>
    </row>
    <row r="3" spans="1:5">
      <c r="A3" s="18">
        <v>7</v>
      </c>
      <c r="B3" s="18">
        <v>42</v>
      </c>
      <c r="C3" s="18">
        <v>23</v>
      </c>
      <c r="D3" s="18">
        <v>42</v>
      </c>
      <c r="E3" s="18">
        <v>12</v>
      </c>
    </row>
    <row r="4" spans="1:5">
      <c r="A4" s="18">
        <v>8</v>
      </c>
      <c r="B4" s="18">
        <v>42</v>
      </c>
      <c r="C4" s="18">
        <v>20</v>
      </c>
      <c r="D4" s="18">
        <v>42</v>
      </c>
      <c r="E4" s="18">
        <v>4</v>
      </c>
    </row>
    <row r="5" spans="1:5">
      <c r="A5" s="18">
        <v>9</v>
      </c>
      <c r="B5" s="18">
        <v>42</v>
      </c>
      <c r="C5" s="18">
        <v>11</v>
      </c>
      <c r="D5" s="18">
        <v>42</v>
      </c>
      <c r="E5" s="18">
        <v>0</v>
      </c>
    </row>
    <row r="6" spans="1:5">
      <c r="A6" s="18">
        <v>10</v>
      </c>
      <c r="B6" s="18">
        <v>42</v>
      </c>
      <c r="C6" s="18">
        <v>8</v>
      </c>
      <c r="D6" s="18">
        <v>42</v>
      </c>
      <c r="E6" s="18">
        <v>0</v>
      </c>
    </row>
    <row r="7" spans="1:5">
      <c r="A7" s="18">
        <v>11</v>
      </c>
      <c r="B7" s="18">
        <v>42</v>
      </c>
      <c r="C7" s="18">
        <v>3</v>
      </c>
      <c r="D7" s="18">
        <v>42</v>
      </c>
      <c r="E7" s="18">
        <v>1</v>
      </c>
    </row>
    <row r="8" spans="1:5">
      <c r="A8" s="18">
        <v>12</v>
      </c>
      <c r="B8" s="18">
        <v>42</v>
      </c>
      <c r="C8" s="18">
        <v>2</v>
      </c>
      <c r="D8" s="18">
        <v>42</v>
      </c>
      <c r="E8" s="18">
        <v>0</v>
      </c>
    </row>
    <row r="9" spans="1:5">
      <c r="A9" s="18">
        <v>13</v>
      </c>
      <c r="B9" s="18">
        <v>42</v>
      </c>
      <c r="C9" s="18">
        <v>0</v>
      </c>
      <c r="D9" s="18">
        <v>42</v>
      </c>
      <c r="E9" s="18">
        <v>0</v>
      </c>
    </row>
    <row r="10" spans="1:5">
      <c r="A10" s="18">
        <v>14</v>
      </c>
      <c r="B10" s="18">
        <v>42</v>
      </c>
      <c r="C10" s="18">
        <v>0</v>
      </c>
      <c r="D10" s="18">
        <v>42</v>
      </c>
      <c r="E10" s="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F2" sqref="F2:G3"/>
    </sheetView>
  </sheetViews>
  <sheetFormatPr defaultRowHeight="15"/>
  <cols>
    <col min="1" max="1" width="13.140625" bestFit="1" customWidth="1"/>
    <col min="2" max="2" width="20.85546875" bestFit="1" customWidth="1"/>
    <col min="3" max="3" width="29" bestFit="1" customWidth="1"/>
    <col min="4" max="4" width="18.7109375" bestFit="1" customWidth="1"/>
    <col min="5" max="5" width="26.85546875" bestFit="1" customWidth="1"/>
    <col min="6" max="6" width="23.28515625" bestFit="1" customWidth="1"/>
    <col min="7" max="7" width="21" bestFit="1" customWidth="1"/>
  </cols>
  <sheetData>
    <row r="1" spans="1:7">
      <c r="A1" s="13" t="s">
        <v>80</v>
      </c>
      <c r="B1" s="13" t="s">
        <v>81</v>
      </c>
    </row>
    <row r="2" spans="1:7">
      <c r="A2" s="18" t="s">
        <v>61</v>
      </c>
      <c r="B2" s="18" t="s">
        <v>62</v>
      </c>
      <c r="C2" s="18" t="s">
        <v>63</v>
      </c>
      <c r="D2" s="18" t="s">
        <v>64</v>
      </c>
      <c r="E2" s="18" t="s">
        <v>65</v>
      </c>
      <c r="F2" s="18" t="s">
        <v>85</v>
      </c>
      <c r="G2" s="18" t="s">
        <v>86</v>
      </c>
    </row>
    <row r="3" spans="1:7">
      <c r="A3" s="18" t="s">
        <v>66</v>
      </c>
      <c r="B3" s="18">
        <f>120+110+60+31+88</f>
        <v>409</v>
      </c>
      <c r="C3" s="18">
        <f>113+97+42+31+71</f>
        <v>354</v>
      </c>
      <c r="D3" s="18">
        <f>82+79+65+60+103</f>
        <v>389</v>
      </c>
      <c r="E3" s="18">
        <f>57+55+20+50+63</f>
        <v>245</v>
      </c>
      <c r="F3" s="19">
        <f>C3/B3</f>
        <v>0.86552567237163813</v>
      </c>
      <c r="G3" s="19">
        <f>E3/D3</f>
        <v>0.62982005141388175</v>
      </c>
    </row>
    <row r="4" spans="1:7">
      <c r="A4" s="18">
        <v>1</v>
      </c>
      <c r="B4" s="18">
        <v>93</v>
      </c>
      <c r="C4" s="18">
        <v>81</v>
      </c>
      <c r="D4" s="18">
        <v>67</v>
      </c>
      <c r="E4" s="18">
        <v>41</v>
      </c>
      <c r="F4" s="19">
        <f t="shared" ref="F4:F21" si="0">C4/B4</f>
        <v>0.87096774193548387</v>
      </c>
      <c r="G4" s="19">
        <f t="shared" ref="G4:G21" si="1">E4/D4</f>
        <v>0.61194029850746268</v>
      </c>
    </row>
    <row r="5" spans="1:7">
      <c r="A5" s="18">
        <v>1.5</v>
      </c>
      <c r="B5" s="18">
        <v>60</v>
      </c>
      <c r="C5" s="18">
        <v>27</v>
      </c>
      <c r="D5" s="18">
        <v>63</v>
      </c>
      <c r="E5" s="18">
        <v>15</v>
      </c>
      <c r="F5" s="19">
        <f t="shared" si="0"/>
        <v>0.45</v>
      </c>
      <c r="G5" s="19">
        <f t="shared" si="1"/>
        <v>0.23809523809523808</v>
      </c>
    </row>
    <row r="6" spans="1:7" s="18" customFormat="1">
      <c r="A6" s="18">
        <v>2</v>
      </c>
      <c r="B6" s="18">
        <v>19</v>
      </c>
      <c r="C6" s="18">
        <v>16</v>
      </c>
      <c r="D6" s="18">
        <v>14</v>
      </c>
      <c r="E6" s="18">
        <v>4</v>
      </c>
      <c r="F6" s="19">
        <f t="shared" si="0"/>
        <v>0.84210526315789469</v>
      </c>
      <c r="G6" s="19">
        <f t="shared" si="1"/>
        <v>0.2857142857142857</v>
      </c>
    </row>
    <row r="7" spans="1:7">
      <c r="A7" s="18">
        <v>2.5</v>
      </c>
      <c r="B7" s="18">
        <v>57</v>
      </c>
      <c r="C7" s="18">
        <v>14</v>
      </c>
      <c r="D7" s="18">
        <v>53</v>
      </c>
      <c r="E7" s="18">
        <v>9</v>
      </c>
      <c r="F7" s="19">
        <f t="shared" si="0"/>
        <v>0.24561403508771928</v>
      </c>
      <c r="G7" s="19">
        <f t="shared" si="1"/>
        <v>0.16981132075471697</v>
      </c>
    </row>
    <row r="8" spans="1:7">
      <c r="A8" s="18">
        <v>3</v>
      </c>
      <c r="B8" s="18">
        <v>85</v>
      </c>
      <c r="C8" s="18">
        <v>51</v>
      </c>
      <c r="D8" s="18">
        <v>73</v>
      </c>
      <c r="E8" s="18">
        <v>21</v>
      </c>
      <c r="F8" s="19">
        <f t="shared" si="0"/>
        <v>0.6</v>
      </c>
      <c r="G8" s="19">
        <f t="shared" si="1"/>
        <v>0.28767123287671231</v>
      </c>
    </row>
    <row r="9" spans="1:7">
      <c r="A9" s="18">
        <v>3.5</v>
      </c>
      <c r="B9" s="18">
        <v>55</v>
      </c>
      <c r="C9" s="18">
        <v>13</v>
      </c>
      <c r="D9" s="18">
        <v>55</v>
      </c>
      <c r="E9" s="18">
        <v>7</v>
      </c>
      <c r="F9" s="19">
        <f t="shared" si="0"/>
        <v>0.23636363636363636</v>
      </c>
      <c r="G9" s="19">
        <f t="shared" si="1"/>
        <v>0.12727272727272726</v>
      </c>
    </row>
    <row r="10" spans="1:7">
      <c r="A10" s="18">
        <v>4.5</v>
      </c>
      <c r="B10" s="18">
        <f>55+12</f>
        <v>67</v>
      </c>
      <c r="C10" s="18">
        <f>5+10</f>
        <v>15</v>
      </c>
      <c r="D10" s="18">
        <f>55+25</f>
        <v>80</v>
      </c>
      <c r="E10" s="18">
        <f>4+7</f>
        <v>11</v>
      </c>
      <c r="F10" s="19">
        <f t="shared" si="0"/>
        <v>0.22388059701492538</v>
      </c>
      <c r="G10" s="19">
        <f t="shared" si="1"/>
        <v>0.13750000000000001</v>
      </c>
    </row>
    <row r="11" spans="1:7">
      <c r="A11" s="18">
        <v>5.5</v>
      </c>
      <c r="B11" s="18">
        <v>50</v>
      </c>
      <c r="C11" s="18">
        <v>7</v>
      </c>
      <c r="D11" s="18">
        <v>53</v>
      </c>
      <c r="E11" s="18">
        <v>5</v>
      </c>
      <c r="F11" s="19">
        <f t="shared" si="0"/>
        <v>0.14000000000000001</v>
      </c>
      <c r="G11" s="19">
        <f t="shared" si="1"/>
        <v>9.4339622641509441E-2</v>
      </c>
    </row>
    <row r="12" spans="1:7">
      <c r="A12" s="18">
        <v>6</v>
      </c>
      <c r="B12" s="18">
        <f>41+42+173</f>
        <v>256</v>
      </c>
      <c r="C12" s="18">
        <f>10+31+74</f>
        <v>115</v>
      </c>
      <c r="D12" s="18">
        <f>31+42+162</f>
        <v>235</v>
      </c>
      <c r="E12" s="18">
        <f>1+20+55</f>
        <v>76</v>
      </c>
      <c r="F12" s="19">
        <f t="shared" si="0"/>
        <v>0.44921875</v>
      </c>
      <c r="G12" s="19">
        <f t="shared" si="1"/>
        <v>0.32340425531914896</v>
      </c>
    </row>
    <row r="13" spans="1:7">
      <c r="A13" s="18">
        <v>6.5</v>
      </c>
      <c r="B13" s="18">
        <v>76</v>
      </c>
      <c r="C13" s="18">
        <v>4</v>
      </c>
      <c r="D13" s="18">
        <v>78</v>
      </c>
      <c r="E13" s="18">
        <v>5</v>
      </c>
      <c r="F13" s="19">
        <f t="shared" si="0"/>
        <v>5.2631578947368418E-2</v>
      </c>
      <c r="G13" s="19">
        <f t="shared" si="1"/>
        <v>6.4102564102564097E-2</v>
      </c>
    </row>
    <row r="14" spans="1:7">
      <c r="A14" s="18">
        <v>7</v>
      </c>
      <c r="B14" s="18">
        <v>42</v>
      </c>
      <c r="C14" s="18">
        <v>23</v>
      </c>
      <c r="D14" s="18">
        <v>42</v>
      </c>
      <c r="E14" s="18">
        <v>12</v>
      </c>
      <c r="F14" s="19">
        <f t="shared" si="0"/>
        <v>0.54761904761904767</v>
      </c>
      <c r="G14" s="19">
        <f t="shared" si="1"/>
        <v>0.2857142857142857</v>
      </c>
    </row>
    <row r="15" spans="1:7">
      <c r="A15" s="18">
        <v>8</v>
      </c>
      <c r="B15" s="18">
        <v>42</v>
      </c>
      <c r="C15" s="18">
        <v>20</v>
      </c>
      <c r="D15" s="18">
        <v>42</v>
      </c>
      <c r="E15" s="18">
        <v>4</v>
      </c>
      <c r="F15" s="19">
        <f t="shared" si="0"/>
        <v>0.47619047619047616</v>
      </c>
      <c r="G15" s="19">
        <f t="shared" si="1"/>
        <v>9.5238095238095233E-2</v>
      </c>
    </row>
    <row r="16" spans="1:7">
      <c r="A16" s="18">
        <v>9</v>
      </c>
      <c r="B16" s="18">
        <f>45+42+64</f>
        <v>151</v>
      </c>
      <c r="C16" s="18">
        <f>11+36</f>
        <v>47</v>
      </c>
      <c r="D16" s="18">
        <f>44+42+167</f>
        <v>253</v>
      </c>
      <c r="E16" s="18">
        <v>38</v>
      </c>
      <c r="F16" s="19">
        <f t="shared" si="0"/>
        <v>0.31125827814569534</v>
      </c>
      <c r="G16" s="19">
        <f t="shared" si="1"/>
        <v>0.15019762845849802</v>
      </c>
    </row>
    <row r="17" spans="1:7">
      <c r="A17" s="18">
        <v>10</v>
      </c>
      <c r="B17" s="18">
        <v>42</v>
      </c>
      <c r="C17" s="18">
        <v>8</v>
      </c>
      <c r="D17" s="18">
        <v>42</v>
      </c>
      <c r="E17" s="18">
        <v>0</v>
      </c>
      <c r="F17" s="19">
        <f t="shared" si="0"/>
        <v>0.19047619047619047</v>
      </c>
      <c r="G17" s="19">
        <f t="shared" si="1"/>
        <v>0</v>
      </c>
    </row>
    <row r="18" spans="1:7">
      <c r="A18" s="18">
        <v>11</v>
      </c>
      <c r="B18" s="18">
        <v>42</v>
      </c>
      <c r="C18" s="18">
        <v>3</v>
      </c>
      <c r="D18" s="18">
        <v>42</v>
      </c>
      <c r="E18" s="18">
        <v>1</v>
      </c>
      <c r="F18" s="19">
        <f t="shared" si="0"/>
        <v>7.1428571428571425E-2</v>
      </c>
      <c r="G18" s="19">
        <f t="shared" si="1"/>
        <v>2.3809523809523808E-2</v>
      </c>
    </row>
    <row r="19" spans="1:7">
      <c r="A19" s="18">
        <v>12</v>
      </c>
      <c r="B19" s="18">
        <f>45+42+29</f>
        <v>116</v>
      </c>
      <c r="C19" s="18">
        <f>2+6</f>
        <v>8</v>
      </c>
      <c r="D19" s="18">
        <f>44+42+43</f>
        <v>129</v>
      </c>
      <c r="E19" s="18">
        <v>2</v>
      </c>
      <c r="F19" s="19">
        <f t="shared" si="0"/>
        <v>6.8965517241379309E-2</v>
      </c>
      <c r="G19" s="19">
        <f t="shared" si="1"/>
        <v>1.5503875968992248E-2</v>
      </c>
    </row>
    <row r="20" spans="1:7">
      <c r="A20" s="18">
        <v>13</v>
      </c>
      <c r="B20" s="18">
        <v>42</v>
      </c>
      <c r="C20" s="18">
        <v>0</v>
      </c>
      <c r="D20" s="18">
        <v>42</v>
      </c>
      <c r="E20" s="18">
        <v>0</v>
      </c>
      <c r="F20" s="19">
        <f t="shared" si="0"/>
        <v>0</v>
      </c>
      <c r="G20" s="19">
        <f t="shared" si="1"/>
        <v>0</v>
      </c>
    </row>
    <row r="21" spans="1:7">
      <c r="A21" s="18">
        <v>14</v>
      </c>
      <c r="B21" s="18">
        <v>42</v>
      </c>
      <c r="C21" s="18">
        <v>0</v>
      </c>
      <c r="D21" s="18">
        <v>42</v>
      </c>
      <c r="E21" s="18">
        <v>0</v>
      </c>
      <c r="F21" s="19">
        <f t="shared" si="0"/>
        <v>0</v>
      </c>
      <c r="G21" s="19">
        <f t="shared" si="1"/>
        <v>0</v>
      </c>
    </row>
    <row r="23" spans="1:7">
      <c r="A23" s="18"/>
      <c r="B23" s="18"/>
      <c r="C23" s="18"/>
      <c r="D23" s="18"/>
      <c r="E23" s="18"/>
    </row>
    <row r="24" spans="1:7">
      <c r="A24" s="18"/>
      <c r="B24" s="18"/>
      <c r="C24" s="18"/>
      <c r="D24" s="18"/>
      <c r="E24" s="18"/>
    </row>
    <row r="25" spans="1:7">
      <c r="A25" s="18"/>
      <c r="B25" s="18"/>
      <c r="C25" s="18"/>
      <c r="D25" s="18"/>
      <c r="E25" s="18"/>
    </row>
    <row r="26" spans="1:7">
      <c r="A26" s="18"/>
      <c r="B26" s="18"/>
      <c r="C26" s="18"/>
      <c r="D26" s="18"/>
      <c r="E26" s="1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selection activeCell="F2" sqref="F2:G3"/>
    </sheetView>
  </sheetViews>
  <sheetFormatPr defaultRowHeight="15"/>
  <cols>
    <col min="1" max="1" width="13.140625" bestFit="1" customWidth="1"/>
    <col min="2" max="2" width="20.85546875" bestFit="1" customWidth="1"/>
    <col min="3" max="3" width="29" bestFit="1" customWidth="1"/>
    <col min="4" max="4" width="18.7109375" bestFit="1" customWidth="1"/>
    <col min="5" max="5" width="26.85546875" bestFit="1" customWidth="1"/>
    <col min="6" max="6" width="23.28515625" bestFit="1" customWidth="1"/>
    <col min="7" max="7" width="21" bestFit="1" customWidth="1"/>
  </cols>
  <sheetData>
    <row r="1" spans="1:7">
      <c r="A1" s="13" t="s">
        <v>80</v>
      </c>
      <c r="B1" s="13" t="s">
        <v>82</v>
      </c>
    </row>
    <row r="2" spans="1:7">
      <c r="A2" s="18" t="s">
        <v>61</v>
      </c>
      <c r="B2" s="18" t="s">
        <v>62</v>
      </c>
      <c r="C2" s="18" t="s">
        <v>63</v>
      </c>
      <c r="D2" s="18" t="s">
        <v>64</v>
      </c>
      <c r="E2" s="18" t="s">
        <v>65</v>
      </c>
      <c r="F2" s="18" t="s">
        <v>85</v>
      </c>
      <c r="G2" s="18" t="s">
        <v>86</v>
      </c>
    </row>
    <row r="3" spans="1:7">
      <c r="A3" s="18" t="s">
        <v>66</v>
      </c>
      <c r="B3" s="18">
        <f>120+110+60+31</f>
        <v>321</v>
      </c>
      <c r="C3" s="18">
        <f>113+97+42+31</f>
        <v>283</v>
      </c>
      <c r="D3" s="18">
        <f>82+79+65+60</f>
        <v>286</v>
      </c>
      <c r="E3" s="18">
        <f>57+55+20+50</f>
        <v>182</v>
      </c>
      <c r="F3" s="19">
        <f>C3/B3</f>
        <v>0.88161993769470404</v>
      </c>
      <c r="G3" s="19">
        <f>E3/D3</f>
        <v>0.63636363636363635</v>
      </c>
    </row>
    <row r="4" spans="1:7">
      <c r="A4" s="18">
        <v>1</v>
      </c>
      <c r="B4" s="18">
        <v>93</v>
      </c>
      <c r="C4" s="18">
        <v>81</v>
      </c>
      <c r="D4" s="18">
        <v>67</v>
      </c>
      <c r="E4" s="18">
        <v>41</v>
      </c>
      <c r="F4" s="19">
        <f t="shared" ref="F4:F20" si="0">C4/B4</f>
        <v>0.87096774193548387</v>
      </c>
      <c r="G4" s="19">
        <f t="shared" ref="G4:G20" si="1">E4/D4</f>
        <v>0.61194029850746268</v>
      </c>
    </row>
    <row r="5" spans="1:7" s="18" customFormat="1">
      <c r="A5" s="18">
        <v>1.5</v>
      </c>
      <c r="B5" s="18">
        <v>60</v>
      </c>
      <c r="C5" s="18">
        <v>27</v>
      </c>
      <c r="D5" s="18">
        <v>63</v>
      </c>
      <c r="E5" s="18">
        <v>15</v>
      </c>
      <c r="F5" s="19">
        <f t="shared" si="0"/>
        <v>0.45</v>
      </c>
      <c r="G5" s="19">
        <f t="shared" si="1"/>
        <v>0.23809523809523808</v>
      </c>
    </row>
    <row r="6" spans="1:7" s="18" customFormat="1">
      <c r="A6" s="18">
        <v>2.5</v>
      </c>
      <c r="B6" s="18">
        <v>57</v>
      </c>
      <c r="C6" s="18">
        <v>14</v>
      </c>
      <c r="D6" s="18">
        <v>53</v>
      </c>
      <c r="E6" s="18">
        <v>9</v>
      </c>
      <c r="F6" s="19">
        <f t="shared" si="0"/>
        <v>0.24561403508771928</v>
      </c>
      <c r="G6" s="19">
        <f t="shared" si="1"/>
        <v>0.16981132075471697</v>
      </c>
    </row>
    <row r="7" spans="1:7">
      <c r="A7" s="18">
        <v>3</v>
      </c>
      <c r="B7" s="18">
        <v>85</v>
      </c>
      <c r="C7" s="18">
        <v>51</v>
      </c>
      <c r="D7" s="18">
        <v>73</v>
      </c>
      <c r="E7" s="18">
        <v>21</v>
      </c>
      <c r="F7" s="19">
        <f t="shared" si="0"/>
        <v>0.6</v>
      </c>
      <c r="G7" s="19">
        <f t="shared" si="1"/>
        <v>0.28767123287671231</v>
      </c>
    </row>
    <row r="8" spans="1:7" s="18" customFormat="1">
      <c r="A8" s="18">
        <v>3.5</v>
      </c>
      <c r="B8" s="18">
        <v>55</v>
      </c>
      <c r="C8" s="18">
        <v>13</v>
      </c>
      <c r="D8" s="18">
        <v>55</v>
      </c>
      <c r="E8" s="18">
        <v>7</v>
      </c>
      <c r="F8" s="19">
        <f t="shared" si="0"/>
        <v>0.23636363636363636</v>
      </c>
      <c r="G8" s="19">
        <f t="shared" si="1"/>
        <v>0.12727272727272726</v>
      </c>
    </row>
    <row r="9" spans="1:7" s="18" customFormat="1">
      <c r="A9" s="18">
        <v>4.5</v>
      </c>
      <c r="B9" s="18">
        <v>55</v>
      </c>
      <c r="C9" s="18">
        <v>5</v>
      </c>
      <c r="D9" s="18">
        <v>55</v>
      </c>
      <c r="E9" s="18">
        <v>4</v>
      </c>
      <c r="F9" s="19">
        <f t="shared" si="0"/>
        <v>9.0909090909090912E-2</v>
      </c>
      <c r="G9" s="19">
        <f t="shared" si="1"/>
        <v>7.2727272727272724E-2</v>
      </c>
    </row>
    <row r="10" spans="1:7" s="18" customFormat="1">
      <c r="A10" s="18">
        <v>5.5</v>
      </c>
      <c r="B10" s="18">
        <v>50</v>
      </c>
      <c r="C10" s="18">
        <v>7</v>
      </c>
      <c r="D10" s="18">
        <v>53</v>
      </c>
      <c r="E10" s="18">
        <v>5</v>
      </c>
      <c r="F10" s="19">
        <f t="shared" si="0"/>
        <v>0.14000000000000001</v>
      </c>
      <c r="G10" s="19">
        <f t="shared" si="1"/>
        <v>9.4339622641509441E-2</v>
      </c>
    </row>
    <row r="11" spans="1:7">
      <c r="A11" s="18">
        <v>6</v>
      </c>
      <c r="B11" s="18">
        <f>41+42</f>
        <v>83</v>
      </c>
      <c r="C11" s="18">
        <f>10+31</f>
        <v>41</v>
      </c>
      <c r="D11" s="18">
        <f>31+42</f>
        <v>73</v>
      </c>
      <c r="E11" s="18">
        <f>1+20</f>
        <v>21</v>
      </c>
      <c r="F11" s="19">
        <f t="shared" si="0"/>
        <v>0.49397590361445781</v>
      </c>
      <c r="G11" s="19">
        <f t="shared" si="1"/>
        <v>0.28767123287671231</v>
      </c>
    </row>
    <row r="12" spans="1:7" s="18" customFormat="1">
      <c r="A12" s="18">
        <v>6.5</v>
      </c>
      <c r="B12" s="18">
        <v>76</v>
      </c>
      <c r="C12" s="18">
        <v>4</v>
      </c>
      <c r="D12" s="18">
        <v>78</v>
      </c>
      <c r="E12" s="18">
        <v>5</v>
      </c>
      <c r="F12" s="19">
        <f t="shared" si="0"/>
        <v>5.2631578947368418E-2</v>
      </c>
      <c r="G12" s="19">
        <f t="shared" si="1"/>
        <v>6.4102564102564097E-2</v>
      </c>
    </row>
    <row r="13" spans="1:7" s="18" customFormat="1">
      <c r="A13" s="18">
        <v>7</v>
      </c>
      <c r="B13" s="18">
        <v>42</v>
      </c>
      <c r="C13" s="18">
        <v>23</v>
      </c>
      <c r="D13" s="18">
        <v>42</v>
      </c>
      <c r="E13" s="18">
        <v>12</v>
      </c>
      <c r="F13" s="19">
        <f t="shared" si="0"/>
        <v>0.54761904761904767</v>
      </c>
      <c r="G13" s="19">
        <f t="shared" si="1"/>
        <v>0.2857142857142857</v>
      </c>
    </row>
    <row r="14" spans="1:7" s="18" customFormat="1">
      <c r="A14" s="18">
        <v>8</v>
      </c>
      <c r="B14" s="18">
        <v>42</v>
      </c>
      <c r="C14" s="18">
        <v>20</v>
      </c>
      <c r="D14" s="18">
        <v>42</v>
      </c>
      <c r="E14" s="18">
        <v>4</v>
      </c>
      <c r="F14" s="19">
        <f t="shared" si="0"/>
        <v>0.47619047619047616</v>
      </c>
      <c r="G14" s="19">
        <f t="shared" si="1"/>
        <v>9.5238095238095233E-2</v>
      </c>
    </row>
    <row r="15" spans="1:7">
      <c r="A15" s="18">
        <v>9</v>
      </c>
      <c r="B15" s="18">
        <f>45+42</f>
        <v>87</v>
      </c>
      <c r="C15" s="18">
        <v>11</v>
      </c>
      <c r="D15" s="18">
        <f>44+42</f>
        <v>86</v>
      </c>
      <c r="E15" s="18">
        <v>0</v>
      </c>
      <c r="F15" s="19">
        <f t="shared" si="0"/>
        <v>0.12643678160919541</v>
      </c>
      <c r="G15" s="19">
        <f t="shared" si="1"/>
        <v>0</v>
      </c>
    </row>
    <row r="16" spans="1:7" s="18" customFormat="1">
      <c r="A16" s="18">
        <v>10</v>
      </c>
      <c r="B16" s="18">
        <v>42</v>
      </c>
      <c r="C16" s="18">
        <v>8</v>
      </c>
      <c r="D16" s="18">
        <v>42</v>
      </c>
      <c r="E16" s="18">
        <v>0</v>
      </c>
      <c r="F16" s="19">
        <f t="shared" si="0"/>
        <v>0.19047619047619047</v>
      </c>
      <c r="G16" s="19">
        <f t="shared" si="1"/>
        <v>0</v>
      </c>
    </row>
    <row r="17" spans="1:7" s="18" customFormat="1">
      <c r="A17" s="18">
        <v>11</v>
      </c>
      <c r="B17" s="18">
        <v>42</v>
      </c>
      <c r="C17" s="18">
        <v>3</v>
      </c>
      <c r="D17" s="18">
        <v>42</v>
      </c>
      <c r="E17" s="18">
        <v>1</v>
      </c>
      <c r="F17" s="19">
        <f t="shared" si="0"/>
        <v>7.1428571428571425E-2</v>
      </c>
      <c r="G17" s="19">
        <f t="shared" si="1"/>
        <v>2.3809523809523808E-2</v>
      </c>
    </row>
    <row r="18" spans="1:7">
      <c r="A18" s="18">
        <v>12</v>
      </c>
      <c r="B18" s="18">
        <f>45+42</f>
        <v>87</v>
      </c>
      <c r="C18" s="18">
        <v>2</v>
      </c>
      <c r="D18" s="18">
        <f>44+42</f>
        <v>86</v>
      </c>
      <c r="E18" s="18">
        <v>0</v>
      </c>
      <c r="F18" s="19">
        <f t="shared" si="0"/>
        <v>2.2988505747126436E-2</v>
      </c>
      <c r="G18" s="19">
        <f t="shared" si="1"/>
        <v>0</v>
      </c>
    </row>
    <row r="19" spans="1:7">
      <c r="A19">
        <v>13</v>
      </c>
      <c r="B19" s="18">
        <v>42</v>
      </c>
      <c r="C19" s="18">
        <v>0</v>
      </c>
      <c r="D19" s="18">
        <v>42</v>
      </c>
      <c r="E19" s="18">
        <v>0</v>
      </c>
      <c r="F19" s="19">
        <f t="shared" si="0"/>
        <v>0</v>
      </c>
      <c r="G19" s="19">
        <f t="shared" si="1"/>
        <v>0</v>
      </c>
    </row>
    <row r="20" spans="1:7">
      <c r="A20">
        <v>14</v>
      </c>
      <c r="B20" s="18">
        <v>42</v>
      </c>
      <c r="C20" s="18">
        <v>0</v>
      </c>
      <c r="D20" s="18">
        <v>42</v>
      </c>
      <c r="E20" s="18">
        <v>0</v>
      </c>
      <c r="F20" s="19">
        <f t="shared" si="0"/>
        <v>0</v>
      </c>
      <c r="G20" s="19">
        <f t="shared" si="1"/>
        <v>0</v>
      </c>
    </row>
    <row r="22" spans="1:7">
      <c r="A22" s="18"/>
      <c r="B22" s="18"/>
      <c r="C22" s="18"/>
      <c r="D22" s="18"/>
      <c r="E22" s="18"/>
    </row>
    <row r="23" spans="1:7">
      <c r="A23" s="18"/>
      <c r="B23" s="18"/>
      <c r="C23" s="18"/>
      <c r="D23" s="18"/>
      <c r="E23" s="18"/>
    </row>
    <row r="24" spans="1:7">
      <c r="A24" s="18"/>
      <c r="B24" s="18"/>
      <c r="C24" s="18"/>
      <c r="D24" s="18"/>
      <c r="E24" s="18"/>
    </row>
    <row r="25" spans="1:7">
      <c r="A25" s="18"/>
      <c r="B25" s="18"/>
      <c r="C25" s="18"/>
      <c r="D25" s="18"/>
      <c r="E25" s="18"/>
    </row>
    <row r="26" spans="1:7">
      <c r="A26" s="18"/>
      <c r="B26" s="18"/>
      <c r="C26" s="18"/>
      <c r="D26" s="18"/>
      <c r="E26" s="18"/>
    </row>
    <row r="27" spans="1:7">
      <c r="A27" s="18"/>
      <c r="B27" s="18"/>
      <c r="C27" s="18"/>
      <c r="D27" s="18"/>
      <c r="E27" s="18"/>
    </row>
    <row r="28" spans="1:7">
      <c r="A28" s="18"/>
      <c r="B28" s="18"/>
      <c r="C28" s="18"/>
      <c r="D28" s="18"/>
      <c r="E28" s="18"/>
    </row>
    <row r="29" spans="1:7">
      <c r="A29" s="18"/>
      <c r="B29" s="18"/>
      <c r="C29" s="18"/>
      <c r="D29" s="18"/>
      <c r="E29" s="18"/>
    </row>
    <row r="30" spans="1:7">
      <c r="A30" s="18"/>
      <c r="B30" s="18"/>
      <c r="C30" s="18"/>
      <c r="D30" s="18"/>
      <c r="E3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G2" sqref="F2:G3"/>
    </sheetView>
  </sheetViews>
  <sheetFormatPr defaultRowHeight="15"/>
  <cols>
    <col min="1" max="1" width="13.140625" bestFit="1" customWidth="1"/>
    <col min="2" max="2" width="20.85546875" bestFit="1" customWidth="1"/>
    <col min="3" max="3" width="29" bestFit="1" customWidth="1"/>
    <col min="4" max="4" width="18.7109375" bestFit="1" customWidth="1"/>
    <col min="5" max="5" width="26.85546875" bestFit="1" customWidth="1"/>
    <col min="6" max="6" width="23.28515625" bestFit="1" customWidth="1"/>
    <col min="7" max="7" width="21" bestFit="1" customWidth="1"/>
  </cols>
  <sheetData>
    <row r="1" spans="1:7">
      <c r="A1" s="13" t="s">
        <v>80</v>
      </c>
      <c r="B1" s="13" t="s">
        <v>83</v>
      </c>
    </row>
    <row r="2" spans="1:7">
      <c r="A2" s="18" t="s">
        <v>61</v>
      </c>
      <c r="B2" s="18" t="s">
        <v>62</v>
      </c>
      <c r="C2" s="18" t="s">
        <v>63</v>
      </c>
      <c r="D2" s="18" t="s">
        <v>64</v>
      </c>
      <c r="E2" s="18" t="s">
        <v>65</v>
      </c>
      <c r="F2" s="18" t="s">
        <v>85</v>
      </c>
      <c r="G2" s="18" t="s">
        <v>86</v>
      </c>
    </row>
    <row r="3" spans="1:7" s="18" customFormat="1">
      <c r="A3" s="13" t="s">
        <v>66</v>
      </c>
      <c r="B3" s="18">
        <v>54</v>
      </c>
      <c r="C3" s="18">
        <v>49</v>
      </c>
      <c r="D3" s="18">
        <v>59</v>
      </c>
      <c r="E3" s="18">
        <v>34</v>
      </c>
      <c r="F3" s="19">
        <f>C3/B3</f>
        <v>0.90740740740740744</v>
      </c>
      <c r="G3" s="19">
        <f>E3/D3</f>
        <v>0.57627118644067798</v>
      </c>
    </row>
    <row r="4" spans="1:7" s="18" customFormat="1">
      <c r="A4" s="18">
        <v>2</v>
      </c>
      <c r="B4" s="18">
        <v>19</v>
      </c>
      <c r="C4" s="18">
        <v>16</v>
      </c>
      <c r="D4" s="18">
        <v>14</v>
      </c>
      <c r="E4" s="18">
        <v>4</v>
      </c>
      <c r="F4" s="19">
        <f t="shared" ref="F4:F8" si="0">C4/B4</f>
        <v>0.84210526315789469</v>
      </c>
      <c r="G4" s="19">
        <f t="shared" ref="G4:G8" si="1">E4/D4</f>
        <v>0.2857142857142857</v>
      </c>
    </row>
    <row r="5" spans="1:7" s="18" customFormat="1">
      <c r="A5" s="18">
        <v>4.5</v>
      </c>
      <c r="B5" s="18">
        <v>12</v>
      </c>
      <c r="C5" s="18">
        <v>10</v>
      </c>
      <c r="D5" s="18">
        <v>25</v>
      </c>
      <c r="E5" s="18">
        <v>7</v>
      </c>
      <c r="F5" s="19">
        <f t="shared" si="0"/>
        <v>0.83333333333333337</v>
      </c>
      <c r="G5" s="19">
        <f t="shared" si="1"/>
        <v>0.28000000000000003</v>
      </c>
    </row>
    <row r="6" spans="1:7">
      <c r="A6">
        <v>6</v>
      </c>
      <c r="B6" s="18">
        <f>29+20</f>
        <v>49</v>
      </c>
      <c r="C6" s="18">
        <f>24+8</f>
        <v>32</v>
      </c>
      <c r="D6" s="18">
        <f>72+25</f>
        <v>97</v>
      </c>
      <c r="E6" s="18">
        <f>32+3</f>
        <v>35</v>
      </c>
      <c r="F6" s="19">
        <f t="shared" si="0"/>
        <v>0.65306122448979587</v>
      </c>
      <c r="G6" s="19">
        <f t="shared" si="1"/>
        <v>0.36082474226804123</v>
      </c>
    </row>
    <row r="7" spans="1:7">
      <c r="A7">
        <v>9</v>
      </c>
      <c r="B7" s="18">
        <v>64</v>
      </c>
      <c r="C7" s="18">
        <v>36</v>
      </c>
      <c r="D7" s="18">
        <v>167</v>
      </c>
      <c r="E7" s="18">
        <v>38</v>
      </c>
      <c r="F7" s="19">
        <f t="shared" si="0"/>
        <v>0.5625</v>
      </c>
      <c r="G7" s="19">
        <f t="shared" si="1"/>
        <v>0.22754491017964071</v>
      </c>
    </row>
    <row r="8" spans="1:7">
      <c r="A8">
        <v>12</v>
      </c>
      <c r="B8" s="18">
        <v>29</v>
      </c>
      <c r="C8" s="18">
        <v>6</v>
      </c>
      <c r="D8" s="18">
        <v>43</v>
      </c>
      <c r="E8" s="18">
        <v>2</v>
      </c>
      <c r="F8" s="19">
        <f t="shared" si="0"/>
        <v>0.20689655172413793</v>
      </c>
      <c r="G8" s="19">
        <f t="shared" si="1"/>
        <v>4.6511627906976744E-2</v>
      </c>
    </row>
    <row r="11" spans="1:7">
      <c r="A11" s="18"/>
      <c r="B11" s="18"/>
      <c r="C11" s="18"/>
      <c r="D11" s="18"/>
      <c r="E11" s="18"/>
    </row>
    <row r="12" spans="1:7">
      <c r="A12" s="18"/>
      <c r="B12" s="18"/>
      <c r="C12" s="18"/>
      <c r="D12" s="18"/>
      <c r="E12" s="18"/>
    </row>
    <row r="13" spans="1:7">
      <c r="A13" s="18"/>
      <c r="B13" s="18"/>
      <c r="C13" s="18"/>
      <c r="D13" s="18"/>
      <c r="E13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I11" sqref="I11"/>
    </sheetView>
  </sheetViews>
  <sheetFormatPr defaultRowHeight="15"/>
  <cols>
    <col min="1" max="1" width="13.140625" bestFit="1" customWidth="1"/>
    <col min="2" max="2" width="20.85546875" bestFit="1" customWidth="1"/>
    <col min="3" max="3" width="29" bestFit="1" customWidth="1"/>
    <col min="4" max="4" width="18.7109375" bestFit="1" customWidth="1"/>
    <col min="5" max="5" width="26.85546875" bestFit="1" customWidth="1"/>
    <col min="6" max="6" width="23.28515625" bestFit="1" customWidth="1"/>
    <col min="7" max="7" width="21" bestFit="1" customWidth="1"/>
  </cols>
  <sheetData>
    <row r="1" spans="1:7">
      <c r="A1" s="18" t="s">
        <v>80</v>
      </c>
      <c r="B1" s="13" t="s">
        <v>84</v>
      </c>
    </row>
    <row r="2" spans="1:7">
      <c r="A2" s="18" t="s">
        <v>61</v>
      </c>
      <c r="B2" s="18" t="s">
        <v>62</v>
      </c>
      <c r="C2" s="18" t="s">
        <v>63</v>
      </c>
      <c r="D2" s="18" t="s">
        <v>64</v>
      </c>
      <c r="E2" s="18" t="s">
        <v>65</v>
      </c>
      <c r="F2" s="18" t="s">
        <v>85</v>
      </c>
      <c r="G2" s="18" t="s">
        <v>86</v>
      </c>
    </row>
    <row r="3" spans="1:7">
      <c r="A3" s="18" t="s">
        <v>66</v>
      </c>
      <c r="B3" s="18">
        <f>54+34</f>
        <v>88</v>
      </c>
      <c r="C3" s="18">
        <f>49+22</f>
        <v>71</v>
      </c>
      <c r="D3" s="18">
        <f>59+44</f>
        <v>103</v>
      </c>
      <c r="E3" s="18">
        <f>34+29</f>
        <v>63</v>
      </c>
      <c r="F3" s="19">
        <f>C3/B3</f>
        <v>0.80681818181818177</v>
      </c>
      <c r="G3" s="19">
        <f>E3/D3</f>
        <v>0.61165048543689315</v>
      </c>
    </row>
    <row r="4" spans="1:7">
      <c r="A4" s="18">
        <v>2</v>
      </c>
      <c r="B4" s="18">
        <v>19</v>
      </c>
      <c r="C4" s="18">
        <v>16</v>
      </c>
      <c r="D4" s="18">
        <v>14</v>
      </c>
      <c r="E4" s="18">
        <v>4</v>
      </c>
      <c r="F4" s="19">
        <f t="shared" ref="F4:F8" si="0">C4/B4</f>
        <v>0.84210526315789469</v>
      </c>
      <c r="G4" s="19">
        <f t="shared" ref="G4:G8" si="1">E4/D4</f>
        <v>0.2857142857142857</v>
      </c>
    </row>
    <row r="5" spans="1:7">
      <c r="A5" s="18">
        <v>4.5</v>
      </c>
      <c r="B5" s="18">
        <v>12</v>
      </c>
      <c r="C5" s="18">
        <v>10</v>
      </c>
      <c r="D5" s="18">
        <v>25</v>
      </c>
      <c r="E5" s="18">
        <v>7</v>
      </c>
      <c r="F5" s="19">
        <f t="shared" si="0"/>
        <v>0.83333333333333337</v>
      </c>
      <c r="G5" s="19">
        <f t="shared" si="1"/>
        <v>0.28000000000000003</v>
      </c>
    </row>
    <row r="6" spans="1:7">
      <c r="A6" s="18">
        <v>6</v>
      </c>
      <c r="B6" s="18">
        <f>29+20+124</f>
        <v>173</v>
      </c>
      <c r="C6" s="18">
        <f>24+8+42</f>
        <v>74</v>
      </c>
      <c r="D6" s="18">
        <f>72+25+65</f>
        <v>162</v>
      </c>
      <c r="E6" s="18">
        <f>32+3+20</f>
        <v>55</v>
      </c>
      <c r="F6" s="19">
        <f t="shared" si="0"/>
        <v>0.4277456647398844</v>
      </c>
      <c r="G6" s="19">
        <f t="shared" si="1"/>
        <v>0.33950617283950618</v>
      </c>
    </row>
    <row r="7" spans="1:7">
      <c r="A7" s="18">
        <v>9</v>
      </c>
      <c r="B7" s="18">
        <v>64</v>
      </c>
      <c r="C7" s="18">
        <v>36</v>
      </c>
      <c r="D7" s="18">
        <v>167</v>
      </c>
      <c r="E7" s="18">
        <v>38</v>
      </c>
      <c r="F7" s="19">
        <f t="shared" si="0"/>
        <v>0.5625</v>
      </c>
      <c r="G7" s="19">
        <f t="shared" si="1"/>
        <v>0.22754491017964071</v>
      </c>
    </row>
    <row r="8" spans="1:7">
      <c r="A8" s="18">
        <v>12</v>
      </c>
      <c r="B8" s="18">
        <v>29</v>
      </c>
      <c r="C8" s="18">
        <v>6</v>
      </c>
      <c r="D8" s="18">
        <v>43</v>
      </c>
      <c r="E8" s="18">
        <v>2</v>
      </c>
      <c r="F8" s="19">
        <f t="shared" si="0"/>
        <v>0.20689655172413793</v>
      </c>
      <c r="G8" s="19">
        <f t="shared" si="1"/>
        <v>4.6511627906976744E-2</v>
      </c>
    </row>
    <row r="11" spans="1:7">
      <c r="B11" s="15"/>
      <c r="C11" s="15"/>
      <c r="D11" s="15"/>
      <c r="E11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2" sqref="B2:E2"/>
    </sheetView>
  </sheetViews>
  <sheetFormatPr defaultRowHeight="15"/>
  <cols>
    <col min="1" max="1" width="13.140625" bestFit="1" customWidth="1"/>
    <col min="2" max="2" width="20.85546875" bestFit="1" customWidth="1"/>
    <col min="3" max="3" width="29" bestFit="1" customWidth="1"/>
    <col min="4" max="4" width="18.7109375" bestFit="1" customWidth="1"/>
    <col min="5" max="5" width="26.85546875" bestFit="1" customWidth="1"/>
  </cols>
  <sheetData>
    <row r="1" spans="1:5">
      <c r="A1" s="10" t="s">
        <v>61</v>
      </c>
      <c r="B1" s="10" t="s">
        <v>62</v>
      </c>
      <c r="C1" s="10" t="s">
        <v>63</v>
      </c>
      <c r="D1" s="10" t="s">
        <v>64</v>
      </c>
      <c r="E1" s="10" t="s">
        <v>65</v>
      </c>
    </row>
    <row r="2" spans="1:5">
      <c r="A2" s="13" t="s">
        <v>66</v>
      </c>
      <c r="B2" s="10">
        <v>120</v>
      </c>
      <c r="C2" s="10">
        <v>113</v>
      </c>
      <c r="D2" s="10">
        <v>82</v>
      </c>
      <c r="E2" s="10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E2" sqref="B2:E2"/>
    </sheetView>
  </sheetViews>
  <sheetFormatPr defaultRowHeight="15"/>
  <cols>
    <col min="1" max="1" width="13.140625" bestFit="1" customWidth="1"/>
    <col min="2" max="2" width="20.85546875" bestFit="1" customWidth="1"/>
    <col min="3" max="3" width="29" bestFit="1" customWidth="1"/>
    <col min="4" max="4" width="18.7109375" bestFit="1" customWidth="1"/>
    <col min="5" max="5" width="26.85546875" bestFit="1" customWidth="1"/>
  </cols>
  <sheetData>
    <row r="1" spans="1:5">
      <c r="A1" s="11" t="s">
        <v>61</v>
      </c>
      <c r="B1" s="11" t="s">
        <v>62</v>
      </c>
      <c r="C1" s="11" t="s">
        <v>63</v>
      </c>
      <c r="D1" s="11" t="s">
        <v>64</v>
      </c>
      <c r="E1" s="11" t="s">
        <v>65</v>
      </c>
    </row>
    <row r="2" spans="1:5">
      <c r="A2" s="11" t="s">
        <v>66</v>
      </c>
      <c r="B2" s="11">
        <v>110</v>
      </c>
      <c r="C2" s="11">
        <v>97</v>
      </c>
      <c r="D2" s="11">
        <v>79</v>
      </c>
      <c r="E2" s="11">
        <v>55</v>
      </c>
    </row>
    <row r="3" spans="1:5">
      <c r="A3" s="11">
        <v>1</v>
      </c>
      <c r="B3" s="11">
        <v>93</v>
      </c>
      <c r="C3" s="11">
        <v>81</v>
      </c>
      <c r="D3" s="11">
        <v>67</v>
      </c>
      <c r="E3" s="11">
        <v>41</v>
      </c>
    </row>
    <row r="4" spans="1:5">
      <c r="A4" s="11">
        <v>3</v>
      </c>
      <c r="B4" s="11">
        <v>85</v>
      </c>
      <c r="C4" s="11">
        <v>51</v>
      </c>
      <c r="D4" s="11">
        <v>73</v>
      </c>
      <c r="E4" s="11">
        <v>21</v>
      </c>
    </row>
    <row r="5" spans="1:5">
      <c r="A5" s="11">
        <v>6</v>
      </c>
      <c r="B5" s="11">
        <v>41</v>
      </c>
      <c r="C5" s="11">
        <v>10</v>
      </c>
      <c r="D5" s="11">
        <v>31</v>
      </c>
      <c r="E5" s="11">
        <v>1</v>
      </c>
    </row>
    <row r="6" spans="1:5">
      <c r="A6" s="11">
        <v>9</v>
      </c>
      <c r="B6" s="11">
        <v>45</v>
      </c>
      <c r="C6" s="11">
        <v>0</v>
      </c>
      <c r="D6" s="11">
        <v>44</v>
      </c>
      <c r="E6" s="11">
        <v>0</v>
      </c>
    </row>
    <row r="7" spans="1:5">
      <c r="A7" s="11">
        <v>12</v>
      </c>
      <c r="B7" s="18">
        <v>45</v>
      </c>
      <c r="C7" s="18">
        <v>0</v>
      </c>
      <c r="D7" s="18">
        <v>44</v>
      </c>
      <c r="E7" s="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E4" sqref="A2:E4"/>
    </sheetView>
  </sheetViews>
  <sheetFormatPr defaultRowHeight="15"/>
  <cols>
    <col min="1" max="1" width="13.140625" bestFit="1" customWidth="1"/>
    <col min="2" max="2" width="31.5703125" bestFit="1" customWidth="1"/>
    <col min="3" max="3" width="30.5703125" bestFit="1" customWidth="1"/>
    <col min="4" max="4" width="29.28515625" bestFit="1" customWidth="1"/>
    <col min="5" max="5" width="28.28515625" bestFit="1" customWidth="1"/>
  </cols>
  <sheetData>
    <row r="1" spans="1:5">
      <c r="A1" s="12" t="s">
        <v>61</v>
      </c>
      <c r="B1" s="12" t="s">
        <v>67</v>
      </c>
      <c r="C1" s="12" t="s">
        <v>68</v>
      </c>
      <c r="D1" s="12" t="s">
        <v>69</v>
      </c>
      <c r="E1" s="12" t="s">
        <v>70</v>
      </c>
    </row>
    <row r="2" spans="1:5">
      <c r="A2" s="12">
        <v>6</v>
      </c>
      <c r="B2" s="12">
        <v>29</v>
      </c>
      <c r="C2" s="12">
        <v>24</v>
      </c>
      <c r="D2" s="12">
        <v>72</v>
      </c>
      <c r="E2" s="12">
        <v>32</v>
      </c>
    </row>
    <row r="3" spans="1:5">
      <c r="A3" s="12">
        <v>9</v>
      </c>
      <c r="B3" s="12">
        <v>64</v>
      </c>
      <c r="C3" s="12">
        <v>36</v>
      </c>
      <c r="D3" s="12">
        <v>167</v>
      </c>
      <c r="E3" s="12">
        <v>38</v>
      </c>
    </row>
    <row r="4" spans="1:5">
      <c r="A4" s="12">
        <v>12</v>
      </c>
      <c r="B4" s="12">
        <v>29</v>
      </c>
      <c r="C4" s="12">
        <v>6</v>
      </c>
      <c r="D4" s="12">
        <v>43</v>
      </c>
      <c r="E4" s="1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2" sqref="B2:E2"/>
    </sheetView>
  </sheetViews>
  <sheetFormatPr defaultRowHeight="15"/>
  <cols>
    <col min="1" max="1" width="13.140625" bestFit="1" customWidth="1"/>
    <col min="2" max="2" width="31.5703125" bestFit="1" customWidth="1"/>
    <col min="3" max="3" width="30.5703125" bestFit="1" customWidth="1"/>
    <col min="4" max="4" width="29.28515625" bestFit="1" customWidth="1"/>
    <col min="5" max="5" width="28.28515625" bestFit="1" customWidth="1"/>
  </cols>
  <sheetData>
    <row r="1" spans="1:5">
      <c r="A1" s="12" t="s">
        <v>61</v>
      </c>
      <c r="B1" s="12" t="s">
        <v>67</v>
      </c>
      <c r="C1" s="12" t="s">
        <v>68</v>
      </c>
      <c r="D1" s="12" t="s">
        <v>69</v>
      </c>
      <c r="E1" s="12" t="s">
        <v>70</v>
      </c>
    </row>
    <row r="2" spans="1:5">
      <c r="A2" s="13" t="s">
        <v>66</v>
      </c>
      <c r="B2" s="13">
        <v>34</v>
      </c>
      <c r="C2" s="13">
        <v>22</v>
      </c>
      <c r="D2" s="13">
        <v>44</v>
      </c>
      <c r="E2" s="13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 Collected</vt:lpstr>
      <vt:lpstr>All Sources</vt:lpstr>
      <vt:lpstr>All ELISA</vt:lpstr>
      <vt:lpstr>All PRN</vt:lpstr>
      <vt:lpstr>All PRN and NT</vt:lpstr>
      <vt:lpstr>Source 1</vt:lpstr>
      <vt:lpstr>Source 2</vt:lpstr>
      <vt:lpstr>Source 3</vt:lpstr>
      <vt:lpstr>Source 4</vt:lpstr>
      <vt:lpstr>Source 5</vt:lpstr>
      <vt:lpstr>Source 6</vt:lpstr>
      <vt:lpstr>Source 7</vt:lpstr>
      <vt:lpstr>Source 8</vt:lpstr>
      <vt:lpstr>Source 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2012-01-25T14:27:37Z</dcterms:created>
  <dcterms:modified xsi:type="dcterms:W3CDTF">2012-01-26T10:55:17Z</dcterms:modified>
</cp:coreProperties>
</file>