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x\Desktop\Projects\VAR_COV\"/>
    </mc:Choice>
  </mc:AlternateContent>
  <xr:revisionPtr revIDLastSave="0" documentId="13_ncr:1_{E1F4C262-CA2D-4A35-9EC1-84B1463112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ptimization" sheetId="1" r:id="rId1"/>
    <sheet name="etf_quarterly_returns" sheetId="2" r:id="rId2"/>
  </sheets>
  <definedNames>
    <definedName name="lower_limit">optimization!$H$30:$H$40</definedName>
    <definedName name="solver_adj" localSheetId="0" hidden="1">optimization!$J$30:$J$40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optimization!$J$41</definedName>
    <definedName name="solver_lhs2" localSheetId="0" hidden="1">optimization!$J$30:$J$40</definedName>
    <definedName name="solver_lhs3" localSheetId="0" hidden="1">optimization!$J$30:$J$40</definedName>
    <definedName name="solver_lhs4" localSheetId="0" hidden="1">optimization!$J$30:$J$40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optimization!$J$44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1</definedName>
    <definedName name="solver_rhs2" localSheetId="0" hidden="1">upper_limit</definedName>
    <definedName name="solver_rhs3" localSheetId="0" hidden="1">lower_limit</definedName>
    <definedName name="solver_rhs4" localSheetId="0" hidden="1">lower_limit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upper_limit">optimization!$I$30:$I$40</definedName>
    <definedName name="weights">optimization!$J$30:$J$40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1" l="1" a="1"/>
  <c r="J43" i="1" s="1"/>
  <c r="J42" i="1" a="1"/>
  <c r="J42" i="1"/>
  <c r="K40" i="1"/>
  <c r="G43" i="1" a="1"/>
  <c r="G43" i="1" s="1"/>
  <c r="C6" i="1"/>
  <c r="C10" i="1"/>
  <c r="E10" i="1" s="1"/>
  <c r="L40" i="1"/>
  <c r="L39" i="1"/>
  <c r="L38" i="1"/>
  <c r="L37" i="1"/>
  <c r="L36" i="1"/>
  <c r="L35" i="1"/>
  <c r="L34" i="1"/>
  <c r="L33" i="1"/>
  <c r="L32" i="1"/>
  <c r="L31" i="1"/>
  <c r="L30" i="1"/>
  <c r="K30" i="1"/>
  <c r="K39" i="1"/>
  <c r="K38" i="1"/>
  <c r="K37" i="1"/>
  <c r="K36" i="1"/>
  <c r="K35" i="1"/>
  <c r="K34" i="1"/>
  <c r="K33" i="1"/>
  <c r="K32" i="1"/>
  <c r="K31" i="1"/>
  <c r="D23" i="1"/>
  <c r="C12" i="1" s="1"/>
  <c r="J41" i="1"/>
  <c r="G41" i="1"/>
  <c r="H31" i="1"/>
  <c r="I40" i="1"/>
  <c r="I39" i="1"/>
  <c r="I38" i="1"/>
  <c r="I37" i="1"/>
  <c r="I36" i="1"/>
  <c r="I35" i="1"/>
  <c r="I34" i="1"/>
  <c r="I33" i="1"/>
  <c r="I32" i="1"/>
  <c r="I31" i="1"/>
  <c r="I30" i="1"/>
  <c r="H30" i="1"/>
  <c r="H40" i="1"/>
  <c r="H39" i="1"/>
  <c r="H38" i="1"/>
  <c r="H37" i="1"/>
  <c r="H36" i="1"/>
  <c r="H35" i="1"/>
  <c r="H34" i="1"/>
  <c r="H33" i="1"/>
  <c r="H32" i="1"/>
  <c r="C8" i="1"/>
  <c r="C23" i="1"/>
  <c r="D8" i="1"/>
  <c r="D16" i="1"/>
  <c r="D12" i="1"/>
  <c r="D9" i="1"/>
  <c r="D6" i="1"/>
  <c r="D7" i="1"/>
  <c r="D10" i="1"/>
  <c r="D11" i="1"/>
  <c r="D13" i="1"/>
  <c r="D14" i="1"/>
  <c r="D15" i="1"/>
  <c r="D5" i="1"/>
  <c r="L43" i="1" l="1"/>
  <c r="C11" i="1"/>
  <c r="E11" i="1" s="1"/>
  <c r="C9" i="1"/>
  <c r="E9" i="1" s="1"/>
  <c r="C7" i="1"/>
  <c r="C16" i="1"/>
  <c r="K43" i="1"/>
  <c r="E16" i="1"/>
  <c r="C15" i="1"/>
  <c r="E15" i="1" s="1"/>
  <c r="C14" i="1"/>
  <c r="E14" i="1" s="1"/>
  <c r="C13" i="1"/>
  <c r="E13" i="1" s="1"/>
  <c r="E12" i="1"/>
  <c r="E8" i="1"/>
  <c r="E7" i="1"/>
  <c r="E6" i="1"/>
  <c r="G42" i="1" l="1" a="1"/>
  <c r="G42" i="1" s="1"/>
  <c r="G44" i="1" s="1"/>
  <c r="J44" i="1"/>
  <c r="L42" i="1" l="1"/>
  <c r="K42" i="1"/>
  <c r="L44" i="1"/>
  <c r="K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<sst xmlns="http://schemas.openxmlformats.org/spreadsheetml/2006/main" count="90" uniqueCount="45">
  <si>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Date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</si>
  <si>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</si>
  <si>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</si>
  <si>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</si>
  <si>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</si>
  <si>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</si>
  <si>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</si>
  <si>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</si>
  <si>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</si>
  <si>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</si>
  <si>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</si>
  <si>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</si>
  <si>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Asset</t>
  </si>
  <si>
    <t>µ</t>
  </si>
  <si>
    <t>σ</t>
  </si>
  <si>
    <t>µ / σ</t>
  </si>
  <si>
    <t>w</t>
  </si>
  <si>
    <t>ERP</t>
  </si>
  <si>
    <t>B</t>
  </si>
  <si>
    <t>10.yr Treasury</t>
  </si>
  <si>
    <t>Quarterly ERP</t>
  </si>
  <si>
    <t>Quarterly 10.yr</t>
  </si>
  <si>
    <t>Ticker</t>
  </si>
  <si>
    <t>Description</t>
  </si>
  <si>
    <t>Materials Select Sector SPDR Fund</t>
  </si>
  <si>
    <t>Communication Services Select Sector SPDR Fund</t>
  </si>
  <si>
    <t>Energy Select Sector SPDR Fund</t>
  </si>
  <si>
    <t>Financial Select Sector SPDR Fund</t>
  </si>
  <si>
    <t>Industrial Select Sector SPDR Fund</t>
  </si>
  <si>
    <t>Technology Select Sector SPDR Fund</t>
  </si>
  <si>
    <t>Consumer Staples Select Sector SPDR Fund</t>
  </si>
  <si>
    <t>Real Estate Select Sector SPDR Fund</t>
  </si>
  <si>
    <t>Utilities Select Sector SPDR Fund</t>
  </si>
  <si>
    <t>Health Care Select Sector SPDR Fund</t>
  </si>
  <si>
    <t>Consumer Discretionary Select Sector SPDR Fund</t>
  </si>
  <si>
    <t>Upper Limit</t>
  </si>
  <si>
    <t>Lower Limit</t>
  </si>
  <si>
    <t>Optimized Weights</t>
  </si>
  <si>
    <t>(µ-Rf) / σ</t>
  </si>
  <si>
    <t>change</t>
  </si>
  <si>
    <t xml:space="preserve">% change </t>
  </si>
  <si>
    <t>Maximize Sharpe Ratio</t>
  </si>
  <si>
    <t>CAPM</t>
  </si>
  <si>
    <t>SPDR Actual Weight (as of 4/15/2025)</t>
  </si>
  <si>
    <t>Variance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</si>
</sst>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2" borderId="2" xfId="0" applyFont="1" applyFill="1" applyBorder="1"/>
    <xf numFmtId="0" fontId="4" fillId="2" borderId="2" xfId="0" applyFont="1" applyFill="1" applyBorder="1"/>
    <xf numFmtId="164" fontId="0" fillId="0" borderId="0" xfId="1" applyNumberFormat="1" applyFont="1"/>
    <xf numFmtId="10" fontId="3" fillId="0" borderId="0" xfId="0" applyNumberFormat="1" applyFont="1"/>
    <xf numFmtId="0" fontId="2" fillId="0" borderId="0" xfId="0" applyFont="1"/>
    <xf numFmtId="0" fontId="2" fillId="0" borderId="3" xfId="0" applyFont="1" applyBorder="1"/>
    <xf numFmtId="10" fontId="6" fillId="0" borderId="0" xfId="1" applyNumberFormat="1" applyFont="1" applyBorder="1"/>
    <xf numFmtId="0" fontId="2" fillId="0" borderId="5" xfId="0" applyFont="1" applyBorder="1"/>
    <xf numFmtId="164" fontId="0" fillId="0" borderId="6" xfId="1" applyNumberFormat="1" applyFont="1" applyBorder="1"/>
    <xf numFmtId="2" fontId="0" fillId="0" borderId="6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  <xf numFmtId="10" fontId="0" fillId="0" borderId="1" xfId="0" applyNumberFormat="1" applyBorder="1"/>
    <xf numFmtId="165" fontId="2" fillId="0" borderId="6" xfId="0" applyNumberFormat="1" applyFont="1" applyBorder="1"/>
    <xf numFmtId="9" fontId="0" fillId="0" borderId="0" xfId="1" applyFont="1"/>
    <xf numFmtId="0" fontId="7" fillId="0" borderId="0" xfId="0" applyFont="1"/>
    <xf numFmtId="0" fontId="4" fillId="0" borderId="0" xfId="0" applyFont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5" borderId="12" xfId="0" applyFont="1" applyFill="1" applyBorder="1"/>
    <xf numFmtId="0" fontId="0" fillId="5" borderId="0" xfId="0" applyFill="1"/>
    <xf numFmtId="10" fontId="6" fillId="0" borderId="0" xfId="0" applyNumberFormat="1" applyFont="1"/>
    <xf numFmtId="10" fontId="0" fillId="0" borderId="0" xfId="0" applyNumberFormat="1"/>
    <xf numFmtId="10" fontId="2" fillId="4" borderId="0" xfId="0" applyNumberFormat="1" applyFont="1" applyFill="1"/>
    <xf numFmtId="164" fontId="3" fillId="0" borderId="13" xfId="0" applyNumberFormat="1" applyFont="1" applyBorder="1"/>
    <xf numFmtId="10" fontId="6" fillId="3" borderId="0" xfId="0" applyNumberFormat="1" applyFont="1" applyFill="1"/>
    <xf numFmtId="10" fontId="0" fillId="3" borderId="0" xfId="0" applyNumberFormat="1" applyFill="1"/>
    <xf numFmtId="0" fontId="2" fillId="5" borderId="14" xfId="0" applyFont="1" applyFill="1" applyBorder="1"/>
    <xf numFmtId="0" fontId="0" fillId="5" borderId="15" xfId="0" applyFill="1" applyBorder="1"/>
    <xf numFmtId="10" fontId="6" fillId="3" borderId="15" xfId="0" applyNumberFormat="1" applyFont="1" applyFill="1" applyBorder="1"/>
    <xf numFmtId="10" fontId="0" fillId="3" borderId="15" xfId="0" applyNumberFormat="1" applyFill="1" applyBorder="1"/>
    <xf numFmtId="10" fontId="2" fillId="4" borderId="15" xfId="0" applyNumberFormat="1" applyFont="1" applyFill="1" applyBorder="1"/>
    <xf numFmtId="10" fontId="3" fillId="0" borderId="15" xfId="0" applyNumberFormat="1" applyFont="1" applyBorder="1"/>
    <xf numFmtId="164" fontId="3" fillId="0" borderId="16" xfId="0" applyNumberFormat="1" applyFont="1" applyBorder="1"/>
    <xf numFmtId="10" fontId="6" fillId="0" borderId="6" xfId="1" applyNumberFormat="1" applyFont="1" applyBorder="1"/>
    <xf numFmtId="10" fontId="5" fillId="0" borderId="17" xfId="1" applyNumberFormat="1" applyFont="1" applyBorder="1"/>
    <xf numFmtId="0" fontId="0" fillId="0" borderId="18" xfId="0" applyBorder="1"/>
    <xf numFmtId="0" fontId="4" fillId="0" borderId="18" xfId="0" applyFont="1" applyBorder="1"/>
    <xf numFmtId="10" fontId="5" fillId="0" borderId="18" xfId="1" applyNumberFormat="1" applyFont="1" applyBorder="1"/>
    <xf numFmtId="10" fontId="3" fillId="0" borderId="18" xfId="0" applyNumberFormat="1" applyFont="1" applyBorder="1"/>
    <xf numFmtId="164" fontId="3" fillId="0" borderId="19" xfId="0" applyNumberFormat="1" applyFont="1" applyBorder="1"/>
    <xf numFmtId="10" fontId="6" fillId="0" borderId="3" xfId="1" applyNumberFormat="1" applyFont="1" applyBorder="1"/>
    <xf numFmtId="164" fontId="3" fillId="0" borderId="4" xfId="0" applyNumberFormat="1" applyFont="1" applyBorder="1"/>
    <xf numFmtId="165" fontId="2" fillId="0" borderId="5" xfId="0" applyNumberFormat="1" applyFont="1" applyBorder="1"/>
    <xf numFmtId="0" fontId="0" fillId="0" borderId="6" xfId="0" applyBorder="1"/>
    <xf numFmtId="0" fontId="2" fillId="0" borderId="6" xfId="0" applyFont="1" applyBorder="1"/>
    <xf numFmtId="165" fontId="3" fillId="0" borderId="6" xfId="0" applyNumberFormat="1" applyFont="1" applyBorder="1"/>
    <xf numFmtId="164" fontId="3" fillId="0" borderId="7" xfId="0" applyNumberFormat="1" applyFont="1" applyBorder="1"/>
    <xf numFmtId="0" fontId="0" fillId="3" borderId="0" xfId="0" applyFill="1"/>
    <xf numFmtId="0" fontId="8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abSelected="1" zoomScale="94" zoomScaleNormal="85" workbookViewId="0">
      <selection activeCell="J42" sqref="J42"/>
    </sheetView>
  </sheetViews>
  <sheetFormatPr defaultRowHeight="14.4" x14ac:dyDescent="0.3"/>
  <cols>
    <col min="2" max="2" width="18.33203125" bestFit="1" customWidth="1"/>
    <col min="3" max="3" width="13.5546875" bestFit="1" customWidth="1"/>
    <col min="4" max="4" width="15" customWidth="1"/>
    <col min="5" max="5" width="11.21875" customWidth="1"/>
    <col min="7" max="7" width="35.44140625" bestFit="1" customWidth="1"/>
    <col min="8" max="8" width="14.77734375" customWidth="1"/>
    <col min="9" max="9" width="12.33203125" customWidth="1"/>
    <col min="10" max="10" width="19.44140625" customWidth="1"/>
    <col min="11" max="11" width="10.5546875" bestFit="1" customWidth="1"/>
    <col min="12" max="12" width="10.6640625" customWidth="1"/>
    <col min="16" max="16" width="9.6640625" customWidth="1"/>
  </cols>
  <sheetData>
    <row r="3" spans="2:21" ht="18" x14ac:dyDescent="0.35">
      <c r="J3" s="56" t="s">
        <v>44</v>
      </c>
      <c r="K3" s="55"/>
    </row>
    <row r="4" spans="2:21" x14ac:dyDescent="0.3">
      <c r="C4" s="21" t="s">
        <v>42</v>
      </c>
    </row>
    <row r="5" spans="2:21" ht="15" thickBot="1" x14ac:dyDescent="0.35">
      <c r="B5" s="5" t="s">
        <v>12</v>
      </c>
      <c r="C5" s="5" t="s">
        <v>13</v>
      </c>
      <c r="D5" s="4" t="str">
        <f>_xlfn.UNICHAR(963)</f>
        <v>σ</v>
      </c>
      <c r="E5" s="4" t="s">
        <v>15</v>
      </c>
      <c r="F5" s="4" t="s">
        <v>18</v>
      </c>
      <c r="J5" s="2"/>
      <c r="K5" s="3" t="s">
        <v>1</v>
      </c>
      <c r="L5" s="3" t="s">
        <v>2</v>
      </c>
      <c r="M5" s="3" t="s">
        <v>3</v>
      </c>
      <c r="N5" s="3" t="s">
        <v>4</v>
      </c>
      <c r="O5" s="3" t="s">
        <v>5</v>
      </c>
      <c r="P5" s="3" t="s">
        <v>6</v>
      </c>
      <c r="Q5" s="3" t="s">
        <v>7</v>
      </c>
      <c r="R5" s="3" t="s">
        <v>8</v>
      </c>
      <c r="S5" s="3" t="s">
        <v>9</v>
      </c>
      <c r="T5" s="3" t="s">
        <v>10</v>
      </c>
      <c r="U5" s="3" t="s">
        <v>11</v>
      </c>
    </row>
    <row r="6" spans="2:21" ht="15" thickTop="1" x14ac:dyDescent="0.3">
      <c r="B6" s="9" t="s">
        <v>1</v>
      </c>
      <c r="C6" s="28">
        <f>$D$23+F6*($C$23)</f>
        <v>2.2938987005588336E-2</v>
      </c>
      <c r="D6" s="6">
        <f>_xlfn.STDEV.S(INDEX(etf_quarterly_returns!$B$1:$L$29, 0, MATCH(optimization!B6, etf_quarterly_returns!$B$1:$L$1, 0)))</f>
        <v>0.11124591332940535</v>
      </c>
      <c r="E6" s="16">
        <f>C6/D6</f>
        <v>0.20620071622464653</v>
      </c>
      <c r="F6" s="14">
        <v>1.1599999999999999</v>
      </c>
      <c r="J6" s="3" t="s">
        <v>1</v>
      </c>
      <c r="K6" s="2">
        <v>1.1933665617047368E-2</v>
      </c>
      <c r="L6" s="2">
        <v>8.7534956854898524E-3</v>
      </c>
      <c r="M6" s="2">
        <v>1.2358946054202487E-2</v>
      </c>
      <c r="N6" s="2">
        <v>9.8563910433183965E-3</v>
      </c>
      <c r="O6" s="2">
        <v>1.099414772671963E-2</v>
      </c>
      <c r="P6" s="2">
        <v>9.8942954489803052E-3</v>
      </c>
      <c r="Q6" s="2">
        <v>6.0362556456273328E-3</v>
      </c>
      <c r="R6" s="2">
        <v>8.5973924628904731E-3</v>
      </c>
      <c r="S6" s="2">
        <v>5.0861353819976066E-3</v>
      </c>
      <c r="T6" s="2">
        <v>6.9035267500214548E-3</v>
      </c>
      <c r="U6" s="2">
        <v>9.5486712417168097E-3</v>
      </c>
    </row>
    <row r="7" spans="2:21" x14ac:dyDescent="0.3">
      <c r="B7" s="9" t="s">
        <v>2</v>
      </c>
      <c r="C7" s="28">
        <f t="shared" ref="C7:C15" si="0">$D$23+F7*($C$23)</f>
        <v>2.2512845376403627E-2</v>
      </c>
      <c r="D7" s="6">
        <f>_xlfn.STDEV.S(INDEX(etf_quarterly_returns!$B$1:$L$29, 0, MATCH(optimization!B7, etf_quarterly_returns!$B$1:$L$1, 0)))</f>
        <v>0.11037861242333272</v>
      </c>
      <c r="E7" s="17">
        <f t="shared" ref="E7:E16" si="1">C7/D7</f>
        <v>0.20396021368759915</v>
      </c>
      <c r="F7" s="14">
        <v>1.1200000000000001</v>
      </c>
      <c r="J7" s="3" t="s">
        <v>2</v>
      </c>
      <c r="K7" s="2">
        <v>8.7534956854898524E-3</v>
      </c>
      <c r="L7" s="2">
        <v>1.1748315291911003E-2</v>
      </c>
      <c r="M7" s="2">
        <v>7.8778688902877547E-3</v>
      </c>
      <c r="N7" s="2">
        <v>8.5511863696474261E-3</v>
      </c>
      <c r="O7" s="2">
        <v>8.9310959019429318E-3</v>
      </c>
      <c r="P7" s="2">
        <v>1.1287226326650218E-2</v>
      </c>
      <c r="Q7" s="2">
        <v>3.7839836104404524E-3</v>
      </c>
      <c r="R7" s="2">
        <v>6.6472761799166585E-3</v>
      </c>
      <c r="S7" s="2">
        <v>2.3407314258890588E-3</v>
      </c>
      <c r="T7" s="2">
        <v>4.3915021692671977E-3</v>
      </c>
      <c r="U7" s="2">
        <v>1.102893740050369E-2</v>
      </c>
    </row>
    <row r="8" spans="2:21" x14ac:dyDescent="0.3">
      <c r="B8" s="9" t="s">
        <v>3</v>
      </c>
      <c r="C8" s="28">
        <f t="shared" si="0"/>
        <v>1.9529853972110649E-2</v>
      </c>
      <c r="D8" s="6">
        <f>_xlfn.STDEV.S(INDEX(etf_quarterly_returns!$B$1:$L$29, 0, MATCH(optimization!B8, etf_quarterly_returns!$B$1:$L$1, 0)))</f>
        <v>0.18598399717620057</v>
      </c>
      <c r="E8" s="17">
        <f t="shared" si="1"/>
        <v>0.10500824946572224</v>
      </c>
      <c r="F8" s="14">
        <v>0.84</v>
      </c>
      <c r="J8" s="3" t="s">
        <v>3</v>
      </c>
      <c r="K8" s="2">
        <v>1.2358946054202487E-2</v>
      </c>
      <c r="L8" s="2">
        <v>7.8778688902877547E-3</v>
      </c>
      <c r="M8" s="2">
        <v>3.3354688376864228E-2</v>
      </c>
      <c r="N8" s="2">
        <v>1.3828765277501995E-2</v>
      </c>
      <c r="O8" s="2">
        <v>1.2324918893337091E-2</v>
      </c>
      <c r="P8" s="2">
        <v>7.0712655121736726E-3</v>
      </c>
      <c r="Q8" s="2">
        <v>5.0918191880460493E-3</v>
      </c>
      <c r="R8" s="2">
        <v>7.0448210335886134E-3</v>
      </c>
      <c r="S8" s="2">
        <v>4.3744325194904126E-3</v>
      </c>
      <c r="T8" s="2">
        <v>7.4348112013586775E-3</v>
      </c>
      <c r="U8" s="2">
        <v>7.131620457654593E-3</v>
      </c>
    </row>
    <row r="9" spans="2:21" x14ac:dyDescent="0.3">
      <c r="B9" s="9" t="s">
        <v>4</v>
      </c>
      <c r="C9" s="28">
        <f t="shared" si="0"/>
        <v>2.2086703747218914E-2</v>
      </c>
      <c r="D9" s="6">
        <f>_xlfn.STDEV.S(INDEX(etf_quarterly_returns!$B$1:$L$29, 0, MATCH(optimization!B9, etf_quarterly_returns!$B$1:$L$1, 0)))</f>
        <v>0.11121139926014906</v>
      </c>
      <c r="E9" s="17">
        <f t="shared" si="1"/>
        <v>0.19860107771464175</v>
      </c>
      <c r="F9" s="14">
        <v>1.08</v>
      </c>
      <c r="J9" s="3" t="s">
        <v>4</v>
      </c>
      <c r="K9" s="2">
        <v>9.8563910433183965E-3</v>
      </c>
      <c r="L9" s="2">
        <v>8.5511863696474261E-3</v>
      </c>
      <c r="M9" s="2">
        <v>1.3828765277501995E-2</v>
      </c>
      <c r="N9" s="2">
        <v>1.1926261920921701E-2</v>
      </c>
      <c r="O9" s="2">
        <v>1.0575071918445627E-2</v>
      </c>
      <c r="P9" s="2">
        <v>7.9994284938809373E-3</v>
      </c>
      <c r="Q9" s="2">
        <v>4.8973672828349296E-3</v>
      </c>
      <c r="R9" s="2">
        <v>7.4395554720364711E-3</v>
      </c>
      <c r="S9" s="2">
        <v>4.5011512132246741E-3</v>
      </c>
      <c r="T9" s="2">
        <v>6.0699515559637139E-3</v>
      </c>
      <c r="U9" s="2">
        <v>8.5890258400680118E-3</v>
      </c>
    </row>
    <row r="10" spans="2:21" x14ac:dyDescent="0.3">
      <c r="B10" s="9" t="s">
        <v>5</v>
      </c>
      <c r="C10" s="28">
        <f>$D$23+F10*($C$23)</f>
        <v>2.2512845376403627E-2</v>
      </c>
      <c r="D10" s="6">
        <f>_xlfn.STDEV.S(INDEX(etf_quarterly_returns!$B$1:$L$29, 0, MATCH(optimization!B10, etf_quarterly_returns!$B$1:$L$1, 0)))</f>
        <v>0.11010781430603242</v>
      </c>
      <c r="E10" s="17">
        <f t="shared" si="1"/>
        <v>0.20446183150844932</v>
      </c>
      <c r="F10" s="14">
        <v>1.1200000000000001</v>
      </c>
      <c r="J10" s="3" t="s">
        <v>5</v>
      </c>
      <c r="K10" s="2">
        <v>1.099414772671963E-2</v>
      </c>
      <c r="L10" s="2">
        <v>8.9310959019429318E-3</v>
      </c>
      <c r="M10" s="2">
        <v>1.2324918893337091E-2</v>
      </c>
      <c r="N10" s="2">
        <v>1.0575071918445627E-2</v>
      </c>
      <c r="O10" s="2">
        <v>1.1690740386564159E-2</v>
      </c>
      <c r="P10" s="2">
        <v>9.8169723318929248E-3</v>
      </c>
      <c r="Q10" s="2">
        <v>5.9120367858893491E-3</v>
      </c>
      <c r="R10" s="2">
        <v>8.140897630720614E-3</v>
      </c>
      <c r="S10" s="2">
        <v>4.9507182403857094E-3</v>
      </c>
      <c r="T10" s="2">
        <v>6.7029815105882533E-3</v>
      </c>
      <c r="U10" s="2">
        <v>9.6208774119029422E-3</v>
      </c>
    </row>
    <row r="11" spans="2:21" x14ac:dyDescent="0.3">
      <c r="B11" s="9" t="s">
        <v>6</v>
      </c>
      <c r="C11" s="28">
        <f t="shared" si="0"/>
        <v>2.3684734856661581E-2</v>
      </c>
      <c r="D11" s="6">
        <f>_xlfn.STDEV.S(INDEX(etf_quarterly_returns!$B$1:$L$29, 0, MATCH(optimization!B11, etf_quarterly_returns!$B$1:$L$1, 0)))</f>
        <v>0.12184088759783465</v>
      </c>
      <c r="E11" s="17">
        <f t="shared" si="1"/>
        <v>0.19439069530450881</v>
      </c>
      <c r="F11" s="14">
        <v>1.23</v>
      </c>
      <c r="J11" s="3" t="s">
        <v>6</v>
      </c>
      <c r="K11" s="2">
        <v>9.8942954489803104E-3</v>
      </c>
      <c r="L11" s="2">
        <v>1.1287226326650218E-2</v>
      </c>
      <c r="M11" s="2">
        <v>7.0712655121736726E-3</v>
      </c>
      <c r="N11" s="2">
        <v>7.9994284938809373E-3</v>
      </c>
      <c r="O11" s="2">
        <v>9.8169723318929248E-3</v>
      </c>
      <c r="P11" s="2">
        <v>1.4315016108820027E-2</v>
      </c>
      <c r="Q11" s="2">
        <v>4.7548803158445783E-3</v>
      </c>
      <c r="R11" s="2">
        <v>7.8294456281084914E-3</v>
      </c>
      <c r="S11" s="2">
        <v>2.8888922522704807E-3</v>
      </c>
      <c r="T11" s="2">
        <v>5.6627618140813307E-3</v>
      </c>
      <c r="U11" s="2">
        <v>1.2972897493435933E-2</v>
      </c>
    </row>
    <row r="12" spans="2:21" x14ac:dyDescent="0.3">
      <c r="B12" s="9" t="s">
        <v>7</v>
      </c>
      <c r="C12" s="28">
        <f>$D$23+F12*($C$23)</f>
        <v>1.6546862567817674E-2</v>
      </c>
      <c r="D12" s="6">
        <f>_xlfn.STDEV.S(INDEX(etf_quarterly_returns!$B$1:$L$29, 0, MATCH(optimization!B12, etf_quarterly_returns!$B$1:$L$1, 0)))</f>
        <v>6.3920880225105503E-2</v>
      </c>
      <c r="E12" s="17">
        <f t="shared" si="1"/>
        <v>0.25886474825668537</v>
      </c>
      <c r="F12" s="14">
        <v>0.56000000000000005</v>
      </c>
      <c r="J12" s="3" t="s">
        <v>7</v>
      </c>
      <c r="K12" s="2">
        <v>6.0362556456273328E-3</v>
      </c>
      <c r="L12" s="2">
        <v>3.7839836104404524E-3</v>
      </c>
      <c r="M12" s="2">
        <v>5.0918191880460493E-3</v>
      </c>
      <c r="N12" s="2">
        <v>4.8973672828349296E-3</v>
      </c>
      <c r="O12" s="2">
        <v>5.9120367858893491E-3</v>
      </c>
      <c r="P12" s="2">
        <v>4.7548803158445783E-3</v>
      </c>
      <c r="Q12" s="2">
        <v>3.9399546812968452E-3</v>
      </c>
      <c r="R12" s="2">
        <v>5.0021619281364017E-3</v>
      </c>
      <c r="S12" s="2">
        <v>3.683403474494488E-3</v>
      </c>
      <c r="T12" s="2">
        <v>3.8886652817470323E-3</v>
      </c>
      <c r="U12" s="2">
        <v>4.2048159704086022E-3</v>
      </c>
    </row>
    <row r="13" spans="2:21" x14ac:dyDescent="0.3">
      <c r="B13" s="9" t="s">
        <v>8</v>
      </c>
      <c r="C13" s="28">
        <f t="shared" si="0"/>
        <v>2.2512845376403627E-2</v>
      </c>
      <c r="D13" s="6">
        <f>_xlfn.STDEV.S(INDEX(etf_quarterly_returns!$B$1:$L$29, 0, MATCH(optimization!B13, etf_quarterly_returns!$B$1:$L$1, 0)))</f>
        <v>9.945768748170658E-2</v>
      </c>
      <c r="E13" s="17">
        <f t="shared" si="1"/>
        <v>0.22635601074622264</v>
      </c>
      <c r="F13" s="14">
        <v>1.1200000000000001</v>
      </c>
      <c r="J13" s="3" t="s">
        <v>8</v>
      </c>
      <c r="K13" s="2">
        <v>8.5973924628904731E-3</v>
      </c>
      <c r="L13" s="2">
        <v>6.6472761799166585E-3</v>
      </c>
      <c r="M13" s="2">
        <v>7.0448210335886134E-3</v>
      </c>
      <c r="N13" s="2">
        <v>7.4395554720364711E-3</v>
      </c>
      <c r="O13" s="2">
        <v>8.140897630720614E-3</v>
      </c>
      <c r="P13" s="2">
        <v>7.8294456281084914E-3</v>
      </c>
      <c r="Q13" s="2">
        <v>5.0021619281364017E-3</v>
      </c>
      <c r="R13" s="2">
        <v>9.5385518992370712E-3</v>
      </c>
      <c r="S13" s="2">
        <v>5.3525856537188282E-3</v>
      </c>
      <c r="T13" s="2">
        <v>5.0078731932104827E-3</v>
      </c>
      <c r="U13" s="2">
        <v>7.8225945172582662E-3</v>
      </c>
    </row>
    <row r="14" spans="2:21" x14ac:dyDescent="0.3">
      <c r="B14" s="9" t="s">
        <v>9</v>
      </c>
      <c r="C14" s="28">
        <f t="shared" si="0"/>
        <v>1.803835826996416E-2</v>
      </c>
      <c r="D14" s="6">
        <f>_xlfn.STDEV.S(INDEX(etf_quarterly_returns!$B$1:$L$29, 0, MATCH(optimization!B14, etf_quarterly_returns!$B$1:$L$1, 0)))</f>
        <v>6.9870699915791312E-2</v>
      </c>
      <c r="E14" s="17">
        <f t="shared" si="1"/>
        <v>0.25816770537155237</v>
      </c>
      <c r="F14" s="14">
        <v>0.7</v>
      </c>
      <c r="J14" s="3" t="s">
        <v>9</v>
      </c>
      <c r="K14" s="2">
        <v>5.0861353819976066E-3</v>
      </c>
      <c r="L14" s="2">
        <v>2.3407314258890588E-3</v>
      </c>
      <c r="M14" s="2">
        <v>4.3744325194904126E-3</v>
      </c>
      <c r="N14" s="2">
        <v>4.5011512132246741E-3</v>
      </c>
      <c r="O14" s="2">
        <v>4.9507182403857094E-3</v>
      </c>
      <c r="P14" s="2">
        <v>2.8888922522704807E-3</v>
      </c>
      <c r="Q14" s="2">
        <v>3.683403474494488E-3</v>
      </c>
      <c r="R14" s="2">
        <v>5.3525856537188282E-3</v>
      </c>
      <c r="S14" s="2">
        <v>4.7075606100538967E-3</v>
      </c>
      <c r="T14" s="2">
        <v>3.0795725324140495E-3</v>
      </c>
      <c r="U14" s="2">
        <v>3.0262285196788149E-3</v>
      </c>
    </row>
    <row r="15" spans="2:21" x14ac:dyDescent="0.3">
      <c r="B15" s="9" t="s">
        <v>10</v>
      </c>
      <c r="C15" s="28">
        <f t="shared" si="0"/>
        <v>1.7186075011594741E-2</v>
      </c>
      <c r="D15" s="6">
        <f>_xlfn.STDEV.S(INDEX(etf_quarterly_returns!$B$1:$L$29, 0, MATCH(optimization!B15, etf_quarterly_returns!$B$1:$L$1, 0)))</f>
        <v>7.7225313792040562E-2</v>
      </c>
      <c r="E15" s="17">
        <f t="shared" si="1"/>
        <v>0.22254457984949064</v>
      </c>
      <c r="F15" s="14">
        <v>0.62</v>
      </c>
      <c r="J15" s="3" t="s">
        <v>10</v>
      </c>
      <c r="K15" s="2">
        <v>6.9035267500214548E-3</v>
      </c>
      <c r="L15" s="2">
        <v>4.3915021692671977E-3</v>
      </c>
      <c r="M15" s="2">
        <v>7.4348112013586775E-3</v>
      </c>
      <c r="N15" s="2">
        <v>6.0699515559637139E-3</v>
      </c>
      <c r="O15" s="2">
        <v>6.7029815105882533E-3</v>
      </c>
      <c r="P15" s="2">
        <v>5.6627618140813307E-3</v>
      </c>
      <c r="Q15" s="2">
        <v>3.8886652817470323E-3</v>
      </c>
      <c r="R15" s="2">
        <v>5.0078731932104827E-3</v>
      </c>
      <c r="S15" s="2">
        <v>3.0795725324140495E-3</v>
      </c>
      <c r="T15" s="2">
        <v>5.7507580513405905E-3</v>
      </c>
      <c r="U15" s="2">
        <v>4.5626068318526721E-3</v>
      </c>
    </row>
    <row r="16" spans="2:21" x14ac:dyDescent="0.3">
      <c r="B16" s="11" t="s">
        <v>11</v>
      </c>
      <c r="C16" s="41">
        <f>$D$23+F16*($C$23)</f>
        <v>2.4537018115031003E-2</v>
      </c>
      <c r="D16" s="12">
        <f>_xlfn.STDEV.S(INDEX(etf_quarterly_returns!$B$1:$L$29, 0, MATCH(optimization!B16, etf_quarterly_returns!$B$1:$L$1, 0)))</f>
        <v>0.12401061827353191</v>
      </c>
      <c r="E16" s="13">
        <f t="shared" si="1"/>
        <v>0.19786223515884235</v>
      </c>
      <c r="F16" s="15">
        <v>1.31</v>
      </c>
      <c r="J16" s="3" t="s">
        <v>11</v>
      </c>
      <c r="K16" s="2">
        <v>9.5486712417168097E-3</v>
      </c>
      <c r="L16" s="2">
        <v>1.102893740050369E-2</v>
      </c>
      <c r="M16" s="2">
        <v>7.131620457654593E-3</v>
      </c>
      <c r="N16" s="2">
        <v>8.5890258400680118E-3</v>
      </c>
      <c r="O16" s="2">
        <v>9.6208774119029422E-3</v>
      </c>
      <c r="P16" s="2">
        <v>1.2972897493435933E-2</v>
      </c>
      <c r="Q16" s="2">
        <v>4.2048159704086022E-3</v>
      </c>
      <c r="R16" s="2">
        <v>7.8225945172582662E-3</v>
      </c>
      <c r="S16" s="2">
        <v>3.0262285196788149E-3</v>
      </c>
      <c r="T16" s="2">
        <v>4.5626068318526721E-3</v>
      </c>
      <c r="U16" s="2">
        <v>1.4829396535848516E-2</v>
      </c>
    </row>
    <row r="20" spans="2:12" x14ac:dyDescent="0.3">
      <c r="C20" s="3" t="s">
        <v>17</v>
      </c>
      <c r="D20" s="3" t="s">
        <v>19</v>
      </c>
    </row>
    <row r="21" spans="2:12" x14ac:dyDescent="0.3">
      <c r="C21" s="18">
        <v>4.3299999999999998E-2</v>
      </c>
      <c r="D21" s="18">
        <v>4.2999999999999997E-2</v>
      </c>
    </row>
    <row r="22" spans="2:12" x14ac:dyDescent="0.3">
      <c r="C22" s="3" t="s">
        <v>20</v>
      </c>
      <c r="D22" s="3" t="s">
        <v>21</v>
      </c>
    </row>
    <row r="23" spans="2:12" x14ac:dyDescent="0.3">
      <c r="C23" s="18">
        <f>(1 + C21)^(1/4) - 1</f>
        <v>1.0653540729617772E-2</v>
      </c>
      <c r="D23" s="18">
        <f>(1 + D21)^(1/4) - 1</f>
        <v>1.0580879759231721E-2</v>
      </c>
    </row>
    <row r="28" spans="2:12" ht="15" thickBot="1" x14ac:dyDescent="0.35">
      <c r="J28" s="21" t="s">
        <v>41</v>
      </c>
    </row>
    <row r="29" spans="2:12" ht="15" thickBot="1" x14ac:dyDescent="0.35">
      <c r="B29" s="23" t="s">
        <v>22</v>
      </c>
      <c r="C29" s="24" t="s">
        <v>23</v>
      </c>
      <c r="D29" s="24"/>
      <c r="E29" s="24"/>
      <c r="F29" s="24"/>
      <c r="G29" s="24" t="s">
        <v>43</v>
      </c>
      <c r="H29" s="24" t="s">
        <v>36</v>
      </c>
      <c r="I29" s="24" t="s">
        <v>35</v>
      </c>
      <c r="J29" s="24" t="s">
        <v>37</v>
      </c>
      <c r="K29" s="24" t="s">
        <v>39</v>
      </c>
      <c r="L29" s="25" t="s">
        <v>40</v>
      </c>
    </row>
    <row r="30" spans="2:12" ht="15" thickTop="1" x14ac:dyDescent="0.3">
      <c r="B30" s="26" t="s">
        <v>1</v>
      </c>
      <c r="C30" s="27" t="s">
        <v>24</v>
      </c>
      <c r="D30" s="27"/>
      <c r="E30" s="27"/>
      <c r="F30" s="27"/>
      <c r="G30" s="28">
        <v>0.02</v>
      </c>
      <c r="H30" s="29">
        <f>IF((G30-5%) &lt; 0%, 0%, G30-5%)</f>
        <v>0</v>
      </c>
      <c r="I30" s="29">
        <f>G30+5%</f>
        <v>7.0000000000000007E-2</v>
      </c>
      <c r="J30" s="30">
        <v>7.0000000000000007E-2</v>
      </c>
      <c r="K30" s="7">
        <f>J30-G30</f>
        <v>0.05</v>
      </c>
      <c r="L30" s="31">
        <f>(J30-G30)/G30</f>
        <v>2.5</v>
      </c>
    </row>
    <row r="31" spans="2:12" x14ac:dyDescent="0.3">
      <c r="B31" s="26" t="s">
        <v>2</v>
      </c>
      <c r="C31" s="27" t="s">
        <v>25</v>
      </c>
      <c r="D31" s="27"/>
      <c r="E31" s="27"/>
      <c r="F31" s="27"/>
      <c r="G31" s="32">
        <v>9.2999999999999999E-2</v>
      </c>
      <c r="H31" s="33">
        <f>IF((G31-5%) &lt; 0%, 0%, G31-5%)</f>
        <v>4.2999999999999997E-2</v>
      </c>
      <c r="I31" s="33">
        <f t="shared" ref="I31:I40" si="2">G31+5%</f>
        <v>0.14300000000000002</v>
      </c>
      <c r="J31" s="30">
        <v>7.5756832473854382E-2</v>
      </c>
      <c r="K31" s="7">
        <f t="shared" ref="K31:K39" si="3">J31-G31</f>
        <v>-1.7243167526145617E-2</v>
      </c>
      <c r="L31" s="31">
        <f t="shared" ref="L31:L43" si="4">(J31-G31)/G31</f>
        <v>-0.18541040350694213</v>
      </c>
    </row>
    <row r="32" spans="2:12" x14ac:dyDescent="0.3">
      <c r="B32" s="26" t="s">
        <v>3</v>
      </c>
      <c r="C32" s="27" t="s">
        <v>26</v>
      </c>
      <c r="D32" s="27"/>
      <c r="E32" s="27"/>
      <c r="F32" s="27"/>
      <c r="G32" s="32">
        <v>3.2300000000000002E-2</v>
      </c>
      <c r="H32" s="33">
        <f t="shared" ref="H32:H40" si="5">IF((G32-5%) &lt; 0%, 0%, G32-5%)</f>
        <v>0</v>
      </c>
      <c r="I32" s="33">
        <f t="shared" si="2"/>
        <v>8.2300000000000012E-2</v>
      </c>
      <c r="J32" s="30">
        <v>0</v>
      </c>
      <c r="K32" s="7">
        <f t="shared" si="3"/>
        <v>-3.2300000000000002E-2</v>
      </c>
      <c r="L32" s="31">
        <f t="shared" si="4"/>
        <v>-1</v>
      </c>
    </row>
    <row r="33" spans="2:12" x14ac:dyDescent="0.3">
      <c r="B33" s="26" t="s">
        <v>4</v>
      </c>
      <c r="C33" s="27" t="s">
        <v>27</v>
      </c>
      <c r="D33" s="27"/>
      <c r="E33" s="27"/>
      <c r="F33" s="27"/>
      <c r="G33" s="32">
        <v>0.14419999999999999</v>
      </c>
      <c r="H33" s="33">
        <f t="shared" si="5"/>
        <v>9.4199999999999992E-2</v>
      </c>
      <c r="I33" s="33">
        <f t="shared" si="2"/>
        <v>0.19419999999999998</v>
      </c>
      <c r="J33" s="30">
        <v>0.19374316752614537</v>
      </c>
      <c r="K33" s="7">
        <f t="shared" si="3"/>
        <v>4.9543167526145376E-2</v>
      </c>
      <c r="L33" s="31">
        <f t="shared" si="4"/>
        <v>0.34357259033387916</v>
      </c>
    </row>
    <row r="34" spans="2:12" x14ac:dyDescent="0.3">
      <c r="B34" s="26" t="s">
        <v>5</v>
      </c>
      <c r="C34" s="27" t="s">
        <v>28</v>
      </c>
      <c r="D34" s="27"/>
      <c r="E34" s="27"/>
      <c r="F34" s="27"/>
      <c r="G34" s="32">
        <v>8.5099999999999995E-2</v>
      </c>
      <c r="H34" s="33">
        <f t="shared" si="5"/>
        <v>3.5099999999999992E-2</v>
      </c>
      <c r="I34" s="33">
        <f t="shared" si="2"/>
        <v>0.1351</v>
      </c>
      <c r="J34" s="30">
        <v>3.5099999999999992E-2</v>
      </c>
      <c r="K34" s="7">
        <f t="shared" si="3"/>
        <v>-0.05</v>
      </c>
      <c r="L34" s="31">
        <f t="shared" si="4"/>
        <v>-0.58754406580493546</v>
      </c>
    </row>
    <row r="35" spans="2:12" x14ac:dyDescent="0.3">
      <c r="B35" s="26" t="s">
        <v>6</v>
      </c>
      <c r="C35" s="27" t="s">
        <v>29</v>
      </c>
      <c r="D35" s="27"/>
      <c r="E35" s="27"/>
      <c r="F35" s="27"/>
      <c r="G35" s="32">
        <v>0.30059999999999998</v>
      </c>
      <c r="H35" s="33">
        <f t="shared" si="5"/>
        <v>0.25059999999999999</v>
      </c>
      <c r="I35" s="33">
        <f t="shared" si="2"/>
        <v>0.35059999999999997</v>
      </c>
      <c r="J35" s="30">
        <v>0.25059999999999999</v>
      </c>
      <c r="K35" s="7">
        <f t="shared" si="3"/>
        <v>-4.9999999999999989E-2</v>
      </c>
      <c r="L35" s="31">
        <f t="shared" si="4"/>
        <v>-0.16633399866932799</v>
      </c>
    </row>
    <row r="36" spans="2:12" x14ac:dyDescent="0.3">
      <c r="B36" s="26" t="s">
        <v>7</v>
      </c>
      <c r="C36" s="27" t="s">
        <v>30</v>
      </c>
      <c r="D36" s="27"/>
      <c r="E36" s="27"/>
      <c r="F36" s="27"/>
      <c r="G36" s="32">
        <v>6.3299999999999995E-2</v>
      </c>
      <c r="H36" s="33">
        <f t="shared" si="5"/>
        <v>1.3299999999999992E-2</v>
      </c>
      <c r="I36" s="33">
        <f t="shared" si="2"/>
        <v>0.1133</v>
      </c>
      <c r="J36" s="30">
        <v>1.3299999999999992E-2</v>
      </c>
      <c r="K36" s="7">
        <f t="shared" si="3"/>
        <v>-0.05</v>
      </c>
      <c r="L36" s="31">
        <f t="shared" si="4"/>
        <v>-0.78988941548183267</v>
      </c>
    </row>
    <row r="37" spans="2:12" x14ac:dyDescent="0.3">
      <c r="B37" s="26" t="s">
        <v>8</v>
      </c>
      <c r="C37" s="27" t="s">
        <v>31</v>
      </c>
      <c r="D37" s="27"/>
      <c r="E37" s="27"/>
      <c r="F37" s="27"/>
      <c r="G37" s="32">
        <v>2.23E-2</v>
      </c>
      <c r="H37" s="33">
        <f t="shared" si="5"/>
        <v>0</v>
      </c>
      <c r="I37" s="33">
        <f t="shared" si="2"/>
        <v>7.2300000000000003E-2</v>
      </c>
      <c r="J37" s="30">
        <v>7.2300000000000003E-2</v>
      </c>
      <c r="K37" s="7">
        <f t="shared" si="3"/>
        <v>0.05</v>
      </c>
      <c r="L37" s="31">
        <f t="shared" si="4"/>
        <v>2.2421524663677133</v>
      </c>
    </row>
    <row r="38" spans="2:12" x14ac:dyDescent="0.3">
      <c r="B38" s="26" t="s">
        <v>9</v>
      </c>
      <c r="C38" s="27" t="s">
        <v>32</v>
      </c>
      <c r="D38" s="27"/>
      <c r="E38" s="27"/>
      <c r="F38" s="27"/>
      <c r="G38" s="32">
        <v>2.5999999999999999E-2</v>
      </c>
      <c r="H38" s="33">
        <f t="shared" si="5"/>
        <v>0</v>
      </c>
      <c r="I38" s="33">
        <f t="shared" si="2"/>
        <v>7.5999999999999998E-2</v>
      </c>
      <c r="J38" s="30">
        <v>7.5999999999999998E-2</v>
      </c>
      <c r="K38" s="7">
        <f t="shared" si="3"/>
        <v>0.05</v>
      </c>
      <c r="L38" s="31">
        <f t="shared" si="4"/>
        <v>1.9230769230769234</v>
      </c>
    </row>
    <row r="39" spans="2:12" x14ac:dyDescent="0.3">
      <c r="B39" s="26" t="s">
        <v>10</v>
      </c>
      <c r="C39" s="27" t="s">
        <v>33</v>
      </c>
      <c r="D39" s="27"/>
      <c r="E39" s="27"/>
      <c r="F39" s="27"/>
      <c r="G39" s="32">
        <v>0.1101</v>
      </c>
      <c r="H39" s="33">
        <f t="shared" si="5"/>
        <v>6.0100000000000001E-2</v>
      </c>
      <c r="I39" s="33">
        <f t="shared" si="2"/>
        <v>0.16010000000000002</v>
      </c>
      <c r="J39" s="30">
        <v>6.0100000000000001E-2</v>
      </c>
      <c r="K39" s="7">
        <f t="shared" si="3"/>
        <v>-0.05</v>
      </c>
      <c r="L39" s="31">
        <f t="shared" si="4"/>
        <v>-0.45413260672116257</v>
      </c>
    </row>
    <row r="40" spans="2:12" ht="15" thickBot="1" x14ac:dyDescent="0.35">
      <c r="B40" s="34" t="s">
        <v>11</v>
      </c>
      <c r="C40" s="35" t="s">
        <v>34</v>
      </c>
      <c r="D40" s="35"/>
      <c r="E40" s="35"/>
      <c r="F40" s="35"/>
      <c r="G40" s="36">
        <v>0.1031</v>
      </c>
      <c r="H40" s="37">
        <f t="shared" si="5"/>
        <v>5.3099999999999994E-2</v>
      </c>
      <c r="I40" s="37">
        <f t="shared" si="2"/>
        <v>0.15310000000000001</v>
      </c>
      <c r="J40" s="38">
        <v>0.15310000000000001</v>
      </c>
      <c r="K40" s="39">
        <f>J40-G40</f>
        <v>5.0000000000000017E-2</v>
      </c>
      <c r="L40" s="40">
        <f t="shared" si="4"/>
        <v>0.48496605237633383</v>
      </c>
    </row>
    <row r="41" spans="2:12" x14ac:dyDescent="0.3">
      <c r="B41" s="8"/>
      <c r="G41" s="7">
        <f>SUM(G30:G40)</f>
        <v>1</v>
      </c>
      <c r="I41" s="8" t="s">
        <v>16</v>
      </c>
      <c r="J41" s="7">
        <f>SUM(J30:J40)</f>
        <v>0.99999999999999978</v>
      </c>
    </row>
    <row r="42" spans="2:12" x14ac:dyDescent="0.3">
      <c r="B42" s="22"/>
      <c r="G42" s="42" cm="1">
        <f t="array" ref="G42">MMULT(TRANSPOSE(G30:G40),$C$6:$C$16)</f>
        <v>2.184406935710187E-2</v>
      </c>
      <c r="H42" s="43"/>
      <c r="I42" s="44" t="s">
        <v>13</v>
      </c>
      <c r="J42" s="45" cm="1">
        <f t="array" ref="J42">MMULT(TRANSPOSE(J30:J40),$C$6:$C$16)</f>
        <v>2.232414212106144E-2</v>
      </c>
      <c r="K42" s="46">
        <f>J42-G42</f>
        <v>4.8007276395957074E-4</v>
      </c>
      <c r="L42" s="47">
        <f>(J42-G42)/G42</f>
        <v>2.1977258729197868E-2</v>
      </c>
    </row>
    <row r="43" spans="2:12" x14ac:dyDescent="0.3">
      <c r="B43" s="8"/>
      <c r="G43" s="48" cm="1">
        <f t="array" ref="G43">SQRT(MMULT(MMULT(TRANSPOSE(G30:G40),$K$6:$U$16), G30:G40))</f>
        <v>9.2842350162784013E-2</v>
      </c>
      <c r="I43" s="8" t="s">
        <v>14</v>
      </c>
      <c r="J43" s="10" cm="1">
        <f t="array" ref="J43">SQRT(MMULT(MMULT(TRANSPOSE(J30:J40),$K$6:$U$16), J30:J40))</f>
        <v>9.2979209106561919E-2</v>
      </c>
      <c r="K43" s="7">
        <f>J43-G43</f>
        <v>1.3685894377790664E-4</v>
      </c>
      <c r="L43" s="49">
        <f t="shared" si="4"/>
        <v>1.4741003813232502E-3</v>
      </c>
    </row>
    <row r="44" spans="2:12" x14ac:dyDescent="0.3">
      <c r="B44" s="8"/>
      <c r="G44" s="50">
        <f>IF(G43=0, 0,(G42-$D$23)/G43)</f>
        <v>0.12131521421120826</v>
      </c>
      <c r="H44" s="51"/>
      <c r="I44" s="52" t="s">
        <v>38</v>
      </c>
      <c r="J44" s="19">
        <f>IF(J43=0, 0,(J42-$D$23)/J43)</f>
        <v>0.12629987364563364</v>
      </c>
      <c r="K44" s="53">
        <f>J44-G44</f>
        <v>4.9846594344253731E-3</v>
      </c>
      <c r="L44" s="54">
        <f>(J44-G44)/G44</f>
        <v>4.1088493861513066E-2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E9B3-9A5B-457D-8CCE-C80250A3375C}">
  <dimension ref="A1:L30"/>
  <sheetViews>
    <sheetView zoomScaleNormal="100" workbookViewId="0">
      <selection activeCell="E32" sqref="E32"/>
    </sheetView>
  </sheetViews>
  <sheetFormatPr defaultRowHeight="14.4" x14ac:dyDescent="0.3"/>
  <cols>
    <col min="1" max="1" width="10.33203125" bestFit="1" customWidth="1"/>
  </cols>
  <sheetData>
    <row r="1" spans="1:12" x14ac:dyDescent="0.3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3">
      <c r="A2" s="1">
        <v>43373</v>
      </c>
      <c r="B2">
        <v>2.3394809992698302E-3</v>
      </c>
      <c r="C2">
        <v>-8.02295032928412E-3</v>
      </c>
      <c r="D2">
        <v>4.2241723306202204E-3</v>
      </c>
      <c r="E2">
        <v>4.1833281462270798E-2</v>
      </c>
      <c r="F2">
        <v>9.9801102449755805E-2</v>
      </c>
      <c r="G2">
        <v>8.8030032293319405E-2</v>
      </c>
      <c r="H2">
        <v>5.3967111097629798E-2</v>
      </c>
      <c r="I2">
        <v>7.4683963185229098E-3</v>
      </c>
      <c r="J2">
        <v>2.2389192429721198E-2</v>
      </c>
      <c r="K2">
        <v>0.144511597843687</v>
      </c>
      <c r="L2">
        <v>7.56667455216848E-2</v>
      </c>
    </row>
    <row r="3" spans="1:12" x14ac:dyDescent="0.3">
      <c r="A3" s="1">
        <v>43465</v>
      </c>
      <c r="B3">
        <v>-0.12224042496890999</v>
      </c>
      <c r="C3">
        <v>-0.15480808183400299</v>
      </c>
      <c r="D3">
        <v>-0.23572142568690099</v>
      </c>
      <c r="E3">
        <v>-0.13094560440990499</v>
      </c>
      <c r="F3">
        <v>-0.173367975798702</v>
      </c>
      <c r="G3">
        <v>-0.17364920267442399</v>
      </c>
      <c r="H3">
        <v>-4.9792655077836201E-2</v>
      </c>
      <c r="I3">
        <v>-3.8211005132401603E-2</v>
      </c>
      <c r="J3">
        <v>1.36652358987026E-2</v>
      </c>
      <c r="K3">
        <v>-8.66771405564358E-2</v>
      </c>
      <c r="L3">
        <v>-0.152038605726871</v>
      </c>
    </row>
    <row r="4" spans="1:12" x14ac:dyDescent="0.3">
      <c r="A4" s="1">
        <v>43555</v>
      </c>
      <c r="B4">
        <v>0.103320398541796</v>
      </c>
      <c r="C4">
        <v>0.134992762427565</v>
      </c>
      <c r="D4">
        <v>0.16196301121849399</v>
      </c>
      <c r="E4">
        <v>8.4855141577547102E-2</v>
      </c>
      <c r="F4">
        <v>0.17159553838675501</v>
      </c>
      <c r="G4">
        <v>0.19779102946278901</v>
      </c>
      <c r="H4">
        <v>0.111016331025902</v>
      </c>
      <c r="I4">
        <v>0.175081388966809</v>
      </c>
      <c r="J4">
        <v>0.10735816033303699</v>
      </c>
      <c r="K4">
        <v>6.4520339804030297E-2</v>
      </c>
      <c r="L4">
        <v>0.15380759213400899</v>
      </c>
    </row>
    <row r="5" spans="1:12" x14ac:dyDescent="0.3">
      <c r="A5" s="1">
        <v>43646</v>
      </c>
      <c r="B5">
        <v>6.0357754444381802E-2</v>
      </c>
      <c r="C5">
        <v>5.4908304811373203E-2</v>
      </c>
      <c r="D5">
        <v>-2.7653791224643801E-2</v>
      </c>
      <c r="E5">
        <v>7.8981933055773904E-2</v>
      </c>
      <c r="F5">
        <v>3.6341294898789497E-2</v>
      </c>
      <c r="G5">
        <v>5.8320723431453302E-2</v>
      </c>
      <c r="H5">
        <v>4.2819272913479499E-2</v>
      </c>
      <c r="I5">
        <v>2.3238101609523901E-2</v>
      </c>
      <c r="J5">
        <v>3.3282260628114201E-2</v>
      </c>
      <c r="K5">
        <v>1.4008606592491301E-2</v>
      </c>
      <c r="L5">
        <v>5.0601526412988797E-2</v>
      </c>
    </row>
    <row r="6" spans="1:12" x14ac:dyDescent="0.3">
      <c r="A6" s="1">
        <v>43738</v>
      </c>
      <c r="B6">
        <v>-1.2612818214407999E-4</v>
      </c>
      <c r="C6">
        <v>8.4415319054336104E-3</v>
      </c>
      <c r="D6">
        <v>-6.2290983400425201E-2</v>
      </c>
      <c r="E6">
        <v>1.9664806714842099E-2</v>
      </c>
      <c r="F6">
        <v>8.0267169488492593E-3</v>
      </c>
      <c r="G6">
        <v>3.51215026773192E-2</v>
      </c>
      <c r="H6">
        <v>6.39463742343893E-2</v>
      </c>
      <c r="I6">
        <v>7.7056033756547501E-2</v>
      </c>
      <c r="J6">
        <v>9.4091627996565105E-2</v>
      </c>
      <c r="K6">
        <v>-2.3053595657703398E-2</v>
      </c>
      <c r="L6">
        <v>1.5943024608968199E-2</v>
      </c>
    </row>
    <row r="7" spans="1:12" x14ac:dyDescent="0.3">
      <c r="A7" s="1">
        <v>43830</v>
      </c>
      <c r="B7">
        <v>6.1144115924148798E-2</v>
      </c>
      <c r="C7">
        <v>8.5353864617622996E-2</v>
      </c>
      <c r="D7">
        <v>5.47101098429192E-2</v>
      </c>
      <c r="E7">
        <v>0.1048819004128</v>
      </c>
      <c r="F7">
        <v>5.4682634898131702E-2</v>
      </c>
      <c r="G7">
        <v>0.14204732546266</v>
      </c>
      <c r="H7">
        <v>3.37983400745085E-2</v>
      </c>
      <c r="I7">
        <v>-6.3329714103405E-3</v>
      </c>
      <c r="J7">
        <v>5.9418007372227201E-3</v>
      </c>
      <c r="K7">
        <v>0.14221198115539499</v>
      </c>
      <c r="L7">
        <v>4.2530945519809703E-2</v>
      </c>
    </row>
    <row r="8" spans="1:12" x14ac:dyDescent="0.3">
      <c r="A8" s="1">
        <v>43921</v>
      </c>
      <c r="B8">
        <v>-0.26178876277212798</v>
      </c>
      <c r="C8">
        <v>-0.17276446213507901</v>
      </c>
      <c r="D8">
        <v>-0.50515871653604205</v>
      </c>
      <c r="E8">
        <v>-0.31785105644592299</v>
      </c>
      <c r="F8">
        <v>-0.27006066742330798</v>
      </c>
      <c r="G8">
        <v>-0.118690152273405</v>
      </c>
      <c r="H8">
        <v>-0.130169100464752</v>
      </c>
      <c r="I8">
        <v>-0.19233786680003001</v>
      </c>
      <c r="J8">
        <v>-0.13394079824805499</v>
      </c>
      <c r="K8">
        <v>-0.126154284319906</v>
      </c>
      <c r="L8">
        <v>-0.21419310980067</v>
      </c>
    </row>
    <row r="9" spans="1:12" x14ac:dyDescent="0.3">
      <c r="A9" s="1">
        <v>44012</v>
      </c>
      <c r="B9">
        <v>0.25798459932533102</v>
      </c>
      <c r="C9">
        <v>0.22398712480173599</v>
      </c>
      <c r="D9">
        <v>0.319179697974179</v>
      </c>
      <c r="E9">
        <v>0.11852097497269901</v>
      </c>
      <c r="F9">
        <v>0.16937776577132799</v>
      </c>
      <c r="G9">
        <v>0.30369493922278301</v>
      </c>
      <c r="H9">
        <v>8.4945155218509399E-2</v>
      </c>
      <c r="I9">
        <v>0.131545830825094</v>
      </c>
      <c r="J9">
        <v>2.69105745514783E-2</v>
      </c>
      <c r="K9">
        <v>0.134499022086013</v>
      </c>
      <c r="L9">
        <v>0.30513288277102701</v>
      </c>
    </row>
    <row r="10" spans="1:12" x14ac:dyDescent="0.3">
      <c r="A10" s="1">
        <v>44104</v>
      </c>
      <c r="B10">
        <v>0.13468775198521801</v>
      </c>
      <c r="C10">
        <v>0.10151118981676301</v>
      </c>
      <c r="D10">
        <v>-0.19570043572285301</v>
      </c>
      <c r="E10">
        <v>4.59115431576868E-2</v>
      </c>
      <c r="F10">
        <v>0.12487927554686</v>
      </c>
      <c r="G10">
        <v>0.119326963253528</v>
      </c>
      <c r="H10">
        <v>9.9619397557675696E-2</v>
      </c>
      <c r="I10">
        <v>1.9313360029735702E-2</v>
      </c>
      <c r="J10">
        <v>6.1327049924795901E-2</v>
      </c>
      <c r="K10">
        <v>5.8253514787835498E-2</v>
      </c>
      <c r="L10">
        <v>0.153341577904681</v>
      </c>
    </row>
    <row r="11" spans="1:12" x14ac:dyDescent="0.3">
      <c r="A11" s="1">
        <v>44196</v>
      </c>
      <c r="B11">
        <v>0.14317525250409699</v>
      </c>
      <c r="C11">
        <v>0.13784125950709999</v>
      </c>
      <c r="D11">
        <v>0.282367288226054</v>
      </c>
      <c r="E11">
        <v>0.23133049797003</v>
      </c>
      <c r="F11">
        <v>0.155057733651876</v>
      </c>
      <c r="G11">
        <v>0.11673394371194901</v>
      </c>
      <c r="H11">
        <v>6.1071804840886E-2</v>
      </c>
      <c r="I11">
        <v>5.0002440272286501E-2</v>
      </c>
      <c r="J11">
        <v>6.4834579486404004E-2</v>
      </c>
      <c r="K11">
        <v>7.9898548375042497E-2</v>
      </c>
      <c r="L11">
        <v>9.5917983116133795E-2</v>
      </c>
    </row>
    <row r="12" spans="1:12" x14ac:dyDescent="0.3">
      <c r="A12" s="1">
        <v>44286</v>
      </c>
      <c r="B12">
        <v>9.3145333822491599E-2</v>
      </c>
      <c r="C12">
        <v>8.8463841005327504E-2</v>
      </c>
      <c r="D12">
        <v>0.30819308823790897</v>
      </c>
      <c r="E12">
        <v>0.160139780891142</v>
      </c>
      <c r="F12">
        <v>0.115222739600035</v>
      </c>
      <c r="G12">
        <v>2.36143705947615E-2</v>
      </c>
      <c r="H12">
        <v>1.82262323413078E-2</v>
      </c>
      <c r="I12">
        <v>9.0927270686551806E-2</v>
      </c>
      <c r="J12">
        <v>2.8998151885065399E-2</v>
      </c>
      <c r="K12">
        <v>3.26620995633881E-2</v>
      </c>
      <c r="L12">
        <v>4.7002056627284398E-2</v>
      </c>
    </row>
    <row r="13" spans="1:12" x14ac:dyDescent="0.3">
      <c r="A13" s="1">
        <v>44377</v>
      </c>
      <c r="B13">
        <v>4.9077617131954902E-2</v>
      </c>
      <c r="C13">
        <v>0.106322049727786</v>
      </c>
      <c r="D13">
        <v>0.109265093997497</v>
      </c>
      <c r="E13">
        <v>8.1801224531459604E-2</v>
      </c>
      <c r="F13">
        <v>4.3411189321664198E-2</v>
      </c>
      <c r="G13">
        <v>0.11385190547966299</v>
      </c>
      <c r="H13">
        <v>3.0954255839819901E-2</v>
      </c>
      <c r="I13">
        <v>0.129826426080665</v>
      </c>
      <c r="J13">
        <v>-4.9799625759543399E-3</v>
      </c>
      <c r="K13">
        <v>8.3103475080976E-2</v>
      </c>
      <c r="L13">
        <v>6.3930973832897697E-2</v>
      </c>
    </row>
    <row r="14" spans="1:12" x14ac:dyDescent="0.3">
      <c r="A14" s="1">
        <v>44469</v>
      </c>
      <c r="B14">
        <v>-3.4675777297165603E-2</v>
      </c>
      <c r="C14">
        <v>-8.9285312898307306E-3</v>
      </c>
      <c r="D14">
        <v>-2.1294965369094102E-2</v>
      </c>
      <c r="E14">
        <v>2.7323149218410201E-2</v>
      </c>
      <c r="F14">
        <v>-4.1445386131798198E-2</v>
      </c>
      <c r="G14">
        <v>1.30210159167061E-2</v>
      </c>
      <c r="H14">
        <v>-1.0017905995387899E-2</v>
      </c>
      <c r="I14">
        <v>8.3241402112470501E-3</v>
      </c>
      <c r="J14">
        <v>1.7929756510692299E-2</v>
      </c>
      <c r="K14">
        <v>1.42800077129146E-2</v>
      </c>
      <c r="L14">
        <v>6.5441177054117398E-3</v>
      </c>
    </row>
    <row r="15" spans="1:12" x14ac:dyDescent="0.3">
      <c r="A15" s="1">
        <v>44561</v>
      </c>
      <c r="B15">
        <v>0.15117168780103299</v>
      </c>
      <c r="C15">
        <v>-2.8338510005812001E-2</v>
      </c>
      <c r="D15">
        <v>7.9259621916121001E-2</v>
      </c>
      <c r="E15">
        <v>4.5485665341257801E-2</v>
      </c>
      <c r="F15">
        <v>8.5539368203164198E-2</v>
      </c>
      <c r="G15">
        <v>0.16661474102110499</v>
      </c>
      <c r="H15">
        <v>0.127812587985421</v>
      </c>
      <c r="I15">
        <v>0.175561735180778</v>
      </c>
      <c r="J15">
        <v>0.12934611918112099</v>
      </c>
      <c r="K15">
        <v>0.111008951488791</v>
      </c>
      <c r="L15">
        <v>0.140964722178857</v>
      </c>
    </row>
    <row r="16" spans="1:12" x14ac:dyDescent="0.3">
      <c r="A16" s="1">
        <v>44651</v>
      </c>
      <c r="B16">
        <v>-2.3485865788933299E-2</v>
      </c>
      <c r="C16">
        <v>-0.11232191198670501</v>
      </c>
      <c r="D16">
        <v>0.39047183922735201</v>
      </c>
      <c r="E16">
        <v>-1.4854378235859301E-2</v>
      </c>
      <c r="F16">
        <v>-2.3508173991877799E-2</v>
      </c>
      <c r="G16">
        <v>-8.4237434273467304E-2</v>
      </c>
      <c r="H16">
        <v>-1.1357578313624101E-2</v>
      </c>
      <c r="I16">
        <v>-6.20191656352308E-2</v>
      </c>
      <c r="J16">
        <v>4.7185221647469702E-2</v>
      </c>
      <c r="K16">
        <v>-2.4648032279867602E-2</v>
      </c>
      <c r="L16">
        <v>-9.3698827790492295E-2</v>
      </c>
    </row>
    <row r="17" spans="1:12" x14ac:dyDescent="0.3">
      <c r="A17" s="1">
        <v>44742</v>
      </c>
      <c r="B17">
        <v>-0.159280516016686</v>
      </c>
      <c r="C17">
        <v>-0.20905270207653101</v>
      </c>
      <c r="D17">
        <v>-5.4004051780991102E-2</v>
      </c>
      <c r="E17">
        <v>-0.174904713250084</v>
      </c>
      <c r="F17">
        <v>-0.14815049762531801</v>
      </c>
      <c r="G17">
        <v>-0.19807239888056599</v>
      </c>
      <c r="H17">
        <v>-4.1744460527016698E-2</v>
      </c>
      <c r="I17">
        <v>-0.147581993599567</v>
      </c>
      <c r="J17">
        <v>-5.0614956964549998E-2</v>
      </c>
      <c r="K17">
        <v>-5.9921369516388302E-2</v>
      </c>
      <c r="L17">
        <v>-0.25514618297652403</v>
      </c>
    </row>
    <row r="18" spans="1:12" x14ac:dyDescent="0.3">
      <c r="A18" s="1">
        <v>44834</v>
      </c>
      <c r="B18">
        <v>-7.0724705356203302E-2</v>
      </c>
      <c r="C18">
        <v>-0.115694690671617</v>
      </c>
      <c r="D18">
        <v>1.8112600884328599E-2</v>
      </c>
      <c r="E18">
        <v>-2.9580016644172199E-2</v>
      </c>
      <c r="F18">
        <v>-4.6982717936389702E-2</v>
      </c>
      <c r="G18">
        <v>-6.3300245416932799E-2</v>
      </c>
      <c r="H18">
        <v>-6.9491844887976495E-2</v>
      </c>
      <c r="I18">
        <v>-0.110675393135796</v>
      </c>
      <c r="J18">
        <v>-5.9550449628623298E-2</v>
      </c>
      <c r="K18">
        <v>-5.1834578926248098E-2</v>
      </c>
      <c r="L18">
        <v>3.83198148414172E-2</v>
      </c>
    </row>
    <row r="19" spans="1:12" x14ac:dyDescent="0.3">
      <c r="A19" s="1">
        <v>44926</v>
      </c>
      <c r="B19">
        <v>0.14958431370328601</v>
      </c>
      <c r="C19">
        <v>4.5550055288714397E-3</v>
      </c>
      <c r="D19">
        <v>0.227032699207907</v>
      </c>
      <c r="E19">
        <v>0.13354592682729799</v>
      </c>
      <c r="F19">
        <v>0.191196837368038</v>
      </c>
      <c r="G19">
        <v>5.0659211598931199E-2</v>
      </c>
      <c r="H19">
        <v>0.12520009385207201</v>
      </c>
      <c r="I19">
        <v>3.7192729324333901E-2</v>
      </c>
      <c r="J19">
        <v>8.4977007141174996E-2</v>
      </c>
      <c r="K19">
        <v>0.12632831836433001</v>
      </c>
      <c r="L19">
        <v>-9.0810871798916407E-2</v>
      </c>
    </row>
    <row r="20" spans="1:12" x14ac:dyDescent="0.3">
      <c r="A20" s="1">
        <v>45016</v>
      </c>
      <c r="B20">
        <v>4.2878911957190097E-2</v>
      </c>
      <c r="C20">
        <v>0.21126283650885999</v>
      </c>
      <c r="D20">
        <v>-4.31639069812636E-2</v>
      </c>
      <c r="E20">
        <v>-5.5275979001034703E-2</v>
      </c>
      <c r="F20">
        <v>3.4468348524203399E-2</v>
      </c>
      <c r="G20">
        <v>0.21619543523785101</v>
      </c>
      <c r="H20">
        <v>6.96372599731676E-3</v>
      </c>
      <c r="I20">
        <v>1.93880667555432E-2</v>
      </c>
      <c r="J20">
        <v>-3.2781288737202603E-2</v>
      </c>
      <c r="K20">
        <v>-4.33202996485854E-2</v>
      </c>
      <c r="L20">
        <v>0.16132166368089901</v>
      </c>
    </row>
    <row r="21" spans="1:12" x14ac:dyDescent="0.3">
      <c r="A21" s="1">
        <v>45107</v>
      </c>
      <c r="B21">
        <v>3.2438047550090499E-2</v>
      </c>
      <c r="C21">
        <v>0.124472922995206</v>
      </c>
      <c r="D21">
        <v>-1.14094788543978E-2</v>
      </c>
      <c r="E21">
        <v>5.3227147629770301E-2</v>
      </c>
      <c r="F21">
        <v>6.4925436192013297E-2</v>
      </c>
      <c r="G21">
        <v>0.15372609502016901</v>
      </c>
      <c r="H21">
        <v>-1.8492264734182301E-4</v>
      </c>
      <c r="I21">
        <v>1.7989486259147602E-2</v>
      </c>
      <c r="J21">
        <v>-2.5463752184960199E-2</v>
      </c>
      <c r="K21">
        <v>2.94791238511284E-2</v>
      </c>
      <c r="L21">
        <v>0.137833477125794</v>
      </c>
    </row>
    <row r="22" spans="1:12" x14ac:dyDescent="0.3">
      <c r="A22" s="1">
        <v>45199</v>
      </c>
      <c r="B22">
        <v>-4.7560784083514801E-2</v>
      </c>
      <c r="C22">
        <v>1.00424545700261E-2</v>
      </c>
      <c r="D22">
        <v>0.12180619726182999</v>
      </c>
      <c r="E22">
        <v>-1.1620312227988301E-2</v>
      </c>
      <c r="F22">
        <v>-5.1500354169870699E-2</v>
      </c>
      <c r="G22">
        <v>-5.5101049960823302E-2</v>
      </c>
      <c r="H22">
        <v>-6.5978907585527893E-2</v>
      </c>
      <c r="I22">
        <v>-8.8839458920875095E-2</v>
      </c>
      <c r="J22">
        <v>-9.2183410952995398E-2</v>
      </c>
      <c r="K22">
        <v>-2.6082401974527599E-2</v>
      </c>
      <c r="L22">
        <v>-5.0313226752535203E-2</v>
      </c>
    </row>
    <row r="23" spans="1:12" x14ac:dyDescent="0.3">
      <c r="A23" s="1">
        <v>45291</v>
      </c>
      <c r="B23">
        <v>9.6597370160728502E-2</v>
      </c>
      <c r="C23">
        <v>0.11085061400214601</v>
      </c>
      <c r="D23">
        <v>-6.3554829951287903E-2</v>
      </c>
      <c r="E23">
        <v>0.13916620050981099</v>
      </c>
      <c r="F23">
        <v>0.13053543996469499</v>
      </c>
      <c r="G23">
        <v>0.17675035448847801</v>
      </c>
      <c r="H23">
        <v>5.4730893115618899E-2</v>
      </c>
      <c r="I23">
        <v>0.18832156181860699</v>
      </c>
      <c r="J23">
        <v>8.4788639634990795E-2</v>
      </c>
      <c r="K23">
        <v>6.4087322846667405E-2</v>
      </c>
      <c r="L23">
        <v>0.11274586329066801</v>
      </c>
    </row>
    <row r="24" spans="1:12" x14ac:dyDescent="0.3">
      <c r="A24" s="1">
        <v>45382</v>
      </c>
      <c r="B24">
        <v>8.9825544845024197E-2</v>
      </c>
      <c r="C24">
        <v>0.12690598543951001</v>
      </c>
      <c r="D24">
        <v>0.13517373193792101</v>
      </c>
      <c r="E24">
        <v>0.12443043872390901</v>
      </c>
      <c r="F24">
        <v>0.108424178752797</v>
      </c>
      <c r="G24">
        <v>8.3821273289206299E-2</v>
      </c>
      <c r="H24">
        <v>6.7918836106855895E-2</v>
      </c>
      <c r="I24">
        <v>-6.51194905598517E-3</v>
      </c>
      <c r="J24">
        <v>4.5197904188599702E-2</v>
      </c>
      <c r="K24">
        <v>8.7134821672360196E-2</v>
      </c>
      <c r="L24">
        <v>3.06503029732525E-2</v>
      </c>
    </row>
    <row r="25" spans="1:12" x14ac:dyDescent="0.3">
      <c r="A25" s="1">
        <v>45473</v>
      </c>
      <c r="B25">
        <v>-4.4776767941889603E-2</v>
      </c>
      <c r="C25">
        <v>5.1757236373916E-2</v>
      </c>
      <c r="D25">
        <v>-2.67769412061655E-2</v>
      </c>
      <c r="E25">
        <v>-2.0114528893026201E-2</v>
      </c>
      <c r="F25">
        <v>-2.9146770984493E-2</v>
      </c>
      <c r="G25">
        <v>8.8139766861940499E-2</v>
      </c>
      <c r="H25">
        <v>1.04526180647843E-2</v>
      </c>
      <c r="I25">
        <v>-1.84615341600592E-2</v>
      </c>
      <c r="J25">
        <v>4.6297227249201399E-2</v>
      </c>
      <c r="K25">
        <v>-9.5369969401255493E-3</v>
      </c>
      <c r="L25">
        <v>-5.9688395416972401E-3</v>
      </c>
    </row>
    <row r="26" spans="1:12" x14ac:dyDescent="0.3">
      <c r="A26" s="1">
        <v>45565</v>
      </c>
      <c r="B26">
        <v>9.6253839938303207E-2</v>
      </c>
      <c r="C26">
        <v>5.8538038041859801E-2</v>
      </c>
      <c r="D26">
        <v>-2.87978247384033E-2</v>
      </c>
      <c r="E26">
        <v>0.106406325356676</v>
      </c>
      <c r="F26">
        <v>0.114956370904109</v>
      </c>
      <c r="G26">
        <v>-2.8502626323112501E-4</v>
      </c>
      <c r="H26">
        <v>8.9593380726900207E-2</v>
      </c>
      <c r="I26">
        <v>0.17113031079106</v>
      </c>
      <c r="J26">
        <v>0.193533713321585</v>
      </c>
      <c r="K26">
        <v>6.0682369085432501E-2</v>
      </c>
      <c r="L26">
        <v>0.100786396790811</v>
      </c>
    </row>
    <row r="27" spans="1:12" x14ac:dyDescent="0.3">
      <c r="A27" s="1">
        <v>45657</v>
      </c>
      <c r="B27">
        <v>-0.122444445190659</v>
      </c>
      <c r="C27">
        <v>7.3690996215665105E-2</v>
      </c>
      <c r="D27">
        <v>-1.61887153380753E-2</v>
      </c>
      <c r="E27">
        <v>7.0964516977964395E-2</v>
      </c>
      <c r="F27">
        <v>-2.2275580033366198E-2</v>
      </c>
      <c r="G27">
        <v>3.16309981598221E-2</v>
      </c>
      <c r="H27">
        <v>-4.5705096172226102E-2</v>
      </c>
      <c r="I27">
        <v>-7.9754350748256195E-2</v>
      </c>
      <c r="J27">
        <v>-5.5247865851231599E-2</v>
      </c>
      <c r="K27">
        <v>-0.102760211088658</v>
      </c>
      <c r="L27">
        <v>0.12180061377292201</v>
      </c>
    </row>
    <row r="28" spans="1:12" x14ac:dyDescent="0.3">
      <c r="A28" s="1">
        <v>45747</v>
      </c>
      <c r="B28">
        <v>2.6739426117364101E-2</v>
      </c>
      <c r="C28">
        <v>-7.7001899201023505E-4</v>
      </c>
      <c r="D28">
        <v>9.9449327374063701E-2</v>
      </c>
      <c r="E28">
        <v>3.4366274257800998E-2</v>
      </c>
      <c r="F28">
        <v>-2.1809638965966101E-3</v>
      </c>
      <c r="G28">
        <v>-0.11043127724584501</v>
      </c>
      <c r="H28">
        <v>4.4429564264959399E-2</v>
      </c>
      <c r="I28">
        <v>3.5600396088577999E-2</v>
      </c>
      <c r="J28">
        <v>4.9143115740841202E-2</v>
      </c>
      <c r="K28">
        <v>6.5456777226604299E-2</v>
      </c>
      <c r="L28">
        <v>-0.11743476261407899</v>
      </c>
    </row>
    <row r="29" spans="1:12" x14ac:dyDescent="0.3">
      <c r="A29" s="1">
        <v>45838</v>
      </c>
      <c r="B29">
        <v>-6.3735789055324205E-2</v>
      </c>
      <c r="C29">
        <v>-5.3706588585539401E-2</v>
      </c>
      <c r="D29">
        <v>-0.15580522240849101</v>
      </c>
      <c r="E29">
        <v>-6.3039612884440197E-2</v>
      </c>
      <c r="F29">
        <v>-4.1199426669106802E-2</v>
      </c>
      <c r="G29">
        <v>-3.9374224100388697E-2</v>
      </c>
      <c r="H29">
        <v>-1.61626022336087E-2</v>
      </c>
      <c r="I29">
        <v>-7.0011957276118295E-2</v>
      </c>
      <c r="J29">
        <v>-3.2086224835213201E-2</v>
      </c>
      <c r="K29">
        <v>-6.2598450335675501E-2</v>
      </c>
      <c r="L29">
        <v>-3.9197838701483703E-2</v>
      </c>
    </row>
    <row r="30" spans="1:12" x14ac:dyDescent="0.3">
      <c r="B3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optimization</vt:lpstr>
      <vt:lpstr>etf_quarterly_returns</vt:lpstr>
      <vt:lpstr>lower_limit</vt:lpstr>
      <vt:lpstr>upper_limit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Helman, Max Everett</cp:lastModifiedBy>
  <dcterms:created xsi:type="dcterms:W3CDTF">2015-06-05T18:17:20Z</dcterms:created>
  <dcterms:modified xsi:type="dcterms:W3CDTF">2025-04-22T15:13:48Z</dcterms:modified>
</cp:coreProperties>
</file>