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e6ebed4306f91a/Документы/Диплом/graduate-work/Text/Дипломная работа/"/>
    </mc:Choice>
  </mc:AlternateContent>
  <xr:revisionPtr revIDLastSave="381" documentId="8_{FD0D56E7-9E47-414B-9620-C88AE7705AED}" xr6:coauthVersionLast="45" xr6:coauthVersionMax="45" xr10:uidLastSave="{6BBF8450-04A2-4B67-9CF7-53614AF41C00}"/>
  <bookViews>
    <workbookView xWindow="-120" yWindow="-120" windowWidth="20730" windowHeight="11160" activeTab="3" xr2:uid="{6A01CEAE-4D3D-4C73-8D2B-27CCE0D80367}"/>
  </bookViews>
  <sheets>
    <sheet name="Стоимость" sheetId="1" r:id="rId1"/>
    <sheet name="Трудоёмкость" sheetId="2" r:id="rId2"/>
    <sheet name="Страховые выплаты" sheetId="3" r:id="rId3"/>
    <sheet name="Окупаемость" sheetId="4" r:id="rId4"/>
  </sheets>
  <definedNames>
    <definedName name="_Hlk38718042" localSheetId="0">Стоимость!#REF!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12" i="4"/>
  <c r="E13" i="4"/>
  <c r="E14" i="4"/>
  <c r="H17" i="4"/>
  <c r="E3" i="4" s="1"/>
  <c r="L3" i="4"/>
  <c r="D4" i="4"/>
  <c r="D5" i="4"/>
  <c r="D6" i="4"/>
  <c r="D7" i="4"/>
  <c r="D8" i="4"/>
  <c r="D9" i="4"/>
  <c r="D10" i="4"/>
  <c r="D11" i="4"/>
  <c r="D12" i="4"/>
  <c r="D13" i="4"/>
  <c r="D14" i="4"/>
  <c r="G17" i="4"/>
  <c r="D3" i="4"/>
  <c r="L12" i="4"/>
  <c r="K12" i="4" s="1"/>
  <c r="C12" i="4" s="1"/>
  <c r="L11" i="4"/>
  <c r="L9" i="4"/>
  <c r="L7" i="4"/>
  <c r="L5" i="4"/>
  <c r="K5" i="4"/>
  <c r="C5" i="4" s="1"/>
  <c r="K7" i="4"/>
  <c r="K9" i="4"/>
  <c r="K11" i="4"/>
  <c r="C11" i="4" s="1"/>
  <c r="K3" i="4"/>
  <c r="C3" i="4" s="1"/>
  <c r="H14" i="4"/>
  <c r="G14" i="4" s="1"/>
  <c r="B14" i="4" s="1"/>
  <c r="H13" i="4"/>
  <c r="G13" i="4" s="1"/>
  <c r="B13" i="4" s="1"/>
  <c r="H11" i="4"/>
  <c r="H9" i="4"/>
  <c r="H8" i="4"/>
  <c r="G8" i="4" s="1"/>
  <c r="B8" i="4" s="1"/>
  <c r="G9" i="4"/>
  <c r="B9" i="4" s="1"/>
  <c r="G11" i="4"/>
  <c r="B11" i="4" s="1"/>
  <c r="I3" i="4"/>
  <c r="C7" i="4"/>
  <c r="C9" i="4"/>
  <c r="C18" i="4"/>
  <c r="L14" i="4" s="1"/>
  <c r="K14" i="4" s="1"/>
  <c r="C14" i="4" s="1"/>
  <c r="C19" i="4"/>
  <c r="L13" i="4" s="1"/>
  <c r="K13" i="4" s="1"/>
  <c r="C13" i="4" s="1"/>
  <c r="C20" i="4"/>
  <c r="L4" i="4" s="1"/>
  <c r="K4" i="4" s="1"/>
  <c r="C4" i="4" s="1"/>
  <c r="C21" i="4"/>
  <c r="C22" i="4"/>
  <c r="H3" i="4" s="1"/>
  <c r="C23" i="4"/>
  <c r="C24" i="4"/>
  <c r="C17" i="4"/>
  <c r="H4" i="4" l="1"/>
  <c r="H5" i="4"/>
  <c r="G5" i="4" s="1"/>
  <c r="B5" i="4" s="1"/>
  <c r="H6" i="4"/>
  <c r="G6" i="4" s="1"/>
  <c r="B6" i="4" s="1"/>
  <c r="H7" i="4"/>
  <c r="G7" i="4" s="1"/>
  <c r="B7" i="4" s="1"/>
  <c r="H10" i="4"/>
  <c r="G10" i="4" s="1"/>
  <c r="B10" i="4" s="1"/>
  <c r="H12" i="4"/>
  <c r="G12" i="4" s="1"/>
  <c r="B12" i="4" s="1"/>
  <c r="L6" i="4"/>
  <c r="K6" i="4" s="1"/>
  <c r="C6" i="4" s="1"/>
  <c r="L8" i="4"/>
  <c r="K8" i="4" s="1"/>
  <c r="C8" i="4" s="1"/>
  <c r="L10" i="4"/>
  <c r="K10" i="4" s="1"/>
  <c r="C10" i="4" s="1"/>
  <c r="G4" i="4"/>
  <c r="B4" i="4" s="1"/>
  <c r="G3" i="4"/>
  <c r="B3" i="4" s="1"/>
  <c r="C11" i="2"/>
  <c r="C6" i="3"/>
  <c r="C3" i="3"/>
  <c r="C4" i="3"/>
  <c r="C5" i="3"/>
  <c r="C2" i="3"/>
  <c r="C3" i="2" l="1"/>
  <c r="C4" i="2"/>
  <c r="C5" i="2"/>
  <c r="C6" i="2"/>
  <c r="C7" i="2"/>
  <c r="C8" i="2"/>
  <c r="C9" i="2"/>
  <c r="C10" i="2"/>
  <c r="C12" i="2"/>
  <c r="C2" i="2"/>
  <c r="C14" i="2" s="1"/>
  <c r="B13" i="2"/>
  <c r="C13" i="2" s="1"/>
  <c r="D77" i="1" l="1"/>
  <c r="D63" i="1" l="1"/>
  <c r="D76" i="1"/>
  <c r="C76" i="1"/>
  <c r="C52" i="1"/>
  <c r="C51" i="1"/>
  <c r="C50" i="1"/>
  <c r="C49" i="1"/>
  <c r="D69" i="1"/>
  <c r="D70" i="1"/>
  <c r="D72" i="1"/>
  <c r="D73" i="1"/>
  <c r="C75" i="1"/>
  <c r="D75" i="1" s="1"/>
  <c r="C74" i="1"/>
  <c r="D74" i="1" s="1"/>
  <c r="C71" i="1"/>
  <c r="D71" i="1" s="1"/>
  <c r="C68" i="1"/>
  <c r="D68" i="1" s="1"/>
  <c r="C53" i="1"/>
  <c r="D53" i="1" s="1"/>
  <c r="D56" i="1"/>
  <c r="D57" i="1"/>
  <c r="D58" i="1"/>
  <c r="D59" i="1"/>
  <c r="D60" i="1"/>
  <c r="D62" i="1"/>
  <c r="C61" i="1"/>
  <c r="D61" i="1" s="1"/>
  <c r="C64" i="1"/>
  <c r="D64" i="1" s="1"/>
  <c r="C36" i="1"/>
  <c r="D36" i="1" s="1"/>
  <c r="C34" i="1"/>
  <c r="D34" i="1" s="1"/>
  <c r="C35" i="1"/>
  <c r="D35" i="1" s="1"/>
  <c r="C33" i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D54" i="1"/>
  <c r="D55" i="1"/>
  <c r="D52" i="1"/>
  <c r="D33" i="1"/>
  <c r="D17" i="1"/>
  <c r="D18" i="1"/>
  <c r="D15" i="1"/>
  <c r="D16" i="1"/>
  <c r="C39" i="1" l="1"/>
  <c r="C38" i="1"/>
  <c r="C37" i="1"/>
  <c r="C45" i="1"/>
  <c r="C44" i="1"/>
  <c r="C43" i="1"/>
  <c r="C47" i="1" l="1"/>
  <c r="D47" i="1" s="1"/>
  <c r="C13" i="1"/>
  <c r="D13" i="1" s="1"/>
  <c r="C46" i="1"/>
  <c r="D46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3" i="1"/>
  <c r="D3" i="1" s="1"/>
  <c r="D4" i="1"/>
  <c r="D14" i="1"/>
  <c r="D19" i="1"/>
  <c r="D37" i="1"/>
  <c r="D38" i="1"/>
  <c r="D39" i="1"/>
  <c r="D40" i="1"/>
  <c r="D41" i="1"/>
  <c r="D42" i="1"/>
  <c r="D43" i="1"/>
  <c r="D44" i="1"/>
  <c r="D45" i="1"/>
  <c r="D48" i="1"/>
  <c r="D49" i="1"/>
  <c r="D50" i="1"/>
  <c r="D51" i="1"/>
  <c r="D2" i="1"/>
  <c r="D65" i="1" l="1"/>
</calcChain>
</file>

<file path=xl/sharedStrings.xml><?xml version="1.0" encoding="utf-8"?>
<sst xmlns="http://schemas.openxmlformats.org/spreadsheetml/2006/main" count="183" uniqueCount="155">
  <si>
    <t>Элемент</t>
  </si>
  <si>
    <t>Кол-во</t>
  </si>
  <si>
    <t>Кварцевый резонатор 12 МГц</t>
  </si>
  <si>
    <t>Кварцевый резонатор 32.768 кГц</t>
  </si>
  <si>
    <t>PBS-16</t>
  </si>
  <si>
    <t>PLS-6</t>
  </si>
  <si>
    <t>PLS-8</t>
  </si>
  <si>
    <t>Диод SS34</t>
  </si>
  <si>
    <t>Диод SMA4007</t>
  </si>
  <si>
    <t>Реле SRA-05VDC</t>
  </si>
  <si>
    <t>Кнопка тактовая TS3601</t>
  </si>
  <si>
    <t>Пьезодинамик TMB12A05</t>
  </si>
  <si>
    <t>PLS-4</t>
  </si>
  <si>
    <t>Стоимость 1 ед.(₽)</t>
  </si>
  <si>
    <t>Общая стоимость(₽)</t>
  </si>
  <si>
    <t>Ссылка</t>
  </si>
  <si>
    <t>Микроконтроллер ESP-WROOM-32</t>
  </si>
  <si>
    <t>https://aliexpress.ru/item/32808772590.html?spm=a2g0o.productlist.0.0.7dcd2eeaofqHPn&amp;algo_pvid=c39ac9b5-6daa-4f34-ae35-a81e17e4569b&amp;algo_expid=c39ac9b5-6daa-4f34-ae35-a81e17e4569b-4&amp;btsid=0b8b15f515902409924107652eace3&amp;ws_ab_test=searchweb0_0,searchweb201602_,searchweb201603_</t>
  </si>
  <si>
    <t>https://aliexpress.ru/item/32944301946.html?spm=a2g0o.productlist.0.0.9d233b63dd3ak5&amp;s=p&amp;ad_pvid=202005230638154718294210068700003574288_1&amp;algo_pvid=38894c23-04dd-4130-a0ef-c3e67d7a4054&amp;algo_expid=38894c23-04dd-4130-a0ef-c3e67d7a4054-0&amp;btsid=0b8b15f515902410955991343eace3&amp;ws_ab_test=searchweb0_0,searchweb201602_,searchweb201603_</t>
  </si>
  <si>
    <t>Стабилизатор напряжения  AMS1117-3.3</t>
  </si>
  <si>
    <t>Защита аккумулятора DW01A</t>
  </si>
  <si>
    <t>Контроллер зарядки TP4056E</t>
  </si>
  <si>
    <t>Преобразователь USB-UART CH340G</t>
  </si>
  <si>
    <t>Часы реального времени DS1307</t>
  </si>
  <si>
    <t>EEPROM память AT24C512PI27</t>
  </si>
  <si>
    <t>Преобразователь IIC PCF8574P</t>
  </si>
  <si>
    <t>https://aliexpress.ru/item/32598383117.html?spm=a2g0o.productlist.0.0.6a507cc6sufbPV&amp;algo_pvid=bcae3c5e-37e2-480c-89ec-78ac7a414b79&amp;algo_expid=bcae3c5e-37e2-480c-89ec-78ac7a414b79-3&amp;btsid=0b8b15f515902413359601994eace3&amp;ws_ab_test=searchweb0_0,searchweb201602_,searchweb201603_</t>
  </si>
  <si>
    <t>https://aliexpress.ru/item/32838124744.html?spm=a2g0o.productlist.0.0.42e39760Aok5mB&amp;s=p&amp;ad_pvid=20200523064316180571280072800003579506_1&amp;algo_pvid=17399249-3015-4a90-bc03-82d5bbefb910&amp;algo_expid=17399249-3015-4a90-bc03-82d5bbefb910-0&amp;btsid=0b8b15f515902413959482456eace3&amp;ws_ab_test=searchweb0_0,searchweb201602_,searchweb201603_</t>
  </si>
  <si>
    <t>https://aliexpress.ru/item/32845580765.html?spm=a2g0o.productlist.0.0.465c6b9bSTvuOE&amp;s=p&amp;ad_pvid=202005230644098565090043919200003580852_2&amp;algo_pvid=4ae73945-a696-401b-badf-a15ebeac9ba4&amp;algo_expid=4ae73945-a696-401b-badf-a15ebeac9ba4-1&amp;btsid=0b8b15f515902414494923100eace3&amp;ws_ab_test=searchweb0_0,searchweb201602_,searchweb201603_</t>
  </si>
  <si>
    <t>https://aliexpress.ru/item/32948091423.html?spm=a2g0o.productlist.0.0.50137e29UtgW4p&amp;s=p&amp;ad_pvid=20200523064510392996251806300003581539_5&amp;algo_pvid=d42d7194-f100-4850-bd67-6f0e1acb701a&amp;algo_expid=d42d7194-f100-4850-bd67-6f0e1acb701a-4&amp;btsid=0b8b15f515902415100654085eace3&amp;ws_ab_test=searchweb0_0,searchweb201602_,searchweb201603_</t>
  </si>
  <si>
    <t>Массив транзисторов FS8205A</t>
  </si>
  <si>
    <t>https://aliexpress.ru/item/4000367473737.html?spm=a2g0o.productlist.0.0.2133468cI7U6uf&amp;algo_pvid=9929603d-680e-4828-b038-1973e49542e0&amp;algo_expid=9929603d-680e-4828-b038-1973e49542e0-8&amp;btsid=0b8b15f515902415925735342eace3&amp;ws_ab_test=searchweb0_0,searchweb201602_,searchweb201603_</t>
  </si>
  <si>
    <t>https://aliexpress.ru/item/4000907210022.html?spm=a2g0o.productlist.0.0.3b65d46col9cQw&amp;s=p&amp;ad_pvid=202005230647569781299129252420003583276_8&amp;algo_pvid=fc0595e3-1667-42dc-9188-16f02f1dc727&amp;algo_expid=fc0595e3-1667-42dc-9188-16f02f1dc727-7&amp;btsid=0b8b15f515902416764546949eace3&amp;ws_ab_test=searchweb0_0,searchweb201602_,searchweb201603_</t>
  </si>
  <si>
    <t>https://aliexpress.ru/item/33048896682.html?spm=a2g0o.productlist.0.0.64284857UK516B&amp;s=p&amp;ad_pvid=2020052306485011289635935663550003584257_7&amp;algo_pvid=30e1a65e-bd95-4d71-b0e7-e5c241d74b5d&amp;algo_expid=30e1a65e-bd95-4d71-b0e7-e5c241d74b5d-6&amp;btsid=0b8b15f515902417305067517eace3&amp;ws_ab_test=searchweb0_0,searchweb201602_,searchweb201603_</t>
  </si>
  <si>
    <t>Повышающий преобразователь MT3608</t>
  </si>
  <si>
    <t>https://aliexpress.ru/item/32874808297.html?spm=a2g0o.productlist.0.0.620a68d8D9PmxY&amp;s=p&amp;ad_pvid=202005230650331235533996492640003578726_4&amp;algo_pvid=1f707ea0-432d-4622-b6b1-bea3bed20459&amp;algo_expid=1f707ea0-432d-4622-b6b1-bea3bed20459-3&amp;btsid=0b8b15f515902418330868243eace3&amp;ws_ab_test=searchweb0_0,searchweb201602_,searchweb201603_</t>
  </si>
  <si>
    <t>Разъём USB-B</t>
  </si>
  <si>
    <t>https://aliexpress.ru/item/33043107098.html?spm=a2g0o.productlist.0.0.1d743018OWWYBO&amp;algo_pvid=e002187f-5395-4761-a526-77a2b88cd399&amp;algo_expid=e002187f-5395-4761-a526-77a2b88cd399-18&amp;btsid=0b8b15f515902419571518617eace3&amp;ws_ab_test=searchweb0_0,searchweb201602_,searchweb201603_</t>
  </si>
  <si>
    <t>Разъём microSD</t>
  </si>
  <si>
    <t>https://aliexpress.ru/item/32836198919.html?spm=a2g0s.9042311.0.0.1f0f33edeNwXvx</t>
  </si>
  <si>
    <t>https://aliexpress.ru/item/32802051702.html?spm=a2g0s.9042311.0.0.1f0f33edeNwXvx</t>
  </si>
  <si>
    <t>https://aliexpress.ru/item/4000030081332.html?spm=a2g0o.productlist.0.0.52294fc6z8TSn5&amp;algo_pvid=443da3fd-a0c6-44d0-9c18-6a8b16277703&amp;algo_expid=443da3fd-a0c6-44d0-9c18-6a8b16277703-10&amp;btsid=0b8b15f515902423206613161eace3&amp;ws_ab_test=searchweb0_0,searchweb201602_,searchweb201603_</t>
  </si>
  <si>
    <t>https://aliexpress.ru/item/32905911610.html?spm=a2g0s.9042311.0.0.1f0f33edeNwXvx</t>
  </si>
  <si>
    <t>https://aliexpress.ru/item/33050533308.html?spm=a2g0o.productlist.0.0.591f419fZBivJb&amp;s=p&amp;ad_pvid=20200524003101633931875486150002254226_1&amp;algo_pvid=10fafa17-7575-4808-a1e7-4a92163b67a7&amp;algo_expid=10fafa17-7575-4808-a1e7-4a92163b67a7-0&amp;btsid=0b8b158f15903054610166494e902b&amp;ws_ab_test=searchweb0_0,searchweb201602_,searchweb201603_</t>
  </si>
  <si>
    <t>https://aliexpress.ru/item/33048439713.html?spm=a2g0o.productlist.0.0.13054256JyVvmA&amp;s=p&amp;ad_pvid=202005240032014591868125946460004349620_1&amp;algo_pvid=72616c28-5ac3-46ac-82dc-8f34579557ad&amp;algo_expid=72616c28-5ac3-46ac-82dc-8f34579557ad-0&amp;btsid=0b8b158f15903055213537367e902b&amp;ws_ab_test=searchweb0_0,searchweb201602_,searchweb201603_</t>
  </si>
  <si>
    <t>https://aliexpress.ru/item/32826666254.html?spm=a2g0o.productlist.0.0.1bbe4edbnNwbFT&amp;algo_pvid=156e919e-e3ef-450a-9808-9026f9bf66cb&amp;algo_expid=156e919e-e3ef-450a-9808-9026f9bf66cb-8&amp;btsid=0b8b158f15903056062338877e902b&amp;ws_ab_test=searchweb0_0,searchweb201602_,searchweb201603_</t>
  </si>
  <si>
    <t>https://aliexpress.ru/item/32873227586.html?spm=a2g0o.productlist.0.0.2fa54a51luzcps&amp;s=p&amp;ad_pvid=202005240035048508726070138800004354392_3&amp;algo_pvid=3142830e-6fc8-437b-ab51-99794baa7552&amp;algo_expid=3142830e-6fc8-437b-ab51-99794baa7552-2&amp;btsid=0b8b158f15903057047852345e902b&amp;ws_ab_test=searchweb0_0,searchweb201602_,searchweb201603_</t>
  </si>
  <si>
    <t>https://aliexpress.ru/item/33037738446.html?spm=a2g0o.productlist.0.0.c04e63181szbZW&amp;algo_pvid=d3d13fd0-9aff-40b2-a366-abdcf42b860a&amp;algo_expid=d3d13fd0-9aff-40b2-a366-abdcf42b860a-0&amp;btsid=0b8b034e15903060705011378e6ab2&amp;ws_ab_test=searchweb0_0,searchweb201602_,searchweb201603_</t>
  </si>
  <si>
    <t>Отсек для аккумулятора 18650</t>
  </si>
  <si>
    <t>https://aliexpress.ru/item/32949445306.html?spm=a2g0o.productlist.0.0.79a94c5b8CVisr&amp;algo_pvid=ed93fb77-d24c-4e57-83c5-9640681a26df&amp;algo_expid=ed93fb77-d24c-4e57-83c5-9640681a26df-8&amp;btsid=0b8b034e15903061646182590e6ab2&amp;ws_ab_test=searchweb0_0,searchweb201602_,searchweb201603_</t>
  </si>
  <si>
    <t>Катушка индуктивности B82464G4223M</t>
  </si>
  <si>
    <t>https://www.chipdip.ru/product/b82464g4223m</t>
  </si>
  <si>
    <t>Винтовой разъём 3x 306-031-12</t>
  </si>
  <si>
    <t>https://www.chipdip.ru/product/306-031-12</t>
  </si>
  <si>
    <t>Подстрочный резистор 3296X</t>
  </si>
  <si>
    <t>https://www.chipdip.ru/product/pbs16</t>
  </si>
  <si>
    <t>SCS-16</t>
  </si>
  <si>
    <t>SCS-8</t>
  </si>
  <si>
    <t>https://www.chipdip.ru/product/scs-16</t>
  </si>
  <si>
    <t>https://www.chipdip.ru/product/scs-8</t>
  </si>
  <si>
    <t>https://www.chipdip.ru/product/to-2013bc-mre</t>
  </si>
  <si>
    <t>Светодиод TO-2013BC-MRE</t>
  </si>
  <si>
    <t>https://www.chipdip.ru/product/to-2013bc-pg</t>
  </si>
  <si>
    <t>Светодиод TO-2013BC-PG</t>
  </si>
  <si>
    <t>Светодиод TO-2013BC-MYF</t>
  </si>
  <si>
    <t>https://www.chipdip.ru/product/to-2013bc-myf</t>
  </si>
  <si>
    <t>https://www.chipdip.ru/product/to-2013bc-bf</t>
  </si>
  <si>
    <t>Светодиод TO-2013BC-BF</t>
  </si>
  <si>
    <t>Резистор 4,7k SMD 0805</t>
  </si>
  <si>
    <t>https://aliexpress.ru/item/32871123420.html?spm=a2g0o.productlist.0.0.10143259Voypr5&amp;algo_pvid=d6a25cc4-348d-46ab-ac09-0a4208893c39&amp;algo_expid=d6a25cc4-348d-46ab-ac09-0a4208893c39-0&amp;btsid=0b8b15d415903263366875482e4389&amp;ws_ab_test=searchweb0_0,searchweb201602_,searchweb201603_</t>
  </si>
  <si>
    <t>Резистор 240 SMD 0805</t>
  </si>
  <si>
    <t>Резистор 3k SMD 0805</t>
  </si>
  <si>
    <t>Резистор 2k SMD 0805</t>
  </si>
  <si>
    <t>Резистор 10k SMD 0805</t>
  </si>
  <si>
    <t>Резистор 12k SMD 0805</t>
  </si>
  <si>
    <t>Резистор 470 SMD 0805</t>
  </si>
  <si>
    <t>Резистор 1,2k SMD 0805</t>
  </si>
  <si>
    <t>Резистор 100 SMD 0805</t>
  </si>
  <si>
    <t>Резистор 1k SMD 0805</t>
  </si>
  <si>
    <t>Резистор 110k SMD 2512</t>
  </si>
  <si>
    <t>Резистор 15k SMD 2512</t>
  </si>
  <si>
    <t>PLS-2</t>
  </si>
  <si>
    <t>Конденсатор 22pF SMD 0805</t>
  </si>
  <si>
    <t>Конденсатор 100nF SMD 0805</t>
  </si>
  <si>
    <t>Конденсатор 22µF SMD 1206</t>
  </si>
  <si>
    <t>Конденсатор 10µF SMD 0805</t>
  </si>
  <si>
    <t>Конденсатор 0.1µF SMD 0805</t>
  </si>
  <si>
    <t>https://aliexpress.ru/item/32829517578.html?spm=a2g0o.productlist.0.0.645644f3krXIQ4&amp;algo_pvid=05732255-54d6-4e48-add5-d449e4c9d191&amp;algo_expid=05732255-54d6-4e48-add5-d449e4c9d191-1&amp;btsid=0b8b035c15903275399571840ea7d7&amp;ws_ab_test=searchweb0_0,searchweb201602_,searchweb201603_</t>
  </si>
  <si>
    <t>https://aliexpress.ru/item/32964553793.html?spm=a2g0o.productlist.0.0.5d97578bOi5flh&amp;algo_pvid=c29d0e39-a5d7-47d5-a5f2-c6a5af283774&amp;algo_expid=c29d0e39-a5d7-47d5-a5f2-c6a5af283774-8&amp;btsid=0b8b035c15903276788503191ea7d7&amp;ws_ab_test=searchweb0_0,searchweb201602_,searchweb201603_</t>
  </si>
  <si>
    <t>https://aliexpress.ru/item/33016966236.html?spm=a2g0o.productlist.0.0.786d4b8aaWhjxx&amp;algo_pvid=fe8c5866-3be0-4622-b634-cac42457f46b&amp;algo_expid=fe8c5866-3be0-4622-b634-cac42457f46b-9&amp;btsid=0b8b035c15903278444623684ea7d7&amp;ws_ab_test=searchweb0_0,searchweb201602_,searchweb201603_</t>
  </si>
  <si>
    <t>https://aliexpress.ru/item/32903313311.html?spm=a2g0o.productlist.0.0.1a626bd5nLjCe2&amp;s=p&amp;ad_pvid=20200524064533383388000592670004654046_1&amp;algo_pvid=3df784c5-4f8f-4e17-a969-3a3c27617f16&amp;algo_expid=3df784c5-4f8f-4e17-a969-3a3c27617f16-0&amp;btsid=0b8b035c15903279329634318ea7d7&amp;ws_ab_test=searchweb0_0,searchweb201602_,searchweb201603_</t>
  </si>
  <si>
    <t>https://aliexpress.ru/item/1806565095.html?spm=a2g0o.productlist.0.0.61fa70a2zCcxj6&amp;algo_pvid=1f60d4f3-4400-4395-9714-95593c44edc0&amp;algo_expid=1f60d4f3-4400-4395-9714-95593c44edc0-1&amp;btsid=0b8b158f15903283283927096e9021&amp;ws_ab_test=searchweb0_0,searchweb201602_,searchweb201603_</t>
  </si>
  <si>
    <t>Ультразвуковой датчик расстояния HC-SR04</t>
  </si>
  <si>
    <t>https://aliexpress.ru/item/32982364002.html?spm=a2g0s.9042311.0.0.5d5533edYt1y0S</t>
  </si>
  <si>
    <t>Сканер отпечатков пальцев FPM10A</t>
  </si>
  <si>
    <t>Мембранная клавиатура 16x16</t>
  </si>
  <si>
    <t>https://aliexpress.ru/item/32874565775.html?spm=a2g0s.9042311.0.0.264d33edM25y4h</t>
  </si>
  <si>
    <t>https://aliexpress.ru/item/33014153324.html?spm=a2g0s.9042311.0.0.264d33ed75WfzP</t>
  </si>
  <si>
    <t>Дисплей LCD1602</t>
  </si>
  <si>
    <t>Отсек для батарейки CR2025</t>
  </si>
  <si>
    <t>Батарейка CR2025</t>
  </si>
  <si>
    <t>Считыватель RFID меток MFRC-522</t>
  </si>
  <si>
    <t>Аккумулятор LGAAS31865</t>
  </si>
  <si>
    <t>https://aliexpress.ru/item/4000924304797.html?spm=a2g0o.productlist.0.0.16ba7b52haCScV&amp;s=p&amp;ad_pvid=20200524071024927259689806100004682763_7&amp;algo_pvid=468f6634-d576-448c-bc4d-a292fd9a2c23&amp;algo_expid=468f6634-d576-448c-bc4d-a292fd9a2c23-6&amp;btsid=0b8b037215903294244892876e0cee&amp;ws_ab_test=searchweb0_0,searchweb201602_,searchweb201603_</t>
  </si>
  <si>
    <t>https://aliexpress.ru/item/33019390820.html?spm=a2g0o.productlist.0.0.15487729SHf9sX&amp;algo_pvid=f2e570de-5409-4661-a790-3a3cbdfdc271&amp;algo_expid=f2e570de-5409-4661-a790-3a3cbdfdc271-13&amp;btsid=0b8b037215903291916481538e0cee&amp;ws_ab_test=searchweb0_0,searchweb201602_,searchweb201603_</t>
  </si>
  <si>
    <t>https://aliexpress.ru/item/32897651120.html?spm=a2g0o.productlist.0.0.2bec4f04tTOXvo&amp;s=p&amp;ad_pvid=20200524071153935045963939430004676651_1&amp;algo_pvid=81249de0-876a-430c-ab36-7dc95307fb1a&amp;algo_expid=81249de0-876a-430c-ab36-7dc95307fb1a-0&amp;btsid=0b8b037215903295130423525e0cee&amp;ws_ab_test=searchweb0_0,searchweb201602_,searchweb201603_</t>
  </si>
  <si>
    <t>https://aliexpress.ru/item/4000389879469.html?spm=a2g0o.productlist.0.0.3fee3943aDXyuh&amp;s=p&amp;ad_pvid=2020052407123414318638294008510004681611_1&amp;algo_pvid=295fbcd0-d85e-4f67-a5b6-7017f0533ad9&amp;algo_expid=295fbcd0-d85e-4f67-a5b6-7017f0533ad9-0&amp;btsid=0b8b037215903295546703980e0cee&amp;ws_ab_test=searchweb0_0,searchweb201602_,searchweb201603_</t>
  </si>
  <si>
    <t>Карта памяти microSD 1Gb</t>
  </si>
  <si>
    <t>https://aliexpress.ru/item/33038600944.html?spm=a2g0o.productlist.0.0.419d2cdcRVEch1&amp;s=p&amp;ad_pvid=202005240721153859348858914580004687806_2&amp;algo_pvid=f9bcfdc6-e8e1-43cd-9146-ae05bd3293ea&amp;algo_expid=f9bcfdc6-e8e1-43cd-9146-ae05bd3293ea-1&amp;btsid=0b8b034e15903300752145706e6aef&amp;ws_ab_test=searchweb0_0,searchweb201602_,searchweb201603_</t>
  </si>
  <si>
    <t>Перемычка 2x 2,54 мм</t>
  </si>
  <si>
    <t>Макетная плата MB-102</t>
  </si>
  <si>
    <t>Платформа для разработки ESP32 DevKit</t>
  </si>
  <si>
    <t>Провода Dupont M-M 10 см.</t>
  </si>
  <si>
    <t>Модуль MT3608</t>
  </si>
  <si>
    <t>Модуль TP4056</t>
  </si>
  <si>
    <t>IIC модуль для LCD</t>
  </si>
  <si>
    <t>Кнопка тактовая 6x6</t>
  </si>
  <si>
    <t>Адпатер microSD</t>
  </si>
  <si>
    <t>Транзистор SOT-23 SS8050</t>
  </si>
  <si>
    <t>https://aliexpress.ru/item/32878293371.html?spm=a2g0s.9042311.0.0.264d33edbISUGp</t>
  </si>
  <si>
    <t>Транзистор TO-92 SS8050</t>
  </si>
  <si>
    <t>Корпус 197x113x63 мм</t>
  </si>
  <si>
    <t>Всего:</t>
  </si>
  <si>
    <t>Вид работ</t>
  </si>
  <si>
    <t>Кол-во дней</t>
  </si>
  <si>
    <t>Кол-во часов</t>
  </si>
  <si>
    <t>Разработка технического задания</t>
  </si>
  <si>
    <t>Изучение существующих аналогов</t>
  </si>
  <si>
    <t>Разработка структурной схемы</t>
  </si>
  <si>
    <t>Разработка функциональной схемы</t>
  </si>
  <si>
    <t>Разработка принципиальной схемы</t>
  </si>
  <si>
    <t>Анализ принципиальной схемы</t>
  </si>
  <si>
    <t>Выполнение трассировки ППМ</t>
  </si>
  <si>
    <t>Разработка программного обеспечения МК</t>
  </si>
  <si>
    <t>Расчёт экономической эффективности</t>
  </si>
  <si>
    <t>Офформление документации</t>
  </si>
  <si>
    <t>Тестирование программного обеспечения</t>
  </si>
  <si>
    <t>Вид выплат</t>
  </si>
  <si>
    <t>Сумма</t>
  </si>
  <si>
    <t>Ставка</t>
  </si>
  <si>
    <t>Пенсионное страхование</t>
  </si>
  <si>
    <t>ОМС</t>
  </si>
  <si>
    <t>Социальное страхование</t>
  </si>
  <si>
    <t>Страхование от несчастных случаев</t>
  </si>
  <si>
    <t>Сборка образца устройства</t>
  </si>
  <si>
    <t>Тираж при +25%</t>
  </si>
  <si>
    <t>Тираж при +50%</t>
  </si>
  <si>
    <t>Срок (месяц)</t>
  </si>
  <si>
    <t>Стоимость</t>
  </si>
  <si>
    <t>ППМ</t>
  </si>
  <si>
    <t>Монтаж</t>
  </si>
  <si>
    <t>Ежемесячное производство</t>
  </si>
  <si>
    <t>Предварительное производство</t>
  </si>
  <si>
    <t>Производство ППМ</t>
  </si>
  <si>
    <t>Монтаж элементов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</si>
</sst>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* #,##0.00\ [$₽-419]_-;\-* #,##0.00\ [$₽-419]_-;_-* &quot;-&quot;??\ [$₽-419]_-;_-@_-"/>
  </numFmts>
  <fonts count="5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1" fillId="0" borderId="1" xfId="0" applyFont="1" applyFill="1" applyBorder="1" applyAlignment="1">
      <alignment horizontal="center" vertical="center" wrapText="1"/>
    </xf>
    <xf numFmtId="164" fontId="1" fillId="0" borderId="1" xfId="0" applyNumberFormat="1" applyFont="1" applyBorder="1"/>
    <xf numFmtId="0" fontId="2" fillId="0" borderId="0" xfId="1"/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vertical="center" wrapText="1"/>
    </xf>
    <xf numFmtId="44" fontId="1" fillId="0" borderId="1" xfId="2" applyFont="1" applyBorder="1"/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1" applyBorder="1"/>
    <xf numFmtId="0" fontId="1" fillId="0" borderId="1" xfId="0" applyFont="1" applyBorder="1" applyAlignment="1">
      <alignment horizontal="left" vertical="center"/>
    </xf>
    <xf numFmtId="0" fontId="1" fillId="0" borderId="0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0" fontId="1" fillId="0" borderId="0" xfId="0" applyNumberFormat="1" applyFont="1"/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center"/>
    </xf>
    <xf numFmtId="44" fontId="1" fillId="0" borderId="0" xfId="2" applyFont="1"/>
    <xf numFmtId="44" fontId="1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/>
    <xf numFmtId="1" fontId="1" fillId="0" borderId="0" xfId="0" applyNumberFormat="1" applyFont="1" applyBorder="1"/>
  </cellXfs>
  <cellStyles count="3">
    <cellStyle name="Гиперссылка" xfId="1" builtinId="8"/>
    <cellStyle name="Денежный" xfId="2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Окупаемость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Окупаемость!$B$2</c:f>
              <c:strCache>
                <c:ptCount val="1"/>
                <c:pt idx="0">
                  <c:v>Тираж при +25%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val>
            <c:numRef>
              <c:f>Окупаемость!$B$3:$B$13</c:f>
              <c:numCache>
                <c:formatCode>0</c:formatCode>
                <c:ptCount val="11"/>
                <c:pt idx="0">
                  <c:v>81.755083533884402</c:v>
                </c:pt>
                <c:pt idx="1">
                  <c:v>51.136611545006318</c:v>
                </c:pt>
                <c:pt idx="2">
                  <c:v>36.057655329426055</c:v>
                </c:pt>
                <c:pt idx="3">
                  <c:v>27.043241497069541</c:v>
                </c:pt>
                <c:pt idx="4">
                  <c:v>27.809415337889142</c:v>
                </c:pt>
                <c:pt idx="5">
                  <c:v>23.174512781574283</c:v>
                </c:pt>
                <c:pt idx="6">
                  <c:v>19.863868098492244</c:v>
                </c:pt>
                <c:pt idx="7">
                  <c:v>18.772905507573231</c:v>
                </c:pt>
                <c:pt idx="8">
                  <c:v>16.687027117842874</c:v>
                </c:pt>
                <c:pt idx="9">
                  <c:v>16.325848331197413</c:v>
                </c:pt>
                <c:pt idx="10">
                  <c:v>14.841680301088557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4-4CB5-8C1B-DD5D714A5433}"/>
            </c:ext>
          </c:extLst>
        </c:ser>
        <c:ser>
          <c:idx val="1"/>
          <c:order val="1"/>
          <c:tx>
            <c:strRef>
              <c:f>Окупаемость!$C$2</c:f>
              <c:strCache>
                <c:ptCount val="1"/>
                <c:pt idx="0">
                  <c:v>Тираж при +50%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val>
            <c:numRef>
              <c:f>Окупаемость!$C$3:$C$13</c:f>
              <c:numCache>
                <c:formatCode>0</c:formatCode>
                <c:ptCount val="11"/>
                <c:pt idx="0">
                  <c:v>51.958991410362984</c:v>
                </c:pt>
                <c:pt idx="1">
                  <c:v>28.554721762011496</c:v>
                </c:pt>
                <c:pt idx="2">
                  <c:v>21.564373887971971</c:v>
                </c:pt>
                <c:pt idx="3">
                  <c:v>16.751184874766313</c:v>
                </c:pt>
                <c:pt idx="4">
                  <c:v>13.897535321914111</c:v>
                </c:pt>
                <c:pt idx="5">
                  <c:v>12.026951865511586</c:v>
                </c:pt>
                <c:pt idx="6">
                  <c:v>10.721398245971928</c:v>
                </c:pt>
                <c:pt idx="7">
                  <c:v>9.7723346207466992</c:v>
                </c:pt>
                <c:pt idx="8">
                  <c:v>9.4767032393021182</c:v>
                </c:pt>
                <c:pt idx="9">
                  <c:v>8.5290329153719071</c:v>
                </c:pt>
                <c:pt idx="10">
                  <c:v>7.7536662867017334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4-4CB5-8C1B-DD5D714A5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0748336"/>
        <c:axId val="1769567392"/>
      </c:barChart>
      <c:catAx>
        <c:axId val="203074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769567392"/>
        <c:crosses val="autoZero"/>
        <c:auto val="1"/>
        <c:lblAlgn val="ctr"/>
        <c:lblOffset val="100"/>
        <c:noMultiLvlLbl val="0"/>
      </c:catAx>
      <c:valAx>
        <c:axId val="176956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3074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4761</xdr:rowOff>
    </xdr:from>
    <xdr:to>
      <xdr:col>21</xdr:col>
      <xdr:colOff>581025</xdr:colOff>
      <xdr:row>13</xdr:row>
      <xdr:rowOff>66674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4005655-7446-4393-A714-2196D8727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liexpress.ru/item/32802051702.html?spm=a2g0s.9042311.0.0.1f0f33edeNwXvx" TargetMode="External"/><Relationship Id="rId18" Type="http://schemas.openxmlformats.org/officeDocument/2006/relationships/hyperlink" Target="https://aliexpress.ru/item/33048439713.html?spm=a2g0o.productlist.0.0.13054256JyVvmA&amp;s=p&amp;ad_pvid=202005240032014591868125946460004349620_1&amp;algo_pvid=72616c28-5ac3-46ac-82dc-8f34579557ad&amp;algo_expid=72616c28-5ac3-46ac-82dc-8f34579557ad-0&amp;btsid=0b8b158f15903055213537367e902b&amp;ws_ab_test=searchweb0_0,searchweb201602_,searchweb201603_" TargetMode="External"/><Relationship Id="rId26" Type="http://schemas.openxmlformats.org/officeDocument/2006/relationships/hyperlink" Target="https://www.chipdip.ru/product/scs-16" TargetMode="External"/><Relationship Id="rId39" Type="http://schemas.openxmlformats.org/officeDocument/2006/relationships/hyperlink" Target="https://aliexpress.ru/item/33016966236.html?spm=a2g0o.productlist.0.0.786d4b8aaWhjxx&amp;algo_pvid=fe8c5866-3be0-4622-b634-cac42457f46b&amp;algo_expid=fe8c5866-3be0-4622-b634-cac42457f46b-9&amp;btsid=0b8b035c15903278444623684ea7d7&amp;ws_ab_test=searchweb0_0,searchweb201602_,searchweb201603_" TargetMode="External"/><Relationship Id="rId21" Type="http://schemas.openxmlformats.org/officeDocument/2006/relationships/hyperlink" Target="https://aliexpress.ru/item/33037738446.html?spm=a2g0o.productlist.0.0.c04e63181szbZW&amp;algo_pvid=d3d13fd0-9aff-40b2-a366-abdcf42b860a&amp;algo_expid=d3d13fd0-9aff-40b2-a366-abdcf42b860a-0&amp;btsid=0b8b034e15903060705011378e6ab2&amp;ws_ab_test=searchweb0_0,searchweb201602_,searchweb201603_" TargetMode="External"/><Relationship Id="rId34" Type="http://schemas.openxmlformats.org/officeDocument/2006/relationships/hyperlink" Target="https://aliexpress.ru/item/32829517578.html?spm=a2g0o.productlist.0.0.645644f3krXIQ4&amp;algo_pvid=05732255-54d6-4e48-add5-d449e4c9d191&amp;algo_expid=05732255-54d6-4e48-add5-d449e4c9d191-1&amp;btsid=0b8b035c15903275399571840ea7d7&amp;ws_ab_test=searchweb0_0,searchweb201602_,searchweb201603_" TargetMode="External"/><Relationship Id="rId42" Type="http://schemas.openxmlformats.org/officeDocument/2006/relationships/hyperlink" Target="https://aliexpress.ru/item/32982364002.html?spm=a2g0s.9042311.0.0.5d5533edYt1y0S" TargetMode="External"/><Relationship Id="rId47" Type="http://schemas.openxmlformats.org/officeDocument/2006/relationships/hyperlink" Target="https://aliexpress.ru/item/32897651120.html?spm=a2g0o.productlist.0.0.2bec4f04tTOXvo&amp;s=p&amp;ad_pvid=20200524071153935045963939430004676651_1&amp;algo_pvid=81249de0-876a-430c-ab36-7dc95307fb1a&amp;algo_expid=81249de0-876a-430c-ab36-7dc95307fb1a-0&amp;btsid=0b8b037215903295130423525e0cee&amp;ws_ab_test=searchweb0_0,searchweb201602_,searchweb201603_" TargetMode="External"/><Relationship Id="rId50" Type="http://schemas.openxmlformats.org/officeDocument/2006/relationships/hyperlink" Target="https://aliexpress.ru/item/32878293371.html?spm=a2g0s.9042311.0.0.264d33edbISUGp" TargetMode="External"/><Relationship Id="rId7" Type="http://schemas.openxmlformats.org/officeDocument/2006/relationships/hyperlink" Target="https://aliexpress.ru/item/4000367473737.html?spm=a2g0o.productlist.0.0.2133468cI7U6uf&amp;algo_pvid=9929603d-680e-4828-b038-1973e49542e0&amp;algo_expid=9929603d-680e-4828-b038-1973e49542e0-8&amp;btsid=0b8b15f515902415925735342eace3&amp;ws_ab_test=searchweb0_0,searchweb201602_,searchweb201603_" TargetMode="External"/><Relationship Id="rId2" Type="http://schemas.openxmlformats.org/officeDocument/2006/relationships/hyperlink" Target="https://aliexpress.ru/item/32944301946.html?spm=a2g0o.productlist.0.0.9d233b63dd3ak5&amp;s=p&amp;ad_pvid=202005230638154718294210068700003574288_1&amp;algo_pvid=38894c23-04dd-4130-a0ef-c3e67d7a4054&amp;algo_expid=38894c23-04dd-4130-a0ef-c3e67d7a4054-0&amp;btsid=0b8b15f515902410955991343eace3&amp;ws_ab_test=searchweb0_0,searchweb201602_,searchweb201603_" TargetMode="External"/><Relationship Id="rId16" Type="http://schemas.openxmlformats.org/officeDocument/2006/relationships/hyperlink" Target="https://aliexpress.ru/item/32905911610.html?spm=a2g0s.9042311.0.0.1f0f33edeNwXvx" TargetMode="External"/><Relationship Id="rId29" Type="http://schemas.openxmlformats.org/officeDocument/2006/relationships/hyperlink" Target="https://www.chipdip.ru/product/to-2013bc-pg" TargetMode="External"/><Relationship Id="rId11" Type="http://schemas.openxmlformats.org/officeDocument/2006/relationships/hyperlink" Target="https://aliexpress.ru/item/33043107098.html?spm=a2g0o.productlist.0.0.1d743018OWWYBO&amp;algo_pvid=e002187f-5395-4761-a526-77a2b88cd399&amp;algo_expid=e002187f-5395-4761-a526-77a2b88cd399-18&amp;btsid=0b8b15f515902419571518617eace3&amp;ws_ab_test=searchweb0_0,searchweb201602_,searchweb201603_" TargetMode="External"/><Relationship Id="rId24" Type="http://schemas.openxmlformats.org/officeDocument/2006/relationships/hyperlink" Target="https://www.chipdip.ru/product/306-031-12" TargetMode="External"/><Relationship Id="rId32" Type="http://schemas.openxmlformats.org/officeDocument/2006/relationships/hyperlink" Target="https://aliexpress.ru/item/32871123420.html?spm=a2g0o.productlist.0.0.10143259Voypr5&amp;algo_pvid=d6a25cc4-348d-46ab-ac09-0a4208893c39&amp;algo_expid=d6a25cc4-348d-46ab-ac09-0a4208893c39-0&amp;btsid=0b8b15d415903263366875482e4389&amp;ws_ab_test=searchweb0_0,searchweb201602_,searchweb201603_" TargetMode="External"/><Relationship Id="rId37" Type="http://schemas.openxmlformats.org/officeDocument/2006/relationships/hyperlink" Target="https://aliexpress.ru/item/32964553793.html?spm=a2g0o.productlist.0.0.5d97578bOi5flh&amp;algo_pvid=c29d0e39-a5d7-47d5-a5f2-c6a5af283774&amp;algo_expid=c29d0e39-a5d7-47d5-a5f2-c6a5af283774-8&amp;btsid=0b8b035c15903276788503191ea7d7&amp;ws_ab_test=searchweb0_0,searchweb201602_,searchweb201603_" TargetMode="External"/><Relationship Id="rId40" Type="http://schemas.openxmlformats.org/officeDocument/2006/relationships/hyperlink" Target="https://aliexpress.ru/item/32903313311.html?spm=a2g0o.productlist.0.0.1a626bd5nLjCe2&amp;s=p&amp;ad_pvid=20200524064533383388000592670004654046_1&amp;algo_pvid=3df784c5-4f8f-4e17-a969-3a3c27617f16&amp;algo_expid=3df784c5-4f8f-4e17-a969-3a3c27617f16-0&amp;btsid=0b8b035c15903279329634318ea7d7&amp;ws_ab_test=searchweb0_0,searchweb201602_,searchweb201603_" TargetMode="External"/><Relationship Id="rId45" Type="http://schemas.openxmlformats.org/officeDocument/2006/relationships/hyperlink" Target="https://aliexpress.ru/item/4000924304797.html?spm=a2g0o.productlist.0.0.16ba7b52haCScV&amp;s=p&amp;ad_pvid=20200524071024927259689806100004682763_7&amp;algo_pvid=468f6634-d576-448c-bc4d-a292fd9a2c23&amp;algo_expid=468f6634-d576-448c-bc4d-a292fd9a2c23-6&amp;btsid=0b8b037215903294244892876e0cee&amp;ws_ab_test=searchweb0_0,searchweb201602_,searchweb201603_" TargetMode="External"/><Relationship Id="rId5" Type="http://schemas.openxmlformats.org/officeDocument/2006/relationships/hyperlink" Target="https://aliexpress.ru/item/32845580765.html?spm=a2g0o.productlist.0.0.465c6b9bSTvuOE&amp;s=p&amp;ad_pvid=202005230644098565090043919200003580852_2&amp;algo_pvid=4ae73945-a696-401b-badf-a15ebeac9ba4&amp;algo_expid=4ae73945-a696-401b-badf-a15ebeac9ba4-1&amp;btsid=0b8b15f515902414494923100eace3&amp;ws_ab_test=searchweb0_0,searchweb201602_,searchweb201603_" TargetMode="External"/><Relationship Id="rId15" Type="http://schemas.openxmlformats.org/officeDocument/2006/relationships/hyperlink" Target="https://aliexpress.ru/item/32905911610.html?spm=a2g0s.9042311.0.0.1f0f33edeNwXvx" TargetMode="External"/><Relationship Id="rId23" Type="http://schemas.openxmlformats.org/officeDocument/2006/relationships/hyperlink" Target="https://www.chipdip.ru/product/b82464g4223m" TargetMode="External"/><Relationship Id="rId28" Type="http://schemas.openxmlformats.org/officeDocument/2006/relationships/hyperlink" Target="https://www.chipdip.ru/product/to-2013bc-mre" TargetMode="External"/><Relationship Id="rId36" Type="http://schemas.openxmlformats.org/officeDocument/2006/relationships/hyperlink" Target="https://aliexpress.ru/item/32964553793.html?spm=a2g0o.productlist.0.0.5d97578bOi5flh&amp;algo_pvid=c29d0e39-a5d7-47d5-a5f2-c6a5af283774&amp;algo_expid=c29d0e39-a5d7-47d5-a5f2-c6a5af283774-8&amp;btsid=0b8b035c15903276788503191ea7d7&amp;ws_ab_test=searchweb0_0,searchweb201602_,searchweb201603_" TargetMode="External"/><Relationship Id="rId49" Type="http://schemas.openxmlformats.org/officeDocument/2006/relationships/hyperlink" Target="https://aliexpress.ru/item/33038600944.html?spm=a2g0o.productlist.0.0.419d2cdcRVEch1&amp;s=p&amp;ad_pvid=202005240721153859348858914580004687806_2&amp;algo_pvid=f9bcfdc6-e8e1-43cd-9146-ae05bd3293ea&amp;algo_expid=f9bcfdc6-e8e1-43cd-9146-ae05bd3293ea-1&amp;btsid=0b8b034e15903300752145706e6aef&amp;ws_ab_test=searchweb0_0,searchweb201602_,searchweb201603_" TargetMode="External"/><Relationship Id="rId10" Type="http://schemas.openxmlformats.org/officeDocument/2006/relationships/hyperlink" Target="https://aliexpress.ru/item/32874808297.html?spm=a2g0o.productlist.0.0.620a68d8D9PmxY&amp;s=p&amp;ad_pvid=202005230650331235533996492640003578726_4&amp;algo_pvid=1f707ea0-432d-4622-b6b1-bea3bed20459&amp;algo_expid=1f707ea0-432d-4622-b6b1-bea3bed20459-3&amp;btsid=0b8b15f515902418330868243eace3&amp;ws_ab_test=searchweb0_0,searchweb201602_,searchweb201603_" TargetMode="External"/><Relationship Id="rId19" Type="http://schemas.openxmlformats.org/officeDocument/2006/relationships/hyperlink" Target="https://aliexpress.ru/item/32826666254.html?spm=a2g0o.productlist.0.0.1bbe4edbnNwbFT&amp;algo_pvid=156e919e-e3ef-450a-9808-9026f9bf66cb&amp;algo_expid=156e919e-e3ef-450a-9808-9026f9bf66cb-8&amp;btsid=0b8b158f15903056062338877e902b&amp;ws_ab_test=searchweb0_0,searchweb201602_,searchweb201603_" TargetMode="External"/><Relationship Id="rId31" Type="http://schemas.openxmlformats.org/officeDocument/2006/relationships/hyperlink" Target="https://www.chipdip.ru/product/to-2013bc-bf" TargetMode="External"/><Relationship Id="rId44" Type="http://schemas.openxmlformats.org/officeDocument/2006/relationships/hyperlink" Target="https://aliexpress.ru/item/33014153324.html?spm=a2g0s.9042311.0.0.264d33ed75WfzP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aliexpress.ru/item/32838124744.html?spm=a2g0o.productlist.0.0.42e39760Aok5mB&amp;s=p&amp;ad_pvid=20200523064316180571280072800003579506_1&amp;algo_pvid=17399249-3015-4a90-bc03-82d5bbefb910&amp;algo_expid=17399249-3015-4a90-bc03-82d5bbefb910-0&amp;btsid=0b8b15f515902413959482456eace3&amp;ws_ab_test=searchweb0_0,searchweb201602_,searchweb201603_" TargetMode="External"/><Relationship Id="rId9" Type="http://schemas.openxmlformats.org/officeDocument/2006/relationships/hyperlink" Target="https://aliexpress.ru/item/33048896682.html?spm=a2g0o.productlist.0.0.64284857UK516B&amp;s=p&amp;ad_pvid=2020052306485011289635935663550003584257_7&amp;algo_pvid=30e1a65e-bd95-4d71-b0e7-e5c241d74b5d&amp;algo_expid=30e1a65e-bd95-4d71-b0e7-e5c241d74b5d-6&amp;btsid=0b8b15f515902417305067517eace3&amp;ws_ab_test=searchweb0_0,searchweb201602_,searchweb201603_" TargetMode="External"/><Relationship Id="rId14" Type="http://schemas.openxmlformats.org/officeDocument/2006/relationships/hyperlink" Target="https://aliexpress.ru/item/4000030081332.html?spm=a2g0o.productlist.0.0.52294fc6z8TSn5&amp;algo_pvid=443da3fd-a0c6-44d0-9c18-6a8b16277703&amp;algo_expid=443da3fd-a0c6-44d0-9c18-6a8b16277703-10&amp;btsid=0b8b15f515902423206613161eace3&amp;ws_ab_test=searchweb0_0,searchweb201602_,searchweb201603_" TargetMode="External"/><Relationship Id="rId22" Type="http://schemas.openxmlformats.org/officeDocument/2006/relationships/hyperlink" Target="https://aliexpress.ru/item/32949445306.html?spm=a2g0o.productlist.0.0.79a94c5b8CVisr&amp;algo_pvid=ed93fb77-d24c-4e57-83c5-9640681a26df&amp;algo_expid=ed93fb77-d24c-4e57-83c5-9640681a26df-8&amp;btsid=0b8b034e15903061646182590e6ab2&amp;ws_ab_test=searchweb0_0,searchweb201602_,searchweb201603_" TargetMode="External"/><Relationship Id="rId27" Type="http://schemas.openxmlformats.org/officeDocument/2006/relationships/hyperlink" Target="https://www.chipdip.ru/product/scs-8" TargetMode="External"/><Relationship Id="rId30" Type="http://schemas.openxmlformats.org/officeDocument/2006/relationships/hyperlink" Target="https://www.chipdip.ru/product/to-2013bc-myf" TargetMode="External"/><Relationship Id="rId35" Type="http://schemas.openxmlformats.org/officeDocument/2006/relationships/hyperlink" Target="https://aliexpress.ru/item/32829517578.html?spm=a2g0o.productlist.0.0.645644f3krXIQ4&amp;algo_pvid=05732255-54d6-4e48-add5-d449e4c9d191&amp;algo_expid=05732255-54d6-4e48-add5-d449e4c9d191-1&amp;btsid=0b8b035c15903275399571840ea7d7&amp;ws_ab_test=searchweb0_0,searchweb201602_,searchweb201603_" TargetMode="External"/><Relationship Id="rId43" Type="http://schemas.openxmlformats.org/officeDocument/2006/relationships/hyperlink" Target="https://aliexpress.ru/item/32874565775.html?spm=a2g0s.9042311.0.0.264d33edM25y4h" TargetMode="External"/><Relationship Id="rId48" Type="http://schemas.openxmlformats.org/officeDocument/2006/relationships/hyperlink" Target="https://aliexpress.ru/item/4000389879469.html?spm=a2g0o.productlist.0.0.3fee3943aDXyuh&amp;s=p&amp;ad_pvid=2020052407123414318638294008510004681611_1&amp;algo_pvid=295fbcd0-d85e-4f67-a5b6-7017f0533ad9&amp;algo_expid=295fbcd0-d85e-4f67-a5b6-7017f0533ad9-0&amp;btsid=0b8b037215903295546703980e0cee&amp;ws_ab_test=searchweb0_0,searchweb201602_,searchweb201603_" TargetMode="External"/><Relationship Id="rId8" Type="http://schemas.openxmlformats.org/officeDocument/2006/relationships/hyperlink" Target="https://aliexpress.ru/item/4000907210022.html?spm=a2g0o.productlist.0.0.3b65d46col9cQw&amp;s=p&amp;ad_pvid=202005230647569781299129252420003583276_8&amp;algo_pvid=fc0595e3-1667-42dc-9188-16f02f1dc727&amp;algo_expid=fc0595e3-1667-42dc-9188-16f02f1dc727-7&amp;btsid=0b8b15f515902416764546949eace3&amp;ws_ab_test=searchweb0_0,searchweb201602_,searchweb201603_" TargetMode="External"/><Relationship Id="rId51" Type="http://schemas.openxmlformats.org/officeDocument/2006/relationships/hyperlink" Target="https://aliexpress.ru/item/32878293371.html?spm=a2g0s.9042311.0.0.264d33edbISUGp" TargetMode="External"/><Relationship Id="rId3" Type="http://schemas.openxmlformats.org/officeDocument/2006/relationships/hyperlink" Target="https://aliexpress.ru/item/32598383117.html?spm=a2g0o.productlist.0.0.6a507cc6sufbPV&amp;algo_pvid=bcae3c5e-37e2-480c-89ec-78ac7a414b79&amp;algo_expid=bcae3c5e-37e2-480c-89ec-78ac7a414b79-3&amp;btsid=0b8b15f515902413359601994eace3&amp;ws_ab_test=searchweb0_0,searchweb201602_,searchweb201603_" TargetMode="External"/><Relationship Id="rId12" Type="http://schemas.openxmlformats.org/officeDocument/2006/relationships/hyperlink" Target="https://aliexpress.ru/item/32836198919.html?spm=a2g0s.9042311.0.0.1f0f33edeNwXvx" TargetMode="External"/><Relationship Id="rId17" Type="http://schemas.openxmlformats.org/officeDocument/2006/relationships/hyperlink" Target="https://aliexpress.ru/item/33050533308.html?spm=a2g0o.productlist.0.0.591f419fZBivJb&amp;s=p&amp;ad_pvid=20200524003101633931875486150002254226_1&amp;algo_pvid=10fafa17-7575-4808-a1e7-4a92163b67a7&amp;algo_expid=10fafa17-7575-4808-a1e7-4a92163b67a7-0&amp;btsid=0b8b158f15903054610166494e902b&amp;ws_ab_test=searchweb0_0,searchweb201602_,searchweb201603_" TargetMode="External"/><Relationship Id="rId25" Type="http://schemas.openxmlformats.org/officeDocument/2006/relationships/hyperlink" Target="https://www.chipdip.ru/product/pbs16" TargetMode="External"/><Relationship Id="rId33" Type="http://schemas.openxmlformats.org/officeDocument/2006/relationships/hyperlink" Target="https://aliexpress.ru/item/32871123420.html?spm=a2g0o.productlist.0.0.10143259Voypr5&amp;algo_pvid=d6a25cc4-348d-46ab-ac09-0a4208893c39&amp;algo_expid=d6a25cc4-348d-46ab-ac09-0a4208893c39-0&amp;btsid=0b8b15d415903263366875482e4389&amp;ws_ab_test=searchweb0_0,searchweb201602_,searchweb201603_" TargetMode="External"/><Relationship Id="rId38" Type="http://schemas.openxmlformats.org/officeDocument/2006/relationships/hyperlink" Target="https://aliexpress.ru/item/32964553793.html?spm=a2g0o.productlist.0.0.5d97578bOi5flh&amp;algo_pvid=c29d0e39-a5d7-47d5-a5f2-c6a5af283774&amp;algo_expid=c29d0e39-a5d7-47d5-a5f2-c6a5af283774-8&amp;btsid=0b8b035c15903276788503191ea7d7&amp;ws_ab_test=searchweb0_0,searchweb201602_,searchweb201603_" TargetMode="External"/><Relationship Id="rId46" Type="http://schemas.openxmlformats.org/officeDocument/2006/relationships/hyperlink" Target="https://aliexpress.ru/item/33019390820.html?spm=a2g0o.productlist.0.0.15487729SHf9sX&amp;algo_pvid=f2e570de-5409-4661-a790-3a3cbdfdc271&amp;algo_expid=f2e570de-5409-4661-a790-3a3cbdfdc271-13&amp;btsid=0b8b037215903291916481538e0cee&amp;ws_ab_test=searchweb0_0,searchweb201602_,searchweb201603_" TargetMode="External"/><Relationship Id="rId20" Type="http://schemas.openxmlformats.org/officeDocument/2006/relationships/hyperlink" Target="https://aliexpress.ru/item/32873227586.html?spm=a2g0o.productlist.0.0.2fa54a51luzcps&amp;s=p&amp;ad_pvid=202005240035048508726070138800004354392_3&amp;algo_pvid=3142830e-6fc8-437b-ab51-99794baa7552&amp;algo_expid=3142830e-6fc8-437b-ab51-99794baa7552-2&amp;btsid=0b8b158f15903057047852345e902b&amp;ws_ab_test=searchweb0_0,searchweb201602_,searchweb201603_" TargetMode="External"/><Relationship Id="rId41" Type="http://schemas.openxmlformats.org/officeDocument/2006/relationships/hyperlink" Target="https://aliexpress.ru/item/1806565095.html?spm=a2g0o.productlist.0.0.61fa70a2zCcxj6&amp;algo_pvid=1f60d4f3-4400-4395-9714-95593c44edc0&amp;algo_expid=1f60d4f3-4400-4395-9714-95593c44edc0-1&amp;btsid=0b8b158f15903283283927096e9021&amp;ws_ab_test=searchweb0_0,searchweb201602_,searchweb201603_" TargetMode="External"/><Relationship Id="rId1" Type="http://schemas.openxmlformats.org/officeDocument/2006/relationships/hyperlink" Target="https://aliexpress.ru/item/32808772590.html?spm=a2g0o.productlist.0.0.7dcd2eeaofqHPn&amp;algo_pvid=c39ac9b5-6daa-4f34-ae35-a81e17e4569b&amp;algo_expid=c39ac9b5-6daa-4f34-ae35-a81e17e4569b-4&amp;btsid=0b8b15f515902409924107652eace3&amp;ws_ab_test=searchweb0_0,searchweb201602_,searchweb201603_" TargetMode="External"/><Relationship Id="rId6" Type="http://schemas.openxmlformats.org/officeDocument/2006/relationships/hyperlink" Target="https://aliexpress.ru/item/32948091423.html?spm=a2g0o.productlist.0.0.50137e29UtgW4p&amp;s=p&amp;ad_pvid=20200523064510392996251806300003581539_5&amp;algo_pvid=d42d7194-f100-4850-bd67-6f0e1acb701a&amp;algo_expid=d42d7194-f100-4850-bd67-6f0e1acb701a-4&amp;btsid=0b8b15f515902415100654085eace3&amp;ws_ab_test=searchweb0_0,searchweb201602_,searchweb201603_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7277C-E9E5-4B74-A2AA-2E78B2A6D140}">
  <dimension ref="A1:E77"/>
  <sheetViews>
    <sheetView topLeftCell="A60" zoomScale="98" zoomScaleNormal="98" workbookViewId="0">
      <selection activeCell="A80" sqref="A80"/>
    </sheetView>
  </sheetViews>
  <sheetFormatPr defaultRowHeight="24" customHeight="1" x14ac:dyDescent="0.3"/>
  <cols>
    <col min="1" max="1" width="54.42578125" style="1" customWidth="1"/>
    <col min="2" max="2" width="10.140625" style="14" customWidth="1"/>
    <col min="3" max="3" width="15.42578125" style="1" customWidth="1"/>
    <col min="4" max="4" width="18.5703125" style="1" customWidth="1"/>
    <col min="5" max="5" width="83.28515625" style="17" customWidth="1"/>
    <col min="6" max="9" width="9.140625" style="1"/>
    <col min="10" max="10" width="83.42578125" style="1" customWidth="1"/>
    <col min="11" max="16384" width="9.140625" style="1"/>
  </cols>
  <sheetData>
    <row r="1" spans="1:5" ht="48" customHeight="1" thickBot="1" x14ac:dyDescent="0.35">
      <c r="A1" s="2" t="s">
        <v>0</v>
      </c>
      <c r="B1" s="2" t="s">
        <v>1</v>
      </c>
      <c r="C1" s="2" t="s">
        <v>13</v>
      </c>
      <c r="D1" s="2" t="s">
        <v>14</v>
      </c>
      <c r="E1" s="16" t="s">
        <v>15</v>
      </c>
    </row>
    <row r="2" spans="1:5" ht="24" customHeight="1" thickBot="1" x14ac:dyDescent="0.35">
      <c r="A2" s="4" t="s">
        <v>16</v>
      </c>
      <c r="B2" s="2">
        <v>1</v>
      </c>
      <c r="C2" s="7">
        <v>146.16</v>
      </c>
      <c r="D2" s="7">
        <f>B2*C2</f>
        <v>146.16</v>
      </c>
      <c r="E2" s="15" t="s">
        <v>17</v>
      </c>
    </row>
    <row r="3" spans="1:5" ht="24" customHeight="1" thickBot="1" x14ac:dyDescent="0.35">
      <c r="A3" s="4" t="s">
        <v>19</v>
      </c>
      <c r="B3" s="2">
        <v>1</v>
      </c>
      <c r="C3" s="7">
        <f>67.97/50</f>
        <v>1.3593999999999999</v>
      </c>
      <c r="D3" s="7">
        <f t="shared" ref="D3:D64" si="0">B3*C3</f>
        <v>1.3593999999999999</v>
      </c>
      <c r="E3" s="15" t="s">
        <v>18</v>
      </c>
    </row>
    <row r="4" spans="1:5" ht="24" customHeight="1" thickBot="1" x14ac:dyDescent="0.35">
      <c r="A4" s="4" t="s">
        <v>24</v>
      </c>
      <c r="B4" s="2">
        <v>1</v>
      </c>
      <c r="C4" s="7">
        <v>20.47</v>
      </c>
      <c r="D4" s="7">
        <f t="shared" si="0"/>
        <v>20.47</v>
      </c>
      <c r="E4" s="15" t="s">
        <v>26</v>
      </c>
    </row>
    <row r="5" spans="1:5" ht="24" customHeight="1" thickBot="1" x14ac:dyDescent="0.35">
      <c r="A5" s="4" t="s">
        <v>22</v>
      </c>
      <c r="B5" s="2">
        <v>1</v>
      </c>
      <c r="C5" s="7">
        <f>100.12/5</f>
        <v>20.024000000000001</v>
      </c>
      <c r="D5" s="7">
        <f t="shared" si="0"/>
        <v>20.024000000000001</v>
      </c>
      <c r="E5" s="15" t="s">
        <v>27</v>
      </c>
    </row>
    <row r="6" spans="1:5" ht="24" customHeight="1" thickBot="1" x14ac:dyDescent="0.35">
      <c r="A6" s="4" t="s">
        <v>23</v>
      </c>
      <c r="B6" s="2">
        <v>1</v>
      </c>
      <c r="C6" s="11">
        <f>63.58/10</f>
        <v>6.3579999999999997</v>
      </c>
      <c r="D6" s="7">
        <f t="shared" si="0"/>
        <v>6.3579999999999997</v>
      </c>
      <c r="E6" s="15" t="s">
        <v>28</v>
      </c>
    </row>
    <row r="7" spans="1:5" ht="24" customHeight="1" thickBot="1" x14ac:dyDescent="0.35">
      <c r="A7" s="4" t="s">
        <v>20</v>
      </c>
      <c r="B7" s="2">
        <v>1</v>
      </c>
      <c r="C7" s="11">
        <f>47.5/20</f>
        <v>2.375</v>
      </c>
      <c r="D7" s="7">
        <f t="shared" si="0"/>
        <v>2.375</v>
      </c>
      <c r="E7" s="15" t="s">
        <v>29</v>
      </c>
    </row>
    <row r="8" spans="1:5" ht="24" customHeight="1" thickBot="1" x14ac:dyDescent="0.35">
      <c r="A8" s="4" t="s">
        <v>30</v>
      </c>
      <c r="B8" s="2">
        <v>1</v>
      </c>
      <c r="C8" s="11">
        <f>39.47/20</f>
        <v>1.9735</v>
      </c>
      <c r="D8" s="7">
        <f t="shared" si="0"/>
        <v>1.9735</v>
      </c>
      <c r="E8" s="15" t="s">
        <v>31</v>
      </c>
    </row>
    <row r="9" spans="1:5" ht="24" customHeight="1" thickBot="1" x14ac:dyDescent="0.35">
      <c r="A9" s="4" t="s">
        <v>25</v>
      </c>
      <c r="B9" s="2">
        <v>2</v>
      </c>
      <c r="C9" s="11">
        <f>105.24/5</f>
        <v>21.047999999999998</v>
      </c>
      <c r="D9" s="7">
        <f t="shared" si="0"/>
        <v>42.095999999999997</v>
      </c>
      <c r="E9" s="15" t="s">
        <v>32</v>
      </c>
    </row>
    <row r="10" spans="1:5" ht="24" customHeight="1" thickBot="1" x14ac:dyDescent="0.35">
      <c r="A10" s="4" t="s">
        <v>21</v>
      </c>
      <c r="B10" s="2">
        <v>1</v>
      </c>
      <c r="C10" s="11">
        <f>17.54/5</f>
        <v>3.508</v>
      </c>
      <c r="D10" s="7">
        <f t="shared" si="0"/>
        <v>3.508</v>
      </c>
      <c r="E10" s="15" t="s">
        <v>33</v>
      </c>
    </row>
    <row r="11" spans="1:5" ht="24" customHeight="1" thickBot="1" x14ac:dyDescent="0.35">
      <c r="A11" s="5" t="s">
        <v>34</v>
      </c>
      <c r="B11" s="6">
        <v>1</v>
      </c>
      <c r="C11" s="11">
        <f>75.27/20</f>
        <v>3.7634999999999996</v>
      </c>
      <c r="D11" s="7">
        <f t="shared" si="0"/>
        <v>3.7634999999999996</v>
      </c>
      <c r="E11" s="15" t="s">
        <v>35</v>
      </c>
    </row>
    <row r="12" spans="1:5" ht="24" customHeight="1" thickBot="1" x14ac:dyDescent="0.35">
      <c r="A12" s="4" t="s">
        <v>36</v>
      </c>
      <c r="B12" s="2">
        <v>1</v>
      </c>
      <c r="C12" s="11">
        <f>94.27/10</f>
        <v>9.4269999999999996</v>
      </c>
      <c r="D12" s="7">
        <f t="shared" si="0"/>
        <v>9.4269999999999996</v>
      </c>
      <c r="E12" s="15" t="s">
        <v>37</v>
      </c>
    </row>
    <row r="13" spans="1:5" ht="24" customHeight="1" thickBot="1" x14ac:dyDescent="0.35">
      <c r="A13" s="4" t="s">
        <v>38</v>
      </c>
      <c r="B13" s="2">
        <v>1</v>
      </c>
      <c r="C13" s="11">
        <f>49.7/10</f>
        <v>4.9700000000000006</v>
      </c>
      <c r="D13" s="7">
        <f t="shared" si="0"/>
        <v>4.9700000000000006</v>
      </c>
      <c r="E13" s="15" t="s">
        <v>40</v>
      </c>
    </row>
    <row r="14" spans="1:5" ht="24" customHeight="1" thickBot="1" x14ac:dyDescent="0.35">
      <c r="A14" s="4" t="s">
        <v>52</v>
      </c>
      <c r="B14" s="2">
        <v>4</v>
      </c>
      <c r="C14" s="11">
        <v>19</v>
      </c>
      <c r="D14" s="7">
        <f t="shared" si="0"/>
        <v>76</v>
      </c>
      <c r="E14" s="15" t="s">
        <v>53</v>
      </c>
    </row>
    <row r="15" spans="1:5" ht="24" customHeight="1" thickBot="1" x14ac:dyDescent="0.35">
      <c r="A15" s="9" t="s">
        <v>63</v>
      </c>
      <c r="B15" s="6">
        <v>1</v>
      </c>
      <c r="C15" s="11">
        <v>8</v>
      </c>
      <c r="D15" s="7">
        <f t="shared" ref="D15" si="1">B15*C15</f>
        <v>8</v>
      </c>
      <c r="E15" s="15" t="s">
        <v>62</v>
      </c>
    </row>
    <row r="16" spans="1:5" ht="24" customHeight="1" thickBot="1" x14ac:dyDescent="0.35">
      <c r="A16" s="3" t="s">
        <v>61</v>
      </c>
      <c r="B16" s="6">
        <v>1</v>
      </c>
      <c r="C16" s="11">
        <v>6</v>
      </c>
      <c r="D16" s="7">
        <f t="shared" si="0"/>
        <v>6</v>
      </c>
      <c r="E16" s="15" t="s">
        <v>60</v>
      </c>
    </row>
    <row r="17" spans="1:5" ht="24" customHeight="1" thickBot="1" x14ac:dyDescent="0.35">
      <c r="A17" s="9" t="s">
        <v>64</v>
      </c>
      <c r="B17" s="6">
        <v>1</v>
      </c>
      <c r="C17" s="11">
        <v>8</v>
      </c>
      <c r="D17" s="7">
        <f t="shared" si="0"/>
        <v>8</v>
      </c>
      <c r="E17" s="15" t="s">
        <v>65</v>
      </c>
    </row>
    <row r="18" spans="1:5" ht="24" customHeight="1" thickBot="1" x14ac:dyDescent="0.35">
      <c r="A18" s="9" t="s">
        <v>67</v>
      </c>
      <c r="B18" s="6">
        <v>1</v>
      </c>
      <c r="C18" s="11">
        <v>7</v>
      </c>
      <c r="D18" s="7">
        <f t="shared" ref="D18" si="2">B18*C18</f>
        <v>7</v>
      </c>
      <c r="E18" s="15" t="s">
        <v>66</v>
      </c>
    </row>
    <row r="19" spans="1:5" ht="24" customHeight="1" thickBot="1" x14ac:dyDescent="0.35">
      <c r="A19" s="3" t="s">
        <v>54</v>
      </c>
      <c r="B19" s="6">
        <v>1</v>
      </c>
      <c r="C19" s="11">
        <v>24</v>
      </c>
      <c r="D19" s="7">
        <f t="shared" si="0"/>
        <v>24</v>
      </c>
      <c r="E19" s="5"/>
    </row>
    <row r="20" spans="1:5" ht="24" customHeight="1" thickBot="1" x14ac:dyDescent="0.35">
      <c r="A20" s="10" t="s">
        <v>68</v>
      </c>
      <c r="B20" s="6">
        <v>3</v>
      </c>
      <c r="C20" s="11">
        <f>4/100</f>
        <v>0.04</v>
      </c>
      <c r="D20" s="7">
        <f t="shared" si="0"/>
        <v>0.12</v>
      </c>
      <c r="E20" s="15" t="s">
        <v>69</v>
      </c>
    </row>
    <row r="21" spans="1:5" ht="24" customHeight="1" thickBot="1" x14ac:dyDescent="0.35">
      <c r="A21" s="10" t="s">
        <v>70</v>
      </c>
      <c r="B21" s="6">
        <v>2</v>
      </c>
      <c r="C21" s="11">
        <f t="shared" ref="C21:C29" si="3">55.54/100</f>
        <v>0.5554</v>
      </c>
      <c r="D21" s="7">
        <f t="shared" si="0"/>
        <v>1.1108</v>
      </c>
      <c r="E21" s="15" t="s">
        <v>69</v>
      </c>
    </row>
    <row r="22" spans="1:5" ht="24" customHeight="1" thickBot="1" x14ac:dyDescent="0.35">
      <c r="A22" s="10" t="s">
        <v>71</v>
      </c>
      <c r="B22" s="6">
        <v>1</v>
      </c>
      <c r="C22" s="11">
        <f t="shared" si="3"/>
        <v>0.5554</v>
      </c>
      <c r="D22" s="7">
        <f t="shared" si="0"/>
        <v>0.5554</v>
      </c>
      <c r="E22" s="15" t="s">
        <v>69</v>
      </c>
    </row>
    <row r="23" spans="1:5" ht="24" customHeight="1" thickBot="1" x14ac:dyDescent="0.35">
      <c r="A23" s="10" t="s">
        <v>72</v>
      </c>
      <c r="B23" s="6">
        <v>1</v>
      </c>
      <c r="C23" s="11">
        <f t="shared" si="3"/>
        <v>0.5554</v>
      </c>
      <c r="D23" s="7">
        <f t="shared" si="0"/>
        <v>0.5554</v>
      </c>
      <c r="E23" s="15" t="s">
        <v>69</v>
      </c>
    </row>
    <row r="24" spans="1:5" ht="24" customHeight="1" thickBot="1" x14ac:dyDescent="0.35">
      <c r="A24" s="10" t="s">
        <v>73</v>
      </c>
      <c r="B24" s="6">
        <v>1</v>
      </c>
      <c r="C24" s="11">
        <f t="shared" si="3"/>
        <v>0.5554</v>
      </c>
      <c r="D24" s="7">
        <f t="shared" si="0"/>
        <v>0.5554</v>
      </c>
      <c r="E24" s="15" t="s">
        <v>69</v>
      </c>
    </row>
    <row r="25" spans="1:5" ht="24" customHeight="1" thickBot="1" x14ac:dyDescent="0.35">
      <c r="A25" s="10" t="s">
        <v>74</v>
      </c>
      <c r="B25" s="6">
        <v>4</v>
      </c>
      <c r="C25" s="11">
        <f t="shared" si="3"/>
        <v>0.5554</v>
      </c>
      <c r="D25" s="7">
        <f t="shared" si="0"/>
        <v>2.2216</v>
      </c>
      <c r="E25" s="15" t="s">
        <v>69</v>
      </c>
    </row>
    <row r="26" spans="1:5" ht="24" customHeight="1" thickBot="1" x14ac:dyDescent="0.35">
      <c r="A26" s="10" t="s">
        <v>75</v>
      </c>
      <c r="B26" s="6">
        <v>4</v>
      </c>
      <c r="C26" s="11">
        <f t="shared" si="3"/>
        <v>0.5554</v>
      </c>
      <c r="D26" s="7">
        <f t="shared" si="0"/>
        <v>2.2216</v>
      </c>
      <c r="E26" s="15" t="s">
        <v>69</v>
      </c>
    </row>
    <row r="27" spans="1:5" ht="24" customHeight="1" thickBot="1" x14ac:dyDescent="0.35">
      <c r="A27" s="10" t="s">
        <v>76</v>
      </c>
      <c r="B27" s="6">
        <v>1</v>
      </c>
      <c r="C27" s="11">
        <f t="shared" si="3"/>
        <v>0.5554</v>
      </c>
      <c r="D27" s="7">
        <f t="shared" si="0"/>
        <v>0.5554</v>
      </c>
      <c r="E27" s="15" t="s">
        <v>69</v>
      </c>
    </row>
    <row r="28" spans="1:5" ht="24" customHeight="1" thickBot="1" x14ac:dyDescent="0.35">
      <c r="A28" s="10" t="s">
        <v>78</v>
      </c>
      <c r="B28" s="6">
        <v>6</v>
      </c>
      <c r="C28" s="11">
        <f t="shared" si="3"/>
        <v>0.5554</v>
      </c>
      <c r="D28" s="7">
        <f t="shared" si="0"/>
        <v>3.3323999999999998</v>
      </c>
      <c r="E28" s="15" t="s">
        <v>69</v>
      </c>
    </row>
    <row r="29" spans="1:5" ht="24" customHeight="1" thickBot="1" x14ac:dyDescent="0.35">
      <c r="A29" s="10" t="s">
        <v>77</v>
      </c>
      <c r="B29" s="6">
        <v>1</v>
      </c>
      <c r="C29" s="11">
        <f t="shared" si="3"/>
        <v>0.5554</v>
      </c>
      <c r="D29" s="7">
        <f>B29*C29</f>
        <v>0.5554</v>
      </c>
      <c r="E29" s="15" t="s">
        <v>69</v>
      </c>
    </row>
    <row r="30" spans="1:5" ht="24" customHeight="1" thickBot="1" x14ac:dyDescent="0.35">
      <c r="A30" s="10" t="s">
        <v>80</v>
      </c>
      <c r="B30" s="6">
        <v>1</v>
      </c>
      <c r="C30" s="11">
        <f>217.77/50</f>
        <v>4.3554000000000004</v>
      </c>
      <c r="D30" s="7">
        <f t="shared" si="0"/>
        <v>4.3554000000000004</v>
      </c>
      <c r="E30" s="15" t="s">
        <v>87</v>
      </c>
    </row>
    <row r="31" spans="1:5" ht="24" customHeight="1" thickBot="1" x14ac:dyDescent="0.35">
      <c r="A31" s="10" t="s">
        <v>79</v>
      </c>
      <c r="B31" s="6">
        <v>1</v>
      </c>
      <c r="C31" s="11">
        <f>217.77/50</f>
        <v>4.3554000000000004</v>
      </c>
      <c r="D31" s="7">
        <f>B31*C31</f>
        <v>4.3554000000000004</v>
      </c>
      <c r="E31" s="15" t="s">
        <v>87</v>
      </c>
    </row>
    <row r="32" spans="1:5" ht="24" customHeight="1" thickBot="1" x14ac:dyDescent="0.35">
      <c r="A32" s="10" t="s">
        <v>82</v>
      </c>
      <c r="B32" s="6">
        <v>2</v>
      </c>
      <c r="C32" s="11">
        <f>70.16/100</f>
        <v>0.7016</v>
      </c>
      <c r="D32" s="7">
        <f t="shared" si="0"/>
        <v>1.4032</v>
      </c>
      <c r="E32" s="15" t="s">
        <v>88</v>
      </c>
    </row>
    <row r="33" spans="1:5" ht="24" customHeight="1" thickBot="1" x14ac:dyDescent="0.35">
      <c r="A33" s="10" t="s">
        <v>83</v>
      </c>
      <c r="B33" s="6">
        <v>2</v>
      </c>
      <c r="C33" s="11">
        <f>70.16/100</f>
        <v>0.7016</v>
      </c>
      <c r="D33" s="7">
        <f t="shared" si="0"/>
        <v>1.4032</v>
      </c>
      <c r="E33" s="15" t="s">
        <v>88</v>
      </c>
    </row>
    <row r="34" spans="1:5" ht="24" customHeight="1" thickBot="1" x14ac:dyDescent="0.35">
      <c r="A34" s="10" t="s">
        <v>84</v>
      </c>
      <c r="B34" s="6">
        <v>2</v>
      </c>
      <c r="C34" s="11">
        <f>145.43/100</f>
        <v>1.4543000000000001</v>
      </c>
      <c r="D34" s="7">
        <f t="shared" si="0"/>
        <v>2.9086000000000003</v>
      </c>
      <c r="E34" s="15" t="s">
        <v>89</v>
      </c>
    </row>
    <row r="35" spans="1:5" ht="24" customHeight="1" thickBot="1" x14ac:dyDescent="0.35">
      <c r="A35" s="10" t="s">
        <v>85</v>
      </c>
      <c r="B35" s="6">
        <v>4</v>
      </c>
      <c r="C35" s="11">
        <f>90.62/100</f>
        <v>0.90620000000000001</v>
      </c>
      <c r="D35" s="7">
        <f t="shared" si="0"/>
        <v>3.6248</v>
      </c>
      <c r="E35" s="15" t="s">
        <v>88</v>
      </c>
    </row>
    <row r="36" spans="1:5" ht="24" customHeight="1" thickBot="1" x14ac:dyDescent="0.35">
      <c r="A36" s="10" t="s">
        <v>86</v>
      </c>
      <c r="B36" s="6">
        <v>4</v>
      </c>
      <c r="C36" s="11">
        <f>97.2/100</f>
        <v>0.97199999999999998</v>
      </c>
      <c r="D36" s="7">
        <f t="shared" si="0"/>
        <v>3.8879999999999999</v>
      </c>
      <c r="E36" s="15" t="s">
        <v>90</v>
      </c>
    </row>
    <row r="37" spans="1:5" ht="24" customHeight="1" thickBot="1" x14ac:dyDescent="0.35">
      <c r="A37" s="4" t="s">
        <v>7</v>
      </c>
      <c r="B37" s="2">
        <v>1</v>
      </c>
      <c r="C37" s="11">
        <f>50.43/100</f>
        <v>0.50429999999999997</v>
      </c>
      <c r="D37" s="7">
        <f t="shared" si="0"/>
        <v>0.50429999999999997</v>
      </c>
      <c r="E37" s="15" t="s">
        <v>44</v>
      </c>
    </row>
    <row r="38" spans="1:5" ht="24" customHeight="1" thickBot="1" x14ac:dyDescent="0.35">
      <c r="A38" s="5" t="s">
        <v>8</v>
      </c>
      <c r="B38" s="6">
        <v>2</v>
      </c>
      <c r="C38" s="11">
        <f>108.89/200</f>
        <v>0.54444999999999999</v>
      </c>
      <c r="D38" s="7">
        <f t="shared" si="0"/>
        <v>1.0889</v>
      </c>
      <c r="E38" s="15" t="s">
        <v>45</v>
      </c>
    </row>
    <row r="39" spans="1:5" ht="24" customHeight="1" thickBot="1" x14ac:dyDescent="0.35">
      <c r="A39" s="4" t="s">
        <v>118</v>
      </c>
      <c r="B39" s="2">
        <v>6</v>
      </c>
      <c r="C39" s="11">
        <f>59.93/100</f>
        <v>0.59929999999999994</v>
      </c>
      <c r="D39" s="7">
        <f t="shared" si="0"/>
        <v>3.5957999999999997</v>
      </c>
      <c r="E39" s="15" t="s">
        <v>46</v>
      </c>
    </row>
    <row r="40" spans="1:5" ht="24" customHeight="1" thickBot="1" x14ac:dyDescent="0.35">
      <c r="A40" s="4" t="s">
        <v>50</v>
      </c>
      <c r="B40" s="2">
        <v>1</v>
      </c>
      <c r="C40" s="11">
        <v>120</v>
      </c>
      <c r="D40" s="7">
        <f>B40*C40</f>
        <v>120</v>
      </c>
      <c r="E40" s="15" t="s">
        <v>51</v>
      </c>
    </row>
    <row r="41" spans="1:5" ht="24" customHeight="1" thickBot="1" x14ac:dyDescent="0.35">
      <c r="A41" s="4" t="s">
        <v>48</v>
      </c>
      <c r="B41" s="2">
        <v>1</v>
      </c>
      <c r="C41" s="11">
        <v>50.43</v>
      </c>
      <c r="D41" s="7">
        <f>B41*C41</f>
        <v>50.43</v>
      </c>
      <c r="E41" s="15" t="s">
        <v>47</v>
      </c>
    </row>
    <row r="42" spans="1:5" ht="24" customHeight="1" thickBot="1" x14ac:dyDescent="0.35">
      <c r="A42" s="4" t="s">
        <v>99</v>
      </c>
      <c r="B42" s="2">
        <v>1</v>
      </c>
      <c r="C42" s="11">
        <v>29.24</v>
      </c>
      <c r="D42" s="7">
        <f t="shared" si="0"/>
        <v>29.24</v>
      </c>
      <c r="E42" s="15" t="s">
        <v>49</v>
      </c>
    </row>
    <row r="43" spans="1:5" ht="24" customHeight="1" thickBot="1" x14ac:dyDescent="0.35">
      <c r="A43" s="4" t="s">
        <v>2</v>
      </c>
      <c r="B43" s="2">
        <v>1</v>
      </c>
      <c r="C43" s="11">
        <f>54.81/10</f>
        <v>5.4809999999999999</v>
      </c>
      <c r="D43" s="7">
        <f t="shared" si="0"/>
        <v>5.4809999999999999</v>
      </c>
      <c r="E43" s="15" t="s">
        <v>42</v>
      </c>
    </row>
    <row r="44" spans="1:5" ht="24" customHeight="1" thickBot="1" x14ac:dyDescent="0.35">
      <c r="A44" s="4" t="s">
        <v>3</v>
      </c>
      <c r="B44" s="2">
        <v>1</v>
      </c>
      <c r="C44" s="11">
        <f>54.81/10</f>
        <v>5.4809999999999999</v>
      </c>
      <c r="D44" s="7">
        <f t="shared" si="0"/>
        <v>5.4809999999999999</v>
      </c>
      <c r="E44" s="15" t="s">
        <v>42</v>
      </c>
    </row>
    <row r="45" spans="1:5" ht="24" customHeight="1" thickBot="1" x14ac:dyDescent="0.35">
      <c r="A45" s="4" t="s">
        <v>11</v>
      </c>
      <c r="B45" s="2">
        <v>1</v>
      </c>
      <c r="C45" s="11">
        <f>103.77/10</f>
        <v>10.376999999999999</v>
      </c>
      <c r="D45" s="7">
        <f t="shared" si="0"/>
        <v>10.376999999999999</v>
      </c>
      <c r="E45" s="15" t="s">
        <v>43</v>
      </c>
    </row>
    <row r="46" spans="1:5" ht="24" customHeight="1" thickBot="1" x14ac:dyDescent="0.35">
      <c r="A46" s="4" t="s">
        <v>9</v>
      </c>
      <c r="B46" s="2">
        <v>2</v>
      </c>
      <c r="C46" s="11">
        <f>127.89/5</f>
        <v>25.577999999999999</v>
      </c>
      <c r="D46" s="7">
        <f t="shared" si="0"/>
        <v>51.155999999999999</v>
      </c>
      <c r="E46" s="15" t="s">
        <v>39</v>
      </c>
    </row>
    <row r="47" spans="1:5" ht="24" customHeight="1" thickBot="1" x14ac:dyDescent="0.35">
      <c r="A47" s="4" t="s">
        <v>10</v>
      </c>
      <c r="B47" s="2">
        <v>2</v>
      </c>
      <c r="C47" s="11">
        <f>21.93/50</f>
        <v>0.43859999999999999</v>
      </c>
      <c r="D47" s="7">
        <f t="shared" si="0"/>
        <v>0.87719999999999998</v>
      </c>
      <c r="E47" s="15" t="s">
        <v>41</v>
      </c>
    </row>
    <row r="48" spans="1:5" ht="24" customHeight="1" thickBot="1" x14ac:dyDescent="0.35">
      <c r="A48" s="4" t="s">
        <v>4</v>
      </c>
      <c r="B48" s="2">
        <v>1</v>
      </c>
      <c r="C48" s="11">
        <v>12</v>
      </c>
      <c r="D48" s="7">
        <f t="shared" si="0"/>
        <v>12</v>
      </c>
      <c r="E48" s="15" t="s">
        <v>55</v>
      </c>
    </row>
    <row r="49" spans="1:5" ht="24" customHeight="1" thickBot="1" x14ac:dyDescent="0.35">
      <c r="A49" s="4" t="s">
        <v>6</v>
      </c>
      <c r="B49" s="2">
        <v>1</v>
      </c>
      <c r="C49" s="11">
        <f>54.08/10/40*8</f>
        <v>1.0815999999999999</v>
      </c>
      <c r="D49" s="7">
        <f t="shared" si="0"/>
        <v>1.0815999999999999</v>
      </c>
      <c r="E49" s="8" t="s">
        <v>119</v>
      </c>
    </row>
    <row r="50" spans="1:5" ht="24" customHeight="1" thickBot="1" x14ac:dyDescent="0.35">
      <c r="A50" s="4" t="s">
        <v>5</v>
      </c>
      <c r="B50" s="2">
        <v>2</v>
      </c>
      <c r="C50" s="11">
        <f>54.08/10/40*6</f>
        <v>0.81119999999999992</v>
      </c>
      <c r="D50" s="7">
        <f t="shared" si="0"/>
        <v>1.6223999999999998</v>
      </c>
      <c r="E50" s="8" t="s">
        <v>119</v>
      </c>
    </row>
    <row r="51" spans="1:5" ht="24" customHeight="1" thickBot="1" x14ac:dyDescent="0.35">
      <c r="A51" s="12" t="s">
        <v>12</v>
      </c>
      <c r="B51" s="2">
        <v>1</v>
      </c>
      <c r="C51" s="11">
        <f>54.08/10/40*4</f>
        <v>0.54079999999999995</v>
      </c>
      <c r="D51" s="7">
        <f>B51*C51</f>
        <v>0.54079999999999995</v>
      </c>
      <c r="E51" s="8" t="s">
        <v>119</v>
      </c>
    </row>
    <row r="52" spans="1:5" ht="24" customHeight="1" thickBot="1" x14ac:dyDescent="0.35">
      <c r="A52" s="4" t="s">
        <v>81</v>
      </c>
      <c r="B52" s="2">
        <v>2</v>
      </c>
      <c r="C52" s="11">
        <f>54.08/10/40*2</f>
        <v>0.27039999999999997</v>
      </c>
      <c r="D52" s="7">
        <f>B52*C52</f>
        <v>0.54079999999999995</v>
      </c>
      <c r="E52" s="8" t="s">
        <v>119</v>
      </c>
    </row>
    <row r="53" spans="1:5" ht="24" customHeight="1" thickBot="1" x14ac:dyDescent="0.35">
      <c r="A53" s="12" t="s">
        <v>109</v>
      </c>
      <c r="B53" s="2">
        <v>1</v>
      </c>
      <c r="C53" s="11">
        <f>70.89/100</f>
        <v>0.70889999999999997</v>
      </c>
      <c r="D53" s="7">
        <f>B53*C53</f>
        <v>0.70889999999999997</v>
      </c>
      <c r="E53" s="8" t="s">
        <v>108</v>
      </c>
    </row>
    <row r="54" spans="1:5" ht="24" customHeight="1" thickBot="1" x14ac:dyDescent="0.35">
      <c r="A54" s="18" t="s">
        <v>56</v>
      </c>
      <c r="B54" s="13">
        <v>2</v>
      </c>
      <c r="C54" s="11">
        <v>8</v>
      </c>
      <c r="D54" s="7">
        <f t="shared" si="0"/>
        <v>16</v>
      </c>
      <c r="E54" s="15" t="s">
        <v>58</v>
      </c>
    </row>
    <row r="55" spans="1:5" ht="24" customHeight="1" thickBot="1" x14ac:dyDescent="0.35">
      <c r="A55" s="5" t="s">
        <v>57</v>
      </c>
      <c r="B55" s="13">
        <v>2</v>
      </c>
      <c r="C55" s="11">
        <v>8</v>
      </c>
      <c r="D55" s="7">
        <f t="shared" si="0"/>
        <v>16</v>
      </c>
      <c r="E55" s="15" t="s">
        <v>59</v>
      </c>
    </row>
    <row r="56" spans="1:5" ht="24" customHeight="1" thickBot="1" x14ac:dyDescent="0.35">
      <c r="A56" s="5" t="s">
        <v>92</v>
      </c>
      <c r="B56" s="13">
        <v>1</v>
      </c>
      <c r="C56" s="11">
        <v>50.43</v>
      </c>
      <c r="D56" s="7">
        <f t="shared" si="0"/>
        <v>50.43</v>
      </c>
      <c r="E56" s="15" t="s">
        <v>91</v>
      </c>
    </row>
    <row r="57" spans="1:5" ht="24" customHeight="1" thickBot="1" x14ac:dyDescent="0.35">
      <c r="A57" s="5" t="s">
        <v>94</v>
      </c>
      <c r="B57" s="13">
        <v>1</v>
      </c>
      <c r="C57" s="11">
        <v>401.19</v>
      </c>
      <c r="D57" s="7">
        <f t="shared" si="0"/>
        <v>401.19</v>
      </c>
      <c r="E57" s="15" t="s">
        <v>93</v>
      </c>
    </row>
    <row r="58" spans="1:5" ht="24" customHeight="1" thickBot="1" x14ac:dyDescent="0.35">
      <c r="A58" s="5" t="s">
        <v>95</v>
      </c>
      <c r="B58" s="13">
        <v>1</v>
      </c>
      <c r="C58" s="11">
        <v>46.77</v>
      </c>
      <c r="D58" s="7">
        <f t="shared" si="0"/>
        <v>46.77</v>
      </c>
      <c r="E58" s="15" t="s">
        <v>96</v>
      </c>
    </row>
    <row r="59" spans="1:5" ht="24" customHeight="1" thickBot="1" x14ac:dyDescent="0.35">
      <c r="A59" s="5" t="s">
        <v>101</v>
      </c>
      <c r="B59" s="13">
        <v>1</v>
      </c>
      <c r="C59" s="11">
        <v>102.31</v>
      </c>
      <c r="D59" s="7">
        <f t="shared" si="0"/>
        <v>102.31</v>
      </c>
      <c r="E59" s="15" t="s">
        <v>97</v>
      </c>
    </row>
    <row r="60" spans="1:5" ht="24" customHeight="1" thickBot="1" x14ac:dyDescent="0.35">
      <c r="A60" s="5" t="s">
        <v>98</v>
      </c>
      <c r="B60" s="13">
        <v>1</v>
      </c>
      <c r="C60" s="11">
        <v>97.2</v>
      </c>
      <c r="D60" s="7">
        <f t="shared" si="0"/>
        <v>97.2</v>
      </c>
      <c r="E60" s="15" t="s">
        <v>105</v>
      </c>
    </row>
    <row r="61" spans="1:5" ht="24" customHeight="1" thickBot="1" x14ac:dyDescent="0.35">
      <c r="A61" s="5" t="s">
        <v>100</v>
      </c>
      <c r="B61" s="13">
        <v>1</v>
      </c>
      <c r="C61" s="11">
        <f>92.08/5</f>
        <v>18.416</v>
      </c>
      <c r="D61" s="7">
        <f t="shared" si="0"/>
        <v>18.416</v>
      </c>
      <c r="E61" s="15" t="s">
        <v>106</v>
      </c>
    </row>
    <row r="62" spans="1:5" ht="24" customHeight="1" thickBot="1" x14ac:dyDescent="0.35">
      <c r="A62" s="5" t="s">
        <v>102</v>
      </c>
      <c r="B62" s="13">
        <v>1</v>
      </c>
      <c r="C62" s="11">
        <v>132.27000000000001</v>
      </c>
      <c r="D62" s="7">
        <f t="shared" si="0"/>
        <v>132.27000000000001</v>
      </c>
      <c r="E62" s="15" t="s">
        <v>103</v>
      </c>
    </row>
    <row r="63" spans="1:5" ht="24" customHeight="1" thickBot="1" x14ac:dyDescent="0.35">
      <c r="A63" s="5" t="s">
        <v>121</v>
      </c>
      <c r="B63" s="13">
        <v>1</v>
      </c>
      <c r="C63" s="11">
        <v>360</v>
      </c>
      <c r="D63" s="7">
        <f t="shared" si="0"/>
        <v>360</v>
      </c>
      <c r="E63" s="15"/>
    </row>
    <row r="64" spans="1:5" ht="24" customHeight="1" thickBot="1" x14ac:dyDescent="0.35">
      <c r="A64" s="5" t="s">
        <v>107</v>
      </c>
      <c r="B64" s="13">
        <v>1</v>
      </c>
      <c r="C64" s="11">
        <f>1595.99/10</f>
        <v>159.59899999999999</v>
      </c>
      <c r="D64" s="7">
        <f t="shared" si="0"/>
        <v>159.59899999999999</v>
      </c>
      <c r="E64" s="15" t="s">
        <v>104</v>
      </c>
    </row>
    <row r="65" spans="1:5" ht="24" customHeight="1" thickBot="1" x14ac:dyDescent="0.35">
      <c r="D65" s="7">
        <f>SUM(D2:D64)</f>
        <v>2120.1170999999999</v>
      </c>
    </row>
    <row r="66" spans="1:5" ht="24" customHeight="1" thickBot="1" x14ac:dyDescent="0.35"/>
    <row r="67" spans="1:5" ht="48.75" customHeight="1" thickBot="1" x14ac:dyDescent="0.35">
      <c r="A67" s="2" t="s">
        <v>0</v>
      </c>
      <c r="B67" s="2" t="s">
        <v>1</v>
      </c>
      <c r="C67" s="2" t="s">
        <v>13</v>
      </c>
      <c r="D67" s="2" t="s">
        <v>14</v>
      </c>
    </row>
    <row r="68" spans="1:5" ht="24" customHeight="1" thickBot="1" x14ac:dyDescent="0.35">
      <c r="A68" s="5" t="s">
        <v>112</v>
      </c>
      <c r="B68" s="13">
        <v>80</v>
      </c>
      <c r="C68" s="11">
        <f>50.43/40</f>
        <v>1.26075</v>
      </c>
      <c r="D68" s="11">
        <f>B68*C68</f>
        <v>100.86</v>
      </c>
    </row>
    <row r="69" spans="1:5" ht="24" customHeight="1" thickBot="1" x14ac:dyDescent="0.35">
      <c r="A69" s="5" t="s">
        <v>111</v>
      </c>
      <c r="B69" s="13">
        <v>1</v>
      </c>
      <c r="C69" s="11">
        <v>261.62</v>
      </c>
      <c r="D69" s="11">
        <f t="shared" ref="D69:D76" si="4">B69*C69</f>
        <v>261.62</v>
      </c>
    </row>
    <row r="70" spans="1:5" ht="24" customHeight="1" thickBot="1" x14ac:dyDescent="0.35">
      <c r="A70" s="5" t="s">
        <v>110</v>
      </c>
      <c r="B70" s="13">
        <v>2</v>
      </c>
      <c r="C70" s="11">
        <v>138.85</v>
      </c>
      <c r="D70" s="11">
        <f t="shared" si="4"/>
        <v>277.7</v>
      </c>
    </row>
    <row r="71" spans="1:5" ht="24" customHeight="1" thickBot="1" x14ac:dyDescent="0.35">
      <c r="A71" s="5" t="s">
        <v>114</v>
      </c>
      <c r="B71" s="13">
        <v>1</v>
      </c>
      <c r="C71" s="11">
        <f>92.81/5</f>
        <v>18.562000000000001</v>
      </c>
      <c r="D71" s="11">
        <f t="shared" si="4"/>
        <v>18.562000000000001</v>
      </c>
      <c r="E71" s="8"/>
    </row>
    <row r="72" spans="1:5" ht="24" customHeight="1" thickBot="1" x14ac:dyDescent="0.35">
      <c r="A72" s="5" t="s">
        <v>113</v>
      </c>
      <c r="B72" s="13">
        <v>1</v>
      </c>
      <c r="C72" s="11">
        <v>29.24</v>
      </c>
      <c r="D72" s="11">
        <f t="shared" si="4"/>
        <v>29.24</v>
      </c>
      <c r="E72" s="8"/>
    </row>
    <row r="73" spans="1:5" ht="24" customHeight="1" thickBot="1" x14ac:dyDescent="0.35">
      <c r="A73" s="5" t="s">
        <v>115</v>
      </c>
      <c r="B73" s="13">
        <v>1</v>
      </c>
      <c r="C73" s="11">
        <v>58.47</v>
      </c>
      <c r="D73" s="11">
        <f t="shared" si="4"/>
        <v>58.47</v>
      </c>
    </row>
    <row r="74" spans="1:5" ht="24" customHeight="1" thickBot="1" x14ac:dyDescent="0.35">
      <c r="A74" s="5" t="s">
        <v>116</v>
      </c>
      <c r="B74" s="13">
        <v>2</v>
      </c>
      <c r="C74" s="11">
        <f>54.81/10</f>
        <v>5.4809999999999999</v>
      </c>
      <c r="D74" s="11">
        <f t="shared" si="4"/>
        <v>10.962</v>
      </c>
    </row>
    <row r="75" spans="1:5" ht="24" customHeight="1" thickBot="1" x14ac:dyDescent="0.35">
      <c r="A75" s="5" t="s">
        <v>117</v>
      </c>
      <c r="B75" s="13">
        <v>1</v>
      </c>
      <c r="C75" s="11">
        <f>223.62/5</f>
        <v>44.724000000000004</v>
      </c>
      <c r="D75" s="11">
        <f t="shared" si="4"/>
        <v>44.724000000000004</v>
      </c>
    </row>
    <row r="76" spans="1:5" ht="24" customHeight="1" thickBot="1" x14ac:dyDescent="0.35">
      <c r="A76" s="5" t="s">
        <v>120</v>
      </c>
      <c r="B76" s="13">
        <v>3</v>
      </c>
      <c r="C76" s="11">
        <f>77.47/100</f>
        <v>0.77469999999999994</v>
      </c>
      <c r="D76" s="11">
        <f t="shared" si="4"/>
        <v>2.3240999999999996</v>
      </c>
    </row>
    <row r="77" spans="1:5" ht="24" customHeight="1" thickBot="1" x14ac:dyDescent="0.35">
      <c r="A77" s="25" t="s">
        <v>122</v>
      </c>
      <c r="B77" s="25"/>
      <c r="C77" s="25"/>
      <c r="D77" s="7">
        <f>SUM(D68:D76)</f>
        <v>804.46210000000019</v>
      </c>
    </row>
  </sheetData>
  <mergeCells count="1">
    <mergeCell ref="A77:C77"/>
  </mergeCells>
  <phoneticPr fontId="4" type="noConversion"/>
  <hyperlinks>
    <hyperlink ref="E2" r:id="rId1" display="https://aliexpress.ru/item/32808772590.html?spm=a2g0o.productlist.0.0.7dcd2eeaofqHPn&amp;algo_pvid=c39ac9b5-6daa-4f34-ae35-a81e17e4569b&amp;algo_expid=c39ac9b5-6daa-4f34-ae35-a81e17e4569b-4&amp;btsid=0b8b15f515902409924107652eace3&amp;ws_ab_test=searchweb0_0,searchweb201602_,searchweb201603_" xr:uid="{8EA90C1A-C735-41EE-86E3-A6004B9F10F0}"/>
    <hyperlink ref="E3" r:id="rId2" display="https://aliexpress.ru/item/32944301946.html?spm=a2g0o.productlist.0.0.9d233b63dd3ak5&amp;s=p&amp;ad_pvid=202005230638154718294210068700003574288_1&amp;algo_pvid=38894c23-04dd-4130-a0ef-c3e67d7a4054&amp;algo_expid=38894c23-04dd-4130-a0ef-c3e67d7a4054-0&amp;btsid=0b8b15f515902410955991343eace3&amp;ws_ab_test=searchweb0_0,searchweb201602_,searchweb201603_" xr:uid="{152FBE71-B347-4503-96CC-41504B904BF9}"/>
    <hyperlink ref="E4" r:id="rId3" display="https://aliexpress.ru/item/32598383117.html?spm=a2g0o.productlist.0.0.6a507cc6sufbPV&amp;algo_pvid=bcae3c5e-37e2-480c-89ec-78ac7a414b79&amp;algo_expid=bcae3c5e-37e2-480c-89ec-78ac7a414b79-3&amp;btsid=0b8b15f515902413359601994eace3&amp;ws_ab_test=searchweb0_0,searchweb201602_,searchweb201603_" xr:uid="{339F11E0-B22E-4A6F-B0CE-9CB34B428E65}"/>
    <hyperlink ref="E5" r:id="rId4" display="https://aliexpress.ru/item/32838124744.html?spm=a2g0o.productlist.0.0.42e39760Aok5mB&amp;s=p&amp;ad_pvid=20200523064316180571280072800003579506_1&amp;algo_pvid=17399249-3015-4a90-bc03-82d5bbefb910&amp;algo_expid=17399249-3015-4a90-bc03-82d5bbefb910-0&amp;btsid=0b8b15f515902413959482456eace3&amp;ws_ab_test=searchweb0_0,searchweb201602_,searchweb201603_" xr:uid="{EA075BD2-BD52-4816-A076-40486E6A023C}"/>
    <hyperlink ref="E6" r:id="rId5" display="https://aliexpress.ru/item/32845580765.html?spm=a2g0o.productlist.0.0.465c6b9bSTvuOE&amp;s=p&amp;ad_pvid=202005230644098565090043919200003580852_2&amp;algo_pvid=4ae73945-a696-401b-badf-a15ebeac9ba4&amp;algo_expid=4ae73945-a696-401b-badf-a15ebeac9ba4-1&amp;btsid=0b8b15f515902414494923100eace3&amp;ws_ab_test=searchweb0_0,searchweb201602_,searchweb201603_" xr:uid="{822C0E0E-97CF-4D93-8812-C8DA8088D70D}"/>
    <hyperlink ref="E7" r:id="rId6" display="https://aliexpress.ru/item/32948091423.html?spm=a2g0o.productlist.0.0.50137e29UtgW4p&amp;s=p&amp;ad_pvid=20200523064510392996251806300003581539_5&amp;algo_pvid=d42d7194-f100-4850-bd67-6f0e1acb701a&amp;algo_expid=d42d7194-f100-4850-bd67-6f0e1acb701a-4&amp;btsid=0b8b15f515902415100654085eace3&amp;ws_ab_test=searchweb0_0,searchweb201602_,searchweb201603_" xr:uid="{635AB6D1-3E5E-498D-9545-EA7B668D87BA}"/>
    <hyperlink ref="E8" r:id="rId7" display="https://aliexpress.ru/item/4000367473737.html?spm=a2g0o.productlist.0.0.2133468cI7U6uf&amp;algo_pvid=9929603d-680e-4828-b038-1973e49542e0&amp;algo_expid=9929603d-680e-4828-b038-1973e49542e0-8&amp;btsid=0b8b15f515902415925735342eace3&amp;ws_ab_test=searchweb0_0,searchweb201602_,searchweb201603_" xr:uid="{97B28F24-02F0-463C-8A09-5E3FF48F304A}"/>
    <hyperlink ref="E9" r:id="rId8" display="https://aliexpress.ru/item/4000907210022.html?spm=a2g0o.productlist.0.0.3b65d46col9cQw&amp;s=p&amp;ad_pvid=202005230647569781299129252420003583276_8&amp;algo_pvid=fc0595e3-1667-42dc-9188-16f02f1dc727&amp;algo_expid=fc0595e3-1667-42dc-9188-16f02f1dc727-7&amp;btsid=0b8b15f515902416764546949eace3&amp;ws_ab_test=searchweb0_0,searchweb201602_,searchweb201603_" xr:uid="{60B715EA-636E-49EB-AE24-8F5427364C16}"/>
    <hyperlink ref="E10" r:id="rId9" display="https://aliexpress.ru/item/33048896682.html?spm=a2g0o.productlist.0.0.64284857UK516B&amp;s=p&amp;ad_pvid=2020052306485011289635935663550003584257_7&amp;algo_pvid=30e1a65e-bd95-4d71-b0e7-e5c241d74b5d&amp;algo_expid=30e1a65e-bd95-4d71-b0e7-e5c241d74b5d-6&amp;btsid=0b8b15f515902417305067517eace3&amp;ws_ab_test=searchweb0_0,searchweb201602_,searchweb201603_" xr:uid="{F2CF7502-2411-4AF7-95A9-3A5AB2DEB8AD}"/>
    <hyperlink ref="E11" r:id="rId10" display="https://aliexpress.ru/item/32874808297.html?spm=a2g0o.productlist.0.0.620a68d8D9PmxY&amp;s=p&amp;ad_pvid=202005230650331235533996492640003578726_4&amp;algo_pvid=1f707ea0-432d-4622-b6b1-bea3bed20459&amp;algo_expid=1f707ea0-432d-4622-b6b1-bea3bed20459-3&amp;btsid=0b8b15f515902418330868243eace3&amp;ws_ab_test=searchweb0_0,searchweb201602_,searchweb201603_" xr:uid="{E5E87F07-CC22-4F14-8E27-8C83D505977B}"/>
    <hyperlink ref="E12" r:id="rId11" display="https://aliexpress.ru/item/33043107098.html?spm=a2g0o.productlist.0.0.1d743018OWWYBO&amp;algo_pvid=e002187f-5395-4761-a526-77a2b88cd399&amp;algo_expid=e002187f-5395-4761-a526-77a2b88cd399-18&amp;btsid=0b8b15f515902419571518617eace3&amp;ws_ab_test=searchweb0_0,searchweb201602_,searchweb201603_" xr:uid="{C3B18148-02D4-4527-BAD6-06C5A4AE6256}"/>
    <hyperlink ref="E46" r:id="rId12" xr:uid="{DF87B85F-CC3E-4ED3-8160-B1617116098E}"/>
    <hyperlink ref="E13" r:id="rId13" xr:uid="{455CDE3A-9236-460F-A61D-A0B8E086B292}"/>
    <hyperlink ref="E47" r:id="rId14" display="https://aliexpress.ru/item/4000030081332.html?spm=a2g0o.productlist.0.0.52294fc6z8TSn5&amp;algo_pvid=443da3fd-a0c6-44d0-9c18-6a8b16277703&amp;algo_expid=443da3fd-a0c6-44d0-9c18-6a8b16277703-10&amp;btsid=0b8b15f515902423206613161eace3&amp;ws_ab_test=searchweb0_0,searchweb201602_,searchweb201603_" xr:uid="{FF37DFD1-F4EE-4CFC-866F-FBCC96884F33}"/>
    <hyperlink ref="E43" r:id="rId15" xr:uid="{0B092C36-3140-4E97-96A8-95CB959B86CF}"/>
    <hyperlink ref="E44" r:id="rId16" xr:uid="{95195FCB-3D06-4A35-8C28-DB862B8219AD}"/>
    <hyperlink ref="E45" r:id="rId17" display="https://aliexpress.ru/item/33050533308.html?spm=a2g0o.productlist.0.0.591f419fZBivJb&amp;s=p&amp;ad_pvid=20200524003101633931875486150002254226_1&amp;algo_pvid=10fafa17-7575-4808-a1e7-4a92163b67a7&amp;algo_expid=10fafa17-7575-4808-a1e7-4a92163b67a7-0&amp;btsid=0b8b158f15903054610166494e902b&amp;ws_ab_test=searchweb0_0,searchweb201602_,searchweb201603_" xr:uid="{DEB52384-A684-4806-9226-0E01E22511D3}"/>
    <hyperlink ref="E37" r:id="rId18" display="https://aliexpress.ru/item/33048439713.html?spm=a2g0o.productlist.0.0.13054256JyVvmA&amp;s=p&amp;ad_pvid=202005240032014591868125946460004349620_1&amp;algo_pvid=72616c28-5ac3-46ac-82dc-8f34579557ad&amp;algo_expid=72616c28-5ac3-46ac-82dc-8f34579557ad-0&amp;btsid=0b8b158f15903055213537367e902b&amp;ws_ab_test=searchweb0_0,searchweb201602_,searchweb201603_" xr:uid="{23DF8E5B-A623-4971-B076-36C65EB548B3}"/>
    <hyperlink ref="E38" r:id="rId19" display="https://aliexpress.ru/item/32826666254.html?spm=a2g0o.productlist.0.0.1bbe4edbnNwbFT&amp;algo_pvid=156e919e-e3ef-450a-9808-9026f9bf66cb&amp;algo_expid=156e919e-e3ef-450a-9808-9026f9bf66cb-8&amp;btsid=0b8b158f15903056062338877e902b&amp;ws_ab_test=searchweb0_0,searchweb201602_,searchweb201603_" xr:uid="{D995DFD1-8CE5-432D-A2B3-050F77A8D08C}"/>
    <hyperlink ref="E39" r:id="rId20" display="https://aliexpress.ru/item/32873227586.html?spm=a2g0o.productlist.0.0.2fa54a51luzcps&amp;s=p&amp;ad_pvid=202005240035048508726070138800004354392_3&amp;algo_pvid=3142830e-6fc8-437b-ab51-99794baa7552&amp;algo_expid=3142830e-6fc8-437b-ab51-99794baa7552-2&amp;btsid=0b8b158f15903057047852345e902b&amp;ws_ab_test=searchweb0_0,searchweb201602_,searchweb201603_" xr:uid="{A6FDFD0B-FA3B-4693-91DE-DC169B1623FA}"/>
    <hyperlink ref="E41" r:id="rId21" display="https://aliexpress.ru/item/33037738446.html?spm=a2g0o.productlist.0.0.c04e63181szbZW&amp;algo_pvid=d3d13fd0-9aff-40b2-a366-abdcf42b860a&amp;algo_expid=d3d13fd0-9aff-40b2-a366-abdcf42b860a-0&amp;btsid=0b8b034e15903060705011378e6ab2&amp;ws_ab_test=searchweb0_0,searchweb201602_,searchweb201603_" xr:uid="{32692D08-9D50-4D60-8CBA-DE3459CD9852}"/>
    <hyperlink ref="E42" r:id="rId22" display="https://aliexpress.ru/item/32949445306.html?spm=a2g0o.productlist.0.0.79a94c5b8CVisr&amp;algo_pvid=ed93fb77-d24c-4e57-83c5-9640681a26df&amp;algo_expid=ed93fb77-d24c-4e57-83c5-9640681a26df-8&amp;btsid=0b8b034e15903061646182590e6ab2&amp;ws_ab_test=searchweb0_0,searchweb201602_,searchweb201603_" xr:uid="{F600110A-0F4E-4F14-AD76-07ED71DC7F34}"/>
    <hyperlink ref="E40" r:id="rId23" xr:uid="{738C3F65-2C1A-488C-ADF2-E2680BE43DE0}"/>
    <hyperlink ref="E14" r:id="rId24" xr:uid="{DD1C6323-DE5E-4E2C-8250-2F0267858CDC}"/>
    <hyperlink ref="E48" r:id="rId25" xr:uid="{757FB940-2373-44B4-9BD8-AAB263751194}"/>
    <hyperlink ref="E54" r:id="rId26" xr:uid="{E8D01280-86E8-4B77-A62C-C599FFBFD91D}"/>
    <hyperlink ref="E55" r:id="rId27" xr:uid="{F9B75C56-EAED-4ACD-8E1E-F1045332E823}"/>
    <hyperlink ref="E16" r:id="rId28" xr:uid="{CF4D4C2F-C785-4F16-BA1C-6604309AAAF9}"/>
    <hyperlink ref="E15" r:id="rId29" xr:uid="{EBCF899E-F583-48FC-BC42-FB27757B2897}"/>
    <hyperlink ref="E17" r:id="rId30" xr:uid="{0A692136-4D35-4679-978C-9BD71D79D951}"/>
    <hyperlink ref="E18" r:id="rId31" xr:uid="{7587CAA5-1D5C-4564-906C-1DAE8161D970}"/>
    <hyperlink ref="E20" r:id="rId32" display="https://aliexpress.ru/item/32871123420.html?spm=a2g0o.productlist.0.0.10143259Voypr5&amp;algo_pvid=d6a25cc4-348d-46ab-ac09-0a4208893c39&amp;algo_expid=d6a25cc4-348d-46ab-ac09-0a4208893c39-0&amp;btsid=0b8b15d415903263366875482e4389&amp;ws_ab_test=searchweb0_0,searchweb201602_,searchweb201603_" xr:uid="{3B67CB10-8FC7-409F-9331-BC34D5CC7D49}"/>
    <hyperlink ref="E21:E29" r:id="rId33" display="https://aliexpress.ru/item/32871123420.html?spm=a2g0o.productlist.0.0.10143259Voypr5&amp;algo_pvid=d6a25cc4-348d-46ab-ac09-0a4208893c39&amp;algo_expid=d6a25cc4-348d-46ab-ac09-0a4208893c39-0&amp;btsid=0b8b15d415903263366875482e4389&amp;ws_ab_test=searchweb0_0,searchweb201602_,searchweb201603_" xr:uid="{9887CCC2-16B0-43FA-96A7-08AADB22BB91}"/>
    <hyperlink ref="E30" r:id="rId34" display="https://aliexpress.ru/item/32829517578.html?spm=a2g0o.productlist.0.0.645644f3krXIQ4&amp;algo_pvid=05732255-54d6-4e48-add5-d449e4c9d191&amp;algo_expid=05732255-54d6-4e48-add5-d449e4c9d191-1&amp;btsid=0b8b035c15903275399571840ea7d7&amp;ws_ab_test=searchweb0_0,searchweb201602_,searchweb201603_" xr:uid="{6634B7FC-90AE-4D87-A88C-04705EEBA14C}"/>
    <hyperlink ref="E31" r:id="rId35" display="https://aliexpress.ru/item/32829517578.html?spm=a2g0o.productlist.0.0.645644f3krXIQ4&amp;algo_pvid=05732255-54d6-4e48-add5-d449e4c9d191&amp;algo_expid=05732255-54d6-4e48-add5-d449e4c9d191-1&amp;btsid=0b8b035c15903275399571840ea7d7&amp;ws_ab_test=searchweb0_0,searchweb201602_,searchweb201603_" xr:uid="{95210DA6-72FC-407E-8AEC-AA19126C71A6}"/>
    <hyperlink ref="E32" r:id="rId36" display="https://aliexpress.ru/item/32964553793.html?spm=a2g0o.productlist.0.0.5d97578bOi5flh&amp;algo_pvid=c29d0e39-a5d7-47d5-a5f2-c6a5af283774&amp;algo_expid=c29d0e39-a5d7-47d5-a5f2-c6a5af283774-8&amp;btsid=0b8b035c15903276788503191ea7d7&amp;ws_ab_test=searchweb0_0,searchweb201602_,searchweb201603_" xr:uid="{C997B260-ADAD-44C3-A201-4209C05A758F}"/>
    <hyperlink ref="E33" r:id="rId37" display="https://aliexpress.ru/item/32964553793.html?spm=a2g0o.productlist.0.0.5d97578bOi5flh&amp;algo_pvid=c29d0e39-a5d7-47d5-a5f2-c6a5af283774&amp;algo_expid=c29d0e39-a5d7-47d5-a5f2-c6a5af283774-8&amp;btsid=0b8b035c15903276788503191ea7d7&amp;ws_ab_test=searchweb0_0,searchweb201602_,searchweb201603_" xr:uid="{97A6FC3C-E51F-417E-8352-1707E81DB65A}"/>
    <hyperlink ref="E35" r:id="rId38" display="https://aliexpress.ru/item/32964553793.html?spm=a2g0o.productlist.0.0.5d97578bOi5flh&amp;algo_pvid=c29d0e39-a5d7-47d5-a5f2-c6a5af283774&amp;algo_expid=c29d0e39-a5d7-47d5-a5f2-c6a5af283774-8&amp;btsid=0b8b035c15903276788503191ea7d7&amp;ws_ab_test=searchweb0_0,searchweb201602_,searchweb201603_" xr:uid="{6BC4C072-CFA2-4B24-BFD8-5FC6392852B8}"/>
    <hyperlink ref="E34" r:id="rId39" display="https://aliexpress.ru/item/33016966236.html?spm=a2g0o.productlist.0.0.786d4b8aaWhjxx&amp;algo_pvid=fe8c5866-3be0-4622-b634-cac42457f46b&amp;algo_expid=fe8c5866-3be0-4622-b634-cac42457f46b-9&amp;btsid=0b8b035c15903278444623684ea7d7&amp;ws_ab_test=searchweb0_0,searchweb201602_,searchweb201603_" xr:uid="{97AAEEAE-3B99-42FA-9EE0-AFC9AD6F3576}"/>
    <hyperlink ref="E36" r:id="rId40" display="https://aliexpress.ru/item/32903313311.html?spm=a2g0o.productlist.0.0.1a626bd5nLjCe2&amp;s=p&amp;ad_pvid=20200524064533383388000592670004654046_1&amp;algo_pvid=3df784c5-4f8f-4e17-a969-3a3c27617f16&amp;algo_expid=3df784c5-4f8f-4e17-a969-3a3c27617f16-0&amp;btsid=0b8b035c15903279329634318ea7d7&amp;ws_ab_test=searchweb0_0,searchweb201602_,searchweb201603_" xr:uid="{60C3C7FD-BCD2-401A-B8D0-6172A0B210BB}"/>
    <hyperlink ref="E56" r:id="rId41" display="https://aliexpress.ru/item/1806565095.html?spm=a2g0o.productlist.0.0.61fa70a2zCcxj6&amp;algo_pvid=1f60d4f3-4400-4395-9714-95593c44edc0&amp;algo_expid=1f60d4f3-4400-4395-9714-95593c44edc0-1&amp;btsid=0b8b158f15903283283927096e9021&amp;ws_ab_test=searchweb0_0,searchweb201602_,searchweb201603_" xr:uid="{A92298A9-0E30-49FC-8200-29766B63D5A5}"/>
    <hyperlink ref="E57" r:id="rId42" xr:uid="{5F20CDB2-0D71-4558-82BE-2CC1B39435A5}"/>
    <hyperlink ref="E58" r:id="rId43" xr:uid="{E8BC7494-2FE5-44E0-993B-BEC8AD1010B9}"/>
    <hyperlink ref="E59" r:id="rId44" xr:uid="{1B4D6578-4CD7-4C59-B7F2-ED449B0A75A9}"/>
    <hyperlink ref="E62" r:id="rId45" display="https://aliexpress.ru/item/4000924304797.html?spm=a2g0o.productlist.0.0.16ba7b52haCScV&amp;s=p&amp;ad_pvid=20200524071024927259689806100004682763_7&amp;algo_pvid=468f6634-d576-448c-bc4d-a292fd9a2c23&amp;algo_expid=468f6634-d576-448c-bc4d-a292fd9a2c23-6&amp;btsid=0b8b037215903294244892876e0cee&amp;ws_ab_test=searchweb0_0,searchweb201602_,searchweb201603_" xr:uid="{7D8E5E7E-863B-439D-B84F-4BBCBEC46FA1}"/>
    <hyperlink ref="E64" r:id="rId46" display="https://aliexpress.ru/item/33019390820.html?spm=a2g0o.productlist.0.0.15487729SHf9sX&amp;algo_pvid=f2e570de-5409-4661-a790-3a3cbdfdc271&amp;algo_expid=f2e570de-5409-4661-a790-3a3cbdfdc271-13&amp;btsid=0b8b037215903291916481538e0cee&amp;ws_ab_test=searchweb0_0,searchweb201602_,searchweb201603_" xr:uid="{4D5281AB-1812-46F6-954A-BC204A05D0B4}"/>
    <hyperlink ref="E60" r:id="rId47" display="https://aliexpress.ru/item/32897651120.html?spm=a2g0o.productlist.0.0.2bec4f04tTOXvo&amp;s=p&amp;ad_pvid=20200524071153935045963939430004676651_1&amp;algo_pvid=81249de0-876a-430c-ab36-7dc95307fb1a&amp;algo_expid=81249de0-876a-430c-ab36-7dc95307fb1a-0&amp;btsid=0b8b037215903295130423525e0cee&amp;ws_ab_test=searchweb0_0,searchweb201602_,searchweb201603_" xr:uid="{F8EEFE76-6942-4005-BF9A-E1C838BA84A9}"/>
    <hyperlink ref="E61" r:id="rId48" display="https://aliexpress.ru/item/4000389879469.html?spm=a2g0o.productlist.0.0.3fee3943aDXyuh&amp;s=p&amp;ad_pvid=2020052407123414318638294008510004681611_1&amp;algo_pvid=295fbcd0-d85e-4f67-a5b6-7017f0533ad9&amp;algo_expid=295fbcd0-d85e-4f67-a5b6-7017f0533ad9-0&amp;btsid=0b8b037215903295546703980e0cee&amp;ws_ab_test=searchweb0_0,searchweb201602_,searchweb201603_" xr:uid="{F78D54CF-EF4B-4918-AF7F-821EC4B48D40}"/>
    <hyperlink ref="E53" r:id="rId49" display="https://aliexpress.ru/item/33038600944.html?spm=a2g0o.productlist.0.0.419d2cdcRVEch1&amp;s=p&amp;ad_pvid=202005240721153859348858914580004687806_2&amp;algo_pvid=f9bcfdc6-e8e1-43cd-9146-ae05bd3293ea&amp;algo_expid=f9bcfdc6-e8e1-43cd-9146-ae05bd3293ea-1&amp;btsid=0b8b034e15903300752145706e6aef&amp;ws_ab_test=searchweb0_0,searchweb201602_,searchweb201603_" xr:uid="{A446FA79-4144-44EB-930B-E1053CB29305}"/>
    <hyperlink ref="E49" r:id="rId50" xr:uid="{105BDBB3-ACE3-458A-9B59-7FB2720FCDCF}"/>
    <hyperlink ref="E50:E52" r:id="rId51" display="https://aliexpress.ru/item/32878293371.html?spm=a2g0s.9042311.0.0.264d33edbISUGp" xr:uid="{F2748AED-2569-413B-AE6F-DAFAB986A9DC}"/>
  </hyperlinks>
  <pageMargins left="0.7" right="0.7" top="0.75" bottom="0.75" header="0.3" footer="0.3"/>
  <pageSetup paperSize="9" orientation="landscape" horizontalDpi="4294967292" verticalDpi="0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07FC9-2F4A-42D2-80F6-B44D5E152ECE}">
  <dimension ref="A1:C14"/>
  <sheetViews>
    <sheetView workbookViewId="0">
      <selection activeCell="A11" sqref="A11:C11"/>
    </sheetView>
  </sheetViews>
  <sheetFormatPr defaultRowHeight="18.75" x14ac:dyDescent="0.3"/>
  <cols>
    <col min="1" max="1" width="54.85546875" style="1" customWidth="1"/>
    <col min="2" max="3" width="16.42578125" style="1" customWidth="1"/>
    <col min="4" max="16384" width="9.140625" style="1"/>
  </cols>
  <sheetData>
    <row r="1" spans="1:3" ht="19.5" thickBot="1" x14ac:dyDescent="0.35">
      <c r="A1" s="19" t="s">
        <v>123</v>
      </c>
      <c r="B1" s="19" t="s">
        <v>124</v>
      </c>
      <c r="C1" s="19" t="s">
        <v>125</v>
      </c>
    </row>
    <row r="2" spans="1:3" ht="19.5" thickBot="1" x14ac:dyDescent="0.35">
      <c r="A2" s="20" t="s">
        <v>126</v>
      </c>
      <c r="B2" s="20">
        <v>10</v>
      </c>
      <c r="C2" s="20">
        <f>B2*4</f>
        <v>40</v>
      </c>
    </row>
    <row r="3" spans="1:3" ht="19.5" thickBot="1" x14ac:dyDescent="0.35">
      <c r="A3" s="20" t="s">
        <v>127</v>
      </c>
      <c r="B3" s="20">
        <v>5</v>
      </c>
      <c r="C3" s="20">
        <f t="shared" ref="C3:C13" si="0">B3*4</f>
        <v>20</v>
      </c>
    </row>
    <row r="4" spans="1:3" ht="19.5" thickBot="1" x14ac:dyDescent="0.35">
      <c r="A4" s="20" t="s">
        <v>128</v>
      </c>
      <c r="B4" s="20">
        <v>2</v>
      </c>
      <c r="C4" s="20">
        <f t="shared" si="0"/>
        <v>8</v>
      </c>
    </row>
    <row r="5" spans="1:3" ht="19.5" thickBot="1" x14ac:dyDescent="0.35">
      <c r="A5" s="20" t="s">
        <v>129</v>
      </c>
      <c r="B5" s="20">
        <v>1</v>
      </c>
      <c r="C5" s="20">
        <f t="shared" si="0"/>
        <v>4</v>
      </c>
    </row>
    <row r="6" spans="1:3" ht="19.5" thickBot="1" x14ac:dyDescent="0.35">
      <c r="A6" s="20" t="s">
        <v>130</v>
      </c>
      <c r="B6" s="20">
        <v>4</v>
      </c>
      <c r="C6" s="20">
        <f t="shared" si="0"/>
        <v>16</v>
      </c>
    </row>
    <row r="7" spans="1:3" ht="19.5" thickBot="1" x14ac:dyDescent="0.35">
      <c r="A7" s="20" t="s">
        <v>131</v>
      </c>
      <c r="B7" s="20">
        <v>3</v>
      </c>
      <c r="C7" s="20">
        <f t="shared" si="0"/>
        <v>12</v>
      </c>
    </row>
    <row r="8" spans="1:3" ht="19.5" thickBot="1" x14ac:dyDescent="0.35">
      <c r="A8" s="20" t="s">
        <v>132</v>
      </c>
      <c r="B8" s="20">
        <v>4</v>
      </c>
      <c r="C8" s="20">
        <f t="shared" si="0"/>
        <v>16</v>
      </c>
    </row>
    <row r="9" spans="1:3" ht="19.5" thickBot="1" x14ac:dyDescent="0.35">
      <c r="A9" s="20" t="s">
        <v>133</v>
      </c>
      <c r="B9" s="20">
        <v>15</v>
      </c>
      <c r="C9" s="20">
        <f t="shared" si="0"/>
        <v>60</v>
      </c>
    </row>
    <row r="10" spans="1:3" ht="19.5" thickBot="1" x14ac:dyDescent="0.35">
      <c r="A10" s="20" t="s">
        <v>136</v>
      </c>
      <c r="B10" s="20">
        <v>5</v>
      </c>
      <c r="C10" s="20">
        <f t="shared" si="0"/>
        <v>20</v>
      </c>
    </row>
    <row r="11" spans="1:3" ht="19.5" thickBot="1" x14ac:dyDescent="0.35">
      <c r="A11" s="20" t="s">
        <v>144</v>
      </c>
      <c r="B11" s="20">
        <v>1</v>
      </c>
      <c r="C11" s="20">
        <f t="shared" si="0"/>
        <v>4</v>
      </c>
    </row>
    <row r="12" spans="1:3" ht="19.5" thickBot="1" x14ac:dyDescent="0.35">
      <c r="A12" s="20" t="s">
        <v>134</v>
      </c>
      <c r="B12" s="20">
        <v>10</v>
      </c>
      <c r="C12" s="20">
        <f t="shared" si="0"/>
        <v>40</v>
      </c>
    </row>
    <row r="13" spans="1:3" ht="19.5" thickBot="1" x14ac:dyDescent="0.35">
      <c r="A13" s="20" t="s">
        <v>135</v>
      </c>
      <c r="B13" s="20">
        <f>10+2+3+5</f>
        <v>20</v>
      </c>
      <c r="C13" s="20">
        <f t="shared" si="0"/>
        <v>80</v>
      </c>
    </row>
    <row r="14" spans="1:3" ht="19.5" thickBot="1" x14ac:dyDescent="0.35">
      <c r="A14" s="26" t="s">
        <v>122</v>
      </c>
      <c r="B14" s="26"/>
      <c r="C14" s="20">
        <f xml:space="preserve"> SUM(C2:C13)</f>
        <v>320</v>
      </c>
    </row>
  </sheetData>
  <mergeCells count="1">
    <mergeCell ref="A14:B14"/>
  </mergeCells>
  <pageMargins left="0.7" right="0.7" top="0.75" bottom="0.75" header="0.3" footer="0.3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AA4F8-ACEB-44E4-AB70-29C0C5ACE100}">
  <dimension ref="A1:C7"/>
  <sheetViews>
    <sheetView workbookViewId="0">
      <selection activeCell="C2" sqref="C2"/>
    </sheetView>
  </sheetViews>
  <sheetFormatPr defaultRowHeight="18.75" x14ac:dyDescent="0.3"/>
  <cols>
    <col min="1" max="1" width="36.85546875" style="1" customWidth="1"/>
    <col min="2" max="2" width="11.28515625" style="1" customWidth="1"/>
    <col min="3" max="16384" width="9.140625" style="1"/>
  </cols>
  <sheetData>
    <row r="1" spans="1:3" ht="19.5" thickBot="1" x14ac:dyDescent="0.35">
      <c r="A1" s="19" t="s">
        <v>137</v>
      </c>
      <c r="B1" s="19" t="s">
        <v>139</v>
      </c>
      <c r="C1" s="19" t="s">
        <v>138</v>
      </c>
    </row>
    <row r="2" spans="1:3" ht="19.5" thickBot="1" x14ac:dyDescent="0.35">
      <c r="A2" s="20" t="s">
        <v>140</v>
      </c>
      <c r="B2" s="22">
        <v>0.22</v>
      </c>
      <c r="C2" s="20">
        <f>68000*B2</f>
        <v>14960</v>
      </c>
    </row>
    <row r="3" spans="1:3" ht="19.5" thickBot="1" x14ac:dyDescent="0.35">
      <c r="A3" s="20" t="s">
        <v>141</v>
      </c>
      <c r="B3" s="23">
        <v>5.0999999999999997E-2</v>
      </c>
      <c r="C3" s="20">
        <f t="shared" ref="C3:C5" si="0">68000*B3</f>
        <v>3468</v>
      </c>
    </row>
    <row r="4" spans="1:3" ht="19.5" thickBot="1" x14ac:dyDescent="0.35">
      <c r="A4" s="20" t="s">
        <v>142</v>
      </c>
      <c r="B4" s="22">
        <v>2.9000000000000001E-2</v>
      </c>
      <c r="C4" s="20">
        <f t="shared" si="0"/>
        <v>1972</v>
      </c>
    </row>
    <row r="5" spans="1:3" ht="38.25" thickBot="1" x14ac:dyDescent="0.35">
      <c r="A5" s="24" t="s">
        <v>143</v>
      </c>
      <c r="B5" s="22">
        <v>2E-3</v>
      </c>
      <c r="C5" s="20">
        <f t="shared" si="0"/>
        <v>136</v>
      </c>
    </row>
    <row r="6" spans="1:3" ht="19.5" thickBot="1" x14ac:dyDescent="0.35">
      <c r="A6" s="26" t="s">
        <v>122</v>
      </c>
      <c r="B6" s="26"/>
      <c r="C6" s="20">
        <f>SUM(C2:C5)</f>
        <v>20536</v>
      </c>
    </row>
    <row r="7" spans="1:3" x14ac:dyDescent="0.3">
      <c r="B7" s="21"/>
    </row>
  </sheetData>
  <mergeCells count="1">
    <mergeCell ref="A6:B6"/>
  </mergeCells>
  <pageMargins left="0.7" right="0.7" top="0.75" bottom="0.75" header="0.3" footer="0.3"/>
  <pageSetup paperSize="9"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AA4D2-B735-4B57-AB8E-7E96A864771B}">
  <dimension ref="A1:M24"/>
  <sheetViews>
    <sheetView tabSelected="1" zoomScale="98" zoomScaleNormal="98" workbookViewId="0">
      <selection activeCell="E14" sqref="A1:E14"/>
    </sheetView>
  </sheetViews>
  <sheetFormatPr defaultRowHeight="18.75" x14ac:dyDescent="0.3"/>
  <cols>
    <col min="1" max="1" width="10.5703125" style="1" customWidth="1"/>
    <col min="2" max="5" width="18.7109375" style="1" customWidth="1"/>
    <col min="6" max="6" width="9.140625" style="1"/>
    <col min="7" max="7" width="14.7109375" style="1" customWidth="1"/>
    <col min="8" max="8" width="14.42578125" style="1" bestFit="1" customWidth="1"/>
    <col min="9" max="9" width="12.28515625" style="1" bestFit="1" customWidth="1"/>
    <col min="10" max="10" width="12.28515625" style="1" customWidth="1"/>
    <col min="11" max="11" width="14.5703125" style="1" customWidth="1"/>
    <col min="12" max="13" width="12.28515625" style="1" bestFit="1" customWidth="1"/>
    <col min="14" max="16384" width="9.140625" style="1"/>
  </cols>
  <sheetData>
    <row r="1" spans="1:13" ht="19.5" thickBot="1" x14ac:dyDescent="0.35">
      <c r="A1" s="29" t="s">
        <v>147</v>
      </c>
      <c r="B1" s="30" t="s">
        <v>151</v>
      </c>
      <c r="C1" s="30"/>
      <c r="D1" s="30" t="s">
        <v>152</v>
      </c>
      <c r="E1" s="30"/>
    </row>
    <row r="2" spans="1:13" ht="39.75" customHeight="1" thickBot="1" x14ac:dyDescent="0.35">
      <c r="A2" s="29"/>
      <c r="B2" s="2" t="s">
        <v>145</v>
      </c>
      <c r="C2" s="2" t="s">
        <v>146</v>
      </c>
      <c r="D2" s="2" t="s">
        <v>145</v>
      </c>
      <c r="E2" s="2" t="s">
        <v>146</v>
      </c>
      <c r="G2" s="1" t="s">
        <v>148</v>
      </c>
      <c r="H2" s="1" t="s">
        <v>149</v>
      </c>
      <c r="I2" s="1" t="s">
        <v>150</v>
      </c>
      <c r="K2" s="1" t="s">
        <v>148</v>
      </c>
      <c r="L2" s="1" t="s">
        <v>149</v>
      </c>
      <c r="M2" s="1" t="s">
        <v>150</v>
      </c>
    </row>
    <row r="3" spans="1:13" ht="19.5" thickBot="1" x14ac:dyDescent="0.35">
      <c r="A3" s="5">
        <v>1</v>
      </c>
      <c r="B3" s="31">
        <f xml:space="preserve"> 93760 / (3100*0.25 + 3100 - G3) / A3</f>
        <v>81.755083533884402</v>
      </c>
      <c r="C3" s="31">
        <f xml:space="preserve"> 93760 / (3100*0.5 + 3100 - K3) /A3</f>
        <v>51.958991410362984</v>
      </c>
      <c r="D3" s="31">
        <f xml:space="preserve"> 93760 / (3100*0.25 + 3100 - G$17)/A3</f>
        <v>81.755083533884402</v>
      </c>
      <c r="E3" s="31">
        <f xml:space="preserve"> 93760 / (3100*0.5 + 3100 - H$17) /A3</f>
        <v>51.958991410362984</v>
      </c>
      <c r="G3" s="27">
        <f>2120.12+H3+I3</f>
        <v>2728.16</v>
      </c>
      <c r="H3" s="27">
        <f>C22</f>
        <v>308.04000000000002</v>
      </c>
      <c r="I3" s="27">
        <f>300</f>
        <v>300</v>
      </c>
      <c r="J3" s="27"/>
      <c r="K3" s="27">
        <f>2120.12+L3+M3</f>
        <v>2845.5</v>
      </c>
      <c r="L3" s="27">
        <f>C21</f>
        <v>325.38</v>
      </c>
      <c r="M3" s="27">
        <v>400</v>
      </c>
    </row>
    <row r="4" spans="1:13" ht="19.5" thickBot="1" x14ac:dyDescent="0.35">
      <c r="A4" s="5">
        <v>2</v>
      </c>
      <c r="B4" s="31">
        <f t="shared" ref="B4:B12" si="0" xml:space="preserve"> 93760 / (3100*0.25 + 3100 - G4) / A4</f>
        <v>51.136611545006318</v>
      </c>
      <c r="C4" s="31">
        <f xml:space="preserve"> 93760 / (3100*0.5 + 3100 - K4) /A4</f>
        <v>28.554721762011496</v>
      </c>
      <c r="D4" s="31">
        <f t="shared" ref="D4:D14" si="1" xml:space="preserve"> 93760 / (3100*0.25 + 3100 - G$17)/A4</f>
        <v>40.877541766942201</v>
      </c>
      <c r="E4" s="31">
        <f xml:space="preserve"> 93760 / (3100*0.5 + 3100 - H$17) /A4</f>
        <v>25.979495705181492</v>
      </c>
      <c r="G4" s="27">
        <f>2120.12+H4+I4</f>
        <v>2958.24</v>
      </c>
      <c r="H4" s="27">
        <f>C20</f>
        <v>438.12</v>
      </c>
      <c r="I4" s="27">
        <v>400</v>
      </c>
      <c r="J4" s="27"/>
      <c r="K4" s="27">
        <f t="shared" ref="K4:K14" si="2">2120.12+L4+M4</f>
        <v>3008.24</v>
      </c>
      <c r="L4" s="27">
        <f>C20</f>
        <v>438.12</v>
      </c>
      <c r="M4" s="27">
        <v>450</v>
      </c>
    </row>
    <row r="5" spans="1:13" ht="19.5" thickBot="1" x14ac:dyDescent="0.35">
      <c r="A5" s="5">
        <v>3</v>
      </c>
      <c r="B5" s="31">
        <f t="shared" si="0"/>
        <v>36.057655329426055</v>
      </c>
      <c r="C5" s="31">
        <f xml:space="preserve"> 93760 / (3100*0.5 + 3100 - K5) /A5</f>
        <v>21.564373887971971</v>
      </c>
      <c r="D5" s="31">
        <f t="shared" si="1"/>
        <v>27.251694511294801</v>
      </c>
      <c r="E5" s="31">
        <f xml:space="preserve"> 93760 / (3100*0.5 + 3100 - H$17) /A5</f>
        <v>17.319663803454329</v>
      </c>
      <c r="G5" s="27">
        <f>2120.12+H5+I5</f>
        <v>3008.24</v>
      </c>
      <c r="H5" s="27">
        <f>C20</f>
        <v>438.12</v>
      </c>
      <c r="I5" s="27">
        <v>450</v>
      </c>
      <c r="J5" s="27"/>
      <c r="K5" s="27">
        <f t="shared" si="2"/>
        <v>3200.6959999999999</v>
      </c>
      <c r="L5" s="27">
        <f>C19</f>
        <v>630.57600000000002</v>
      </c>
      <c r="M5" s="27">
        <v>450</v>
      </c>
    </row>
    <row r="6" spans="1:13" ht="19.5" thickBot="1" x14ac:dyDescent="0.35">
      <c r="A6" s="5">
        <v>4</v>
      </c>
      <c r="B6" s="31">
        <f t="shared" si="0"/>
        <v>27.043241497069541</v>
      </c>
      <c r="C6" s="31">
        <f xml:space="preserve"> 93760 / (3100*0.5 + 3100 - K6) /A6</f>
        <v>16.751184874766313</v>
      </c>
      <c r="D6" s="31">
        <f t="shared" si="1"/>
        <v>20.438770883471101</v>
      </c>
      <c r="E6" s="31">
        <f xml:space="preserve"> 93760 / (3100*0.5 + 3100 - H$17) /A6</f>
        <v>12.989747852590746</v>
      </c>
      <c r="G6" s="27">
        <f>2120.12+H6+I6</f>
        <v>3008.24</v>
      </c>
      <c r="H6" s="27">
        <f>C20</f>
        <v>438.12</v>
      </c>
      <c r="I6" s="27">
        <v>450</v>
      </c>
      <c r="J6" s="27"/>
      <c r="K6" s="27">
        <f t="shared" si="2"/>
        <v>3250.6959999999999</v>
      </c>
      <c r="L6" s="27">
        <f>C19</f>
        <v>630.57600000000002</v>
      </c>
      <c r="M6" s="27">
        <v>500</v>
      </c>
    </row>
    <row r="7" spans="1:13" ht="19.5" thickBot="1" x14ac:dyDescent="0.35">
      <c r="A7" s="5">
        <v>5</v>
      </c>
      <c r="B7" s="31">
        <f t="shared" si="0"/>
        <v>27.809415337889142</v>
      </c>
      <c r="C7" s="31">
        <f xml:space="preserve"> 93760 / (3100*0.5 + 3100 - K7) /A7</f>
        <v>13.897535321914111</v>
      </c>
      <c r="D7" s="31">
        <f t="shared" si="1"/>
        <v>16.351016706776882</v>
      </c>
      <c r="E7" s="31">
        <f xml:space="preserve"> 93760 / (3100*0.5 + 3100 - H$17) /A7</f>
        <v>10.391798282072596</v>
      </c>
      <c r="G7" s="27">
        <f>2120.12+H7+I7</f>
        <v>3200.6959999999999</v>
      </c>
      <c r="H7" s="27">
        <f>C19</f>
        <v>630.57600000000002</v>
      </c>
      <c r="I7" s="27">
        <v>450</v>
      </c>
      <c r="J7" s="27"/>
      <c r="K7" s="27">
        <f t="shared" si="2"/>
        <v>3300.6959999999999</v>
      </c>
      <c r="L7" s="27">
        <f>C19</f>
        <v>630.57600000000002</v>
      </c>
      <c r="M7" s="27">
        <v>550</v>
      </c>
    </row>
    <row r="8" spans="1:13" ht="19.5" thickBot="1" x14ac:dyDescent="0.35">
      <c r="A8" s="5">
        <v>6</v>
      </c>
      <c r="B8" s="31">
        <f t="shared" si="0"/>
        <v>23.174512781574283</v>
      </c>
      <c r="C8" s="31">
        <f xml:space="preserve"> 93760 / (3100*0.5 + 3100 - K8) /A8</f>
        <v>12.026951865511586</v>
      </c>
      <c r="D8" s="31">
        <f t="shared" si="1"/>
        <v>13.6258472556474</v>
      </c>
      <c r="E8" s="31">
        <f xml:space="preserve"> 93760 / (3100*0.5 + 3100 - H$17) /A8</f>
        <v>8.6598319017271645</v>
      </c>
      <c r="G8" s="27">
        <f>2120.12+H8+I8</f>
        <v>3200.6959999999999</v>
      </c>
      <c r="H8" s="27">
        <f>C19</f>
        <v>630.57600000000002</v>
      </c>
      <c r="I8" s="27">
        <v>450</v>
      </c>
      <c r="J8" s="27"/>
      <c r="K8" s="27">
        <f t="shared" si="2"/>
        <v>3350.6959999999999</v>
      </c>
      <c r="L8" s="27">
        <f>C19</f>
        <v>630.57600000000002</v>
      </c>
      <c r="M8" s="27">
        <v>600</v>
      </c>
    </row>
    <row r="9" spans="1:13" ht="19.5" thickBot="1" x14ac:dyDescent="0.35">
      <c r="A9" s="5">
        <v>7</v>
      </c>
      <c r="B9" s="31">
        <f t="shared" si="0"/>
        <v>19.863868098492244</v>
      </c>
      <c r="C9" s="31">
        <f xml:space="preserve"> 93760 / (3100*0.5 + 3100 - K9) /A9</f>
        <v>10.721398245971928</v>
      </c>
      <c r="D9" s="31">
        <f t="shared" si="1"/>
        <v>11.679297647697771</v>
      </c>
      <c r="E9" s="31">
        <f xml:space="preserve"> 93760 / (3100*0.5 + 3100 - H$17) /A9</f>
        <v>7.422713058623283</v>
      </c>
      <c r="G9" s="27">
        <f>2120.12+H9+I9</f>
        <v>3200.6959999999999</v>
      </c>
      <c r="H9" s="27">
        <f>C19</f>
        <v>630.57600000000002</v>
      </c>
      <c r="I9" s="27">
        <v>450</v>
      </c>
      <c r="J9" s="27"/>
      <c r="K9" s="27">
        <f t="shared" si="2"/>
        <v>3400.6959999999999</v>
      </c>
      <c r="L9" s="27">
        <f>C19</f>
        <v>630.57600000000002</v>
      </c>
      <c r="M9" s="27">
        <v>650</v>
      </c>
    </row>
    <row r="10" spans="1:13" ht="19.5" thickBot="1" x14ac:dyDescent="0.35">
      <c r="A10" s="5">
        <v>8</v>
      </c>
      <c r="B10" s="31">
        <f t="shared" si="0"/>
        <v>18.772905507573231</v>
      </c>
      <c r="C10" s="31">
        <f xml:space="preserve"> 93760 / (3100*0.5 + 3100 - K10) /A10</f>
        <v>9.7723346207466992</v>
      </c>
      <c r="D10" s="31">
        <f t="shared" si="1"/>
        <v>10.21938544173555</v>
      </c>
      <c r="E10" s="31">
        <f xml:space="preserve"> 93760 / (3100*0.5 + 3100 - H$17) /A10</f>
        <v>6.494873926295373</v>
      </c>
      <c r="G10" s="27">
        <f>2120.12+H10+I10</f>
        <v>3250.6959999999999</v>
      </c>
      <c r="H10" s="27">
        <f>C19</f>
        <v>630.57600000000002</v>
      </c>
      <c r="I10" s="27">
        <v>500</v>
      </c>
      <c r="J10" s="27"/>
      <c r="K10" s="27">
        <f t="shared" si="2"/>
        <v>3450.6959999999999</v>
      </c>
      <c r="L10" s="27">
        <f>C19</f>
        <v>630.57600000000002</v>
      </c>
      <c r="M10" s="27">
        <v>700</v>
      </c>
    </row>
    <row r="11" spans="1:13" ht="19.5" thickBot="1" x14ac:dyDescent="0.35">
      <c r="A11" s="5">
        <v>9</v>
      </c>
      <c r="B11" s="31">
        <f t="shared" si="0"/>
        <v>16.687027117842874</v>
      </c>
      <c r="C11" s="31">
        <f xml:space="preserve"> 93760 / (3100*0.5 + 3100 - K11) /A11</f>
        <v>9.4767032393021182</v>
      </c>
      <c r="D11" s="31">
        <f t="shared" si="1"/>
        <v>9.0838981704316009</v>
      </c>
      <c r="E11" s="31">
        <f xml:space="preserve"> 93760 / (3100*0.5 + 3100 - H$17) /A11</f>
        <v>5.7732212678181094</v>
      </c>
      <c r="G11" s="27">
        <f>2120.12+H11+I11</f>
        <v>3250.6959999999999</v>
      </c>
      <c r="H11" s="27">
        <f>C19</f>
        <v>630.57600000000002</v>
      </c>
      <c r="I11" s="27">
        <v>500</v>
      </c>
      <c r="J11" s="27"/>
      <c r="K11" s="27">
        <f t="shared" si="2"/>
        <v>3550.6959999999999</v>
      </c>
      <c r="L11" s="27">
        <f>C19</f>
        <v>630.57600000000002</v>
      </c>
      <c r="M11" s="27">
        <v>800</v>
      </c>
    </row>
    <row r="12" spans="1:13" ht="19.5" thickBot="1" x14ac:dyDescent="0.35">
      <c r="A12" s="5">
        <v>10</v>
      </c>
      <c r="B12" s="31">
        <f t="shared" si="0"/>
        <v>16.325848331197413</v>
      </c>
      <c r="C12" s="31">
        <f xml:space="preserve"> 93760 / (3100*0.5 + 3100 - K12) /A12</f>
        <v>8.5290329153719071</v>
      </c>
      <c r="D12" s="31">
        <f t="shared" si="1"/>
        <v>8.175508353388441</v>
      </c>
      <c r="E12" s="31">
        <f xml:space="preserve"> 93760 / (3100*0.5 + 3100 - H$17) /A12</f>
        <v>5.195899141036298</v>
      </c>
      <c r="G12" s="27">
        <f>2120.12+H12+I12</f>
        <v>3300.6959999999999</v>
      </c>
      <c r="H12" s="27">
        <f>C19</f>
        <v>630.57600000000002</v>
      </c>
      <c r="I12" s="27">
        <v>550</v>
      </c>
      <c r="J12" s="27"/>
      <c r="K12" s="27">
        <f t="shared" si="2"/>
        <v>3550.6959999999999</v>
      </c>
      <c r="L12" s="27">
        <f>C19</f>
        <v>630.57600000000002</v>
      </c>
      <c r="M12" s="27">
        <v>800</v>
      </c>
    </row>
    <row r="13" spans="1:13" ht="19.5" thickBot="1" x14ac:dyDescent="0.35">
      <c r="A13" s="5">
        <v>11</v>
      </c>
      <c r="B13" s="31">
        <f xml:space="preserve"> 93760 / (3100*0.25 + 3100 - G13) / A13</f>
        <v>14.841680301088557</v>
      </c>
      <c r="C13" s="31">
        <f xml:space="preserve"> 93760 / (3100*0.5 + 3100 - K13) /A13</f>
        <v>7.7536662867017334</v>
      </c>
      <c r="D13" s="31">
        <f t="shared" si="1"/>
        <v>7.4322803212622182</v>
      </c>
      <c r="E13" s="31">
        <f xml:space="preserve"> 93760 / (3100*0.5 + 3100 - H$17) /A13</f>
        <v>4.7235446736693625</v>
      </c>
      <c r="G13" s="27">
        <f>2120.12+H13+I13</f>
        <v>3300.6959999999999</v>
      </c>
      <c r="H13" s="27">
        <f>C19</f>
        <v>630.57600000000002</v>
      </c>
      <c r="I13" s="27">
        <v>550</v>
      </c>
      <c r="J13" s="27"/>
      <c r="K13" s="27">
        <f t="shared" si="2"/>
        <v>3550.6959999999999</v>
      </c>
      <c r="L13" s="27">
        <f>C19</f>
        <v>630.57600000000002</v>
      </c>
      <c r="M13" s="27">
        <v>800</v>
      </c>
    </row>
    <row r="14" spans="1:13" ht="19.5" thickBot="1" x14ac:dyDescent="0.35">
      <c r="A14" s="5">
        <v>12</v>
      </c>
      <c r="B14" s="31">
        <f xml:space="preserve"> 93760 / (3100*0.25 + 3100 - G14) / A14</f>
        <v>13.604873609331177</v>
      </c>
      <c r="C14" s="31">
        <f xml:space="preserve"> 93760 / (3100*0.5 + 3100 - K14) /A14</f>
        <v>9.3093450891616012</v>
      </c>
      <c r="D14" s="31">
        <f t="shared" si="1"/>
        <v>6.8129236278237002</v>
      </c>
      <c r="E14" s="31">
        <f xml:space="preserve"> 93760 / (3100*0.5 + 3100 - H$17) /A14</f>
        <v>4.3299159508635823</v>
      </c>
      <c r="G14" s="27">
        <f>2120.12+H14+I14</f>
        <v>3300.6959999999999</v>
      </c>
      <c r="H14" s="27">
        <f>C19</f>
        <v>630.57600000000002</v>
      </c>
      <c r="I14" s="27">
        <v>550</v>
      </c>
      <c r="J14" s="27"/>
      <c r="K14" s="27">
        <f t="shared" si="2"/>
        <v>3810.7</v>
      </c>
      <c r="L14" s="27">
        <f>C18</f>
        <v>890.57999999999993</v>
      </c>
      <c r="M14" s="27">
        <v>800</v>
      </c>
    </row>
    <row r="15" spans="1:13" ht="19.5" thickBot="1" x14ac:dyDescent="0.35">
      <c r="A15" s="17"/>
      <c r="B15" s="32"/>
      <c r="C15" s="32"/>
      <c r="D15" s="32"/>
      <c r="E15" s="32"/>
      <c r="G15" s="27"/>
      <c r="H15" s="27"/>
      <c r="I15" s="27"/>
      <c r="J15" s="27"/>
      <c r="K15" s="27"/>
      <c r="L15" s="27"/>
      <c r="M15" s="27"/>
    </row>
    <row r="16" spans="1:13" ht="19.5" thickBot="1" x14ac:dyDescent="0.35">
      <c r="A16" s="5" t="s">
        <v>1</v>
      </c>
      <c r="C16" s="5" t="s">
        <v>153</v>
      </c>
      <c r="D16" s="5" t="s">
        <v>154</v>
      </c>
    </row>
    <row r="17" spans="1:8" ht="19.5" thickBot="1" x14ac:dyDescent="0.35">
      <c r="A17" s="5">
        <v>1</v>
      </c>
      <c r="B17" s="27">
        <v>2970.58</v>
      </c>
      <c r="C17" s="11">
        <f>B17/A17</f>
        <v>2970.58</v>
      </c>
      <c r="D17" s="11">
        <v>1000</v>
      </c>
      <c r="E17" s="27"/>
      <c r="G17" s="28">
        <f>2120.12+300+C22</f>
        <v>2728.16</v>
      </c>
      <c r="H17" s="28">
        <f>2120.12+400+C21</f>
        <v>2845.5</v>
      </c>
    </row>
    <row r="18" spans="1:8" ht="19.5" thickBot="1" x14ac:dyDescent="0.35">
      <c r="A18" s="5">
        <v>5</v>
      </c>
      <c r="B18" s="27">
        <v>4452.8999999999996</v>
      </c>
      <c r="C18" s="11">
        <f t="shared" ref="C18:C24" si="3">B18/A18</f>
        <v>890.57999999999993</v>
      </c>
      <c r="D18" s="11">
        <v>700</v>
      </c>
      <c r="E18" s="27"/>
    </row>
    <row r="19" spans="1:8" ht="19.5" thickBot="1" x14ac:dyDescent="0.35">
      <c r="A19" s="5">
        <v>10</v>
      </c>
      <c r="B19" s="27">
        <v>6305.76</v>
      </c>
      <c r="C19" s="11">
        <f t="shared" si="3"/>
        <v>630.57600000000002</v>
      </c>
      <c r="D19" s="11">
        <v>400</v>
      </c>
      <c r="E19" s="27"/>
    </row>
    <row r="20" spans="1:8" ht="19.5" thickBot="1" x14ac:dyDescent="0.35">
      <c r="A20" s="5">
        <v>25</v>
      </c>
      <c r="B20" s="27">
        <v>10953</v>
      </c>
      <c r="C20" s="11">
        <f t="shared" si="3"/>
        <v>438.12</v>
      </c>
      <c r="D20" s="11">
        <v>300</v>
      </c>
      <c r="E20" s="27"/>
    </row>
    <row r="21" spans="1:8" ht="19.5" thickBot="1" x14ac:dyDescent="0.35">
      <c r="A21" s="5">
        <v>50</v>
      </c>
      <c r="B21" s="27">
        <v>16269</v>
      </c>
      <c r="C21" s="11">
        <f t="shared" si="3"/>
        <v>325.38</v>
      </c>
      <c r="D21" s="11">
        <v>300</v>
      </c>
      <c r="E21" s="27"/>
    </row>
    <row r="22" spans="1:8" ht="19.5" thickBot="1" x14ac:dyDescent="0.35">
      <c r="A22" s="5">
        <v>75</v>
      </c>
      <c r="B22" s="27">
        <v>23103</v>
      </c>
      <c r="C22" s="11">
        <f t="shared" si="3"/>
        <v>308.04000000000002</v>
      </c>
      <c r="D22" s="11">
        <v>300</v>
      </c>
      <c r="E22" s="27"/>
    </row>
    <row r="23" spans="1:8" ht="19.5" thickBot="1" x14ac:dyDescent="0.35">
      <c r="A23" s="5">
        <v>100</v>
      </c>
      <c r="B23" s="27">
        <v>28114.799999999999</v>
      </c>
      <c r="C23" s="11">
        <f t="shared" si="3"/>
        <v>281.14799999999997</v>
      </c>
      <c r="D23" s="11">
        <v>250</v>
      </c>
      <c r="E23" s="27"/>
    </row>
    <row r="24" spans="1:8" ht="19.5" thickBot="1" x14ac:dyDescent="0.35">
      <c r="A24" s="5">
        <v>150</v>
      </c>
      <c r="B24" s="27">
        <v>40872.6</v>
      </c>
      <c r="C24" s="11">
        <f t="shared" si="3"/>
        <v>272.48399999999998</v>
      </c>
      <c r="D24" s="11">
        <v>250</v>
      </c>
      <c r="E24" s="27"/>
    </row>
  </sheetData>
  <mergeCells count="3">
    <mergeCell ref="A1:A2"/>
    <mergeCell ref="B1:C1"/>
    <mergeCell ref="D1:E1"/>
  </mergeCells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Стоимость</vt:lpstr>
      <vt:lpstr>Трудоёмкость</vt:lpstr>
      <vt:lpstr>Страховые выплаты</vt:lpstr>
      <vt:lpstr>Окупаемость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Кулаков</dc:creator>
  <cp:lastModifiedBy>Максим Кулаков</cp:lastModifiedBy>
  <dcterms:created xsi:type="dcterms:W3CDTF">2020-05-21T14:33:55Z</dcterms:created>
  <dcterms:modified xsi:type="dcterms:W3CDTF">2020-05-25T12:16:38Z</dcterms:modified>
</cp:coreProperties>
</file>