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1"/>
  </bookViews>
  <sheets>
    <sheet name="Настройки" sheetId="1" r:id="rId1"/>
    <sheet name="Январь" sheetId="10" r:id="rId2"/>
    <sheet name="Февраль" sheetId="9" r:id="rId3"/>
    <sheet name="Март" sheetId="8" r:id="rId4"/>
    <sheet name="Апрель" sheetId="7" r:id="rId5"/>
    <sheet name="Май" sheetId="6" r:id="rId6"/>
    <sheet name="Июнь" sheetId="5" r:id="rId7"/>
    <sheet name="Июль" sheetId="4" r:id="rId8"/>
    <sheet name="Август" sheetId="3" r:id="rId9"/>
    <sheet name="Сентябрь" sheetId="2" r:id="rId10"/>
    <sheet name="Октябрь" sheetId="11" r:id="rId11"/>
    <sheet name="Ноябрь" sheetId="12" r:id="rId12"/>
    <sheet name="Декабрь" sheetId="13" r:id="rId13"/>
  </sheets>
  <definedNames>
    <definedName name="_xlnm.Print_Titles" localSheetId="8">Август!$19:$24</definedName>
    <definedName name="_xlnm.Print_Titles" localSheetId="4">Апрель!$19:$24</definedName>
    <definedName name="_xlnm.Print_Titles" localSheetId="12">Декабрь!$19:$24</definedName>
    <definedName name="_xlnm.Print_Titles" localSheetId="7">Июль!$19:$24</definedName>
    <definedName name="_xlnm.Print_Titles" localSheetId="6">Июнь!$19:$24</definedName>
    <definedName name="_xlnm.Print_Titles" localSheetId="5">Май!$19:$24</definedName>
    <definedName name="_xlnm.Print_Titles" localSheetId="3">Март!$19:$24</definedName>
    <definedName name="_xlnm.Print_Titles" localSheetId="11">Ноябрь!$19:$24</definedName>
    <definedName name="_xlnm.Print_Titles" localSheetId="10">Октябрь!$19:$24</definedName>
    <definedName name="_xlnm.Print_Titles" localSheetId="9">Сентябрь!$19:$24</definedName>
    <definedName name="_xlnm.Print_Titles" localSheetId="2">Февраль!$19:$24</definedName>
    <definedName name="_xlnm.Print_Titles" localSheetId="1">Январь!$19:$24</definedName>
  </definedNames>
  <calcPr calcId="152511"/>
</workbook>
</file>

<file path=xl/calcChain.xml><?xml version="1.0" encoding="utf-8"?>
<calcChain xmlns="http://schemas.openxmlformats.org/spreadsheetml/2006/main">
  <c r="M4" i="13" l="1"/>
  <c r="M4" i="12"/>
  <c r="M4" i="11"/>
  <c r="M4" i="2"/>
  <c r="M4" i="3"/>
  <c r="M4" i="4"/>
  <c r="M4" i="5"/>
  <c r="M4" i="6"/>
  <c r="M4" i="7"/>
  <c r="M4" i="8"/>
  <c r="M4" i="9"/>
  <c r="M4" i="10"/>
  <c r="AJ82" i="13" l="1"/>
  <c r="AK82" i="13" s="1"/>
  <c r="AJ83" i="13"/>
  <c r="AJ84" i="13"/>
  <c r="AK84" i="13" s="1"/>
  <c r="AJ85" i="13"/>
  <c r="AK85" i="13" s="1"/>
  <c r="AJ86" i="13"/>
  <c r="AK86" i="13" s="1"/>
  <c r="AJ87" i="13"/>
  <c r="AK87" i="13" s="1"/>
  <c r="AJ88" i="13"/>
  <c r="AK88" i="13" s="1"/>
  <c r="AJ89" i="13"/>
  <c r="AK89" i="13" s="1"/>
  <c r="AJ90" i="13"/>
  <c r="AK90" i="13" s="1"/>
  <c r="AJ91" i="13"/>
  <c r="AK91" i="13" s="1"/>
  <c r="AJ92" i="13"/>
  <c r="AK92" i="13" s="1"/>
  <c r="AJ93" i="13"/>
  <c r="AK93" i="13" s="1"/>
  <c r="AJ94" i="13"/>
  <c r="AK94" i="13" s="1"/>
  <c r="AJ95" i="13"/>
  <c r="AK95" i="13" s="1"/>
  <c r="AJ96" i="13"/>
  <c r="AK96" i="13" s="1"/>
  <c r="AJ97" i="13"/>
  <c r="AK97" i="13" s="1"/>
  <c r="AJ98" i="13"/>
  <c r="AK98" i="13" s="1"/>
  <c r="AJ99" i="13"/>
  <c r="AK99" i="13" s="1"/>
  <c r="AJ100" i="13"/>
  <c r="AK100" i="13" s="1"/>
  <c r="AJ101" i="13"/>
  <c r="AK101" i="13" s="1"/>
  <c r="AJ102" i="13"/>
  <c r="AK102" i="13" s="1"/>
  <c r="AJ103" i="13"/>
  <c r="AK103" i="13" s="1"/>
  <c r="AJ104" i="13"/>
  <c r="AK104" i="13" s="1"/>
  <c r="AJ105" i="13"/>
  <c r="AK105" i="13" s="1"/>
  <c r="AJ106" i="13"/>
  <c r="AK106" i="13" s="1"/>
  <c r="AJ107" i="13"/>
  <c r="AK107" i="13" s="1"/>
  <c r="AJ108" i="13"/>
  <c r="AK108" i="13" s="1"/>
  <c r="AJ109" i="13"/>
  <c r="AK109" i="13" s="1"/>
  <c r="AJ110" i="13"/>
  <c r="AK110" i="13" s="1"/>
  <c r="AJ111" i="13"/>
  <c r="AK111" i="13" s="1"/>
  <c r="AJ112" i="13"/>
  <c r="AK112" i="13" s="1"/>
  <c r="AJ113" i="13"/>
  <c r="AK113" i="13" s="1"/>
  <c r="AJ114" i="13"/>
  <c r="AK114" i="13" s="1"/>
  <c r="AJ115" i="13"/>
  <c r="AK115" i="13" s="1"/>
  <c r="AJ116" i="13"/>
  <c r="AK116" i="13" s="1"/>
  <c r="AJ117" i="13"/>
  <c r="AK117" i="13" s="1"/>
  <c r="AJ118" i="13"/>
  <c r="AK118" i="13" s="1"/>
  <c r="AJ119" i="13"/>
  <c r="AK119" i="13" s="1"/>
  <c r="AJ120" i="13"/>
  <c r="AK120" i="13" s="1"/>
  <c r="AJ121" i="13"/>
  <c r="AK121" i="13" s="1"/>
  <c r="AJ122" i="13"/>
  <c r="AK122" i="13" s="1"/>
  <c r="AJ123" i="13"/>
  <c r="AK123" i="13" s="1"/>
  <c r="AJ124" i="13"/>
  <c r="AK124" i="13" s="1"/>
  <c r="AJ125" i="13"/>
  <c r="AK125" i="13" s="1"/>
  <c r="AJ126" i="13"/>
  <c r="AK126" i="13" s="1"/>
  <c r="AJ127" i="13"/>
  <c r="AK127" i="13" s="1"/>
  <c r="AJ128" i="13"/>
  <c r="AK128" i="13" s="1"/>
  <c r="AJ129" i="13"/>
  <c r="AK129" i="13" s="1"/>
  <c r="AJ130" i="13"/>
  <c r="AK130" i="13" s="1"/>
  <c r="AJ131" i="13"/>
  <c r="AK131" i="13" s="1"/>
  <c r="AJ132" i="13"/>
  <c r="AK132" i="13" s="1"/>
  <c r="AJ133" i="13"/>
  <c r="AK133" i="13" s="1"/>
  <c r="AJ134" i="13"/>
  <c r="AK134" i="13" s="1"/>
  <c r="AJ135" i="13"/>
  <c r="AK135" i="13" s="1"/>
  <c r="AJ136" i="13"/>
  <c r="AK136" i="13" s="1"/>
  <c r="AJ137" i="13"/>
  <c r="AK137" i="13" s="1"/>
  <c r="AJ138" i="13"/>
  <c r="AK138" i="13" s="1"/>
  <c r="AJ139" i="13"/>
  <c r="AK139" i="13" s="1"/>
  <c r="AJ140" i="13"/>
  <c r="AK140" i="13" s="1"/>
  <c r="AJ141" i="13"/>
  <c r="AK141" i="13" s="1"/>
  <c r="AJ142" i="13"/>
  <c r="AK142" i="13" s="1"/>
  <c r="AJ143" i="13"/>
  <c r="AK143" i="13" s="1"/>
  <c r="AJ144" i="13"/>
  <c r="AK144" i="13" s="1"/>
  <c r="AJ145" i="13"/>
  <c r="AK145" i="13" s="1"/>
  <c r="AJ146" i="13"/>
  <c r="AK146" i="13" s="1"/>
  <c r="AJ147" i="13"/>
  <c r="AK147" i="13" s="1"/>
  <c r="AJ148" i="13"/>
  <c r="AK148" i="13" s="1"/>
  <c r="AJ149" i="13"/>
  <c r="AK149" i="13" s="1"/>
  <c r="AJ150" i="13"/>
  <c r="AK150" i="13" s="1"/>
  <c r="AJ151" i="13"/>
  <c r="AK151" i="13" s="1"/>
  <c r="AJ152" i="13"/>
  <c r="AK152" i="13" s="1"/>
  <c r="AJ153" i="13"/>
  <c r="AK153" i="13" s="1"/>
  <c r="AJ154" i="13"/>
  <c r="AK154" i="13" s="1"/>
  <c r="AJ155" i="13"/>
  <c r="AK155" i="13" s="1"/>
  <c r="AJ156" i="13"/>
  <c r="AK156" i="13" s="1"/>
  <c r="AJ157" i="13"/>
  <c r="AK157" i="13" s="1"/>
  <c r="AJ158" i="13"/>
  <c r="AK158" i="13" s="1"/>
  <c r="AJ159" i="13"/>
  <c r="AK159" i="13" s="1"/>
  <c r="AJ160" i="13"/>
  <c r="AK160" i="13" s="1"/>
  <c r="AJ161" i="13"/>
  <c r="AK161" i="13" s="1"/>
  <c r="AJ162" i="13"/>
  <c r="AK162" i="13" s="1"/>
  <c r="AJ163" i="13"/>
  <c r="AK163" i="13" s="1"/>
  <c r="AJ164" i="13"/>
  <c r="AK164" i="13" s="1"/>
  <c r="AJ165" i="13"/>
  <c r="AK165" i="13" s="1"/>
  <c r="AJ166" i="13"/>
  <c r="AK166" i="13" s="1"/>
  <c r="AJ167" i="13"/>
  <c r="AK167" i="13" s="1"/>
  <c r="AJ168" i="13"/>
  <c r="AK168" i="13" s="1"/>
  <c r="AJ169" i="13"/>
  <c r="AK169" i="13" s="1"/>
  <c r="AJ170" i="13"/>
  <c r="AK170" i="13" s="1"/>
  <c r="AJ171" i="13"/>
  <c r="AK171" i="13" s="1"/>
  <c r="AJ172" i="13"/>
  <c r="AK172" i="13" s="1"/>
  <c r="AJ173" i="13"/>
  <c r="AK173" i="13" s="1"/>
  <c r="AJ174" i="13"/>
  <c r="AK174" i="13" s="1"/>
  <c r="AK83" i="13"/>
  <c r="AI82" i="12"/>
  <c r="AJ82" i="12" s="1"/>
  <c r="AI83" i="12"/>
  <c r="AJ83" i="12" s="1"/>
  <c r="AI84" i="12"/>
  <c r="AJ84" i="12" s="1"/>
  <c r="AI85" i="12"/>
  <c r="AJ85" i="12" s="1"/>
  <c r="AI86" i="12"/>
  <c r="AJ86" i="12" s="1"/>
  <c r="AI87" i="12"/>
  <c r="AJ87" i="12" s="1"/>
  <c r="AI88" i="12"/>
  <c r="AJ88" i="12" s="1"/>
  <c r="AI89" i="12"/>
  <c r="AJ89" i="12" s="1"/>
  <c r="AI90" i="12"/>
  <c r="AJ90" i="12" s="1"/>
  <c r="AI91" i="12"/>
  <c r="AJ91" i="12" s="1"/>
  <c r="AI92" i="12"/>
  <c r="AJ92" i="12" s="1"/>
  <c r="AI93" i="12"/>
  <c r="AJ93" i="12" s="1"/>
  <c r="AI94" i="12"/>
  <c r="AJ94" i="12" s="1"/>
  <c r="AI95" i="12"/>
  <c r="AJ95" i="12" s="1"/>
  <c r="AI96" i="12"/>
  <c r="AJ96" i="12" s="1"/>
  <c r="AI97" i="12"/>
  <c r="AJ97" i="12" s="1"/>
  <c r="AI98" i="12"/>
  <c r="AJ98" i="12" s="1"/>
  <c r="AI99" i="12"/>
  <c r="AJ99" i="12" s="1"/>
  <c r="AI100" i="12"/>
  <c r="AJ100" i="12" s="1"/>
  <c r="AI101" i="12"/>
  <c r="AJ101" i="12" s="1"/>
  <c r="AI102" i="12"/>
  <c r="AJ102" i="12" s="1"/>
  <c r="AI103" i="12"/>
  <c r="AJ103" i="12" s="1"/>
  <c r="AI104" i="12"/>
  <c r="AJ104" i="12" s="1"/>
  <c r="AI105" i="12"/>
  <c r="AJ105" i="12" s="1"/>
  <c r="AI106" i="12"/>
  <c r="AJ106" i="12" s="1"/>
  <c r="AI107" i="12"/>
  <c r="AJ107" i="12" s="1"/>
  <c r="AI108" i="12"/>
  <c r="AJ108" i="12" s="1"/>
  <c r="AI109" i="12"/>
  <c r="AJ109" i="12" s="1"/>
  <c r="AI110" i="12"/>
  <c r="AJ110" i="12" s="1"/>
  <c r="AI111" i="12"/>
  <c r="AJ111" i="12" s="1"/>
  <c r="AI112" i="12"/>
  <c r="AJ112" i="12" s="1"/>
  <c r="AI113" i="12"/>
  <c r="AJ113" i="12" s="1"/>
  <c r="AI114" i="12"/>
  <c r="AJ114" i="12" s="1"/>
  <c r="AI115" i="12"/>
  <c r="AJ115" i="12" s="1"/>
  <c r="AI116" i="12"/>
  <c r="AJ116" i="12" s="1"/>
  <c r="AI117" i="12"/>
  <c r="AJ117" i="12" s="1"/>
  <c r="AI118" i="12"/>
  <c r="AJ118" i="12" s="1"/>
  <c r="AI119" i="12"/>
  <c r="AJ119" i="12" s="1"/>
  <c r="AI120" i="12"/>
  <c r="AJ120" i="12" s="1"/>
  <c r="AI121" i="12"/>
  <c r="AJ121" i="12" s="1"/>
  <c r="AI122" i="12"/>
  <c r="AJ122" i="12" s="1"/>
  <c r="AI123" i="12"/>
  <c r="AJ123" i="12" s="1"/>
  <c r="AI124" i="12"/>
  <c r="AJ124" i="12" s="1"/>
  <c r="AI125" i="12"/>
  <c r="AJ125" i="12" s="1"/>
  <c r="AI126" i="12"/>
  <c r="AJ126" i="12" s="1"/>
  <c r="AI127" i="12"/>
  <c r="AJ127" i="12" s="1"/>
  <c r="AI128" i="12"/>
  <c r="AJ128" i="12" s="1"/>
  <c r="AI129" i="12"/>
  <c r="AJ129" i="12" s="1"/>
  <c r="AI130" i="12"/>
  <c r="AJ130" i="12" s="1"/>
  <c r="AI131" i="12"/>
  <c r="AJ131" i="12" s="1"/>
  <c r="AI132" i="12"/>
  <c r="AJ132" i="12" s="1"/>
  <c r="AI133" i="12"/>
  <c r="AJ133" i="12" s="1"/>
  <c r="AI134" i="12"/>
  <c r="AJ134" i="12" s="1"/>
  <c r="AI135" i="12"/>
  <c r="AJ135" i="12" s="1"/>
  <c r="AI136" i="12"/>
  <c r="AJ136" i="12" s="1"/>
  <c r="AI137" i="12"/>
  <c r="AJ137" i="12" s="1"/>
  <c r="AI138" i="12"/>
  <c r="AJ138" i="12" s="1"/>
  <c r="AI139" i="12"/>
  <c r="AJ139" i="12" s="1"/>
  <c r="AI140" i="12"/>
  <c r="AJ140" i="12" s="1"/>
  <c r="AI141" i="12"/>
  <c r="AJ141" i="12" s="1"/>
  <c r="AI142" i="12"/>
  <c r="AJ142" i="12" s="1"/>
  <c r="AI143" i="12"/>
  <c r="AJ143" i="12" s="1"/>
  <c r="AI144" i="12"/>
  <c r="AJ144" i="12" s="1"/>
  <c r="AI145" i="12"/>
  <c r="AJ145" i="12" s="1"/>
  <c r="AI146" i="12"/>
  <c r="AJ146" i="12" s="1"/>
  <c r="AI147" i="12"/>
  <c r="AJ147" i="12" s="1"/>
  <c r="AI148" i="12"/>
  <c r="AJ148" i="12" s="1"/>
  <c r="AI149" i="12"/>
  <c r="AJ149" i="12" s="1"/>
  <c r="AI150" i="12"/>
  <c r="AJ150" i="12" s="1"/>
  <c r="AI151" i="12"/>
  <c r="AJ151" i="12" s="1"/>
  <c r="AI152" i="12"/>
  <c r="AJ152" i="12" s="1"/>
  <c r="AI153" i="12"/>
  <c r="AJ153" i="12" s="1"/>
  <c r="AI154" i="12"/>
  <c r="AJ154" i="12" s="1"/>
  <c r="AI155" i="12"/>
  <c r="AJ155" i="12" s="1"/>
  <c r="AI156" i="12"/>
  <c r="AJ156" i="12" s="1"/>
  <c r="AI157" i="12"/>
  <c r="AJ157" i="12" s="1"/>
  <c r="AI158" i="12"/>
  <c r="AJ158" i="12" s="1"/>
  <c r="AI159" i="12"/>
  <c r="AJ159" i="12" s="1"/>
  <c r="AI160" i="12"/>
  <c r="AJ160" i="12" s="1"/>
  <c r="AI161" i="12"/>
  <c r="AJ161" i="12" s="1"/>
  <c r="AI162" i="12"/>
  <c r="AJ162" i="12" s="1"/>
  <c r="AI163" i="12"/>
  <c r="AJ163" i="12" s="1"/>
  <c r="AI164" i="12"/>
  <c r="AJ164" i="12" s="1"/>
  <c r="AI165" i="12"/>
  <c r="AJ165" i="12" s="1"/>
  <c r="AI166" i="12"/>
  <c r="AJ166" i="12" s="1"/>
  <c r="AI167" i="12"/>
  <c r="AJ167" i="12" s="1"/>
  <c r="AI168" i="12"/>
  <c r="AJ168" i="12" s="1"/>
  <c r="AI169" i="12"/>
  <c r="AJ169" i="12" s="1"/>
  <c r="AI170" i="12"/>
  <c r="AJ170" i="12" s="1"/>
  <c r="AI171" i="12"/>
  <c r="AJ171" i="12" s="1"/>
  <c r="AI172" i="12"/>
  <c r="AJ172" i="12" s="1"/>
  <c r="AI173" i="12"/>
  <c r="AJ173" i="12" s="1"/>
  <c r="AI174" i="12"/>
  <c r="AJ174" i="12" s="1"/>
  <c r="AJ82" i="11"/>
  <c r="AK82" i="11" s="1"/>
  <c r="AJ83" i="11"/>
  <c r="AJ84" i="11"/>
  <c r="AK84" i="11" s="1"/>
  <c r="AJ85" i="11"/>
  <c r="AK85" i="11" s="1"/>
  <c r="AJ86" i="11"/>
  <c r="AK86" i="11" s="1"/>
  <c r="AJ87" i="11"/>
  <c r="AK87" i="11" s="1"/>
  <c r="AJ88" i="11"/>
  <c r="AK88" i="11" s="1"/>
  <c r="AJ89" i="11"/>
  <c r="AK89" i="11" s="1"/>
  <c r="AJ90" i="11"/>
  <c r="AK90" i="11" s="1"/>
  <c r="AJ91" i="11"/>
  <c r="AK91" i="11" s="1"/>
  <c r="AJ92" i="11"/>
  <c r="AK92" i="11" s="1"/>
  <c r="AJ93" i="11"/>
  <c r="AK93" i="11" s="1"/>
  <c r="AJ94" i="11"/>
  <c r="AK94" i="11" s="1"/>
  <c r="AJ95" i="11"/>
  <c r="AK95" i="11" s="1"/>
  <c r="AJ96" i="11"/>
  <c r="AK96" i="11" s="1"/>
  <c r="AJ97" i="11"/>
  <c r="AK97" i="11" s="1"/>
  <c r="AJ98" i="11"/>
  <c r="AK98" i="11" s="1"/>
  <c r="AJ99" i="11"/>
  <c r="AK99" i="11" s="1"/>
  <c r="AJ100" i="11"/>
  <c r="AK100" i="11" s="1"/>
  <c r="AJ101" i="11"/>
  <c r="AK101" i="11" s="1"/>
  <c r="AJ102" i="11"/>
  <c r="AK102" i="11" s="1"/>
  <c r="AJ103" i="11"/>
  <c r="AK103" i="11" s="1"/>
  <c r="AJ104" i="11"/>
  <c r="AK104" i="11" s="1"/>
  <c r="AJ105" i="11"/>
  <c r="AK105" i="11" s="1"/>
  <c r="AJ106" i="11"/>
  <c r="AK106" i="11" s="1"/>
  <c r="AJ107" i="11"/>
  <c r="AK107" i="11" s="1"/>
  <c r="AJ108" i="11"/>
  <c r="AK108" i="11" s="1"/>
  <c r="AJ109" i="11"/>
  <c r="AK109" i="11" s="1"/>
  <c r="AJ110" i="11"/>
  <c r="AK110" i="11" s="1"/>
  <c r="AJ111" i="11"/>
  <c r="AK111" i="11" s="1"/>
  <c r="AJ112" i="11"/>
  <c r="AK112" i="11" s="1"/>
  <c r="AJ113" i="11"/>
  <c r="AK113" i="11" s="1"/>
  <c r="AJ114" i="11"/>
  <c r="AK114" i="11" s="1"/>
  <c r="AJ115" i="11"/>
  <c r="AK115" i="11" s="1"/>
  <c r="AJ116" i="11"/>
  <c r="AK116" i="11" s="1"/>
  <c r="AJ117" i="11"/>
  <c r="AK117" i="11" s="1"/>
  <c r="AJ118" i="11"/>
  <c r="AK118" i="11" s="1"/>
  <c r="AJ119" i="11"/>
  <c r="AK119" i="11" s="1"/>
  <c r="AJ120" i="11"/>
  <c r="AK120" i="11" s="1"/>
  <c r="AJ121" i="11"/>
  <c r="AK121" i="11" s="1"/>
  <c r="AJ122" i="11"/>
  <c r="AK122" i="11" s="1"/>
  <c r="AJ123" i="11"/>
  <c r="AK123" i="11" s="1"/>
  <c r="AJ124" i="11"/>
  <c r="AK124" i="11" s="1"/>
  <c r="AJ125" i="11"/>
  <c r="AK125" i="11" s="1"/>
  <c r="AJ126" i="11"/>
  <c r="AK126" i="11" s="1"/>
  <c r="AJ127" i="11"/>
  <c r="AK127" i="11" s="1"/>
  <c r="AJ128" i="11"/>
  <c r="AK128" i="11" s="1"/>
  <c r="AJ129" i="11"/>
  <c r="AK129" i="11" s="1"/>
  <c r="AJ130" i="11"/>
  <c r="AK130" i="11" s="1"/>
  <c r="AJ131" i="11"/>
  <c r="AK131" i="11" s="1"/>
  <c r="AJ132" i="11"/>
  <c r="AK132" i="11" s="1"/>
  <c r="AJ133" i="11"/>
  <c r="AK133" i="11" s="1"/>
  <c r="AJ134" i="11"/>
  <c r="AK134" i="11" s="1"/>
  <c r="AJ135" i="11"/>
  <c r="AK135" i="11" s="1"/>
  <c r="AJ136" i="11"/>
  <c r="AK136" i="11" s="1"/>
  <c r="AJ137" i="11"/>
  <c r="AK137" i="11" s="1"/>
  <c r="AJ138" i="11"/>
  <c r="AK138" i="11" s="1"/>
  <c r="AJ139" i="11"/>
  <c r="AK139" i="11" s="1"/>
  <c r="AJ140" i="11"/>
  <c r="AK140" i="11" s="1"/>
  <c r="AJ141" i="11"/>
  <c r="AK141" i="11" s="1"/>
  <c r="AJ142" i="11"/>
  <c r="AK142" i="11" s="1"/>
  <c r="AJ143" i="11"/>
  <c r="AK143" i="11" s="1"/>
  <c r="AJ144" i="11"/>
  <c r="AK144" i="11" s="1"/>
  <c r="AJ145" i="11"/>
  <c r="AK145" i="11" s="1"/>
  <c r="AJ146" i="11"/>
  <c r="AK146" i="11" s="1"/>
  <c r="AJ147" i="11"/>
  <c r="AK147" i="11" s="1"/>
  <c r="AJ148" i="11"/>
  <c r="AK148" i="11" s="1"/>
  <c r="AJ149" i="11"/>
  <c r="AK149" i="11" s="1"/>
  <c r="AJ150" i="11"/>
  <c r="AK150" i="11" s="1"/>
  <c r="AJ151" i="11"/>
  <c r="AK151" i="11" s="1"/>
  <c r="AJ152" i="11"/>
  <c r="AK152" i="11" s="1"/>
  <c r="AJ153" i="11"/>
  <c r="AK153" i="11" s="1"/>
  <c r="AJ154" i="11"/>
  <c r="AK154" i="11" s="1"/>
  <c r="AJ155" i="11"/>
  <c r="AK155" i="11" s="1"/>
  <c r="AJ156" i="11"/>
  <c r="AK156" i="11" s="1"/>
  <c r="AJ157" i="11"/>
  <c r="AK157" i="11" s="1"/>
  <c r="AJ158" i="11"/>
  <c r="AK158" i="11" s="1"/>
  <c r="AJ159" i="11"/>
  <c r="AK159" i="11" s="1"/>
  <c r="AJ160" i="11"/>
  <c r="AK160" i="11" s="1"/>
  <c r="AJ161" i="11"/>
  <c r="AK161" i="11" s="1"/>
  <c r="AJ162" i="11"/>
  <c r="AK162" i="11" s="1"/>
  <c r="AJ163" i="11"/>
  <c r="AK163" i="11" s="1"/>
  <c r="AJ164" i="11"/>
  <c r="AK164" i="11" s="1"/>
  <c r="AJ165" i="11"/>
  <c r="AK165" i="11" s="1"/>
  <c r="AJ166" i="11"/>
  <c r="AK166" i="11" s="1"/>
  <c r="AJ167" i="11"/>
  <c r="AK167" i="11" s="1"/>
  <c r="AJ168" i="11"/>
  <c r="AK168" i="11" s="1"/>
  <c r="AJ169" i="11"/>
  <c r="AK169" i="11" s="1"/>
  <c r="AJ170" i="11"/>
  <c r="AK170" i="11" s="1"/>
  <c r="AJ171" i="11"/>
  <c r="AK171" i="11" s="1"/>
  <c r="AJ172" i="11"/>
  <c r="AK172" i="11" s="1"/>
  <c r="AJ173" i="11"/>
  <c r="AK173" i="11" s="1"/>
  <c r="AJ174" i="11"/>
  <c r="AK174" i="11" s="1"/>
  <c r="AK83" i="11"/>
  <c r="AI82" i="2"/>
  <c r="AJ82" i="2" s="1"/>
  <c r="AI83" i="2"/>
  <c r="AJ83" i="2" s="1"/>
  <c r="AI84" i="2"/>
  <c r="AJ84" i="2" s="1"/>
  <c r="AI85" i="2"/>
  <c r="AJ85" i="2" s="1"/>
  <c r="AI86" i="2"/>
  <c r="AJ86" i="2" s="1"/>
  <c r="AI87" i="2"/>
  <c r="AJ87" i="2" s="1"/>
  <c r="AI88" i="2"/>
  <c r="AJ88" i="2" s="1"/>
  <c r="AI89" i="2"/>
  <c r="AJ89" i="2" s="1"/>
  <c r="AI90" i="2"/>
  <c r="AJ90" i="2" s="1"/>
  <c r="AI91" i="2"/>
  <c r="AJ91" i="2" s="1"/>
  <c r="AI92" i="2"/>
  <c r="AJ92" i="2" s="1"/>
  <c r="AI93" i="2"/>
  <c r="AJ93" i="2" s="1"/>
  <c r="AI94" i="2"/>
  <c r="AJ94" i="2" s="1"/>
  <c r="AI95" i="2"/>
  <c r="AJ95" i="2" s="1"/>
  <c r="AI96" i="2"/>
  <c r="AJ96" i="2" s="1"/>
  <c r="AI97" i="2"/>
  <c r="AJ97" i="2" s="1"/>
  <c r="AI98" i="2"/>
  <c r="AJ98" i="2" s="1"/>
  <c r="AI99" i="2"/>
  <c r="AJ99" i="2" s="1"/>
  <c r="AI100" i="2"/>
  <c r="AJ100" i="2" s="1"/>
  <c r="AI101" i="2"/>
  <c r="AJ101" i="2" s="1"/>
  <c r="AI102" i="2"/>
  <c r="AJ102" i="2" s="1"/>
  <c r="AI103" i="2"/>
  <c r="AJ103" i="2" s="1"/>
  <c r="AI104" i="2"/>
  <c r="AJ104" i="2" s="1"/>
  <c r="AI105" i="2"/>
  <c r="AJ105" i="2" s="1"/>
  <c r="AI106" i="2"/>
  <c r="AJ106" i="2" s="1"/>
  <c r="AI107" i="2"/>
  <c r="AJ107" i="2" s="1"/>
  <c r="AI108" i="2"/>
  <c r="AJ108" i="2" s="1"/>
  <c r="AI109" i="2"/>
  <c r="AJ109" i="2" s="1"/>
  <c r="AI110" i="2"/>
  <c r="AJ110" i="2" s="1"/>
  <c r="AI111" i="2"/>
  <c r="AJ111" i="2" s="1"/>
  <c r="AI112" i="2"/>
  <c r="AJ112" i="2" s="1"/>
  <c r="AI113" i="2"/>
  <c r="AJ113" i="2" s="1"/>
  <c r="AI114" i="2"/>
  <c r="AJ114" i="2" s="1"/>
  <c r="AI115" i="2"/>
  <c r="AJ115" i="2" s="1"/>
  <c r="AI116" i="2"/>
  <c r="AJ116" i="2" s="1"/>
  <c r="AI117" i="2"/>
  <c r="AJ117" i="2" s="1"/>
  <c r="AI118" i="2"/>
  <c r="AJ118" i="2" s="1"/>
  <c r="AI119" i="2"/>
  <c r="AJ119" i="2" s="1"/>
  <c r="AI120" i="2"/>
  <c r="AJ120" i="2" s="1"/>
  <c r="AI121" i="2"/>
  <c r="AJ121" i="2" s="1"/>
  <c r="AI122" i="2"/>
  <c r="AJ122" i="2" s="1"/>
  <c r="AI123" i="2"/>
  <c r="AJ123" i="2" s="1"/>
  <c r="AI124" i="2"/>
  <c r="AJ124" i="2" s="1"/>
  <c r="AI125" i="2"/>
  <c r="AJ125" i="2" s="1"/>
  <c r="AI126" i="2"/>
  <c r="AJ126" i="2" s="1"/>
  <c r="AI127" i="2"/>
  <c r="AJ127" i="2" s="1"/>
  <c r="AI128" i="2"/>
  <c r="AJ128" i="2" s="1"/>
  <c r="AI129" i="2"/>
  <c r="AJ129" i="2" s="1"/>
  <c r="AI130" i="2"/>
  <c r="AJ130" i="2" s="1"/>
  <c r="AI131" i="2"/>
  <c r="AJ131" i="2" s="1"/>
  <c r="AI132" i="2"/>
  <c r="AJ132" i="2" s="1"/>
  <c r="AI133" i="2"/>
  <c r="AJ133" i="2" s="1"/>
  <c r="AI134" i="2"/>
  <c r="AJ134" i="2" s="1"/>
  <c r="AI135" i="2"/>
  <c r="AJ135" i="2" s="1"/>
  <c r="AI136" i="2"/>
  <c r="AJ136" i="2" s="1"/>
  <c r="AI137" i="2"/>
  <c r="AJ137" i="2" s="1"/>
  <c r="AI138" i="2"/>
  <c r="AJ138" i="2" s="1"/>
  <c r="AI139" i="2"/>
  <c r="AJ139" i="2" s="1"/>
  <c r="AI140" i="2"/>
  <c r="AJ140" i="2" s="1"/>
  <c r="AI141" i="2"/>
  <c r="AJ141" i="2" s="1"/>
  <c r="AI142" i="2"/>
  <c r="AJ142" i="2" s="1"/>
  <c r="AI143" i="2"/>
  <c r="AJ143" i="2" s="1"/>
  <c r="AI144" i="2"/>
  <c r="AJ144" i="2" s="1"/>
  <c r="AI145" i="2"/>
  <c r="AJ145" i="2" s="1"/>
  <c r="AI146" i="2"/>
  <c r="AJ146" i="2" s="1"/>
  <c r="AI147" i="2"/>
  <c r="AJ147" i="2" s="1"/>
  <c r="AI148" i="2"/>
  <c r="AJ148" i="2" s="1"/>
  <c r="AI149" i="2"/>
  <c r="AJ149" i="2" s="1"/>
  <c r="AI150" i="2"/>
  <c r="AJ150" i="2" s="1"/>
  <c r="AI151" i="2"/>
  <c r="AJ151" i="2" s="1"/>
  <c r="AI152" i="2"/>
  <c r="AJ152" i="2" s="1"/>
  <c r="AI153" i="2"/>
  <c r="AJ153" i="2" s="1"/>
  <c r="AI154" i="2"/>
  <c r="AJ154" i="2" s="1"/>
  <c r="AI155" i="2"/>
  <c r="AJ155" i="2" s="1"/>
  <c r="AI156" i="2"/>
  <c r="AJ156" i="2" s="1"/>
  <c r="AI157" i="2"/>
  <c r="AJ157" i="2" s="1"/>
  <c r="AI158" i="2"/>
  <c r="AJ158" i="2" s="1"/>
  <c r="AI159" i="2"/>
  <c r="AJ159" i="2" s="1"/>
  <c r="AI160" i="2"/>
  <c r="AJ160" i="2" s="1"/>
  <c r="AI161" i="2"/>
  <c r="AJ161" i="2" s="1"/>
  <c r="AI162" i="2"/>
  <c r="AJ162" i="2" s="1"/>
  <c r="AI163" i="2"/>
  <c r="AJ163" i="2" s="1"/>
  <c r="AI164" i="2"/>
  <c r="AJ164" i="2" s="1"/>
  <c r="AI165" i="2"/>
  <c r="AJ165" i="2" s="1"/>
  <c r="AI166" i="2"/>
  <c r="AJ166" i="2" s="1"/>
  <c r="AI167" i="2"/>
  <c r="AJ167" i="2" s="1"/>
  <c r="AI168" i="2"/>
  <c r="AJ168" i="2" s="1"/>
  <c r="AI169" i="2"/>
  <c r="AJ169" i="2" s="1"/>
  <c r="AI170" i="2"/>
  <c r="AJ170" i="2" s="1"/>
  <c r="AI171" i="2"/>
  <c r="AJ171" i="2" s="1"/>
  <c r="AI172" i="2"/>
  <c r="AJ172" i="2" s="1"/>
  <c r="AI173" i="2"/>
  <c r="AJ173" i="2" s="1"/>
  <c r="AI174" i="2"/>
  <c r="AJ174" i="2" s="1"/>
  <c r="AJ82" i="3"/>
  <c r="AK82" i="3" s="1"/>
  <c r="AJ83" i="3"/>
  <c r="AJ84" i="3"/>
  <c r="AK84" i="3" s="1"/>
  <c r="AJ85" i="3"/>
  <c r="AK85" i="3" s="1"/>
  <c r="AJ86" i="3"/>
  <c r="AK86" i="3" s="1"/>
  <c r="AJ87" i="3"/>
  <c r="AK87" i="3" s="1"/>
  <c r="AJ88" i="3"/>
  <c r="AK88" i="3" s="1"/>
  <c r="AJ89" i="3"/>
  <c r="AK89" i="3" s="1"/>
  <c r="AJ90" i="3"/>
  <c r="AK90" i="3" s="1"/>
  <c r="AJ91" i="3"/>
  <c r="AK91" i="3" s="1"/>
  <c r="AJ92" i="3"/>
  <c r="AK92" i="3" s="1"/>
  <c r="AJ93" i="3"/>
  <c r="AK93" i="3" s="1"/>
  <c r="AJ94" i="3"/>
  <c r="AK94" i="3" s="1"/>
  <c r="AJ95" i="3"/>
  <c r="AK95" i="3" s="1"/>
  <c r="AJ96" i="3"/>
  <c r="AK96" i="3" s="1"/>
  <c r="AJ97" i="3"/>
  <c r="AK97" i="3" s="1"/>
  <c r="AJ98" i="3"/>
  <c r="AK98" i="3" s="1"/>
  <c r="AJ99" i="3"/>
  <c r="AK99" i="3" s="1"/>
  <c r="AJ100" i="3"/>
  <c r="AK100" i="3" s="1"/>
  <c r="AJ101" i="3"/>
  <c r="AK101" i="3" s="1"/>
  <c r="AJ102" i="3"/>
  <c r="AK102" i="3" s="1"/>
  <c r="AJ103" i="3"/>
  <c r="AK103" i="3" s="1"/>
  <c r="AJ104" i="3"/>
  <c r="AK104" i="3" s="1"/>
  <c r="AJ105" i="3"/>
  <c r="AK105" i="3" s="1"/>
  <c r="AJ106" i="3"/>
  <c r="AK106" i="3" s="1"/>
  <c r="AJ107" i="3"/>
  <c r="AK107" i="3" s="1"/>
  <c r="AJ108" i="3"/>
  <c r="AK108" i="3" s="1"/>
  <c r="AJ109" i="3"/>
  <c r="AK109" i="3" s="1"/>
  <c r="AJ110" i="3"/>
  <c r="AK110" i="3" s="1"/>
  <c r="AJ111" i="3"/>
  <c r="AK111" i="3" s="1"/>
  <c r="AJ112" i="3"/>
  <c r="AK112" i="3" s="1"/>
  <c r="AJ113" i="3"/>
  <c r="AK113" i="3" s="1"/>
  <c r="AJ114" i="3"/>
  <c r="AK114" i="3" s="1"/>
  <c r="AJ115" i="3"/>
  <c r="AK115" i="3" s="1"/>
  <c r="AJ116" i="3"/>
  <c r="AK116" i="3" s="1"/>
  <c r="AJ117" i="3"/>
  <c r="AK117" i="3" s="1"/>
  <c r="AJ118" i="3"/>
  <c r="AK118" i="3" s="1"/>
  <c r="AJ119" i="3"/>
  <c r="AK119" i="3" s="1"/>
  <c r="AJ120" i="3"/>
  <c r="AK120" i="3" s="1"/>
  <c r="AJ121" i="3"/>
  <c r="AK121" i="3" s="1"/>
  <c r="AJ122" i="3"/>
  <c r="AK122" i="3" s="1"/>
  <c r="AJ123" i="3"/>
  <c r="AK123" i="3" s="1"/>
  <c r="AJ124" i="3"/>
  <c r="AK124" i="3" s="1"/>
  <c r="AJ125" i="3"/>
  <c r="AK125" i="3" s="1"/>
  <c r="AJ126" i="3"/>
  <c r="AK126" i="3" s="1"/>
  <c r="AJ127" i="3"/>
  <c r="AK127" i="3" s="1"/>
  <c r="AJ128" i="3"/>
  <c r="AK128" i="3" s="1"/>
  <c r="AJ129" i="3"/>
  <c r="AK129" i="3" s="1"/>
  <c r="AJ130" i="3"/>
  <c r="AK130" i="3" s="1"/>
  <c r="AJ131" i="3"/>
  <c r="AK131" i="3" s="1"/>
  <c r="AJ132" i="3"/>
  <c r="AK132" i="3" s="1"/>
  <c r="AJ133" i="3"/>
  <c r="AK133" i="3" s="1"/>
  <c r="AJ134" i="3"/>
  <c r="AK134" i="3" s="1"/>
  <c r="AJ135" i="3"/>
  <c r="AK135" i="3" s="1"/>
  <c r="AJ136" i="3"/>
  <c r="AK136" i="3" s="1"/>
  <c r="AJ137" i="3"/>
  <c r="AK137" i="3" s="1"/>
  <c r="AJ138" i="3"/>
  <c r="AK138" i="3" s="1"/>
  <c r="AJ139" i="3"/>
  <c r="AK139" i="3" s="1"/>
  <c r="AJ140" i="3"/>
  <c r="AK140" i="3" s="1"/>
  <c r="AJ141" i="3"/>
  <c r="AK141" i="3" s="1"/>
  <c r="AJ142" i="3"/>
  <c r="AK142" i="3" s="1"/>
  <c r="AJ143" i="3"/>
  <c r="AK143" i="3" s="1"/>
  <c r="AJ144" i="3"/>
  <c r="AK144" i="3" s="1"/>
  <c r="AJ145" i="3"/>
  <c r="AK145" i="3" s="1"/>
  <c r="AJ146" i="3"/>
  <c r="AK146" i="3" s="1"/>
  <c r="AJ147" i="3"/>
  <c r="AK147" i="3" s="1"/>
  <c r="AJ148" i="3"/>
  <c r="AK148" i="3" s="1"/>
  <c r="AJ149" i="3"/>
  <c r="AK149" i="3" s="1"/>
  <c r="AJ150" i="3"/>
  <c r="AK150" i="3" s="1"/>
  <c r="AJ151" i="3"/>
  <c r="AK151" i="3" s="1"/>
  <c r="AJ152" i="3"/>
  <c r="AK152" i="3" s="1"/>
  <c r="AJ153" i="3"/>
  <c r="AK153" i="3" s="1"/>
  <c r="AJ154" i="3"/>
  <c r="AK154" i="3" s="1"/>
  <c r="AJ155" i="3"/>
  <c r="AK155" i="3" s="1"/>
  <c r="AJ156" i="3"/>
  <c r="AK156" i="3" s="1"/>
  <c r="AJ157" i="3"/>
  <c r="AK157" i="3" s="1"/>
  <c r="AJ158" i="3"/>
  <c r="AK158" i="3" s="1"/>
  <c r="AJ159" i="3"/>
  <c r="AK159" i="3" s="1"/>
  <c r="AJ160" i="3"/>
  <c r="AK160" i="3" s="1"/>
  <c r="AJ161" i="3"/>
  <c r="AK161" i="3" s="1"/>
  <c r="AJ162" i="3"/>
  <c r="AK162" i="3" s="1"/>
  <c r="AJ163" i="3"/>
  <c r="AK163" i="3" s="1"/>
  <c r="AJ164" i="3"/>
  <c r="AK164" i="3" s="1"/>
  <c r="AJ165" i="3"/>
  <c r="AK165" i="3" s="1"/>
  <c r="AJ166" i="3"/>
  <c r="AK166" i="3" s="1"/>
  <c r="AJ167" i="3"/>
  <c r="AK167" i="3" s="1"/>
  <c r="AJ168" i="3"/>
  <c r="AK168" i="3" s="1"/>
  <c r="AJ169" i="3"/>
  <c r="AK169" i="3" s="1"/>
  <c r="AJ170" i="3"/>
  <c r="AK170" i="3" s="1"/>
  <c r="AJ171" i="3"/>
  <c r="AK171" i="3" s="1"/>
  <c r="AJ172" i="3"/>
  <c r="AK172" i="3" s="1"/>
  <c r="AJ173" i="3"/>
  <c r="AK173" i="3" s="1"/>
  <c r="AJ174" i="3"/>
  <c r="AK174" i="3" s="1"/>
  <c r="AK83" i="3"/>
  <c r="AJ82" i="4"/>
  <c r="AK82" i="4" s="1"/>
  <c r="AJ83" i="4"/>
  <c r="AJ84" i="4"/>
  <c r="AK84" i="4" s="1"/>
  <c r="AJ85" i="4"/>
  <c r="AK85" i="4" s="1"/>
  <c r="AJ86" i="4"/>
  <c r="AK86" i="4" s="1"/>
  <c r="AJ87" i="4"/>
  <c r="AK87" i="4" s="1"/>
  <c r="AJ88" i="4"/>
  <c r="AK88" i="4" s="1"/>
  <c r="AJ89" i="4"/>
  <c r="AK89" i="4" s="1"/>
  <c r="AJ90" i="4"/>
  <c r="AK90" i="4" s="1"/>
  <c r="AJ91" i="4"/>
  <c r="AK91" i="4" s="1"/>
  <c r="AJ92" i="4"/>
  <c r="AK92" i="4" s="1"/>
  <c r="AJ93" i="4"/>
  <c r="AK93" i="4" s="1"/>
  <c r="AJ94" i="4"/>
  <c r="AK94" i="4" s="1"/>
  <c r="AJ95" i="4"/>
  <c r="AK95" i="4" s="1"/>
  <c r="AJ96" i="4"/>
  <c r="AK96" i="4" s="1"/>
  <c r="AJ97" i="4"/>
  <c r="AK97" i="4" s="1"/>
  <c r="AJ98" i="4"/>
  <c r="AK98" i="4" s="1"/>
  <c r="AJ99" i="4"/>
  <c r="AK99" i="4" s="1"/>
  <c r="AJ100" i="4"/>
  <c r="AK100" i="4" s="1"/>
  <c r="AJ101" i="4"/>
  <c r="AK101" i="4" s="1"/>
  <c r="AJ102" i="4"/>
  <c r="AK102" i="4" s="1"/>
  <c r="AJ103" i="4"/>
  <c r="AK103" i="4" s="1"/>
  <c r="AJ104" i="4"/>
  <c r="AK104" i="4" s="1"/>
  <c r="AJ105" i="4"/>
  <c r="AK105" i="4" s="1"/>
  <c r="AJ106" i="4"/>
  <c r="AK106" i="4" s="1"/>
  <c r="AJ107" i="4"/>
  <c r="AK107" i="4" s="1"/>
  <c r="AJ108" i="4"/>
  <c r="AK108" i="4" s="1"/>
  <c r="AJ109" i="4"/>
  <c r="AK109" i="4" s="1"/>
  <c r="AJ110" i="4"/>
  <c r="AK110" i="4" s="1"/>
  <c r="AJ111" i="4"/>
  <c r="AK111" i="4" s="1"/>
  <c r="AJ112" i="4"/>
  <c r="AK112" i="4" s="1"/>
  <c r="AJ113" i="4"/>
  <c r="AK113" i="4" s="1"/>
  <c r="AJ114" i="4"/>
  <c r="AK114" i="4" s="1"/>
  <c r="AJ115" i="4"/>
  <c r="AK115" i="4" s="1"/>
  <c r="AJ116" i="4"/>
  <c r="AK116" i="4" s="1"/>
  <c r="AJ117" i="4"/>
  <c r="AK117" i="4" s="1"/>
  <c r="AJ118" i="4"/>
  <c r="AK118" i="4" s="1"/>
  <c r="AJ119" i="4"/>
  <c r="AK119" i="4" s="1"/>
  <c r="AJ120" i="4"/>
  <c r="AK120" i="4" s="1"/>
  <c r="AJ121" i="4"/>
  <c r="AK121" i="4" s="1"/>
  <c r="AJ122" i="4"/>
  <c r="AK122" i="4" s="1"/>
  <c r="AJ123" i="4"/>
  <c r="AK123" i="4" s="1"/>
  <c r="AJ124" i="4"/>
  <c r="AK124" i="4" s="1"/>
  <c r="AJ125" i="4"/>
  <c r="AK125" i="4" s="1"/>
  <c r="AJ126" i="4"/>
  <c r="AK126" i="4" s="1"/>
  <c r="AJ127" i="4"/>
  <c r="AK127" i="4" s="1"/>
  <c r="AJ128" i="4"/>
  <c r="AK128" i="4" s="1"/>
  <c r="AJ129" i="4"/>
  <c r="AK129" i="4" s="1"/>
  <c r="AJ130" i="4"/>
  <c r="AK130" i="4" s="1"/>
  <c r="AJ131" i="4"/>
  <c r="AK131" i="4" s="1"/>
  <c r="AJ132" i="4"/>
  <c r="AK132" i="4" s="1"/>
  <c r="AJ133" i="4"/>
  <c r="AK133" i="4" s="1"/>
  <c r="AJ134" i="4"/>
  <c r="AK134" i="4" s="1"/>
  <c r="AJ135" i="4"/>
  <c r="AK135" i="4" s="1"/>
  <c r="AJ136" i="4"/>
  <c r="AK136" i="4" s="1"/>
  <c r="AJ137" i="4"/>
  <c r="AK137" i="4" s="1"/>
  <c r="AJ138" i="4"/>
  <c r="AK138" i="4" s="1"/>
  <c r="AJ139" i="4"/>
  <c r="AK139" i="4" s="1"/>
  <c r="AJ140" i="4"/>
  <c r="AK140" i="4" s="1"/>
  <c r="AJ141" i="4"/>
  <c r="AK141" i="4" s="1"/>
  <c r="AJ142" i="4"/>
  <c r="AK142" i="4" s="1"/>
  <c r="AJ143" i="4"/>
  <c r="AK143" i="4" s="1"/>
  <c r="AJ144" i="4"/>
  <c r="AK144" i="4" s="1"/>
  <c r="AJ145" i="4"/>
  <c r="AK145" i="4" s="1"/>
  <c r="AJ146" i="4"/>
  <c r="AK146" i="4" s="1"/>
  <c r="AJ147" i="4"/>
  <c r="AK147" i="4" s="1"/>
  <c r="AJ148" i="4"/>
  <c r="AK148" i="4" s="1"/>
  <c r="AJ149" i="4"/>
  <c r="AK149" i="4" s="1"/>
  <c r="AJ150" i="4"/>
  <c r="AK150" i="4" s="1"/>
  <c r="AJ151" i="4"/>
  <c r="AK151" i="4" s="1"/>
  <c r="AJ152" i="4"/>
  <c r="AK152" i="4" s="1"/>
  <c r="AJ153" i="4"/>
  <c r="AK153" i="4" s="1"/>
  <c r="AJ154" i="4"/>
  <c r="AK154" i="4" s="1"/>
  <c r="AJ155" i="4"/>
  <c r="AK155" i="4" s="1"/>
  <c r="AJ156" i="4"/>
  <c r="AK156" i="4" s="1"/>
  <c r="AJ157" i="4"/>
  <c r="AK157" i="4" s="1"/>
  <c r="AJ158" i="4"/>
  <c r="AK158" i="4" s="1"/>
  <c r="AJ159" i="4"/>
  <c r="AK159" i="4" s="1"/>
  <c r="AJ160" i="4"/>
  <c r="AK160" i="4" s="1"/>
  <c r="AJ161" i="4"/>
  <c r="AK161" i="4" s="1"/>
  <c r="AJ162" i="4"/>
  <c r="AK162" i="4" s="1"/>
  <c r="AJ163" i="4"/>
  <c r="AK163" i="4" s="1"/>
  <c r="AJ164" i="4"/>
  <c r="AK164" i="4" s="1"/>
  <c r="AJ165" i="4"/>
  <c r="AK165" i="4" s="1"/>
  <c r="AJ166" i="4"/>
  <c r="AK166" i="4" s="1"/>
  <c r="AJ167" i="4"/>
  <c r="AK167" i="4" s="1"/>
  <c r="AJ168" i="4"/>
  <c r="AK168" i="4" s="1"/>
  <c r="AJ169" i="4"/>
  <c r="AK169" i="4" s="1"/>
  <c r="AJ170" i="4"/>
  <c r="AK170" i="4" s="1"/>
  <c r="AJ171" i="4"/>
  <c r="AK171" i="4" s="1"/>
  <c r="AJ172" i="4"/>
  <c r="AK172" i="4" s="1"/>
  <c r="AJ173" i="4"/>
  <c r="AK173" i="4" s="1"/>
  <c r="AJ174" i="4"/>
  <c r="AK174" i="4" s="1"/>
  <c r="AK83" i="4"/>
  <c r="AI82" i="5"/>
  <c r="AJ82" i="5" s="1"/>
  <c r="AI83" i="5"/>
  <c r="AI84" i="5"/>
  <c r="AJ84" i="5" s="1"/>
  <c r="AI85" i="5"/>
  <c r="AJ85" i="5" s="1"/>
  <c r="AI86" i="5"/>
  <c r="AJ86" i="5" s="1"/>
  <c r="AI87" i="5"/>
  <c r="AJ87" i="5" s="1"/>
  <c r="AI88" i="5"/>
  <c r="AJ88" i="5" s="1"/>
  <c r="AI89" i="5"/>
  <c r="AJ89" i="5" s="1"/>
  <c r="AI90" i="5"/>
  <c r="AJ90" i="5" s="1"/>
  <c r="AI91" i="5"/>
  <c r="AJ91" i="5" s="1"/>
  <c r="AI92" i="5"/>
  <c r="AJ92" i="5" s="1"/>
  <c r="AI93" i="5"/>
  <c r="AJ93" i="5" s="1"/>
  <c r="AI94" i="5"/>
  <c r="AJ94" i="5" s="1"/>
  <c r="AI95" i="5"/>
  <c r="AJ95" i="5" s="1"/>
  <c r="AI96" i="5"/>
  <c r="AJ96" i="5" s="1"/>
  <c r="AI97" i="5"/>
  <c r="AJ97" i="5" s="1"/>
  <c r="AI98" i="5"/>
  <c r="AJ98" i="5" s="1"/>
  <c r="AI99" i="5"/>
  <c r="AJ99" i="5" s="1"/>
  <c r="AI100" i="5"/>
  <c r="AJ100" i="5" s="1"/>
  <c r="AI101" i="5"/>
  <c r="AJ101" i="5" s="1"/>
  <c r="AI102" i="5"/>
  <c r="AJ102" i="5" s="1"/>
  <c r="AI103" i="5"/>
  <c r="AJ103" i="5" s="1"/>
  <c r="AI104" i="5"/>
  <c r="AJ104" i="5" s="1"/>
  <c r="AI105" i="5"/>
  <c r="AJ105" i="5" s="1"/>
  <c r="AI106" i="5"/>
  <c r="AJ106" i="5" s="1"/>
  <c r="AI107" i="5"/>
  <c r="AJ107" i="5" s="1"/>
  <c r="AI108" i="5"/>
  <c r="AJ108" i="5" s="1"/>
  <c r="AI109" i="5"/>
  <c r="AJ109" i="5" s="1"/>
  <c r="AI110" i="5"/>
  <c r="AJ110" i="5" s="1"/>
  <c r="AI111" i="5"/>
  <c r="AJ111" i="5" s="1"/>
  <c r="AI112" i="5"/>
  <c r="AJ112" i="5" s="1"/>
  <c r="AI113" i="5"/>
  <c r="AJ113" i="5" s="1"/>
  <c r="AI114" i="5"/>
  <c r="AJ114" i="5" s="1"/>
  <c r="AI115" i="5"/>
  <c r="AJ115" i="5" s="1"/>
  <c r="AI116" i="5"/>
  <c r="AJ116" i="5" s="1"/>
  <c r="AI117" i="5"/>
  <c r="AJ117" i="5" s="1"/>
  <c r="AI118" i="5"/>
  <c r="AJ118" i="5" s="1"/>
  <c r="AI119" i="5"/>
  <c r="AJ119" i="5" s="1"/>
  <c r="AI120" i="5"/>
  <c r="AJ120" i="5" s="1"/>
  <c r="AI121" i="5"/>
  <c r="AJ121" i="5" s="1"/>
  <c r="AI122" i="5"/>
  <c r="AJ122" i="5" s="1"/>
  <c r="AI123" i="5"/>
  <c r="AJ123" i="5" s="1"/>
  <c r="AI124" i="5"/>
  <c r="AJ124" i="5" s="1"/>
  <c r="AI125" i="5"/>
  <c r="AJ125" i="5" s="1"/>
  <c r="AI126" i="5"/>
  <c r="AJ126" i="5" s="1"/>
  <c r="AI127" i="5"/>
  <c r="AJ127" i="5" s="1"/>
  <c r="AI128" i="5"/>
  <c r="AJ128" i="5" s="1"/>
  <c r="AI129" i="5"/>
  <c r="AJ129" i="5" s="1"/>
  <c r="AI130" i="5"/>
  <c r="AJ130" i="5" s="1"/>
  <c r="AI131" i="5"/>
  <c r="AJ131" i="5" s="1"/>
  <c r="AI132" i="5"/>
  <c r="AJ132" i="5" s="1"/>
  <c r="AI133" i="5"/>
  <c r="AJ133" i="5" s="1"/>
  <c r="AI134" i="5"/>
  <c r="AJ134" i="5" s="1"/>
  <c r="AI135" i="5"/>
  <c r="AJ135" i="5" s="1"/>
  <c r="AI136" i="5"/>
  <c r="AJ136" i="5" s="1"/>
  <c r="AI137" i="5"/>
  <c r="AJ137" i="5" s="1"/>
  <c r="AI138" i="5"/>
  <c r="AJ138" i="5" s="1"/>
  <c r="AI139" i="5"/>
  <c r="AJ139" i="5" s="1"/>
  <c r="AI140" i="5"/>
  <c r="AJ140" i="5" s="1"/>
  <c r="AI141" i="5"/>
  <c r="AJ141" i="5" s="1"/>
  <c r="AI142" i="5"/>
  <c r="AJ142" i="5" s="1"/>
  <c r="AI143" i="5"/>
  <c r="AJ143" i="5" s="1"/>
  <c r="AI144" i="5"/>
  <c r="AJ144" i="5" s="1"/>
  <c r="AI145" i="5"/>
  <c r="AJ145" i="5" s="1"/>
  <c r="AI146" i="5"/>
  <c r="AJ146" i="5" s="1"/>
  <c r="AI147" i="5"/>
  <c r="AJ147" i="5" s="1"/>
  <c r="AI148" i="5"/>
  <c r="AJ148" i="5" s="1"/>
  <c r="AI149" i="5"/>
  <c r="AJ149" i="5" s="1"/>
  <c r="AI150" i="5"/>
  <c r="AJ150" i="5" s="1"/>
  <c r="AI151" i="5"/>
  <c r="AJ151" i="5" s="1"/>
  <c r="AI152" i="5"/>
  <c r="AJ152" i="5" s="1"/>
  <c r="AI153" i="5"/>
  <c r="AJ153" i="5" s="1"/>
  <c r="AI154" i="5"/>
  <c r="AJ154" i="5" s="1"/>
  <c r="AI155" i="5"/>
  <c r="AJ155" i="5" s="1"/>
  <c r="AI156" i="5"/>
  <c r="AJ156" i="5" s="1"/>
  <c r="AI157" i="5"/>
  <c r="AJ157" i="5" s="1"/>
  <c r="AI158" i="5"/>
  <c r="AJ158" i="5" s="1"/>
  <c r="AI159" i="5"/>
  <c r="AJ159" i="5" s="1"/>
  <c r="AI160" i="5"/>
  <c r="AJ160" i="5" s="1"/>
  <c r="AI161" i="5"/>
  <c r="AJ161" i="5" s="1"/>
  <c r="AI162" i="5"/>
  <c r="AJ162" i="5" s="1"/>
  <c r="AI163" i="5"/>
  <c r="AJ163" i="5" s="1"/>
  <c r="AI164" i="5"/>
  <c r="AJ164" i="5" s="1"/>
  <c r="AI165" i="5"/>
  <c r="AJ165" i="5" s="1"/>
  <c r="AI166" i="5"/>
  <c r="AJ166" i="5" s="1"/>
  <c r="AI167" i="5"/>
  <c r="AJ167" i="5" s="1"/>
  <c r="AI168" i="5"/>
  <c r="AJ168" i="5" s="1"/>
  <c r="AI169" i="5"/>
  <c r="AJ169" i="5" s="1"/>
  <c r="AI170" i="5"/>
  <c r="AJ170" i="5" s="1"/>
  <c r="AI171" i="5"/>
  <c r="AJ171" i="5" s="1"/>
  <c r="AI172" i="5"/>
  <c r="AJ172" i="5" s="1"/>
  <c r="AI173" i="5"/>
  <c r="AJ173" i="5" s="1"/>
  <c r="AI174" i="5"/>
  <c r="AJ174" i="5" s="1"/>
  <c r="AJ83" i="5"/>
  <c r="AJ82" i="6"/>
  <c r="AK82" i="6" s="1"/>
  <c r="AJ83" i="6"/>
  <c r="AJ84" i="6"/>
  <c r="AK84" i="6" s="1"/>
  <c r="AJ85" i="6"/>
  <c r="AK85" i="6" s="1"/>
  <c r="AJ86" i="6"/>
  <c r="AK86" i="6" s="1"/>
  <c r="AJ87" i="6"/>
  <c r="AK87" i="6" s="1"/>
  <c r="AJ88" i="6"/>
  <c r="AK88" i="6" s="1"/>
  <c r="AJ89" i="6"/>
  <c r="AK89" i="6" s="1"/>
  <c r="AJ90" i="6"/>
  <c r="AK90" i="6" s="1"/>
  <c r="AJ91" i="6"/>
  <c r="AK91" i="6" s="1"/>
  <c r="AJ92" i="6"/>
  <c r="AK92" i="6" s="1"/>
  <c r="AJ93" i="6"/>
  <c r="AK93" i="6" s="1"/>
  <c r="AJ94" i="6"/>
  <c r="AK94" i="6" s="1"/>
  <c r="AJ95" i="6"/>
  <c r="AK95" i="6" s="1"/>
  <c r="AJ96" i="6"/>
  <c r="AK96" i="6" s="1"/>
  <c r="AJ97" i="6"/>
  <c r="AK97" i="6" s="1"/>
  <c r="AJ98" i="6"/>
  <c r="AK98" i="6" s="1"/>
  <c r="AJ99" i="6"/>
  <c r="AK99" i="6" s="1"/>
  <c r="AJ100" i="6"/>
  <c r="AK100" i="6" s="1"/>
  <c r="AJ101" i="6"/>
  <c r="AK101" i="6" s="1"/>
  <c r="AJ102" i="6"/>
  <c r="AK102" i="6" s="1"/>
  <c r="AJ103" i="6"/>
  <c r="AK103" i="6" s="1"/>
  <c r="AJ104" i="6"/>
  <c r="AK104" i="6" s="1"/>
  <c r="AJ105" i="6"/>
  <c r="AK105" i="6" s="1"/>
  <c r="AJ106" i="6"/>
  <c r="AK106" i="6" s="1"/>
  <c r="AJ107" i="6"/>
  <c r="AK107" i="6" s="1"/>
  <c r="AJ108" i="6"/>
  <c r="AK108" i="6" s="1"/>
  <c r="AJ109" i="6"/>
  <c r="AK109" i="6" s="1"/>
  <c r="AJ110" i="6"/>
  <c r="AK110" i="6" s="1"/>
  <c r="AJ111" i="6"/>
  <c r="AK111" i="6" s="1"/>
  <c r="AJ112" i="6"/>
  <c r="AK112" i="6" s="1"/>
  <c r="AJ113" i="6"/>
  <c r="AK113" i="6" s="1"/>
  <c r="AJ114" i="6"/>
  <c r="AK114" i="6" s="1"/>
  <c r="AJ115" i="6"/>
  <c r="AK115" i="6" s="1"/>
  <c r="AJ116" i="6"/>
  <c r="AK116" i="6" s="1"/>
  <c r="AJ117" i="6"/>
  <c r="AK117" i="6" s="1"/>
  <c r="AJ118" i="6"/>
  <c r="AK118" i="6" s="1"/>
  <c r="AJ119" i="6"/>
  <c r="AK119" i="6" s="1"/>
  <c r="AJ120" i="6"/>
  <c r="AK120" i="6" s="1"/>
  <c r="AJ121" i="6"/>
  <c r="AK121" i="6" s="1"/>
  <c r="AJ122" i="6"/>
  <c r="AK122" i="6" s="1"/>
  <c r="AJ123" i="6"/>
  <c r="AK123" i="6" s="1"/>
  <c r="AJ124" i="6"/>
  <c r="AK124" i="6" s="1"/>
  <c r="AJ125" i="6"/>
  <c r="AK125" i="6" s="1"/>
  <c r="AJ126" i="6"/>
  <c r="AK126" i="6" s="1"/>
  <c r="AJ127" i="6"/>
  <c r="AK127" i="6" s="1"/>
  <c r="AJ128" i="6"/>
  <c r="AK128" i="6" s="1"/>
  <c r="AJ129" i="6"/>
  <c r="AK129" i="6" s="1"/>
  <c r="AJ130" i="6"/>
  <c r="AK130" i="6" s="1"/>
  <c r="AJ131" i="6"/>
  <c r="AK131" i="6" s="1"/>
  <c r="AJ132" i="6"/>
  <c r="AK132" i="6" s="1"/>
  <c r="AJ133" i="6"/>
  <c r="AK133" i="6" s="1"/>
  <c r="AJ134" i="6"/>
  <c r="AK134" i="6" s="1"/>
  <c r="AJ135" i="6"/>
  <c r="AK135" i="6" s="1"/>
  <c r="AJ136" i="6"/>
  <c r="AK136" i="6" s="1"/>
  <c r="AJ137" i="6"/>
  <c r="AK137" i="6" s="1"/>
  <c r="AJ138" i="6"/>
  <c r="AK138" i="6" s="1"/>
  <c r="AJ139" i="6"/>
  <c r="AK139" i="6" s="1"/>
  <c r="AJ140" i="6"/>
  <c r="AK140" i="6" s="1"/>
  <c r="AJ141" i="6"/>
  <c r="AK141" i="6" s="1"/>
  <c r="AJ142" i="6"/>
  <c r="AK142" i="6" s="1"/>
  <c r="AJ143" i="6"/>
  <c r="AK143" i="6" s="1"/>
  <c r="AJ144" i="6"/>
  <c r="AK144" i="6" s="1"/>
  <c r="AJ145" i="6"/>
  <c r="AK145" i="6" s="1"/>
  <c r="AJ146" i="6"/>
  <c r="AK146" i="6" s="1"/>
  <c r="AJ147" i="6"/>
  <c r="AK147" i="6" s="1"/>
  <c r="AJ148" i="6"/>
  <c r="AK148" i="6" s="1"/>
  <c r="AJ149" i="6"/>
  <c r="AK149" i="6" s="1"/>
  <c r="AJ150" i="6"/>
  <c r="AK150" i="6" s="1"/>
  <c r="AJ151" i="6"/>
  <c r="AK151" i="6" s="1"/>
  <c r="AJ152" i="6"/>
  <c r="AK152" i="6" s="1"/>
  <c r="AJ153" i="6"/>
  <c r="AK153" i="6" s="1"/>
  <c r="AJ154" i="6"/>
  <c r="AK154" i="6" s="1"/>
  <c r="AJ155" i="6"/>
  <c r="AK155" i="6" s="1"/>
  <c r="AJ156" i="6"/>
  <c r="AK156" i="6" s="1"/>
  <c r="AJ157" i="6"/>
  <c r="AK157" i="6" s="1"/>
  <c r="AJ158" i="6"/>
  <c r="AK158" i="6" s="1"/>
  <c r="AJ159" i="6"/>
  <c r="AK159" i="6" s="1"/>
  <c r="AJ160" i="6"/>
  <c r="AK160" i="6" s="1"/>
  <c r="AJ161" i="6"/>
  <c r="AK161" i="6" s="1"/>
  <c r="AJ162" i="6"/>
  <c r="AK162" i="6" s="1"/>
  <c r="AJ163" i="6"/>
  <c r="AK163" i="6" s="1"/>
  <c r="AJ164" i="6"/>
  <c r="AK164" i="6" s="1"/>
  <c r="AJ165" i="6"/>
  <c r="AK165" i="6" s="1"/>
  <c r="AJ166" i="6"/>
  <c r="AK166" i="6" s="1"/>
  <c r="AJ167" i="6"/>
  <c r="AK167" i="6" s="1"/>
  <c r="AJ168" i="6"/>
  <c r="AK168" i="6" s="1"/>
  <c r="AJ169" i="6"/>
  <c r="AK169" i="6" s="1"/>
  <c r="AJ170" i="6"/>
  <c r="AK170" i="6" s="1"/>
  <c r="AJ171" i="6"/>
  <c r="AK171" i="6" s="1"/>
  <c r="AJ172" i="6"/>
  <c r="AK172" i="6" s="1"/>
  <c r="AJ173" i="6"/>
  <c r="AK173" i="6" s="1"/>
  <c r="AJ174" i="6"/>
  <c r="AK174" i="6" s="1"/>
  <c r="AK83" i="6"/>
  <c r="AI82" i="7"/>
  <c r="AJ82" i="7" s="1"/>
  <c r="AI83" i="7"/>
  <c r="AI84" i="7"/>
  <c r="AJ84" i="7" s="1"/>
  <c r="AI85" i="7"/>
  <c r="AJ85" i="7" s="1"/>
  <c r="AI86" i="7"/>
  <c r="AJ86" i="7" s="1"/>
  <c r="AI87" i="7"/>
  <c r="AJ87" i="7" s="1"/>
  <c r="AI88" i="7"/>
  <c r="AJ88" i="7" s="1"/>
  <c r="AI89" i="7"/>
  <c r="AJ89" i="7" s="1"/>
  <c r="AI90" i="7"/>
  <c r="AJ90" i="7" s="1"/>
  <c r="AI91" i="7"/>
  <c r="AJ91" i="7" s="1"/>
  <c r="AI92" i="7"/>
  <c r="AJ92" i="7" s="1"/>
  <c r="AI93" i="7"/>
  <c r="AJ93" i="7" s="1"/>
  <c r="AI94" i="7"/>
  <c r="AJ94" i="7" s="1"/>
  <c r="AI95" i="7"/>
  <c r="AJ95" i="7" s="1"/>
  <c r="AI96" i="7"/>
  <c r="AJ96" i="7" s="1"/>
  <c r="AI97" i="7"/>
  <c r="AJ97" i="7" s="1"/>
  <c r="AI98" i="7"/>
  <c r="AJ98" i="7" s="1"/>
  <c r="AI99" i="7"/>
  <c r="AJ99" i="7" s="1"/>
  <c r="AI100" i="7"/>
  <c r="AJ100" i="7" s="1"/>
  <c r="AI101" i="7"/>
  <c r="AJ101" i="7" s="1"/>
  <c r="AI102" i="7"/>
  <c r="AJ102" i="7" s="1"/>
  <c r="AI103" i="7"/>
  <c r="AJ103" i="7" s="1"/>
  <c r="AI104" i="7"/>
  <c r="AJ104" i="7" s="1"/>
  <c r="AI105" i="7"/>
  <c r="AJ105" i="7" s="1"/>
  <c r="AI106" i="7"/>
  <c r="AJ106" i="7" s="1"/>
  <c r="AI107" i="7"/>
  <c r="AJ107" i="7" s="1"/>
  <c r="AI108" i="7"/>
  <c r="AJ108" i="7" s="1"/>
  <c r="AI109" i="7"/>
  <c r="AJ109" i="7" s="1"/>
  <c r="AI110" i="7"/>
  <c r="AJ110" i="7" s="1"/>
  <c r="AI111" i="7"/>
  <c r="AJ111" i="7" s="1"/>
  <c r="AI112" i="7"/>
  <c r="AJ112" i="7" s="1"/>
  <c r="AI113" i="7"/>
  <c r="AJ113" i="7" s="1"/>
  <c r="AI114" i="7"/>
  <c r="AJ114" i="7" s="1"/>
  <c r="AI115" i="7"/>
  <c r="AJ115" i="7" s="1"/>
  <c r="AI116" i="7"/>
  <c r="AJ116" i="7" s="1"/>
  <c r="AI117" i="7"/>
  <c r="AJ117" i="7" s="1"/>
  <c r="AI118" i="7"/>
  <c r="AJ118" i="7" s="1"/>
  <c r="AI119" i="7"/>
  <c r="AJ119" i="7" s="1"/>
  <c r="AI120" i="7"/>
  <c r="AJ120" i="7" s="1"/>
  <c r="AI121" i="7"/>
  <c r="AJ121" i="7" s="1"/>
  <c r="AI122" i="7"/>
  <c r="AJ122" i="7" s="1"/>
  <c r="AI123" i="7"/>
  <c r="AJ123" i="7" s="1"/>
  <c r="AI124" i="7"/>
  <c r="AJ124" i="7" s="1"/>
  <c r="AI125" i="7"/>
  <c r="AJ125" i="7" s="1"/>
  <c r="AI126" i="7"/>
  <c r="AJ126" i="7" s="1"/>
  <c r="AI127" i="7"/>
  <c r="AJ127" i="7" s="1"/>
  <c r="AI128" i="7"/>
  <c r="AJ128" i="7" s="1"/>
  <c r="AI129" i="7"/>
  <c r="AJ129" i="7" s="1"/>
  <c r="AI130" i="7"/>
  <c r="AJ130" i="7" s="1"/>
  <c r="AI131" i="7"/>
  <c r="AJ131" i="7" s="1"/>
  <c r="AI132" i="7"/>
  <c r="AJ132" i="7" s="1"/>
  <c r="AI133" i="7"/>
  <c r="AJ133" i="7" s="1"/>
  <c r="AI134" i="7"/>
  <c r="AJ134" i="7" s="1"/>
  <c r="AI135" i="7"/>
  <c r="AJ135" i="7" s="1"/>
  <c r="AI136" i="7"/>
  <c r="AJ136" i="7" s="1"/>
  <c r="AI137" i="7"/>
  <c r="AJ137" i="7" s="1"/>
  <c r="AI138" i="7"/>
  <c r="AJ138" i="7" s="1"/>
  <c r="AI139" i="7"/>
  <c r="AJ139" i="7" s="1"/>
  <c r="AI140" i="7"/>
  <c r="AJ140" i="7" s="1"/>
  <c r="AI141" i="7"/>
  <c r="AJ141" i="7" s="1"/>
  <c r="AI142" i="7"/>
  <c r="AJ142" i="7" s="1"/>
  <c r="AI143" i="7"/>
  <c r="AJ143" i="7" s="1"/>
  <c r="AI144" i="7"/>
  <c r="AJ144" i="7" s="1"/>
  <c r="AI145" i="7"/>
  <c r="AJ145" i="7" s="1"/>
  <c r="AI146" i="7"/>
  <c r="AJ146" i="7" s="1"/>
  <c r="AI147" i="7"/>
  <c r="AJ147" i="7" s="1"/>
  <c r="AI148" i="7"/>
  <c r="AJ148" i="7" s="1"/>
  <c r="AI149" i="7"/>
  <c r="AJ149" i="7" s="1"/>
  <c r="AI150" i="7"/>
  <c r="AJ150" i="7" s="1"/>
  <c r="AI151" i="7"/>
  <c r="AJ151" i="7" s="1"/>
  <c r="AI152" i="7"/>
  <c r="AJ152" i="7" s="1"/>
  <c r="AI153" i="7"/>
  <c r="AJ153" i="7" s="1"/>
  <c r="AI154" i="7"/>
  <c r="AJ154" i="7" s="1"/>
  <c r="AI155" i="7"/>
  <c r="AJ155" i="7" s="1"/>
  <c r="AI156" i="7"/>
  <c r="AJ156" i="7" s="1"/>
  <c r="AI157" i="7"/>
  <c r="AJ157" i="7" s="1"/>
  <c r="AI158" i="7"/>
  <c r="AJ158" i="7" s="1"/>
  <c r="AI159" i="7"/>
  <c r="AJ159" i="7" s="1"/>
  <c r="AI160" i="7"/>
  <c r="AJ160" i="7" s="1"/>
  <c r="AI161" i="7"/>
  <c r="AJ161" i="7" s="1"/>
  <c r="AI162" i="7"/>
  <c r="AJ162" i="7" s="1"/>
  <c r="AI163" i="7"/>
  <c r="AJ163" i="7" s="1"/>
  <c r="AI164" i="7"/>
  <c r="AJ164" i="7" s="1"/>
  <c r="AI165" i="7"/>
  <c r="AJ165" i="7" s="1"/>
  <c r="AI166" i="7"/>
  <c r="AJ166" i="7" s="1"/>
  <c r="AI167" i="7"/>
  <c r="AJ167" i="7" s="1"/>
  <c r="AI168" i="7"/>
  <c r="AJ168" i="7" s="1"/>
  <c r="AI169" i="7"/>
  <c r="AJ169" i="7" s="1"/>
  <c r="AI170" i="7"/>
  <c r="AJ170" i="7" s="1"/>
  <c r="AI171" i="7"/>
  <c r="AJ171" i="7" s="1"/>
  <c r="AI172" i="7"/>
  <c r="AJ172" i="7" s="1"/>
  <c r="AI173" i="7"/>
  <c r="AJ173" i="7" s="1"/>
  <c r="AI174" i="7"/>
  <c r="AJ174" i="7" s="1"/>
  <c r="AJ83" i="7"/>
  <c r="AJ82" i="8"/>
  <c r="AK82" i="8" s="1"/>
  <c r="AJ83" i="8"/>
  <c r="AJ84" i="8"/>
  <c r="AK84" i="8" s="1"/>
  <c r="AJ85" i="8"/>
  <c r="AK85" i="8" s="1"/>
  <c r="AJ86" i="8"/>
  <c r="AK86" i="8" s="1"/>
  <c r="AJ87" i="8"/>
  <c r="AK87" i="8" s="1"/>
  <c r="AJ88" i="8"/>
  <c r="AK88" i="8" s="1"/>
  <c r="AJ89" i="8"/>
  <c r="AK89" i="8" s="1"/>
  <c r="AJ90" i="8"/>
  <c r="AK90" i="8" s="1"/>
  <c r="AJ91" i="8"/>
  <c r="AK91" i="8" s="1"/>
  <c r="AJ92" i="8"/>
  <c r="AK92" i="8" s="1"/>
  <c r="AJ93" i="8"/>
  <c r="AK93" i="8" s="1"/>
  <c r="AJ94" i="8"/>
  <c r="AK94" i="8" s="1"/>
  <c r="AJ95" i="8"/>
  <c r="AK95" i="8" s="1"/>
  <c r="AJ96" i="8"/>
  <c r="AK96" i="8" s="1"/>
  <c r="AJ97" i="8"/>
  <c r="AK97" i="8" s="1"/>
  <c r="AJ98" i="8"/>
  <c r="AK98" i="8" s="1"/>
  <c r="AJ99" i="8"/>
  <c r="AK99" i="8" s="1"/>
  <c r="AJ100" i="8"/>
  <c r="AK100" i="8" s="1"/>
  <c r="AJ101" i="8"/>
  <c r="AK101" i="8" s="1"/>
  <c r="AJ102" i="8"/>
  <c r="AK102" i="8" s="1"/>
  <c r="AJ103" i="8"/>
  <c r="AK103" i="8" s="1"/>
  <c r="AJ104" i="8"/>
  <c r="AK104" i="8" s="1"/>
  <c r="AJ105" i="8"/>
  <c r="AK105" i="8" s="1"/>
  <c r="AJ106" i="8"/>
  <c r="AK106" i="8" s="1"/>
  <c r="AJ107" i="8"/>
  <c r="AK107" i="8" s="1"/>
  <c r="AJ108" i="8"/>
  <c r="AK108" i="8" s="1"/>
  <c r="AJ109" i="8"/>
  <c r="AK109" i="8" s="1"/>
  <c r="AJ110" i="8"/>
  <c r="AK110" i="8" s="1"/>
  <c r="AJ111" i="8"/>
  <c r="AK111" i="8" s="1"/>
  <c r="AJ112" i="8"/>
  <c r="AK112" i="8" s="1"/>
  <c r="AJ113" i="8"/>
  <c r="AK113" i="8" s="1"/>
  <c r="AJ114" i="8"/>
  <c r="AK114" i="8" s="1"/>
  <c r="AJ115" i="8"/>
  <c r="AK115" i="8" s="1"/>
  <c r="AJ116" i="8"/>
  <c r="AK116" i="8" s="1"/>
  <c r="AJ117" i="8"/>
  <c r="AK117" i="8" s="1"/>
  <c r="AJ118" i="8"/>
  <c r="AK118" i="8" s="1"/>
  <c r="AJ119" i="8"/>
  <c r="AK119" i="8" s="1"/>
  <c r="AJ120" i="8"/>
  <c r="AK120" i="8" s="1"/>
  <c r="AJ121" i="8"/>
  <c r="AK121" i="8" s="1"/>
  <c r="AJ122" i="8"/>
  <c r="AK122" i="8" s="1"/>
  <c r="AJ123" i="8"/>
  <c r="AK123" i="8" s="1"/>
  <c r="AJ124" i="8"/>
  <c r="AK124" i="8" s="1"/>
  <c r="AJ125" i="8"/>
  <c r="AK125" i="8" s="1"/>
  <c r="AJ126" i="8"/>
  <c r="AK126" i="8" s="1"/>
  <c r="AJ127" i="8"/>
  <c r="AK127" i="8" s="1"/>
  <c r="AJ128" i="8"/>
  <c r="AK128" i="8" s="1"/>
  <c r="AJ129" i="8"/>
  <c r="AK129" i="8" s="1"/>
  <c r="AJ130" i="8"/>
  <c r="AK130" i="8" s="1"/>
  <c r="AJ131" i="8"/>
  <c r="AK131" i="8" s="1"/>
  <c r="AJ132" i="8"/>
  <c r="AK132" i="8" s="1"/>
  <c r="AJ133" i="8"/>
  <c r="AK133" i="8" s="1"/>
  <c r="AJ134" i="8"/>
  <c r="AK134" i="8" s="1"/>
  <c r="AJ135" i="8"/>
  <c r="AK135" i="8" s="1"/>
  <c r="AJ136" i="8"/>
  <c r="AK136" i="8" s="1"/>
  <c r="AJ137" i="8"/>
  <c r="AK137" i="8" s="1"/>
  <c r="AJ138" i="8"/>
  <c r="AK138" i="8" s="1"/>
  <c r="AJ139" i="8"/>
  <c r="AK139" i="8" s="1"/>
  <c r="AJ140" i="8"/>
  <c r="AK140" i="8" s="1"/>
  <c r="AJ141" i="8"/>
  <c r="AK141" i="8" s="1"/>
  <c r="AJ142" i="8"/>
  <c r="AK142" i="8" s="1"/>
  <c r="AJ143" i="8"/>
  <c r="AK143" i="8" s="1"/>
  <c r="AJ144" i="8"/>
  <c r="AK144" i="8" s="1"/>
  <c r="AJ145" i="8"/>
  <c r="AK145" i="8" s="1"/>
  <c r="AJ146" i="8"/>
  <c r="AK146" i="8" s="1"/>
  <c r="AJ147" i="8"/>
  <c r="AK147" i="8" s="1"/>
  <c r="AJ148" i="8"/>
  <c r="AK148" i="8" s="1"/>
  <c r="AJ149" i="8"/>
  <c r="AK149" i="8" s="1"/>
  <c r="AJ150" i="8"/>
  <c r="AK150" i="8" s="1"/>
  <c r="AJ151" i="8"/>
  <c r="AK151" i="8" s="1"/>
  <c r="AJ152" i="8"/>
  <c r="AK152" i="8" s="1"/>
  <c r="AJ153" i="8"/>
  <c r="AK153" i="8" s="1"/>
  <c r="AJ154" i="8"/>
  <c r="AK154" i="8" s="1"/>
  <c r="AJ155" i="8"/>
  <c r="AK155" i="8" s="1"/>
  <c r="AJ156" i="8"/>
  <c r="AK156" i="8" s="1"/>
  <c r="AJ157" i="8"/>
  <c r="AK157" i="8" s="1"/>
  <c r="AJ158" i="8"/>
  <c r="AK158" i="8" s="1"/>
  <c r="AJ159" i="8"/>
  <c r="AK159" i="8" s="1"/>
  <c r="AJ160" i="8"/>
  <c r="AK160" i="8" s="1"/>
  <c r="AJ161" i="8"/>
  <c r="AK161" i="8" s="1"/>
  <c r="AJ162" i="8"/>
  <c r="AK162" i="8" s="1"/>
  <c r="AJ163" i="8"/>
  <c r="AK163" i="8" s="1"/>
  <c r="AJ164" i="8"/>
  <c r="AK164" i="8" s="1"/>
  <c r="AJ165" i="8"/>
  <c r="AK165" i="8" s="1"/>
  <c r="AJ166" i="8"/>
  <c r="AK166" i="8" s="1"/>
  <c r="AJ167" i="8"/>
  <c r="AK167" i="8" s="1"/>
  <c r="AJ168" i="8"/>
  <c r="AK168" i="8" s="1"/>
  <c r="AJ169" i="8"/>
  <c r="AK169" i="8" s="1"/>
  <c r="AJ170" i="8"/>
  <c r="AK170" i="8" s="1"/>
  <c r="AJ171" i="8"/>
  <c r="AK171" i="8" s="1"/>
  <c r="AJ172" i="8"/>
  <c r="AK172" i="8" s="1"/>
  <c r="AJ173" i="8"/>
  <c r="AK173" i="8" s="1"/>
  <c r="AJ174" i="8"/>
  <c r="AK174" i="8" s="1"/>
  <c r="AK83" i="8"/>
  <c r="AH82" i="9"/>
  <c r="AI82" i="9" s="1"/>
  <c r="AH83" i="9"/>
  <c r="AH84" i="9"/>
  <c r="AI84" i="9" s="1"/>
  <c r="AH85" i="9"/>
  <c r="AI85" i="9" s="1"/>
  <c r="AH86" i="9"/>
  <c r="AI86" i="9" s="1"/>
  <c r="AH87" i="9"/>
  <c r="AI87" i="9" s="1"/>
  <c r="AH88" i="9"/>
  <c r="AI88" i="9" s="1"/>
  <c r="AH89" i="9"/>
  <c r="AI89" i="9" s="1"/>
  <c r="AH90" i="9"/>
  <c r="AI90" i="9" s="1"/>
  <c r="AH91" i="9"/>
  <c r="AI91" i="9" s="1"/>
  <c r="AH92" i="9"/>
  <c r="AI92" i="9" s="1"/>
  <c r="AH93" i="9"/>
  <c r="AI93" i="9" s="1"/>
  <c r="AH94" i="9"/>
  <c r="AI94" i="9" s="1"/>
  <c r="AH95" i="9"/>
  <c r="AI95" i="9" s="1"/>
  <c r="AH96" i="9"/>
  <c r="AI96" i="9" s="1"/>
  <c r="AH97" i="9"/>
  <c r="AI97" i="9" s="1"/>
  <c r="AH98" i="9"/>
  <c r="AI98" i="9" s="1"/>
  <c r="AH99" i="9"/>
  <c r="AI99" i="9" s="1"/>
  <c r="AH100" i="9"/>
  <c r="AI100" i="9" s="1"/>
  <c r="AH101" i="9"/>
  <c r="AI101" i="9" s="1"/>
  <c r="AH102" i="9"/>
  <c r="AI102" i="9" s="1"/>
  <c r="AH103" i="9"/>
  <c r="AI103" i="9" s="1"/>
  <c r="AH104" i="9"/>
  <c r="AI104" i="9" s="1"/>
  <c r="AH105" i="9"/>
  <c r="AI105" i="9" s="1"/>
  <c r="AH106" i="9"/>
  <c r="AI106" i="9" s="1"/>
  <c r="AH107" i="9"/>
  <c r="AI107" i="9" s="1"/>
  <c r="AH108" i="9"/>
  <c r="AI108" i="9" s="1"/>
  <c r="AH109" i="9"/>
  <c r="AI109" i="9" s="1"/>
  <c r="AH110" i="9"/>
  <c r="AI110" i="9" s="1"/>
  <c r="AH111" i="9"/>
  <c r="AI111" i="9" s="1"/>
  <c r="AH112" i="9"/>
  <c r="AI112" i="9" s="1"/>
  <c r="AH113" i="9"/>
  <c r="AI113" i="9" s="1"/>
  <c r="AH114" i="9"/>
  <c r="AI114" i="9" s="1"/>
  <c r="AH115" i="9"/>
  <c r="AI115" i="9" s="1"/>
  <c r="AH116" i="9"/>
  <c r="AI116" i="9" s="1"/>
  <c r="AH117" i="9"/>
  <c r="AI117" i="9" s="1"/>
  <c r="AH118" i="9"/>
  <c r="AI118" i="9" s="1"/>
  <c r="AH119" i="9"/>
  <c r="AI119" i="9" s="1"/>
  <c r="AH120" i="9"/>
  <c r="AI120" i="9" s="1"/>
  <c r="AH121" i="9"/>
  <c r="AI121" i="9" s="1"/>
  <c r="AH122" i="9"/>
  <c r="AI122" i="9" s="1"/>
  <c r="AH123" i="9"/>
  <c r="AI123" i="9" s="1"/>
  <c r="AH124" i="9"/>
  <c r="AI124" i="9" s="1"/>
  <c r="AH125" i="9"/>
  <c r="AI125" i="9" s="1"/>
  <c r="AH126" i="9"/>
  <c r="AI126" i="9" s="1"/>
  <c r="AH127" i="9"/>
  <c r="AI127" i="9" s="1"/>
  <c r="AH128" i="9"/>
  <c r="AI128" i="9" s="1"/>
  <c r="AH129" i="9"/>
  <c r="AI129" i="9" s="1"/>
  <c r="AH130" i="9"/>
  <c r="AI130" i="9" s="1"/>
  <c r="AH131" i="9"/>
  <c r="AI131" i="9" s="1"/>
  <c r="AH132" i="9"/>
  <c r="AI132" i="9" s="1"/>
  <c r="AH133" i="9"/>
  <c r="AI133" i="9" s="1"/>
  <c r="AH134" i="9"/>
  <c r="AI134" i="9" s="1"/>
  <c r="AH135" i="9"/>
  <c r="AI135" i="9" s="1"/>
  <c r="AH136" i="9"/>
  <c r="AI136" i="9" s="1"/>
  <c r="AH137" i="9"/>
  <c r="AI137" i="9" s="1"/>
  <c r="AH138" i="9"/>
  <c r="AI138" i="9" s="1"/>
  <c r="AH139" i="9"/>
  <c r="AI139" i="9" s="1"/>
  <c r="AH140" i="9"/>
  <c r="AI140" i="9" s="1"/>
  <c r="AH141" i="9"/>
  <c r="AI141" i="9" s="1"/>
  <c r="AH142" i="9"/>
  <c r="AI142" i="9" s="1"/>
  <c r="AH143" i="9"/>
  <c r="AI143" i="9" s="1"/>
  <c r="AH144" i="9"/>
  <c r="AI144" i="9" s="1"/>
  <c r="AH145" i="9"/>
  <c r="AI145" i="9" s="1"/>
  <c r="AH146" i="9"/>
  <c r="AI146" i="9" s="1"/>
  <c r="AH147" i="9"/>
  <c r="AI147" i="9" s="1"/>
  <c r="AH148" i="9"/>
  <c r="AI148" i="9" s="1"/>
  <c r="AH149" i="9"/>
  <c r="AI149" i="9" s="1"/>
  <c r="AH150" i="9"/>
  <c r="AI150" i="9" s="1"/>
  <c r="AH151" i="9"/>
  <c r="AI151" i="9" s="1"/>
  <c r="AH152" i="9"/>
  <c r="AI152" i="9" s="1"/>
  <c r="AH153" i="9"/>
  <c r="AI153" i="9" s="1"/>
  <c r="AH154" i="9"/>
  <c r="AI154" i="9" s="1"/>
  <c r="AH155" i="9"/>
  <c r="AI155" i="9" s="1"/>
  <c r="AH156" i="9"/>
  <c r="AI156" i="9" s="1"/>
  <c r="AH157" i="9"/>
  <c r="AI157" i="9" s="1"/>
  <c r="AH158" i="9"/>
  <c r="AI158" i="9" s="1"/>
  <c r="AH159" i="9"/>
  <c r="AI159" i="9" s="1"/>
  <c r="AH160" i="9"/>
  <c r="AI160" i="9" s="1"/>
  <c r="AH161" i="9"/>
  <c r="AI161" i="9" s="1"/>
  <c r="AH162" i="9"/>
  <c r="AI162" i="9" s="1"/>
  <c r="AH163" i="9"/>
  <c r="AI163" i="9" s="1"/>
  <c r="AH164" i="9"/>
  <c r="AI164" i="9" s="1"/>
  <c r="AH165" i="9"/>
  <c r="AI165" i="9" s="1"/>
  <c r="AH166" i="9"/>
  <c r="AI166" i="9" s="1"/>
  <c r="AH167" i="9"/>
  <c r="AI167" i="9" s="1"/>
  <c r="AH168" i="9"/>
  <c r="AI168" i="9" s="1"/>
  <c r="AH169" i="9"/>
  <c r="AI169" i="9" s="1"/>
  <c r="AH170" i="9"/>
  <c r="AI170" i="9" s="1"/>
  <c r="AH171" i="9"/>
  <c r="AI171" i="9" s="1"/>
  <c r="AH172" i="9"/>
  <c r="AI172" i="9" s="1"/>
  <c r="AH173" i="9"/>
  <c r="AI173" i="9" s="1"/>
  <c r="AH174" i="9"/>
  <c r="AI174" i="9" s="1"/>
  <c r="AI83" i="9"/>
  <c r="AJ172" i="10"/>
  <c r="AK172" i="10" s="1"/>
  <c r="AJ173" i="10"/>
  <c r="AK173" i="10" s="1"/>
  <c r="AJ174" i="10"/>
  <c r="AK174" i="10" s="1"/>
  <c r="AJ169" i="10"/>
  <c r="AK169" i="10" s="1"/>
  <c r="AJ170" i="10"/>
  <c r="AK170" i="10" s="1"/>
  <c r="AJ171" i="10"/>
  <c r="AK171" i="10" s="1"/>
  <c r="AJ166" i="10"/>
  <c r="AK166" i="10" s="1"/>
  <c r="AJ167" i="10"/>
  <c r="AK167" i="10" s="1"/>
  <c r="AJ168" i="10"/>
  <c r="AK168" i="10" s="1"/>
  <c r="AJ163" i="10"/>
  <c r="AK163" i="10" s="1"/>
  <c r="AJ164" i="10"/>
  <c r="AK164" i="10" s="1"/>
  <c r="AJ165" i="10"/>
  <c r="AK165" i="10" s="1"/>
  <c r="AJ160" i="10"/>
  <c r="AK160" i="10" s="1"/>
  <c r="AJ161" i="10"/>
  <c r="AK161" i="10" s="1"/>
  <c r="AJ162" i="10"/>
  <c r="AK162" i="10" s="1"/>
  <c r="AJ157" i="10"/>
  <c r="AK157" i="10" s="1"/>
  <c r="AJ158" i="10"/>
  <c r="AK158" i="10" s="1"/>
  <c r="AJ159" i="10"/>
  <c r="AK159" i="10" s="1"/>
  <c r="AJ154" i="10"/>
  <c r="AK154" i="10" s="1"/>
  <c r="AJ155" i="10"/>
  <c r="AK155" i="10" s="1"/>
  <c r="AJ156" i="10"/>
  <c r="AK156" i="10" s="1"/>
  <c r="AJ151" i="10"/>
  <c r="AK151" i="10" s="1"/>
  <c r="AJ152" i="10"/>
  <c r="AK152" i="10" s="1"/>
  <c r="AJ153" i="10"/>
  <c r="AK153" i="10" s="1"/>
  <c r="AJ148" i="10"/>
  <c r="AK148" i="10" s="1"/>
  <c r="AJ149" i="10"/>
  <c r="AK149" i="10" s="1"/>
  <c r="AJ150" i="10"/>
  <c r="AK150" i="10" s="1"/>
  <c r="AJ145" i="10"/>
  <c r="AK145" i="10" s="1"/>
  <c r="AJ146" i="10"/>
  <c r="AK146" i="10" s="1"/>
  <c r="AJ147" i="10"/>
  <c r="AK147" i="10" s="1"/>
  <c r="AJ142" i="10"/>
  <c r="AK142" i="10" s="1"/>
  <c r="AJ143" i="10"/>
  <c r="AK143" i="10" s="1"/>
  <c r="AJ144" i="10"/>
  <c r="AK144" i="10" s="1"/>
  <c r="AJ139" i="10"/>
  <c r="AK139" i="10" s="1"/>
  <c r="AJ140" i="10"/>
  <c r="AK140" i="10" s="1"/>
  <c r="AJ141" i="10"/>
  <c r="AK141" i="10" s="1"/>
  <c r="AJ136" i="10"/>
  <c r="AK136" i="10" s="1"/>
  <c r="AJ137" i="10"/>
  <c r="AK137" i="10" s="1"/>
  <c r="AJ138" i="10"/>
  <c r="AK138" i="10" s="1"/>
  <c r="AJ133" i="10"/>
  <c r="AK133" i="10" s="1"/>
  <c r="AJ134" i="10"/>
  <c r="AK134" i="10" s="1"/>
  <c r="AJ135" i="10"/>
  <c r="AK135" i="10" s="1"/>
  <c r="AJ130" i="10"/>
  <c r="AK130" i="10" s="1"/>
  <c r="AJ131" i="10"/>
  <c r="AK131" i="10" s="1"/>
  <c r="AJ132" i="10"/>
  <c r="AK132" i="10" s="1"/>
  <c r="AJ127" i="10"/>
  <c r="AK127" i="10" s="1"/>
  <c r="AJ128" i="10"/>
  <c r="AK128" i="10" s="1"/>
  <c r="AJ129" i="10"/>
  <c r="AK129" i="10" s="1"/>
  <c r="AJ124" i="10"/>
  <c r="AK124" i="10" s="1"/>
  <c r="AJ125" i="10"/>
  <c r="AK125" i="10" s="1"/>
  <c r="AJ126" i="10"/>
  <c r="AK126" i="10" s="1"/>
  <c r="AJ121" i="10"/>
  <c r="AK121" i="10" s="1"/>
  <c r="AJ122" i="10"/>
  <c r="AK122" i="10" s="1"/>
  <c r="AJ123" i="10"/>
  <c r="AK123" i="10" s="1"/>
  <c r="AJ118" i="10"/>
  <c r="AK118" i="10" s="1"/>
  <c r="AJ119" i="10"/>
  <c r="AK119" i="10" s="1"/>
  <c r="AJ120" i="10"/>
  <c r="AK120" i="10" s="1"/>
  <c r="AJ115" i="10"/>
  <c r="AK115" i="10" s="1"/>
  <c r="AJ116" i="10"/>
  <c r="AK116" i="10" s="1"/>
  <c r="AJ117" i="10"/>
  <c r="AK117" i="10" s="1"/>
  <c r="AJ112" i="10"/>
  <c r="AK112" i="10" s="1"/>
  <c r="AJ113" i="10"/>
  <c r="AK113" i="10" s="1"/>
  <c r="AJ114" i="10"/>
  <c r="AK114" i="10" s="1"/>
  <c r="AJ109" i="10"/>
  <c r="AK109" i="10" s="1"/>
  <c r="AJ110" i="10"/>
  <c r="AK110" i="10" s="1"/>
  <c r="AJ111" i="10"/>
  <c r="AK111" i="10" s="1"/>
  <c r="AJ106" i="10"/>
  <c r="AK106" i="10" s="1"/>
  <c r="AJ107" i="10"/>
  <c r="AK107" i="10" s="1"/>
  <c r="AJ108" i="10"/>
  <c r="AK108" i="10" s="1"/>
  <c r="AJ103" i="10"/>
  <c r="AK103" i="10" s="1"/>
  <c r="AJ104" i="10"/>
  <c r="AK104" i="10" s="1"/>
  <c r="AJ105" i="10"/>
  <c r="AK105" i="10" s="1"/>
  <c r="AJ100" i="10"/>
  <c r="AK100" i="10" s="1"/>
  <c r="AJ101" i="10"/>
  <c r="AK101" i="10" s="1"/>
  <c r="AJ102" i="10"/>
  <c r="AK102" i="10" s="1"/>
  <c r="AJ97" i="10"/>
  <c r="AK97" i="10" s="1"/>
  <c r="AJ98" i="10"/>
  <c r="AK98" i="10" s="1"/>
  <c r="AJ99" i="10"/>
  <c r="AK99" i="10" s="1"/>
  <c r="AJ94" i="10"/>
  <c r="AK94" i="10" s="1"/>
  <c r="AJ95" i="10"/>
  <c r="AK95" i="10" s="1"/>
  <c r="AJ96" i="10"/>
  <c r="AK96" i="10" s="1"/>
  <c r="AJ91" i="10"/>
  <c r="AK91" i="10" s="1"/>
  <c r="AJ92" i="10"/>
  <c r="AK92" i="10" s="1"/>
  <c r="AJ93" i="10"/>
  <c r="AK93" i="10" s="1"/>
  <c r="AJ88" i="10"/>
  <c r="AK88" i="10" s="1"/>
  <c r="AJ89" i="10"/>
  <c r="AK89" i="10" s="1"/>
  <c r="AJ90" i="10"/>
  <c r="AK90" i="10" s="1"/>
  <c r="AJ85" i="10"/>
  <c r="AK85" i="10" s="1"/>
  <c r="AJ86" i="10"/>
  <c r="AK86" i="10" s="1"/>
  <c r="AJ87" i="10"/>
  <c r="AK87" i="10" s="1"/>
  <c r="AJ82" i="10"/>
  <c r="AK82" i="10" s="1"/>
  <c r="AJ83" i="10"/>
  <c r="AK83" i="10" s="1"/>
  <c r="AJ84" i="10"/>
  <c r="AK84" i="10" s="1"/>
  <c r="AJ79" i="10"/>
  <c r="AK79" i="10" s="1"/>
  <c r="AJ80" i="10"/>
  <c r="AK80" i="10" s="1"/>
  <c r="AJ81" i="10"/>
  <c r="AK81" i="10" s="1"/>
  <c r="AJ76" i="10"/>
  <c r="AK76" i="10" s="1"/>
  <c r="AJ77" i="10"/>
  <c r="AK77" i="10" s="1"/>
  <c r="AJ78" i="10"/>
  <c r="AK78" i="10" s="1"/>
  <c r="AJ73" i="10"/>
  <c r="AK73" i="10" s="1"/>
  <c r="AJ74" i="10"/>
  <c r="AK74" i="10" s="1"/>
  <c r="AJ75" i="10"/>
  <c r="AK75" i="10" s="1"/>
  <c r="AJ70" i="10"/>
  <c r="AK70" i="10" s="1"/>
  <c r="AJ71" i="10"/>
  <c r="AK71" i="10" s="1"/>
  <c r="AJ72" i="10"/>
  <c r="AK72" i="10" s="1"/>
  <c r="AJ67" i="10"/>
  <c r="AK67" i="10" s="1"/>
  <c r="AJ68" i="10"/>
  <c r="AK68" i="10" s="1"/>
  <c r="AJ69" i="10"/>
  <c r="AK69" i="10" s="1"/>
  <c r="AJ64" i="10"/>
  <c r="AK64" i="10" s="1"/>
  <c r="AJ65" i="10"/>
  <c r="AK65" i="10" s="1"/>
  <c r="AJ66" i="10"/>
  <c r="AK66" i="10" s="1"/>
  <c r="AJ61" i="10"/>
  <c r="AK61" i="10" s="1"/>
  <c r="AJ62" i="10"/>
  <c r="AK62" i="10" s="1"/>
  <c r="AJ63" i="10"/>
  <c r="AK63" i="10" s="1"/>
  <c r="AJ58" i="10"/>
  <c r="AK58" i="10" s="1"/>
  <c r="AJ59" i="10"/>
  <c r="AK59" i="10" s="1"/>
  <c r="AJ60" i="10"/>
  <c r="AK60" i="10" s="1"/>
  <c r="AJ55" i="10"/>
  <c r="AK55" i="10" s="1"/>
  <c r="AJ56" i="10"/>
  <c r="AK56" i="10" s="1"/>
  <c r="AJ57" i="10"/>
  <c r="AK57" i="10" s="1"/>
  <c r="AJ52" i="10"/>
  <c r="AK52" i="10" s="1"/>
  <c r="AJ53" i="10"/>
  <c r="AK53" i="10" s="1"/>
  <c r="AJ54" i="10"/>
  <c r="AK54" i="10" s="1"/>
  <c r="AJ49" i="10"/>
  <c r="AK49" i="10" s="1"/>
  <c r="AJ50" i="10"/>
  <c r="AK50" i="10" s="1"/>
  <c r="AJ51" i="10"/>
  <c r="AK51" i="10" s="1"/>
  <c r="AJ46" i="10"/>
  <c r="AK46" i="10" s="1"/>
  <c r="AJ47" i="10"/>
  <c r="AK47" i="10" s="1"/>
  <c r="AJ48" i="10"/>
  <c r="AK48" i="10" s="1"/>
  <c r="AJ43" i="10"/>
  <c r="AK43" i="10" s="1"/>
  <c r="AJ44" i="10"/>
  <c r="AK44" i="10" s="1"/>
  <c r="AJ45" i="10"/>
  <c r="AK45" i="10" s="1"/>
  <c r="AJ40" i="10"/>
  <c r="AK40" i="10" s="1"/>
  <c r="AJ41" i="10"/>
  <c r="AK41" i="10" s="1"/>
  <c r="AJ42" i="10"/>
  <c r="AK42" i="10" s="1"/>
  <c r="AJ37" i="10"/>
  <c r="AK37" i="10" s="1"/>
  <c r="AJ38" i="10"/>
  <c r="AK38" i="10" s="1"/>
  <c r="AJ39" i="10"/>
  <c r="AK39" i="10" s="1"/>
  <c r="AJ34" i="10"/>
  <c r="AK34" i="10" s="1"/>
  <c r="AJ35" i="10"/>
  <c r="AK35" i="10" s="1"/>
  <c r="AJ36" i="10"/>
  <c r="AK36" i="10" s="1"/>
  <c r="AJ31" i="10"/>
  <c r="AK31" i="10" s="1"/>
  <c r="AJ32" i="10"/>
  <c r="AK32" i="10" s="1"/>
  <c r="AJ33" i="10"/>
  <c r="AK33" i="10" s="1"/>
  <c r="AJ28" i="10"/>
  <c r="AK28" i="10" s="1"/>
  <c r="AJ29" i="10"/>
  <c r="AK29" i="10" s="1"/>
  <c r="AJ30" i="10"/>
  <c r="AK30" i="10" s="1"/>
  <c r="AJ81" i="13" l="1"/>
  <c r="AK81" i="13" s="1"/>
  <c r="AJ80" i="13"/>
  <c r="AK80" i="13" s="1"/>
  <c r="AJ79" i="13"/>
  <c r="AK79" i="13" s="1"/>
  <c r="AJ78" i="13"/>
  <c r="AK78" i="13" s="1"/>
  <c r="AJ77" i="13"/>
  <c r="AK77" i="13" s="1"/>
  <c r="AJ76" i="13"/>
  <c r="AK76" i="13" s="1"/>
  <c r="AJ75" i="13"/>
  <c r="AK75" i="13" s="1"/>
  <c r="AJ74" i="13"/>
  <c r="AK74" i="13" s="1"/>
  <c r="AJ73" i="13"/>
  <c r="AK73" i="13" s="1"/>
  <c r="AJ72" i="13"/>
  <c r="AK72" i="13" s="1"/>
  <c r="AJ71" i="13"/>
  <c r="AK71" i="13" s="1"/>
  <c r="AJ70" i="13"/>
  <c r="AK70" i="13" s="1"/>
  <c r="AJ69" i="13"/>
  <c r="AK69" i="13" s="1"/>
  <c r="AJ68" i="13"/>
  <c r="AK68" i="13" s="1"/>
  <c r="AJ67" i="13"/>
  <c r="AK67" i="13" s="1"/>
  <c r="AJ66" i="13"/>
  <c r="AK66" i="13" s="1"/>
  <c r="AJ65" i="13"/>
  <c r="AK65" i="13" s="1"/>
  <c r="AJ64" i="13"/>
  <c r="AK64" i="13" s="1"/>
  <c r="AJ63" i="13"/>
  <c r="AK63" i="13" s="1"/>
  <c r="AJ62" i="13"/>
  <c r="AK62" i="13" s="1"/>
  <c r="AJ61" i="13"/>
  <c r="AK61" i="13" s="1"/>
  <c r="AJ60" i="13"/>
  <c r="AK60" i="13" s="1"/>
  <c r="AJ59" i="13"/>
  <c r="AK59" i="13" s="1"/>
  <c r="AJ58" i="13"/>
  <c r="AK58" i="13" s="1"/>
  <c r="AJ57" i="13"/>
  <c r="AK57" i="13" s="1"/>
  <c r="AJ56" i="13"/>
  <c r="AK56" i="13" s="1"/>
  <c r="AJ55" i="13"/>
  <c r="AK55" i="13" s="1"/>
  <c r="AJ54" i="13"/>
  <c r="AK54" i="13" s="1"/>
  <c r="AJ53" i="13"/>
  <c r="AK53" i="13" s="1"/>
  <c r="AJ52" i="13"/>
  <c r="AK52" i="13" s="1"/>
  <c r="AJ51" i="13"/>
  <c r="AK51" i="13" s="1"/>
  <c r="AJ50" i="13"/>
  <c r="AK50" i="13" s="1"/>
  <c r="AJ49" i="13"/>
  <c r="AK49" i="13" s="1"/>
  <c r="AJ48" i="13"/>
  <c r="AK48" i="13" s="1"/>
  <c r="AJ47" i="13"/>
  <c r="AK47" i="13" s="1"/>
  <c r="AJ46" i="13"/>
  <c r="AK46" i="13" s="1"/>
  <c r="AJ45" i="13"/>
  <c r="AK45" i="13" s="1"/>
  <c r="AJ44" i="13"/>
  <c r="AK44" i="13" s="1"/>
  <c r="AJ43" i="13"/>
  <c r="AK43" i="13" s="1"/>
  <c r="AJ42" i="13"/>
  <c r="AK42" i="13" s="1"/>
  <c r="AJ41" i="13"/>
  <c r="AK41" i="13" s="1"/>
  <c r="AJ40" i="13"/>
  <c r="AK40" i="13" s="1"/>
  <c r="AJ39" i="13"/>
  <c r="AK39" i="13" s="1"/>
  <c r="AJ38" i="13"/>
  <c r="AK38" i="13" s="1"/>
  <c r="AJ37" i="13"/>
  <c r="AK37" i="13" s="1"/>
  <c r="AJ36" i="13"/>
  <c r="AK36" i="13" s="1"/>
  <c r="AJ35" i="13"/>
  <c r="AK35" i="13" s="1"/>
  <c r="AJ34" i="13"/>
  <c r="AK34" i="13" s="1"/>
  <c r="AJ33" i="13"/>
  <c r="AK33" i="13" s="1"/>
  <c r="AJ32" i="13"/>
  <c r="AK32" i="13" s="1"/>
  <c r="AJ31" i="13"/>
  <c r="AK31" i="13" s="1"/>
  <c r="AJ30" i="13"/>
  <c r="AK30" i="13" s="1"/>
  <c r="AJ29" i="13"/>
  <c r="AK29" i="13" s="1"/>
  <c r="AJ28" i="13"/>
  <c r="AK28" i="13" s="1"/>
  <c r="AJ27" i="13"/>
  <c r="AK27" i="13" s="1"/>
  <c r="AJ26" i="13"/>
  <c r="AK26" i="13" s="1"/>
  <c r="AJ25" i="13"/>
  <c r="AK25" i="13" s="1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AI13" i="13"/>
  <c r="AH13" i="13"/>
  <c r="AH16" i="13" s="1"/>
  <c r="AH17" i="13" s="1"/>
  <c r="AG13" i="13"/>
  <c r="AF13" i="13"/>
  <c r="AF16" i="13" s="1"/>
  <c r="AF17" i="13" s="1"/>
  <c r="AE13" i="13"/>
  <c r="AD13" i="13"/>
  <c r="AD16" i="13" s="1"/>
  <c r="AD17" i="13" s="1"/>
  <c r="AC13" i="13"/>
  <c r="AB13" i="13"/>
  <c r="AB16" i="13" s="1"/>
  <c r="AB17" i="13" s="1"/>
  <c r="AA13" i="13"/>
  <c r="Z13" i="13"/>
  <c r="Z16" i="13" s="1"/>
  <c r="Z17" i="13" s="1"/>
  <c r="Y13" i="13"/>
  <c r="X13" i="13"/>
  <c r="X16" i="13" s="1"/>
  <c r="X17" i="13" s="1"/>
  <c r="W13" i="13"/>
  <c r="V13" i="13"/>
  <c r="V16" i="13" s="1"/>
  <c r="V17" i="13" s="1"/>
  <c r="U13" i="13"/>
  <c r="T13" i="13"/>
  <c r="T16" i="13" s="1"/>
  <c r="T17" i="13" s="1"/>
  <c r="S13" i="13"/>
  <c r="R13" i="13"/>
  <c r="R16" i="13" s="1"/>
  <c r="R17" i="13" s="1"/>
  <c r="Q13" i="13"/>
  <c r="P13" i="13"/>
  <c r="P16" i="13" s="1"/>
  <c r="P17" i="13" s="1"/>
  <c r="O13" i="13"/>
  <c r="N13" i="13"/>
  <c r="N16" i="13" s="1"/>
  <c r="N17" i="13" s="1"/>
  <c r="M13" i="13"/>
  <c r="L13" i="13"/>
  <c r="L16" i="13" s="1"/>
  <c r="L17" i="13" s="1"/>
  <c r="K13" i="13"/>
  <c r="J13" i="13"/>
  <c r="J16" i="13" s="1"/>
  <c r="J17" i="13" s="1"/>
  <c r="I13" i="13"/>
  <c r="H13" i="13"/>
  <c r="H16" i="13" s="1"/>
  <c r="H17" i="13" s="1"/>
  <c r="G13" i="13"/>
  <c r="F13" i="13"/>
  <c r="F16" i="13" s="1"/>
  <c r="F17" i="13" s="1"/>
  <c r="E13" i="13"/>
  <c r="R5" i="13"/>
  <c r="E16" i="13" l="1"/>
  <c r="G16" i="13"/>
  <c r="G17" i="13" s="1"/>
  <c r="I16" i="13"/>
  <c r="I17" i="13" s="1"/>
  <c r="K16" i="13"/>
  <c r="K17" i="13" s="1"/>
  <c r="M16" i="13"/>
  <c r="M17" i="13" s="1"/>
  <c r="O16" i="13"/>
  <c r="O17" i="13" s="1"/>
  <c r="Q16" i="13"/>
  <c r="Q17" i="13" s="1"/>
  <c r="S16" i="13"/>
  <c r="S17" i="13" s="1"/>
  <c r="U16" i="13"/>
  <c r="U17" i="13" s="1"/>
  <c r="W16" i="13"/>
  <c r="W17" i="13" s="1"/>
  <c r="Y16" i="13"/>
  <c r="Y17" i="13" s="1"/>
  <c r="AA16" i="13"/>
  <c r="AA17" i="13" s="1"/>
  <c r="AC16" i="13"/>
  <c r="AC17" i="13" s="1"/>
  <c r="AE16" i="13"/>
  <c r="AE17" i="13" s="1"/>
  <c r="AG16" i="13"/>
  <c r="AG17" i="13" s="1"/>
  <c r="AI16" i="13"/>
  <c r="AI17" i="13" s="1"/>
  <c r="AJ17" i="13"/>
  <c r="AK17" i="13"/>
  <c r="E17" i="13"/>
  <c r="D17" i="13" s="1"/>
  <c r="C17" i="13" s="1"/>
  <c r="AI81" i="12"/>
  <c r="AJ81" i="12" s="1"/>
  <c r="AI80" i="12"/>
  <c r="AJ80" i="12" s="1"/>
  <c r="AI79" i="12"/>
  <c r="AJ79" i="12" s="1"/>
  <c r="AI78" i="12"/>
  <c r="AJ78" i="12" s="1"/>
  <c r="AI77" i="12"/>
  <c r="AJ77" i="12" s="1"/>
  <c r="AI76" i="12"/>
  <c r="AJ76" i="12" s="1"/>
  <c r="AI75" i="12"/>
  <c r="AJ75" i="12" s="1"/>
  <c r="AI74" i="12"/>
  <c r="AJ74" i="12" s="1"/>
  <c r="AI73" i="12"/>
  <c r="AJ73" i="12" s="1"/>
  <c r="AI72" i="12"/>
  <c r="AJ72" i="12" s="1"/>
  <c r="AI71" i="12"/>
  <c r="AJ71" i="12" s="1"/>
  <c r="AI70" i="12"/>
  <c r="AJ70" i="12" s="1"/>
  <c r="AI69" i="12"/>
  <c r="AJ69" i="12" s="1"/>
  <c r="AI68" i="12"/>
  <c r="AJ68" i="12" s="1"/>
  <c r="AI67" i="12"/>
  <c r="AJ67" i="12" s="1"/>
  <c r="AI66" i="12"/>
  <c r="AJ66" i="12" s="1"/>
  <c r="AI65" i="12"/>
  <c r="AJ65" i="12" s="1"/>
  <c r="AI64" i="12"/>
  <c r="AJ64" i="12" s="1"/>
  <c r="AI63" i="12"/>
  <c r="AJ63" i="12" s="1"/>
  <c r="AI62" i="12"/>
  <c r="AJ62" i="12" s="1"/>
  <c r="AI61" i="12"/>
  <c r="AJ61" i="12" s="1"/>
  <c r="AI60" i="12"/>
  <c r="AJ60" i="12" s="1"/>
  <c r="AI59" i="12"/>
  <c r="AJ59" i="12" s="1"/>
  <c r="AI58" i="12"/>
  <c r="AJ58" i="12" s="1"/>
  <c r="AI57" i="12"/>
  <c r="AJ57" i="12" s="1"/>
  <c r="AI56" i="12"/>
  <c r="AJ56" i="12" s="1"/>
  <c r="AI55" i="12"/>
  <c r="AJ55" i="12" s="1"/>
  <c r="AI54" i="12"/>
  <c r="AJ54" i="12" s="1"/>
  <c r="AI53" i="12"/>
  <c r="AJ53" i="12" s="1"/>
  <c r="AI52" i="12"/>
  <c r="AJ52" i="12" s="1"/>
  <c r="AI51" i="12"/>
  <c r="AJ51" i="12" s="1"/>
  <c r="AI50" i="12"/>
  <c r="AJ50" i="12" s="1"/>
  <c r="AI49" i="12"/>
  <c r="AJ49" i="12" s="1"/>
  <c r="AI48" i="12"/>
  <c r="AJ48" i="12" s="1"/>
  <c r="AI47" i="12"/>
  <c r="AJ47" i="12" s="1"/>
  <c r="AI46" i="12"/>
  <c r="AJ46" i="12" s="1"/>
  <c r="AI45" i="12"/>
  <c r="AJ45" i="12" s="1"/>
  <c r="AI44" i="12"/>
  <c r="AJ44" i="12" s="1"/>
  <c r="AI43" i="12"/>
  <c r="AJ43" i="12" s="1"/>
  <c r="AI42" i="12"/>
  <c r="AJ42" i="12" s="1"/>
  <c r="AI41" i="12"/>
  <c r="AJ41" i="12" s="1"/>
  <c r="AI40" i="12"/>
  <c r="AJ40" i="12" s="1"/>
  <c r="AI39" i="12"/>
  <c r="AJ39" i="12" s="1"/>
  <c r="AI38" i="12"/>
  <c r="AJ38" i="12" s="1"/>
  <c r="AI37" i="12"/>
  <c r="AJ37" i="12" s="1"/>
  <c r="AI36" i="12"/>
  <c r="AJ36" i="12" s="1"/>
  <c r="AI35" i="12"/>
  <c r="AJ35" i="12" s="1"/>
  <c r="AI34" i="12"/>
  <c r="AJ34" i="12" s="1"/>
  <c r="AI33" i="12"/>
  <c r="AJ33" i="12" s="1"/>
  <c r="AI32" i="12"/>
  <c r="AJ32" i="12" s="1"/>
  <c r="AI31" i="12"/>
  <c r="AJ31" i="12" s="1"/>
  <c r="AI30" i="12"/>
  <c r="AJ30" i="12" s="1"/>
  <c r="AI29" i="12"/>
  <c r="AJ29" i="12" s="1"/>
  <c r="AI28" i="12"/>
  <c r="AJ28" i="12" s="1"/>
  <c r="AI27" i="12"/>
  <c r="AJ27" i="12" s="1"/>
  <c r="AI26" i="12"/>
  <c r="AJ26" i="12" s="1"/>
  <c r="AI25" i="12"/>
  <c r="AJ25" i="12" s="1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AH13" i="12"/>
  <c r="AH16" i="12" s="1"/>
  <c r="AH17" i="12" s="1"/>
  <c r="AG13" i="12"/>
  <c r="AF13" i="12"/>
  <c r="AF16" i="12" s="1"/>
  <c r="AF17" i="12" s="1"/>
  <c r="AE13" i="12"/>
  <c r="AD13" i="12"/>
  <c r="AD16" i="12" s="1"/>
  <c r="AD17" i="12" s="1"/>
  <c r="AC13" i="12"/>
  <c r="AB13" i="12"/>
  <c r="AB16" i="12" s="1"/>
  <c r="AB17" i="12" s="1"/>
  <c r="AA13" i="12"/>
  <c r="Z13" i="12"/>
  <c r="Z16" i="12" s="1"/>
  <c r="Z17" i="12" s="1"/>
  <c r="Y13" i="12"/>
  <c r="Y16" i="12" s="1"/>
  <c r="Y17" i="12" s="1"/>
  <c r="X13" i="12"/>
  <c r="X16" i="12" s="1"/>
  <c r="X17" i="12" s="1"/>
  <c r="W13" i="12"/>
  <c r="W16" i="12" s="1"/>
  <c r="W17" i="12" s="1"/>
  <c r="V13" i="12"/>
  <c r="V16" i="12" s="1"/>
  <c r="V17" i="12" s="1"/>
  <c r="U13" i="12"/>
  <c r="U16" i="12" s="1"/>
  <c r="U17" i="12" s="1"/>
  <c r="T13" i="12"/>
  <c r="T16" i="12" s="1"/>
  <c r="T17" i="12" s="1"/>
  <c r="S13" i="12"/>
  <c r="S16" i="12" s="1"/>
  <c r="S17" i="12" s="1"/>
  <c r="R13" i="12"/>
  <c r="R16" i="12" s="1"/>
  <c r="R17" i="12" s="1"/>
  <c r="Q13" i="12"/>
  <c r="Q16" i="12" s="1"/>
  <c r="Q17" i="12" s="1"/>
  <c r="P13" i="12"/>
  <c r="P16" i="12" s="1"/>
  <c r="P17" i="12" s="1"/>
  <c r="O13" i="12"/>
  <c r="O16" i="12" s="1"/>
  <c r="O17" i="12" s="1"/>
  <c r="N13" i="12"/>
  <c r="N16" i="12" s="1"/>
  <c r="N17" i="12" s="1"/>
  <c r="M13" i="12"/>
  <c r="M16" i="12" s="1"/>
  <c r="M17" i="12" s="1"/>
  <c r="L13" i="12"/>
  <c r="L16" i="12" s="1"/>
  <c r="L17" i="12" s="1"/>
  <c r="K13" i="12"/>
  <c r="K16" i="12" s="1"/>
  <c r="K17" i="12" s="1"/>
  <c r="J13" i="12"/>
  <c r="J16" i="12" s="1"/>
  <c r="J17" i="12" s="1"/>
  <c r="I13" i="12"/>
  <c r="I16" i="12" s="1"/>
  <c r="I17" i="12" s="1"/>
  <c r="H13" i="12"/>
  <c r="H16" i="12" s="1"/>
  <c r="H17" i="12" s="1"/>
  <c r="G13" i="12"/>
  <c r="G16" i="12" s="1"/>
  <c r="G17" i="12" s="1"/>
  <c r="F13" i="12"/>
  <c r="F16" i="12" s="1"/>
  <c r="F17" i="12" s="1"/>
  <c r="E13" i="12"/>
  <c r="E16" i="12" s="1"/>
  <c r="R5" i="12"/>
  <c r="AJ81" i="11"/>
  <c r="AK81" i="11" s="1"/>
  <c r="AJ80" i="11"/>
  <c r="AK80" i="11" s="1"/>
  <c r="AJ79" i="11"/>
  <c r="AK79" i="11" s="1"/>
  <c r="AJ78" i="11"/>
  <c r="AK78" i="11" s="1"/>
  <c r="AJ77" i="11"/>
  <c r="AK77" i="11" s="1"/>
  <c r="AJ76" i="11"/>
  <c r="AK76" i="11" s="1"/>
  <c r="AJ75" i="11"/>
  <c r="AK75" i="11" s="1"/>
  <c r="AJ74" i="11"/>
  <c r="AK74" i="11" s="1"/>
  <c r="AJ73" i="11"/>
  <c r="AK73" i="11" s="1"/>
  <c r="AJ72" i="11"/>
  <c r="AK72" i="11" s="1"/>
  <c r="AJ71" i="11"/>
  <c r="AK71" i="11" s="1"/>
  <c r="AJ70" i="11"/>
  <c r="AK70" i="11" s="1"/>
  <c r="AJ69" i="11"/>
  <c r="AK69" i="11" s="1"/>
  <c r="AJ68" i="11"/>
  <c r="AK68" i="11" s="1"/>
  <c r="AJ67" i="11"/>
  <c r="AK67" i="11" s="1"/>
  <c r="AJ66" i="11"/>
  <c r="AK66" i="11" s="1"/>
  <c r="AJ65" i="11"/>
  <c r="AK65" i="11" s="1"/>
  <c r="AJ64" i="11"/>
  <c r="AK64" i="11" s="1"/>
  <c r="AJ63" i="11"/>
  <c r="AK63" i="11" s="1"/>
  <c r="AJ62" i="11"/>
  <c r="AK62" i="11" s="1"/>
  <c r="AJ61" i="11"/>
  <c r="AK61" i="11" s="1"/>
  <c r="AJ60" i="11"/>
  <c r="AK60" i="11" s="1"/>
  <c r="AJ59" i="11"/>
  <c r="AK59" i="11" s="1"/>
  <c r="AJ58" i="11"/>
  <c r="AK58" i="11" s="1"/>
  <c r="AJ57" i="11"/>
  <c r="AK57" i="11" s="1"/>
  <c r="AJ56" i="11"/>
  <c r="AK56" i="11" s="1"/>
  <c r="AJ55" i="11"/>
  <c r="AK55" i="11" s="1"/>
  <c r="AJ54" i="11"/>
  <c r="AK54" i="11" s="1"/>
  <c r="AJ53" i="11"/>
  <c r="AK53" i="11" s="1"/>
  <c r="AJ52" i="11"/>
  <c r="AK52" i="11" s="1"/>
  <c r="AJ51" i="11"/>
  <c r="AK51" i="11" s="1"/>
  <c r="AJ50" i="11"/>
  <c r="AK50" i="11" s="1"/>
  <c r="AJ49" i="11"/>
  <c r="AK49" i="11" s="1"/>
  <c r="AJ48" i="11"/>
  <c r="AK48" i="11" s="1"/>
  <c r="AJ47" i="11"/>
  <c r="AK47" i="11" s="1"/>
  <c r="AJ46" i="11"/>
  <c r="AK46" i="11" s="1"/>
  <c r="AJ45" i="11"/>
  <c r="AK45" i="11" s="1"/>
  <c r="AJ44" i="11"/>
  <c r="AK44" i="11" s="1"/>
  <c r="AJ43" i="11"/>
  <c r="AK43" i="11" s="1"/>
  <c r="AJ42" i="11"/>
  <c r="AK42" i="11" s="1"/>
  <c r="AJ41" i="11"/>
  <c r="AK41" i="11" s="1"/>
  <c r="AJ40" i="11"/>
  <c r="AK40" i="11" s="1"/>
  <c r="AJ39" i="11"/>
  <c r="AK39" i="11" s="1"/>
  <c r="AJ38" i="11"/>
  <c r="AK38" i="11" s="1"/>
  <c r="AJ37" i="11"/>
  <c r="AK37" i="11" s="1"/>
  <c r="AJ36" i="11"/>
  <c r="AK36" i="11" s="1"/>
  <c r="AJ35" i="11"/>
  <c r="AK35" i="11" s="1"/>
  <c r="AJ34" i="11"/>
  <c r="AK34" i="11" s="1"/>
  <c r="AJ33" i="11"/>
  <c r="AK33" i="11" s="1"/>
  <c r="AJ32" i="11"/>
  <c r="AK32" i="11" s="1"/>
  <c r="AJ31" i="11"/>
  <c r="AK31" i="11" s="1"/>
  <c r="AJ30" i="11"/>
  <c r="AK30" i="11" s="1"/>
  <c r="AJ29" i="11"/>
  <c r="AK29" i="11" s="1"/>
  <c r="AJ28" i="11"/>
  <c r="AK28" i="11" s="1"/>
  <c r="AJ27" i="11"/>
  <c r="AK27" i="11" s="1"/>
  <c r="AJ26" i="11"/>
  <c r="AK26" i="11" s="1"/>
  <c r="AJ2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AI13" i="11"/>
  <c r="AI16" i="11" s="1"/>
  <c r="AI17" i="11" s="1"/>
  <c r="AH13" i="11"/>
  <c r="AG13" i="11"/>
  <c r="AG16" i="11" s="1"/>
  <c r="AG17" i="11" s="1"/>
  <c r="AF13" i="11"/>
  <c r="AE13" i="11"/>
  <c r="AE16" i="11" s="1"/>
  <c r="AE17" i="11" s="1"/>
  <c r="AD13" i="11"/>
  <c r="AC13" i="11"/>
  <c r="AC16" i="11" s="1"/>
  <c r="AC17" i="11" s="1"/>
  <c r="AB13" i="11"/>
  <c r="AA13" i="11"/>
  <c r="AA16" i="11" s="1"/>
  <c r="AA17" i="11" s="1"/>
  <c r="Z13" i="11"/>
  <c r="Y13" i="11"/>
  <c r="Y16" i="11" s="1"/>
  <c r="Y17" i="11" s="1"/>
  <c r="X13" i="11"/>
  <c r="W13" i="11"/>
  <c r="W16" i="11" s="1"/>
  <c r="W17" i="11" s="1"/>
  <c r="V13" i="11"/>
  <c r="U13" i="11"/>
  <c r="U16" i="11" s="1"/>
  <c r="U17" i="11" s="1"/>
  <c r="T13" i="11"/>
  <c r="S13" i="11"/>
  <c r="S16" i="11" s="1"/>
  <c r="S17" i="11" s="1"/>
  <c r="R13" i="11"/>
  <c r="Q13" i="11"/>
  <c r="Q16" i="11" s="1"/>
  <c r="Q17" i="11" s="1"/>
  <c r="P13" i="11"/>
  <c r="O13" i="11"/>
  <c r="O16" i="11" s="1"/>
  <c r="O17" i="11" s="1"/>
  <c r="N13" i="11"/>
  <c r="M13" i="11"/>
  <c r="M16" i="11" s="1"/>
  <c r="M17" i="11" s="1"/>
  <c r="L13" i="11"/>
  <c r="K13" i="11"/>
  <c r="K16" i="11" s="1"/>
  <c r="K17" i="11" s="1"/>
  <c r="J13" i="11"/>
  <c r="I13" i="11"/>
  <c r="I16" i="11" s="1"/>
  <c r="I17" i="11" s="1"/>
  <c r="H13" i="11"/>
  <c r="G13" i="11"/>
  <c r="G16" i="11" s="1"/>
  <c r="G17" i="11" s="1"/>
  <c r="F13" i="11"/>
  <c r="E13" i="11"/>
  <c r="E16" i="11" s="1"/>
  <c r="R5" i="11"/>
  <c r="AA16" i="12" l="1"/>
  <c r="AA17" i="12" s="1"/>
  <c r="AC16" i="12"/>
  <c r="AC17" i="12" s="1"/>
  <c r="AE16" i="12"/>
  <c r="AE17" i="12" s="1"/>
  <c r="AG16" i="12"/>
  <c r="AG17" i="12" s="1"/>
  <c r="F16" i="11"/>
  <c r="F17" i="11" s="1"/>
  <c r="H16" i="11"/>
  <c r="H17" i="11" s="1"/>
  <c r="J16" i="11"/>
  <c r="J17" i="11" s="1"/>
  <c r="L16" i="11"/>
  <c r="L17" i="11" s="1"/>
  <c r="N16" i="11"/>
  <c r="N17" i="11" s="1"/>
  <c r="P16" i="11"/>
  <c r="P17" i="11" s="1"/>
  <c r="R16" i="11"/>
  <c r="R17" i="11" s="1"/>
  <c r="T16" i="11"/>
  <c r="T17" i="11" s="1"/>
  <c r="V16" i="11"/>
  <c r="V17" i="11" s="1"/>
  <c r="X16" i="11"/>
  <c r="X17" i="11" s="1"/>
  <c r="Z16" i="11"/>
  <c r="Z17" i="11" s="1"/>
  <c r="AB16" i="11"/>
  <c r="AB17" i="11" s="1"/>
  <c r="AD16" i="11"/>
  <c r="AD17" i="11" s="1"/>
  <c r="AF16" i="11"/>
  <c r="AF17" i="11" s="1"/>
  <c r="AH16" i="11"/>
  <c r="AH17" i="11" s="1"/>
  <c r="AI17" i="12"/>
  <c r="AJ17" i="12"/>
  <c r="E17" i="12"/>
  <c r="D17" i="12" s="1"/>
  <c r="C17" i="12" s="1"/>
  <c r="E17" i="11"/>
  <c r="D17" i="11" s="1"/>
  <c r="C17" i="11" s="1"/>
  <c r="AK25" i="11"/>
  <c r="AK17" i="11" s="1"/>
  <c r="AJ17" i="11"/>
  <c r="AJ27" i="10"/>
  <c r="AK27" i="10" s="1"/>
  <c r="AJ26" i="10"/>
  <c r="AK26" i="10" s="1"/>
  <c r="AJ25" i="10"/>
  <c r="AK25" i="10" s="1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R5" i="10"/>
  <c r="F16" i="10" l="1"/>
  <c r="F17" i="10" s="1"/>
  <c r="H16" i="10"/>
  <c r="H17" i="10" s="1"/>
  <c r="J16" i="10"/>
  <c r="J17" i="10" s="1"/>
  <c r="L16" i="10"/>
  <c r="L17" i="10" s="1"/>
  <c r="N16" i="10"/>
  <c r="N17" i="10" s="1"/>
  <c r="P16" i="10"/>
  <c r="P17" i="10" s="1"/>
  <c r="R16" i="10"/>
  <c r="R17" i="10" s="1"/>
  <c r="T16" i="10"/>
  <c r="T17" i="10" s="1"/>
  <c r="V16" i="10"/>
  <c r="V17" i="10" s="1"/>
  <c r="X16" i="10"/>
  <c r="X17" i="10" s="1"/>
  <c r="Z16" i="10"/>
  <c r="Z17" i="10" s="1"/>
  <c r="AB16" i="10"/>
  <c r="AB17" i="10" s="1"/>
  <c r="AD16" i="10"/>
  <c r="AD17" i="10" s="1"/>
  <c r="AF16" i="10"/>
  <c r="AF17" i="10" s="1"/>
  <c r="AH16" i="10"/>
  <c r="AH17" i="10" s="1"/>
  <c r="E16" i="10"/>
  <c r="G16" i="10"/>
  <c r="G17" i="10" s="1"/>
  <c r="I16" i="10"/>
  <c r="I17" i="10" s="1"/>
  <c r="K16" i="10"/>
  <c r="K17" i="10" s="1"/>
  <c r="M16" i="10"/>
  <c r="M17" i="10" s="1"/>
  <c r="O16" i="10"/>
  <c r="O17" i="10" s="1"/>
  <c r="Q16" i="10"/>
  <c r="Q17" i="10" s="1"/>
  <c r="S16" i="10"/>
  <c r="S17" i="10" s="1"/>
  <c r="U16" i="10"/>
  <c r="U17" i="10" s="1"/>
  <c r="W16" i="10"/>
  <c r="W17" i="10" s="1"/>
  <c r="Y16" i="10"/>
  <c r="Y17" i="10" s="1"/>
  <c r="AA16" i="10"/>
  <c r="AA17" i="10" s="1"/>
  <c r="AC16" i="10"/>
  <c r="AC17" i="10" s="1"/>
  <c r="AE16" i="10"/>
  <c r="AE17" i="10" s="1"/>
  <c r="AG16" i="10"/>
  <c r="AG17" i="10" s="1"/>
  <c r="AI16" i="10"/>
  <c r="AI17" i="10" s="1"/>
  <c r="AJ17" i="10"/>
  <c r="AK17" i="10"/>
  <c r="E17" i="10"/>
  <c r="AH25" i="9"/>
  <c r="AI25" i="9" s="1"/>
  <c r="AH26" i="9"/>
  <c r="AI26" i="9" s="1"/>
  <c r="AH27" i="9"/>
  <c r="AI27" i="9" s="1"/>
  <c r="AH28" i="9"/>
  <c r="AI28" i="9" s="1"/>
  <c r="AH29" i="9"/>
  <c r="AI29" i="9" s="1"/>
  <c r="AH30" i="9"/>
  <c r="AI30" i="9" s="1"/>
  <c r="AH31" i="9"/>
  <c r="AI31" i="9" s="1"/>
  <c r="AH32" i="9"/>
  <c r="AI32" i="9" s="1"/>
  <c r="AH33" i="9"/>
  <c r="AI33" i="9" s="1"/>
  <c r="AH34" i="9"/>
  <c r="AI34" i="9" s="1"/>
  <c r="AH35" i="9"/>
  <c r="AI35" i="9" s="1"/>
  <c r="AH36" i="9"/>
  <c r="AI36" i="9" s="1"/>
  <c r="AH37" i="9"/>
  <c r="AI37" i="9" s="1"/>
  <c r="AH38" i="9"/>
  <c r="AI38" i="9" s="1"/>
  <c r="AH39" i="9"/>
  <c r="AI39" i="9" s="1"/>
  <c r="AH40" i="9"/>
  <c r="AI40" i="9" s="1"/>
  <c r="AH41" i="9"/>
  <c r="AI41" i="9" s="1"/>
  <c r="AH42" i="9"/>
  <c r="AI42" i="9" s="1"/>
  <c r="AH43" i="9"/>
  <c r="AI43" i="9" s="1"/>
  <c r="AH44" i="9"/>
  <c r="AI44" i="9" s="1"/>
  <c r="AH45" i="9"/>
  <c r="AI45" i="9" s="1"/>
  <c r="AH46" i="9"/>
  <c r="AI46" i="9" s="1"/>
  <c r="AH47" i="9"/>
  <c r="AI47" i="9" s="1"/>
  <c r="AH48" i="9"/>
  <c r="AI48" i="9" s="1"/>
  <c r="AH49" i="9"/>
  <c r="AI49" i="9" s="1"/>
  <c r="AH50" i="9"/>
  <c r="AI50" i="9" s="1"/>
  <c r="AH51" i="9"/>
  <c r="AI51" i="9" s="1"/>
  <c r="AH52" i="9"/>
  <c r="AI52" i="9" s="1"/>
  <c r="AH53" i="9"/>
  <c r="AI53" i="9" s="1"/>
  <c r="AH54" i="9"/>
  <c r="AI54" i="9" s="1"/>
  <c r="AH55" i="9"/>
  <c r="AI55" i="9" s="1"/>
  <c r="AH56" i="9"/>
  <c r="AI56" i="9" s="1"/>
  <c r="AH57" i="9"/>
  <c r="AI57" i="9" s="1"/>
  <c r="AH58" i="9"/>
  <c r="AI58" i="9" s="1"/>
  <c r="AH59" i="9"/>
  <c r="AI59" i="9" s="1"/>
  <c r="AH60" i="9"/>
  <c r="AI60" i="9" s="1"/>
  <c r="AH61" i="9"/>
  <c r="AI61" i="9" s="1"/>
  <c r="AH62" i="9"/>
  <c r="AI62" i="9" s="1"/>
  <c r="AH63" i="9"/>
  <c r="AI63" i="9" s="1"/>
  <c r="AH64" i="9"/>
  <c r="AI64" i="9" s="1"/>
  <c r="AH65" i="9"/>
  <c r="AI65" i="9" s="1"/>
  <c r="AH66" i="9"/>
  <c r="AI66" i="9" s="1"/>
  <c r="AH67" i="9"/>
  <c r="AI67" i="9" s="1"/>
  <c r="AH68" i="9"/>
  <c r="AI68" i="9" s="1"/>
  <c r="AH69" i="9"/>
  <c r="AI69" i="9" s="1"/>
  <c r="AH70" i="9"/>
  <c r="AI70" i="9" s="1"/>
  <c r="AH71" i="9"/>
  <c r="AI71" i="9" s="1"/>
  <c r="AH72" i="9"/>
  <c r="AI72" i="9" s="1"/>
  <c r="AH73" i="9"/>
  <c r="AI73" i="9" s="1"/>
  <c r="AH74" i="9"/>
  <c r="AI74" i="9" s="1"/>
  <c r="AH75" i="9"/>
  <c r="AI75" i="9" s="1"/>
  <c r="AH76" i="9"/>
  <c r="AI76" i="9" s="1"/>
  <c r="AH77" i="9"/>
  <c r="AI77" i="9" s="1"/>
  <c r="AH78" i="9"/>
  <c r="AI78" i="9" s="1"/>
  <c r="AH79" i="9"/>
  <c r="AI79" i="9" s="1"/>
  <c r="AH80" i="9"/>
  <c r="AI80" i="9" s="1"/>
  <c r="AH81" i="9"/>
  <c r="AI81" i="9" s="1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R5" i="9"/>
  <c r="AJ81" i="8"/>
  <c r="AK81" i="8" s="1"/>
  <c r="AJ80" i="8"/>
  <c r="AK80" i="8" s="1"/>
  <c r="AJ79" i="8"/>
  <c r="AK79" i="8" s="1"/>
  <c r="AJ78" i="8"/>
  <c r="AK78" i="8" s="1"/>
  <c r="AJ77" i="8"/>
  <c r="AK77" i="8" s="1"/>
  <c r="AJ76" i="8"/>
  <c r="AK76" i="8" s="1"/>
  <c r="AJ75" i="8"/>
  <c r="AK75" i="8" s="1"/>
  <c r="AJ74" i="8"/>
  <c r="AK74" i="8" s="1"/>
  <c r="AJ73" i="8"/>
  <c r="AK73" i="8" s="1"/>
  <c r="AJ72" i="8"/>
  <c r="AK72" i="8" s="1"/>
  <c r="AJ71" i="8"/>
  <c r="AK71" i="8" s="1"/>
  <c r="AJ70" i="8"/>
  <c r="AK70" i="8" s="1"/>
  <c r="AJ69" i="8"/>
  <c r="AK69" i="8" s="1"/>
  <c r="AJ68" i="8"/>
  <c r="AK68" i="8" s="1"/>
  <c r="AJ67" i="8"/>
  <c r="AK67" i="8" s="1"/>
  <c r="AJ66" i="8"/>
  <c r="AK66" i="8" s="1"/>
  <c r="AJ65" i="8"/>
  <c r="AK65" i="8" s="1"/>
  <c r="AJ64" i="8"/>
  <c r="AK64" i="8" s="1"/>
  <c r="AJ63" i="8"/>
  <c r="AK63" i="8" s="1"/>
  <c r="AJ62" i="8"/>
  <c r="AK62" i="8" s="1"/>
  <c r="AJ61" i="8"/>
  <c r="AK61" i="8" s="1"/>
  <c r="AJ60" i="8"/>
  <c r="AK60" i="8" s="1"/>
  <c r="AJ59" i="8"/>
  <c r="AK59" i="8" s="1"/>
  <c r="AJ58" i="8"/>
  <c r="AK58" i="8" s="1"/>
  <c r="AJ57" i="8"/>
  <c r="AK57" i="8" s="1"/>
  <c r="AJ56" i="8"/>
  <c r="AK56" i="8" s="1"/>
  <c r="AJ55" i="8"/>
  <c r="AK55" i="8" s="1"/>
  <c r="AJ54" i="8"/>
  <c r="AK54" i="8" s="1"/>
  <c r="AJ53" i="8"/>
  <c r="AK53" i="8" s="1"/>
  <c r="AJ52" i="8"/>
  <c r="AK52" i="8" s="1"/>
  <c r="AJ51" i="8"/>
  <c r="AK51" i="8" s="1"/>
  <c r="AJ50" i="8"/>
  <c r="AK50" i="8" s="1"/>
  <c r="AJ49" i="8"/>
  <c r="AK49" i="8" s="1"/>
  <c r="AJ48" i="8"/>
  <c r="AK48" i="8" s="1"/>
  <c r="AJ47" i="8"/>
  <c r="AK47" i="8" s="1"/>
  <c r="AJ46" i="8"/>
  <c r="AK46" i="8" s="1"/>
  <c r="AJ45" i="8"/>
  <c r="AK45" i="8" s="1"/>
  <c r="AJ44" i="8"/>
  <c r="AK44" i="8" s="1"/>
  <c r="AJ43" i="8"/>
  <c r="AK43" i="8" s="1"/>
  <c r="AJ42" i="8"/>
  <c r="AK42" i="8" s="1"/>
  <c r="AJ41" i="8"/>
  <c r="AK41" i="8" s="1"/>
  <c r="AJ40" i="8"/>
  <c r="AK40" i="8" s="1"/>
  <c r="AJ39" i="8"/>
  <c r="AK39" i="8" s="1"/>
  <c r="AJ38" i="8"/>
  <c r="AK38" i="8" s="1"/>
  <c r="AJ37" i="8"/>
  <c r="AK37" i="8" s="1"/>
  <c r="AJ36" i="8"/>
  <c r="AK36" i="8" s="1"/>
  <c r="AJ35" i="8"/>
  <c r="AK35" i="8" s="1"/>
  <c r="AJ34" i="8"/>
  <c r="AK34" i="8" s="1"/>
  <c r="AJ33" i="8"/>
  <c r="AK33" i="8" s="1"/>
  <c r="AJ32" i="8"/>
  <c r="AK32" i="8" s="1"/>
  <c r="AJ31" i="8"/>
  <c r="AK31" i="8" s="1"/>
  <c r="AJ30" i="8"/>
  <c r="AK30" i="8" s="1"/>
  <c r="AJ29" i="8"/>
  <c r="AK29" i="8" s="1"/>
  <c r="AJ28" i="8"/>
  <c r="AK28" i="8" s="1"/>
  <c r="AJ27" i="8"/>
  <c r="AK27" i="8" s="1"/>
  <c r="AJ26" i="8"/>
  <c r="AK26" i="8" s="1"/>
  <c r="AJ25" i="8"/>
  <c r="AK25" i="8" s="1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AI13" i="8"/>
  <c r="AI16" i="8" s="1"/>
  <c r="AI17" i="8" s="1"/>
  <c r="AH13" i="8"/>
  <c r="AG13" i="8"/>
  <c r="AG16" i="8" s="1"/>
  <c r="AG17" i="8" s="1"/>
  <c r="AF13" i="8"/>
  <c r="AE13" i="8"/>
  <c r="AE16" i="8" s="1"/>
  <c r="AE17" i="8" s="1"/>
  <c r="AD13" i="8"/>
  <c r="AC13" i="8"/>
  <c r="AC16" i="8" s="1"/>
  <c r="AC17" i="8" s="1"/>
  <c r="AB13" i="8"/>
  <c r="AA13" i="8"/>
  <c r="AA16" i="8" s="1"/>
  <c r="AA17" i="8" s="1"/>
  <c r="Z13" i="8"/>
  <c r="Y13" i="8"/>
  <c r="Y16" i="8" s="1"/>
  <c r="Y17" i="8" s="1"/>
  <c r="X13" i="8"/>
  <c r="W13" i="8"/>
  <c r="W16" i="8" s="1"/>
  <c r="W17" i="8" s="1"/>
  <c r="V13" i="8"/>
  <c r="U13" i="8"/>
  <c r="U16" i="8" s="1"/>
  <c r="U17" i="8" s="1"/>
  <c r="T13" i="8"/>
  <c r="S13" i="8"/>
  <c r="S16" i="8" s="1"/>
  <c r="S17" i="8" s="1"/>
  <c r="R13" i="8"/>
  <c r="Q13" i="8"/>
  <c r="Q16" i="8" s="1"/>
  <c r="Q17" i="8" s="1"/>
  <c r="P13" i="8"/>
  <c r="O13" i="8"/>
  <c r="O16" i="8" s="1"/>
  <c r="O17" i="8" s="1"/>
  <c r="N13" i="8"/>
  <c r="M13" i="8"/>
  <c r="M16" i="8" s="1"/>
  <c r="M17" i="8" s="1"/>
  <c r="L13" i="8"/>
  <c r="K13" i="8"/>
  <c r="K16" i="8" s="1"/>
  <c r="K17" i="8" s="1"/>
  <c r="J13" i="8"/>
  <c r="I13" i="8"/>
  <c r="I16" i="8" s="1"/>
  <c r="I17" i="8" s="1"/>
  <c r="H13" i="8"/>
  <c r="G13" i="8"/>
  <c r="G16" i="8" s="1"/>
  <c r="G17" i="8" s="1"/>
  <c r="F13" i="8"/>
  <c r="E13" i="8"/>
  <c r="E16" i="8" s="1"/>
  <c r="R5" i="8"/>
  <c r="AI81" i="7"/>
  <c r="AJ81" i="7" s="1"/>
  <c r="AI80" i="7"/>
  <c r="AJ80" i="7" s="1"/>
  <c r="AI79" i="7"/>
  <c r="AJ79" i="7" s="1"/>
  <c r="AI78" i="7"/>
  <c r="AJ78" i="7" s="1"/>
  <c r="AI77" i="7"/>
  <c r="AJ77" i="7" s="1"/>
  <c r="AI76" i="7"/>
  <c r="AJ76" i="7" s="1"/>
  <c r="AI75" i="7"/>
  <c r="AJ75" i="7" s="1"/>
  <c r="AI74" i="7"/>
  <c r="AJ74" i="7" s="1"/>
  <c r="AI73" i="7"/>
  <c r="AJ73" i="7" s="1"/>
  <c r="AI72" i="7"/>
  <c r="AJ72" i="7" s="1"/>
  <c r="AI71" i="7"/>
  <c r="AJ71" i="7" s="1"/>
  <c r="AI70" i="7"/>
  <c r="AJ70" i="7" s="1"/>
  <c r="AI69" i="7"/>
  <c r="AJ69" i="7" s="1"/>
  <c r="AI68" i="7"/>
  <c r="AJ68" i="7" s="1"/>
  <c r="AI67" i="7"/>
  <c r="AJ67" i="7" s="1"/>
  <c r="AI66" i="7"/>
  <c r="AJ66" i="7" s="1"/>
  <c r="AI65" i="7"/>
  <c r="AJ65" i="7" s="1"/>
  <c r="AI64" i="7"/>
  <c r="AJ64" i="7" s="1"/>
  <c r="AI63" i="7"/>
  <c r="AJ63" i="7" s="1"/>
  <c r="AI62" i="7"/>
  <c r="AJ62" i="7" s="1"/>
  <c r="AI61" i="7"/>
  <c r="AJ61" i="7" s="1"/>
  <c r="AI60" i="7"/>
  <c r="AJ60" i="7" s="1"/>
  <c r="AI59" i="7"/>
  <c r="AJ59" i="7" s="1"/>
  <c r="AI58" i="7"/>
  <c r="AJ58" i="7" s="1"/>
  <c r="AI57" i="7"/>
  <c r="AJ57" i="7" s="1"/>
  <c r="AI56" i="7"/>
  <c r="AJ56" i="7" s="1"/>
  <c r="AI55" i="7"/>
  <c r="AJ55" i="7" s="1"/>
  <c r="AI54" i="7"/>
  <c r="AJ54" i="7" s="1"/>
  <c r="AI53" i="7"/>
  <c r="AJ53" i="7" s="1"/>
  <c r="AI52" i="7"/>
  <c r="AJ52" i="7" s="1"/>
  <c r="AI51" i="7"/>
  <c r="AJ51" i="7" s="1"/>
  <c r="AI50" i="7"/>
  <c r="AJ50" i="7" s="1"/>
  <c r="AI49" i="7"/>
  <c r="AJ49" i="7" s="1"/>
  <c r="AI48" i="7"/>
  <c r="AJ48" i="7" s="1"/>
  <c r="AI47" i="7"/>
  <c r="AJ47" i="7" s="1"/>
  <c r="AI46" i="7"/>
  <c r="AJ46" i="7" s="1"/>
  <c r="AI45" i="7"/>
  <c r="AJ45" i="7" s="1"/>
  <c r="AI44" i="7"/>
  <c r="AJ44" i="7" s="1"/>
  <c r="AI43" i="7"/>
  <c r="AJ43" i="7" s="1"/>
  <c r="AI42" i="7"/>
  <c r="AJ42" i="7" s="1"/>
  <c r="AI41" i="7"/>
  <c r="AJ41" i="7" s="1"/>
  <c r="AI40" i="7"/>
  <c r="AJ40" i="7" s="1"/>
  <c r="AI39" i="7"/>
  <c r="AJ39" i="7" s="1"/>
  <c r="AI38" i="7"/>
  <c r="AJ38" i="7" s="1"/>
  <c r="AI37" i="7"/>
  <c r="AJ37" i="7" s="1"/>
  <c r="AI36" i="7"/>
  <c r="AJ36" i="7" s="1"/>
  <c r="AI35" i="7"/>
  <c r="AJ35" i="7" s="1"/>
  <c r="AI34" i="7"/>
  <c r="AJ34" i="7" s="1"/>
  <c r="AI33" i="7"/>
  <c r="AJ33" i="7" s="1"/>
  <c r="AI32" i="7"/>
  <c r="AJ32" i="7" s="1"/>
  <c r="AI31" i="7"/>
  <c r="AJ31" i="7" s="1"/>
  <c r="AI30" i="7"/>
  <c r="AJ30" i="7" s="1"/>
  <c r="AI29" i="7"/>
  <c r="AJ29" i="7" s="1"/>
  <c r="AI28" i="7"/>
  <c r="AJ28" i="7" s="1"/>
  <c r="AI27" i="7"/>
  <c r="AJ27" i="7" s="1"/>
  <c r="AI26" i="7"/>
  <c r="AJ26" i="7" s="1"/>
  <c r="AI25" i="7"/>
  <c r="AJ25" i="7" s="1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AH13" i="7"/>
  <c r="AH16" i="7" s="1"/>
  <c r="AH17" i="7" s="1"/>
  <c r="AG13" i="7"/>
  <c r="AF13" i="7"/>
  <c r="AF16" i="7" s="1"/>
  <c r="AF17" i="7" s="1"/>
  <c r="AE13" i="7"/>
  <c r="AD13" i="7"/>
  <c r="AD16" i="7" s="1"/>
  <c r="AD17" i="7" s="1"/>
  <c r="AC13" i="7"/>
  <c r="AB13" i="7"/>
  <c r="AB16" i="7" s="1"/>
  <c r="AB17" i="7" s="1"/>
  <c r="AA13" i="7"/>
  <c r="Z13" i="7"/>
  <c r="Z16" i="7" s="1"/>
  <c r="Z17" i="7" s="1"/>
  <c r="Y13" i="7"/>
  <c r="X13" i="7"/>
  <c r="X16" i="7" s="1"/>
  <c r="X17" i="7" s="1"/>
  <c r="W13" i="7"/>
  <c r="W16" i="7" s="1"/>
  <c r="W17" i="7" s="1"/>
  <c r="V13" i="7"/>
  <c r="V16" i="7" s="1"/>
  <c r="V17" i="7" s="1"/>
  <c r="U13" i="7"/>
  <c r="U16" i="7" s="1"/>
  <c r="U17" i="7" s="1"/>
  <c r="T13" i="7"/>
  <c r="T16" i="7" s="1"/>
  <c r="T17" i="7" s="1"/>
  <c r="S13" i="7"/>
  <c r="S16" i="7" s="1"/>
  <c r="S17" i="7" s="1"/>
  <c r="R13" i="7"/>
  <c r="R16" i="7" s="1"/>
  <c r="R17" i="7" s="1"/>
  <c r="Q13" i="7"/>
  <c r="Q16" i="7" s="1"/>
  <c r="Q17" i="7" s="1"/>
  <c r="P13" i="7"/>
  <c r="P16" i="7" s="1"/>
  <c r="P17" i="7" s="1"/>
  <c r="O13" i="7"/>
  <c r="O16" i="7" s="1"/>
  <c r="O17" i="7" s="1"/>
  <c r="N13" i="7"/>
  <c r="N16" i="7" s="1"/>
  <c r="N17" i="7" s="1"/>
  <c r="M13" i="7"/>
  <c r="M16" i="7" s="1"/>
  <c r="M17" i="7" s="1"/>
  <c r="L13" i="7"/>
  <c r="L16" i="7" s="1"/>
  <c r="L17" i="7" s="1"/>
  <c r="K13" i="7"/>
  <c r="K16" i="7" s="1"/>
  <c r="K17" i="7" s="1"/>
  <c r="J13" i="7"/>
  <c r="J16" i="7" s="1"/>
  <c r="J17" i="7" s="1"/>
  <c r="I13" i="7"/>
  <c r="I16" i="7" s="1"/>
  <c r="I17" i="7" s="1"/>
  <c r="H13" i="7"/>
  <c r="H16" i="7" s="1"/>
  <c r="H17" i="7" s="1"/>
  <c r="G13" i="7"/>
  <c r="G16" i="7" s="1"/>
  <c r="G17" i="7" s="1"/>
  <c r="F13" i="7"/>
  <c r="F16" i="7" s="1"/>
  <c r="F17" i="7" s="1"/>
  <c r="E13" i="7"/>
  <c r="E16" i="7" s="1"/>
  <c r="R5" i="7"/>
  <c r="AJ81" i="6"/>
  <c r="AK81" i="6" s="1"/>
  <c r="AJ80" i="6"/>
  <c r="AK80" i="6" s="1"/>
  <c r="AJ79" i="6"/>
  <c r="AK79" i="6" s="1"/>
  <c r="AJ78" i="6"/>
  <c r="AK78" i="6" s="1"/>
  <c r="AJ77" i="6"/>
  <c r="AK77" i="6" s="1"/>
  <c r="AJ76" i="6"/>
  <c r="AK76" i="6" s="1"/>
  <c r="AJ75" i="6"/>
  <c r="AK75" i="6" s="1"/>
  <c r="AJ74" i="6"/>
  <c r="AK74" i="6" s="1"/>
  <c r="AJ73" i="6"/>
  <c r="AK73" i="6" s="1"/>
  <c r="AJ72" i="6"/>
  <c r="AK72" i="6" s="1"/>
  <c r="AJ71" i="6"/>
  <c r="AK71" i="6" s="1"/>
  <c r="AJ70" i="6"/>
  <c r="AK70" i="6" s="1"/>
  <c r="AJ69" i="6"/>
  <c r="AK69" i="6" s="1"/>
  <c r="AJ68" i="6"/>
  <c r="AK68" i="6" s="1"/>
  <c r="AJ67" i="6"/>
  <c r="AK67" i="6" s="1"/>
  <c r="AJ66" i="6"/>
  <c r="AK66" i="6" s="1"/>
  <c r="AJ65" i="6"/>
  <c r="AK65" i="6" s="1"/>
  <c r="AJ64" i="6"/>
  <c r="AK64" i="6" s="1"/>
  <c r="AJ63" i="6"/>
  <c r="AK63" i="6" s="1"/>
  <c r="AJ62" i="6"/>
  <c r="AK62" i="6" s="1"/>
  <c r="AJ61" i="6"/>
  <c r="AK61" i="6" s="1"/>
  <c r="AJ60" i="6"/>
  <c r="AK60" i="6" s="1"/>
  <c r="AJ59" i="6"/>
  <c r="AK59" i="6" s="1"/>
  <c r="AJ58" i="6"/>
  <c r="AK58" i="6" s="1"/>
  <c r="AJ57" i="6"/>
  <c r="AK57" i="6" s="1"/>
  <c r="AJ56" i="6"/>
  <c r="AK56" i="6" s="1"/>
  <c r="AJ55" i="6"/>
  <c r="AK55" i="6" s="1"/>
  <c r="AJ54" i="6"/>
  <c r="AK54" i="6" s="1"/>
  <c r="AJ53" i="6"/>
  <c r="AK53" i="6" s="1"/>
  <c r="AJ52" i="6"/>
  <c r="AK52" i="6" s="1"/>
  <c r="AJ51" i="6"/>
  <c r="AK51" i="6" s="1"/>
  <c r="AJ50" i="6"/>
  <c r="AK50" i="6" s="1"/>
  <c r="AJ49" i="6"/>
  <c r="AK49" i="6" s="1"/>
  <c r="AJ48" i="6"/>
  <c r="AK48" i="6" s="1"/>
  <c r="AJ47" i="6"/>
  <c r="AK47" i="6" s="1"/>
  <c r="AJ46" i="6"/>
  <c r="AK46" i="6" s="1"/>
  <c r="AJ45" i="6"/>
  <c r="AK45" i="6" s="1"/>
  <c r="AJ44" i="6"/>
  <c r="AK44" i="6" s="1"/>
  <c r="AJ43" i="6"/>
  <c r="AK43" i="6" s="1"/>
  <c r="AJ42" i="6"/>
  <c r="AK42" i="6" s="1"/>
  <c r="AJ41" i="6"/>
  <c r="AK41" i="6" s="1"/>
  <c r="AJ40" i="6"/>
  <c r="AK40" i="6" s="1"/>
  <c r="AJ39" i="6"/>
  <c r="AK39" i="6" s="1"/>
  <c r="AJ38" i="6"/>
  <c r="AK38" i="6" s="1"/>
  <c r="AJ37" i="6"/>
  <c r="AK37" i="6" s="1"/>
  <c r="AJ36" i="6"/>
  <c r="AK36" i="6" s="1"/>
  <c r="AJ35" i="6"/>
  <c r="AK35" i="6" s="1"/>
  <c r="AJ34" i="6"/>
  <c r="AK34" i="6" s="1"/>
  <c r="AJ33" i="6"/>
  <c r="AK33" i="6" s="1"/>
  <c r="AJ32" i="6"/>
  <c r="AK32" i="6" s="1"/>
  <c r="AJ31" i="6"/>
  <c r="AK31" i="6" s="1"/>
  <c r="AJ30" i="6"/>
  <c r="AK30" i="6" s="1"/>
  <c r="AJ29" i="6"/>
  <c r="AK29" i="6" s="1"/>
  <c r="AJ28" i="6"/>
  <c r="AK28" i="6" s="1"/>
  <c r="AJ27" i="6"/>
  <c r="AK27" i="6" s="1"/>
  <c r="AJ26" i="6"/>
  <c r="AK26" i="6" s="1"/>
  <c r="AJ25" i="6"/>
  <c r="AK25" i="6" s="1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AI13" i="6"/>
  <c r="AH13" i="6"/>
  <c r="AH16" i="6" s="1"/>
  <c r="AH17" i="6" s="1"/>
  <c r="AG13" i="6"/>
  <c r="AF13" i="6"/>
  <c r="AF16" i="6" s="1"/>
  <c r="AF17" i="6" s="1"/>
  <c r="AE13" i="6"/>
  <c r="AD13" i="6"/>
  <c r="AD16" i="6" s="1"/>
  <c r="AD17" i="6" s="1"/>
  <c r="AC13" i="6"/>
  <c r="AB13" i="6"/>
  <c r="AB16" i="6" s="1"/>
  <c r="AB17" i="6" s="1"/>
  <c r="AA13" i="6"/>
  <c r="Z13" i="6"/>
  <c r="Z16" i="6" s="1"/>
  <c r="Z17" i="6" s="1"/>
  <c r="Y13" i="6"/>
  <c r="X13" i="6"/>
  <c r="X16" i="6" s="1"/>
  <c r="X17" i="6" s="1"/>
  <c r="W13" i="6"/>
  <c r="V13" i="6"/>
  <c r="V16" i="6" s="1"/>
  <c r="V17" i="6" s="1"/>
  <c r="U13" i="6"/>
  <c r="T13" i="6"/>
  <c r="T16" i="6" s="1"/>
  <c r="T17" i="6" s="1"/>
  <c r="S13" i="6"/>
  <c r="R13" i="6"/>
  <c r="R16" i="6" s="1"/>
  <c r="R17" i="6" s="1"/>
  <c r="Q13" i="6"/>
  <c r="P13" i="6"/>
  <c r="P16" i="6" s="1"/>
  <c r="P17" i="6" s="1"/>
  <c r="O13" i="6"/>
  <c r="N13" i="6"/>
  <c r="N16" i="6" s="1"/>
  <c r="N17" i="6" s="1"/>
  <c r="M13" i="6"/>
  <c r="L13" i="6"/>
  <c r="L16" i="6" s="1"/>
  <c r="L17" i="6" s="1"/>
  <c r="K13" i="6"/>
  <c r="J13" i="6"/>
  <c r="J16" i="6" s="1"/>
  <c r="J17" i="6" s="1"/>
  <c r="I13" i="6"/>
  <c r="H13" i="6"/>
  <c r="H16" i="6" s="1"/>
  <c r="H17" i="6" s="1"/>
  <c r="G13" i="6"/>
  <c r="F13" i="6"/>
  <c r="F16" i="6" s="1"/>
  <c r="F17" i="6" s="1"/>
  <c r="E13" i="6"/>
  <c r="R5" i="6"/>
  <c r="R5" i="2"/>
  <c r="R5" i="3"/>
  <c r="R5" i="4"/>
  <c r="R5" i="5"/>
  <c r="AI81" i="5"/>
  <c r="AJ81" i="5" s="1"/>
  <c r="AI80" i="5"/>
  <c r="AJ80" i="5" s="1"/>
  <c r="AI79" i="5"/>
  <c r="AJ79" i="5" s="1"/>
  <c r="AI78" i="5"/>
  <c r="AJ78" i="5" s="1"/>
  <c r="AI77" i="5"/>
  <c r="AJ77" i="5" s="1"/>
  <c r="AI76" i="5"/>
  <c r="AJ76" i="5" s="1"/>
  <c r="AI75" i="5"/>
  <c r="AJ75" i="5" s="1"/>
  <c r="AI74" i="5"/>
  <c r="AJ74" i="5" s="1"/>
  <c r="AI73" i="5"/>
  <c r="AJ73" i="5" s="1"/>
  <c r="AI72" i="5"/>
  <c r="AJ72" i="5" s="1"/>
  <c r="AI71" i="5"/>
  <c r="AJ71" i="5" s="1"/>
  <c r="AI70" i="5"/>
  <c r="AJ70" i="5" s="1"/>
  <c r="AI69" i="5"/>
  <c r="AJ69" i="5" s="1"/>
  <c r="AI68" i="5"/>
  <c r="AJ68" i="5" s="1"/>
  <c r="AI67" i="5"/>
  <c r="AJ67" i="5" s="1"/>
  <c r="AI66" i="5"/>
  <c r="AJ66" i="5" s="1"/>
  <c r="AI65" i="5"/>
  <c r="AJ65" i="5" s="1"/>
  <c r="AI64" i="5"/>
  <c r="AJ64" i="5" s="1"/>
  <c r="AI63" i="5"/>
  <c r="AJ63" i="5" s="1"/>
  <c r="AI62" i="5"/>
  <c r="AJ62" i="5" s="1"/>
  <c r="AI61" i="5"/>
  <c r="AJ61" i="5" s="1"/>
  <c r="AI60" i="5"/>
  <c r="AJ60" i="5" s="1"/>
  <c r="AI59" i="5"/>
  <c r="AJ59" i="5" s="1"/>
  <c r="AI58" i="5"/>
  <c r="AJ58" i="5" s="1"/>
  <c r="AI57" i="5"/>
  <c r="AJ57" i="5" s="1"/>
  <c r="AI56" i="5"/>
  <c r="AJ56" i="5" s="1"/>
  <c r="AI55" i="5"/>
  <c r="AJ55" i="5" s="1"/>
  <c r="AI54" i="5"/>
  <c r="AJ54" i="5" s="1"/>
  <c r="AI53" i="5"/>
  <c r="AJ53" i="5" s="1"/>
  <c r="AI52" i="5"/>
  <c r="AJ52" i="5" s="1"/>
  <c r="AI51" i="5"/>
  <c r="AJ51" i="5" s="1"/>
  <c r="AI50" i="5"/>
  <c r="AJ50" i="5" s="1"/>
  <c r="AI49" i="5"/>
  <c r="AJ49" i="5" s="1"/>
  <c r="AI48" i="5"/>
  <c r="AJ48" i="5" s="1"/>
  <c r="AI47" i="5"/>
  <c r="AJ47" i="5" s="1"/>
  <c r="AI46" i="5"/>
  <c r="AJ46" i="5" s="1"/>
  <c r="AI45" i="5"/>
  <c r="AJ45" i="5" s="1"/>
  <c r="AI44" i="5"/>
  <c r="AJ44" i="5" s="1"/>
  <c r="AI43" i="5"/>
  <c r="AJ43" i="5" s="1"/>
  <c r="AI42" i="5"/>
  <c r="AJ42" i="5" s="1"/>
  <c r="AI41" i="5"/>
  <c r="AJ41" i="5" s="1"/>
  <c r="AI40" i="5"/>
  <c r="AJ40" i="5" s="1"/>
  <c r="AI39" i="5"/>
  <c r="AJ39" i="5" s="1"/>
  <c r="AI38" i="5"/>
  <c r="AJ38" i="5" s="1"/>
  <c r="AI37" i="5"/>
  <c r="AJ37" i="5" s="1"/>
  <c r="AI36" i="5"/>
  <c r="AJ36" i="5" s="1"/>
  <c r="AI35" i="5"/>
  <c r="AJ35" i="5" s="1"/>
  <c r="AI34" i="5"/>
  <c r="AJ34" i="5" s="1"/>
  <c r="AI33" i="5"/>
  <c r="AJ33" i="5" s="1"/>
  <c r="AI32" i="5"/>
  <c r="AJ32" i="5" s="1"/>
  <c r="AI31" i="5"/>
  <c r="AJ31" i="5" s="1"/>
  <c r="AI30" i="5"/>
  <c r="AJ30" i="5" s="1"/>
  <c r="AI29" i="5"/>
  <c r="AJ29" i="5" s="1"/>
  <c r="AI28" i="5"/>
  <c r="AJ28" i="5" s="1"/>
  <c r="AI27" i="5"/>
  <c r="AJ27" i="5" s="1"/>
  <c r="AI26" i="5"/>
  <c r="AJ26" i="5" s="1"/>
  <c r="AI25" i="5"/>
  <c r="AJ25" i="5" s="1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H13" i="5"/>
  <c r="AH16" i="5" s="1"/>
  <c r="AH17" i="5" s="1"/>
  <c r="AG13" i="5"/>
  <c r="AF13" i="5"/>
  <c r="AF16" i="5" s="1"/>
  <c r="AF17" i="5" s="1"/>
  <c r="AE13" i="5"/>
  <c r="AD13" i="5"/>
  <c r="AD16" i="5" s="1"/>
  <c r="AD17" i="5" s="1"/>
  <c r="AC13" i="5"/>
  <c r="AB13" i="5"/>
  <c r="AB16" i="5" s="1"/>
  <c r="AB17" i="5" s="1"/>
  <c r="AA13" i="5"/>
  <c r="Z13" i="5"/>
  <c r="Z16" i="5" s="1"/>
  <c r="Z17" i="5" s="1"/>
  <c r="Y13" i="5"/>
  <c r="Y16" i="5" s="1"/>
  <c r="Y17" i="5" s="1"/>
  <c r="X13" i="5"/>
  <c r="X16" i="5" s="1"/>
  <c r="X17" i="5" s="1"/>
  <c r="W13" i="5"/>
  <c r="W16" i="5" s="1"/>
  <c r="W17" i="5" s="1"/>
  <c r="V13" i="5"/>
  <c r="V16" i="5" s="1"/>
  <c r="V17" i="5" s="1"/>
  <c r="U13" i="5"/>
  <c r="U16" i="5" s="1"/>
  <c r="U17" i="5" s="1"/>
  <c r="T13" i="5"/>
  <c r="T16" i="5" s="1"/>
  <c r="T17" i="5" s="1"/>
  <c r="S13" i="5"/>
  <c r="S16" i="5" s="1"/>
  <c r="S17" i="5" s="1"/>
  <c r="R13" i="5"/>
  <c r="R16" i="5" s="1"/>
  <c r="R17" i="5" s="1"/>
  <c r="Q13" i="5"/>
  <c r="Q16" i="5" s="1"/>
  <c r="Q17" i="5" s="1"/>
  <c r="P13" i="5"/>
  <c r="P16" i="5" s="1"/>
  <c r="P17" i="5" s="1"/>
  <c r="O13" i="5"/>
  <c r="O16" i="5" s="1"/>
  <c r="O17" i="5" s="1"/>
  <c r="N13" i="5"/>
  <c r="N16" i="5" s="1"/>
  <c r="N17" i="5" s="1"/>
  <c r="M13" i="5"/>
  <c r="M16" i="5" s="1"/>
  <c r="M17" i="5" s="1"/>
  <c r="L13" i="5"/>
  <c r="L16" i="5" s="1"/>
  <c r="L17" i="5" s="1"/>
  <c r="K13" i="5"/>
  <c r="K16" i="5" s="1"/>
  <c r="K17" i="5" s="1"/>
  <c r="J13" i="5"/>
  <c r="J16" i="5" s="1"/>
  <c r="J17" i="5" s="1"/>
  <c r="I13" i="5"/>
  <c r="I16" i="5" s="1"/>
  <c r="I17" i="5" s="1"/>
  <c r="H13" i="5"/>
  <c r="H16" i="5" s="1"/>
  <c r="H17" i="5" s="1"/>
  <c r="G13" i="5"/>
  <c r="G16" i="5" s="1"/>
  <c r="G17" i="5" s="1"/>
  <c r="F13" i="5"/>
  <c r="F16" i="5" s="1"/>
  <c r="F17" i="5" s="1"/>
  <c r="E13" i="5"/>
  <c r="E16" i="5" s="1"/>
  <c r="E16" i="6" l="1"/>
  <c r="E17" i="6" s="1"/>
  <c r="D17" i="6" s="1"/>
  <c r="C17" i="6" s="1"/>
  <c r="G16" i="6"/>
  <c r="G17" i="6" s="1"/>
  <c r="I16" i="6"/>
  <c r="I17" i="6" s="1"/>
  <c r="K16" i="6"/>
  <c r="K17" i="6" s="1"/>
  <c r="M16" i="6"/>
  <c r="M17" i="6" s="1"/>
  <c r="O16" i="6"/>
  <c r="O17" i="6" s="1"/>
  <c r="Q16" i="6"/>
  <c r="Q17" i="6" s="1"/>
  <c r="S16" i="6"/>
  <c r="S17" i="6" s="1"/>
  <c r="U16" i="6"/>
  <c r="U17" i="6" s="1"/>
  <c r="W16" i="6"/>
  <c r="W17" i="6" s="1"/>
  <c r="Y16" i="6"/>
  <c r="Y17" i="6" s="1"/>
  <c r="AA16" i="6"/>
  <c r="AA17" i="6" s="1"/>
  <c r="AC16" i="6"/>
  <c r="AC17" i="6" s="1"/>
  <c r="AE16" i="6"/>
  <c r="AE17" i="6" s="1"/>
  <c r="AG16" i="6"/>
  <c r="AG17" i="6" s="1"/>
  <c r="AI16" i="6"/>
  <c r="AI17" i="6" s="1"/>
  <c r="Y16" i="7"/>
  <c r="Y17" i="7" s="1"/>
  <c r="AA16" i="7"/>
  <c r="AA17" i="7" s="1"/>
  <c r="AC16" i="7"/>
  <c r="AC17" i="7" s="1"/>
  <c r="AE16" i="7"/>
  <c r="AE17" i="7" s="1"/>
  <c r="AG16" i="7"/>
  <c r="AG17" i="7" s="1"/>
  <c r="F16" i="8"/>
  <c r="F17" i="8" s="1"/>
  <c r="H16" i="8"/>
  <c r="H17" i="8" s="1"/>
  <c r="J16" i="8"/>
  <c r="J17" i="8" s="1"/>
  <c r="L16" i="8"/>
  <c r="L17" i="8" s="1"/>
  <c r="N16" i="8"/>
  <c r="N17" i="8" s="1"/>
  <c r="P16" i="8"/>
  <c r="P17" i="8" s="1"/>
  <c r="R16" i="8"/>
  <c r="R17" i="8" s="1"/>
  <c r="T16" i="8"/>
  <c r="T17" i="8" s="1"/>
  <c r="V16" i="8"/>
  <c r="V17" i="8" s="1"/>
  <c r="X16" i="8"/>
  <c r="X17" i="8" s="1"/>
  <c r="Z16" i="8"/>
  <c r="Z17" i="8" s="1"/>
  <c r="AB16" i="8"/>
  <c r="AB17" i="8" s="1"/>
  <c r="AD16" i="8"/>
  <c r="AD17" i="8" s="1"/>
  <c r="AF16" i="8"/>
  <c r="AF17" i="8" s="1"/>
  <c r="AH16" i="8"/>
  <c r="AH17" i="8" s="1"/>
  <c r="E16" i="9"/>
  <c r="G16" i="9"/>
  <c r="G17" i="9" s="1"/>
  <c r="I16" i="9"/>
  <c r="I17" i="9" s="1"/>
  <c r="K16" i="9"/>
  <c r="K17" i="9" s="1"/>
  <c r="M16" i="9"/>
  <c r="M17" i="9" s="1"/>
  <c r="O16" i="9"/>
  <c r="O17" i="9" s="1"/>
  <c r="Q16" i="9"/>
  <c r="Q17" i="9" s="1"/>
  <c r="S16" i="9"/>
  <c r="S17" i="9" s="1"/>
  <c r="U16" i="9"/>
  <c r="U17" i="9" s="1"/>
  <c r="W16" i="9"/>
  <c r="W17" i="9" s="1"/>
  <c r="Y16" i="9"/>
  <c r="Y17" i="9" s="1"/>
  <c r="AA16" i="9"/>
  <c r="AA17" i="9" s="1"/>
  <c r="AC16" i="9"/>
  <c r="AC17" i="9" s="1"/>
  <c r="AE16" i="9"/>
  <c r="AE17" i="9" s="1"/>
  <c r="AG16" i="9"/>
  <c r="AG17" i="9" s="1"/>
  <c r="D17" i="10"/>
  <c r="C17" i="10" s="1"/>
  <c r="F16" i="9"/>
  <c r="F17" i="9" s="1"/>
  <c r="H16" i="9"/>
  <c r="H17" i="9" s="1"/>
  <c r="J16" i="9"/>
  <c r="J17" i="9" s="1"/>
  <c r="L16" i="9"/>
  <c r="L17" i="9" s="1"/>
  <c r="N16" i="9"/>
  <c r="N17" i="9" s="1"/>
  <c r="P16" i="9"/>
  <c r="P17" i="9" s="1"/>
  <c r="R16" i="9"/>
  <c r="R17" i="9" s="1"/>
  <c r="T16" i="9"/>
  <c r="T17" i="9" s="1"/>
  <c r="V16" i="9"/>
  <c r="V17" i="9" s="1"/>
  <c r="X16" i="9"/>
  <c r="X17" i="9" s="1"/>
  <c r="Z16" i="9"/>
  <c r="Z17" i="9" s="1"/>
  <c r="AB16" i="9"/>
  <c r="AB17" i="9" s="1"/>
  <c r="AD16" i="9"/>
  <c r="AD17" i="9" s="1"/>
  <c r="AF16" i="9"/>
  <c r="AF17" i="9" s="1"/>
  <c r="AH17" i="9"/>
  <c r="AI17" i="9"/>
  <c r="E17" i="9"/>
  <c r="AJ17" i="8"/>
  <c r="AK17" i="8"/>
  <c r="E17" i="8"/>
  <c r="D17" i="8" s="1"/>
  <c r="C17" i="8" s="1"/>
  <c r="AI17" i="7"/>
  <c r="AJ17" i="7"/>
  <c r="E17" i="7"/>
  <c r="D17" i="7" s="1"/>
  <c r="C17" i="7" s="1"/>
  <c r="AK17" i="6"/>
  <c r="AJ17" i="6"/>
  <c r="AA16" i="5"/>
  <c r="AA17" i="5" s="1"/>
  <c r="AC16" i="5"/>
  <c r="AC17" i="5" s="1"/>
  <c r="AE16" i="5"/>
  <c r="AE17" i="5" s="1"/>
  <c r="AG16" i="5"/>
  <c r="AG17" i="5" s="1"/>
  <c r="AI17" i="5"/>
  <c r="AJ17" i="5"/>
  <c r="E17" i="5"/>
  <c r="D17" i="5" l="1"/>
  <c r="C17" i="5" s="1"/>
  <c r="C17" i="9"/>
  <c r="D17" i="9"/>
  <c r="AJ25" i="4" l="1"/>
  <c r="AK25" i="4" s="1"/>
  <c r="AJ26" i="4"/>
  <c r="AK26" i="4" s="1"/>
  <c r="AJ27" i="4"/>
  <c r="AK27" i="4" s="1"/>
  <c r="AJ28" i="4"/>
  <c r="AK28" i="4" s="1"/>
  <c r="AJ29" i="4"/>
  <c r="AK29" i="4" s="1"/>
  <c r="AJ30" i="4"/>
  <c r="AK30" i="4" s="1"/>
  <c r="AJ31" i="4"/>
  <c r="AK31" i="4" s="1"/>
  <c r="AJ32" i="4"/>
  <c r="AK32" i="4" s="1"/>
  <c r="AJ33" i="4"/>
  <c r="AK33" i="4" s="1"/>
  <c r="AJ34" i="4"/>
  <c r="AK34" i="4" s="1"/>
  <c r="AJ35" i="4"/>
  <c r="AK35" i="4" s="1"/>
  <c r="AJ36" i="4"/>
  <c r="AK36" i="4" s="1"/>
  <c r="AJ37" i="4"/>
  <c r="AK37" i="4" s="1"/>
  <c r="AJ38" i="4"/>
  <c r="AK38" i="4" s="1"/>
  <c r="AJ39" i="4"/>
  <c r="AK39" i="4" s="1"/>
  <c r="AJ40" i="4"/>
  <c r="AK40" i="4" s="1"/>
  <c r="AJ41" i="4"/>
  <c r="AK41" i="4" s="1"/>
  <c r="AJ42" i="4"/>
  <c r="AK42" i="4" s="1"/>
  <c r="AJ43" i="4"/>
  <c r="AK43" i="4" s="1"/>
  <c r="AJ44" i="4"/>
  <c r="AK44" i="4" s="1"/>
  <c r="AJ45" i="4"/>
  <c r="AK45" i="4" s="1"/>
  <c r="AJ46" i="4"/>
  <c r="AK46" i="4" s="1"/>
  <c r="AJ47" i="4"/>
  <c r="AK47" i="4" s="1"/>
  <c r="AJ48" i="4"/>
  <c r="AK48" i="4" s="1"/>
  <c r="AJ49" i="4"/>
  <c r="AK49" i="4" s="1"/>
  <c r="AJ50" i="4"/>
  <c r="AK50" i="4" s="1"/>
  <c r="AJ51" i="4"/>
  <c r="AK51" i="4" s="1"/>
  <c r="AJ52" i="4"/>
  <c r="AK52" i="4" s="1"/>
  <c r="AJ53" i="4"/>
  <c r="AK53" i="4" s="1"/>
  <c r="AJ54" i="4"/>
  <c r="AK54" i="4" s="1"/>
  <c r="AJ55" i="4"/>
  <c r="AK55" i="4" s="1"/>
  <c r="AJ56" i="4"/>
  <c r="AK56" i="4" s="1"/>
  <c r="AJ57" i="4"/>
  <c r="AK57" i="4" s="1"/>
  <c r="AJ58" i="4"/>
  <c r="AK58" i="4" s="1"/>
  <c r="AJ59" i="4"/>
  <c r="AK59" i="4" s="1"/>
  <c r="AJ60" i="4"/>
  <c r="AK60" i="4" s="1"/>
  <c r="AJ61" i="4"/>
  <c r="AK61" i="4" s="1"/>
  <c r="AJ62" i="4"/>
  <c r="AK62" i="4" s="1"/>
  <c r="AJ63" i="4"/>
  <c r="AK63" i="4" s="1"/>
  <c r="AJ64" i="4"/>
  <c r="AK64" i="4" s="1"/>
  <c r="AJ65" i="4"/>
  <c r="AK65" i="4" s="1"/>
  <c r="AJ66" i="4"/>
  <c r="AK66" i="4" s="1"/>
  <c r="AJ67" i="4"/>
  <c r="AK67" i="4" s="1"/>
  <c r="AJ68" i="4"/>
  <c r="AK68" i="4" s="1"/>
  <c r="AJ69" i="4"/>
  <c r="AK69" i="4" s="1"/>
  <c r="AJ70" i="4"/>
  <c r="AK70" i="4" s="1"/>
  <c r="AJ71" i="4"/>
  <c r="AK71" i="4" s="1"/>
  <c r="AJ72" i="4"/>
  <c r="AK72" i="4" s="1"/>
  <c r="AJ73" i="4"/>
  <c r="AK73" i="4" s="1"/>
  <c r="AJ74" i="4"/>
  <c r="AK74" i="4" s="1"/>
  <c r="AJ75" i="4"/>
  <c r="AK75" i="4" s="1"/>
  <c r="AJ76" i="4"/>
  <c r="AK76" i="4" s="1"/>
  <c r="AJ77" i="4"/>
  <c r="AK77" i="4" s="1"/>
  <c r="AJ78" i="4"/>
  <c r="AK78" i="4" s="1"/>
  <c r="AJ79" i="4"/>
  <c r="AK79" i="4" s="1"/>
  <c r="AJ80" i="4"/>
  <c r="AK80" i="4" s="1"/>
  <c r="AJ81" i="4"/>
  <c r="AK81" i="4" s="1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K25" i="3" l="1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I25" i="2"/>
  <c r="AI26" i="2"/>
  <c r="AI27" i="2"/>
  <c r="AJ27" i="2" s="1"/>
  <c r="AI28" i="2"/>
  <c r="AJ28" i="2" s="1"/>
  <c r="AI29" i="2"/>
  <c r="AJ29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6" i="2"/>
  <c r="AJ36" i="2" s="1"/>
  <c r="AI37" i="2"/>
  <c r="AJ37" i="2" s="1"/>
  <c r="AI38" i="2"/>
  <c r="AJ38" i="2" s="1"/>
  <c r="AI39" i="2"/>
  <c r="AJ39" i="2" s="1"/>
  <c r="AI40" i="2"/>
  <c r="AJ40" i="2" s="1"/>
  <c r="AI41" i="2"/>
  <c r="AJ41" i="2" s="1"/>
  <c r="AI42" i="2"/>
  <c r="AJ42" i="2" s="1"/>
  <c r="AI43" i="2"/>
  <c r="AJ43" i="2" s="1"/>
  <c r="AI44" i="2"/>
  <c r="AJ44" i="2" s="1"/>
  <c r="AI45" i="2"/>
  <c r="AJ45" i="2" s="1"/>
  <c r="AI46" i="2"/>
  <c r="AJ46" i="2" s="1"/>
  <c r="AI47" i="2"/>
  <c r="AJ47" i="2" s="1"/>
  <c r="AI48" i="2"/>
  <c r="AJ48" i="2" s="1"/>
  <c r="AI49" i="2"/>
  <c r="AJ49" i="2" s="1"/>
  <c r="AI50" i="2"/>
  <c r="AJ50" i="2" s="1"/>
  <c r="AI51" i="2"/>
  <c r="AJ51" i="2" s="1"/>
  <c r="AI52" i="2"/>
  <c r="AJ52" i="2" s="1"/>
  <c r="AI53" i="2"/>
  <c r="AJ53" i="2" s="1"/>
  <c r="AI54" i="2"/>
  <c r="AJ54" i="2" s="1"/>
  <c r="AI55" i="2"/>
  <c r="AJ55" i="2" s="1"/>
  <c r="AI56" i="2"/>
  <c r="AJ56" i="2" s="1"/>
  <c r="AI57" i="2"/>
  <c r="AJ57" i="2" s="1"/>
  <c r="AI58" i="2"/>
  <c r="AJ58" i="2" s="1"/>
  <c r="AI59" i="2"/>
  <c r="AJ59" i="2" s="1"/>
  <c r="AI60" i="2"/>
  <c r="AJ60" i="2" s="1"/>
  <c r="AI61" i="2"/>
  <c r="AJ61" i="2" s="1"/>
  <c r="AI62" i="2"/>
  <c r="AJ62" i="2" s="1"/>
  <c r="AI63" i="2"/>
  <c r="AJ63" i="2" s="1"/>
  <c r="AI64" i="2"/>
  <c r="AJ64" i="2" s="1"/>
  <c r="AI65" i="2"/>
  <c r="AJ65" i="2" s="1"/>
  <c r="AI66" i="2"/>
  <c r="AJ66" i="2" s="1"/>
  <c r="AI67" i="2"/>
  <c r="AJ67" i="2" s="1"/>
  <c r="AI68" i="2"/>
  <c r="AJ68" i="2" s="1"/>
  <c r="AI69" i="2"/>
  <c r="AJ69" i="2" s="1"/>
  <c r="AI70" i="2"/>
  <c r="AJ70" i="2" s="1"/>
  <c r="AI71" i="2"/>
  <c r="AJ71" i="2" s="1"/>
  <c r="AI72" i="2"/>
  <c r="AJ72" i="2" s="1"/>
  <c r="AI73" i="2"/>
  <c r="AJ73" i="2" s="1"/>
  <c r="AI74" i="2"/>
  <c r="AJ74" i="2" s="1"/>
  <c r="AI75" i="2"/>
  <c r="AJ75" i="2" s="1"/>
  <c r="AI76" i="2"/>
  <c r="AJ76" i="2" s="1"/>
  <c r="AI77" i="2"/>
  <c r="AJ77" i="2" s="1"/>
  <c r="AI78" i="2"/>
  <c r="AJ78" i="2" s="1"/>
  <c r="AI79" i="2"/>
  <c r="AJ79" i="2" s="1"/>
  <c r="AI80" i="2"/>
  <c r="AJ80" i="2" s="1"/>
  <c r="AI81" i="2"/>
  <c r="AJ81" i="2" s="1"/>
  <c r="AJ26" i="2"/>
  <c r="AJ25" i="2" l="1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H13" i="2"/>
  <c r="AG13" i="2"/>
  <c r="AG16" i="2" s="1"/>
  <c r="AG17" i="2" s="1"/>
  <c r="AF13" i="2"/>
  <c r="AF16" i="2" s="1"/>
  <c r="AF17" i="2" s="1"/>
  <c r="AE13" i="2"/>
  <c r="AE16" i="2" s="1"/>
  <c r="AE17" i="2" s="1"/>
  <c r="AD13" i="2"/>
  <c r="AC13" i="2"/>
  <c r="AC16" i="2" s="1"/>
  <c r="AC17" i="2" s="1"/>
  <c r="AB13" i="2"/>
  <c r="AB16" i="2" s="1"/>
  <c r="AB17" i="2" s="1"/>
  <c r="AA13" i="2"/>
  <c r="AA16" i="2" s="1"/>
  <c r="AA17" i="2" s="1"/>
  <c r="Z13" i="2"/>
  <c r="Y13" i="2"/>
  <c r="Y16" i="2" s="1"/>
  <c r="Y17" i="2" s="1"/>
  <c r="X13" i="2"/>
  <c r="X16" i="2" s="1"/>
  <c r="X17" i="2" s="1"/>
  <c r="W13" i="2"/>
  <c r="W16" i="2" s="1"/>
  <c r="W17" i="2" s="1"/>
  <c r="V13" i="2"/>
  <c r="V16" i="2" s="1"/>
  <c r="V17" i="2" s="1"/>
  <c r="U13" i="2"/>
  <c r="U16" i="2" s="1"/>
  <c r="U17" i="2" s="1"/>
  <c r="T13" i="2"/>
  <c r="T16" i="2" s="1"/>
  <c r="T17" i="2" s="1"/>
  <c r="S13" i="2"/>
  <c r="S16" i="2" s="1"/>
  <c r="S17" i="2" s="1"/>
  <c r="R13" i="2"/>
  <c r="R16" i="2" s="1"/>
  <c r="R17" i="2" s="1"/>
  <c r="Q13" i="2"/>
  <c r="Q16" i="2" s="1"/>
  <c r="Q17" i="2" s="1"/>
  <c r="P13" i="2"/>
  <c r="P16" i="2" s="1"/>
  <c r="P17" i="2" s="1"/>
  <c r="O13" i="2"/>
  <c r="O16" i="2" s="1"/>
  <c r="O17" i="2" s="1"/>
  <c r="N13" i="2"/>
  <c r="N16" i="2" s="1"/>
  <c r="N17" i="2" s="1"/>
  <c r="M13" i="2"/>
  <c r="M16" i="2" s="1"/>
  <c r="M17" i="2" s="1"/>
  <c r="L13" i="2"/>
  <c r="L16" i="2" s="1"/>
  <c r="L17" i="2" s="1"/>
  <c r="K13" i="2"/>
  <c r="K16" i="2" s="1"/>
  <c r="K17" i="2" s="1"/>
  <c r="J13" i="2"/>
  <c r="J16" i="2" s="1"/>
  <c r="J17" i="2" s="1"/>
  <c r="I13" i="2"/>
  <c r="I16" i="2" s="1"/>
  <c r="I17" i="2" s="1"/>
  <c r="H13" i="2"/>
  <c r="H16" i="2" s="1"/>
  <c r="H17" i="2" s="1"/>
  <c r="G13" i="2"/>
  <c r="G16" i="2" s="1"/>
  <c r="G17" i="2" s="1"/>
  <c r="F13" i="2"/>
  <c r="F16" i="2" s="1"/>
  <c r="F17" i="2" s="1"/>
  <c r="E13" i="2"/>
  <c r="E16" i="2" s="1"/>
  <c r="AK17" i="3"/>
  <c r="AJ17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I14" i="3"/>
  <c r="AI16" i="3" s="1"/>
  <c r="AI17" i="3" s="1"/>
  <c r="AH14" i="3"/>
  <c r="AG14" i="3"/>
  <c r="AG16" i="3" s="1"/>
  <c r="AG17" i="3" s="1"/>
  <c r="AF14" i="3"/>
  <c r="AE14" i="3"/>
  <c r="AE16" i="3" s="1"/>
  <c r="AE17" i="3" s="1"/>
  <c r="AD14" i="3"/>
  <c r="AC14" i="3"/>
  <c r="AC16" i="3" s="1"/>
  <c r="AC17" i="3" s="1"/>
  <c r="AB14" i="3"/>
  <c r="AA14" i="3"/>
  <c r="AA16" i="3" s="1"/>
  <c r="AA17" i="3" s="1"/>
  <c r="Z14" i="3"/>
  <c r="Y14" i="3"/>
  <c r="Y16" i="3" s="1"/>
  <c r="Y17" i="3" s="1"/>
  <c r="X14" i="3"/>
  <c r="W14" i="3"/>
  <c r="W16" i="3" s="1"/>
  <c r="W17" i="3" s="1"/>
  <c r="V14" i="3"/>
  <c r="U14" i="3"/>
  <c r="U16" i="3" s="1"/>
  <c r="U17" i="3" s="1"/>
  <c r="T14" i="3"/>
  <c r="S14" i="3"/>
  <c r="S16" i="3" s="1"/>
  <c r="S17" i="3" s="1"/>
  <c r="R14" i="3"/>
  <c r="Q14" i="3"/>
  <c r="Q16" i="3" s="1"/>
  <c r="Q17" i="3" s="1"/>
  <c r="P14" i="3"/>
  <c r="O14" i="3"/>
  <c r="O16" i="3" s="1"/>
  <c r="O17" i="3" s="1"/>
  <c r="N14" i="3"/>
  <c r="M14" i="3"/>
  <c r="M16" i="3" s="1"/>
  <c r="M17" i="3" s="1"/>
  <c r="L14" i="3"/>
  <c r="K14" i="3"/>
  <c r="K16" i="3" s="1"/>
  <c r="K17" i="3" s="1"/>
  <c r="J14" i="3"/>
  <c r="I14" i="3"/>
  <c r="I16" i="3" s="1"/>
  <c r="I17" i="3" s="1"/>
  <c r="H14" i="3"/>
  <c r="G14" i="3"/>
  <c r="G16" i="3" s="1"/>
  <c r="G17" i="3" s="1"/>
  <c r="F14" i="3"/>
  <c r="E14" i="3"/>
  <c r="E16" i="3" s="1"/>
  <c r="E17" i="3" s="1"/>
  <c r="AI13" i="3"/>
  <c r="AH13" i="3"/>
  <c r="AH16" i="3" s="1"/>
  <c r="AH17" i="3" s="1"/>
  <c r="AG13" i="3"/>
  <c r="AF13" i="3"/>
  <c r="AF16" i="3" s="1"/>
  <c r="AF17" i="3" s="1"/>
  <c r="AE13" i="3"/>
  <c r="AD13" i="3"/>
  <c r="AD16" i="3" s="1"/>
  <c r="AD17" i="3" s="1"/>
  <c r="AC13" i="3"/>
  <c r="AB13" i="3"/>
  <c r="AB16" i="3" s="1"/>
  <c r="AB17" i="3" s="1"/>
  <c r="AA13" i="3"/>
  <c r="Z13" i="3"/>
  <c r="Z16" i="3" s="1"/>
  <c r="Z17" i="3" s="1"/>
  <c r="Y13" i="3"/>
  <c r="X13" i="3"/>
  <c r="X16" i="3" s="1"/>
  <c r="X17" i="3" s="1"/>
  <c r="W13" i="3"/>
  <c r="V13" i="3"/>
  <c r="V16" i="3" s="1"/>
  <c r="V17" i="3" s="1"/>
  <c r="U13" i="3"/>
  <c r="T13" i="3"/>
  <c r="T16" i="3" s="1"/>
  <c r="T17" i="3" s="1"/>
  <c r="S13" i="3"/>
  <c r="R13" i="3"/>
  <c r="R16" i="3" s="1"/>
  <c r="R17" i="3" s="1"/>
  <c r="Q13" i="3"/>
  <c r="P13" i="3"/>
  <c r="P16" i="3" s="1"/>
  <c r="P17" i="3" s="1"/>
  <c r="O13" i="3"/>
  <c r="N13" i="3"/>
  <c r="N16" i="3" s="1"/>
  <c r="N17" i="3" s="1"/>
  <c r="M13" i="3"/>
  <c r="L13" i="3"/>
  <c r="L16" i="3" s="1"/>
  <c r="L17" i="3" s="1"/>
  <c r="K13" i="3"/>
  <c r="J13" i="3"/>
  <c r="J16" i="3" s="1"/>
  <c r="J17" i="3" s="1"/>
  <c r="I13" i="3"/>
  <c r="H13" i="3"/>
  <c r="H16" i="3" s="1"/>
  <c r="H17" i="3" s="1"/>
  <c r="G13" i="3"/>
  <c r="F13" i="3"/>
  <c r="F16" i="3" s="1"/>
  <c r="F17" i="3" s="1"/>
  <c r="E13" i="3"/>
  <c r="AK17" i="4"/>
  <c r="AJ17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AI14" i="4"/>
  <c r="AH14" i="4"/>
  <c r="AH16" i="4" s="1"/>
  <c r="AH17" i="4" s="1"/>
  <c r="AG14" i="4"/>
  <c r="AF14" i="4"/>
  <c r="AF16" i="4" s="1"/>
  <c r="AF17" i="4" s="1"/>
  <c r="AE14" i="4"/>
  <c r="AD14" i="4"/>
  <c r="AD16" i="4" s="1"/>
  <c r="AD17" i="4" s="1"/>
  <c r="AC14" i="4"/>
  <c r="AB14" i="4"/>
  <c r="AB16" i="4" s="1"/>
  <c r="AB17" i="4" s="1"/>
  <c r="AA14" i="4"/>
  <c r="Z14" i="4"/>
  <c r="Z16" i="4" s="1"/>
  <c r="Z17" i="4" s="1"/>
  <c r="Y14" i="4"/>
  <c r="X14" i="4"/>
  <c r="X16" i="4" s="1"/>
  <c r="X17" i="4" s="1"/>
  <c r="W14" i="4"/>
  <c r="V14" i="4"/>
  <c r="V16" i="4" s="1"/>
  <c r="V17" i="4" s="1"/>
  <c r="U14" i="4"/>
  <c r="T14" i="4"/>
  <c r="T16" i="4" s="1"/>
  <c r="T17" i="4" s="1"/>
  <c r="S14" i="4"/>
  <c r="R14" i="4"/>
  <c r="R16" i="4" s="1"/>
  <c r="R17" i="4" s="1"/>
  <c r="Q14" i="4"/>
  <c r="P14" i="4"/>
  <c r="P16" i="4" s="1"/>
  <c r="P17" i="4" s="1"/>
  <c r="O14" i="4"/>
  <c r="N14" i="4"/>
  <c r="N16" i="4" s="1"/>
  <c r="N17" i="4" s="1"/>
  <c r="M14" i="4"/>
  <c r="L14" i="4"/>
  <c r="K14" i="4"/>
  <c r="J14" i="4"/>
  <c r="I14" i="4"/>
  <c r="H14" i="4"/>
  <c r="G14" i="4"/>
  <c r="F14" i="4"/>
  <c r="F16" i="4" s="1"/>
  <c r="F17" i="4" s="1"/>
  <c r="E14" i="4"/>
  <c r="AI13" i="4"/>
  <c r="AI16" i="4" s="1"/>
  <c r="AI17" i="4" s="1"/>
  <c r="AH13" i="4"/>
  <c r="AG13" i="4"/>
  <c r="AG16" i="4" s="1"/>
  <c r="AG17" i="4" s="1"/>
  <c r="AF13" i="4"/>
  <c r="AE13" i="4"/>
  <c r="AE16" i="4" s="1"/>
  <c r="AE17" i="4" s="1"/>
  <c r="AD13" i="4"/>
  <c r="AC13" i="4"/>
  <c r="AC16" i="4" s="1"/>
  <c r="AC17" i="4" s="1"/>
  <c r="AB13" i="4"/>
  <c r="AA13" i="4"/>
  <c r="AA16" i="4" s="1"/>
  <c r="AA17" i="4" s="1"/>
  <c r="Z13" i="4"/>
  <c r="Y13" i="4"/>
  <c r="Y16" i="4" s="1"/>
  <c r="Y17" i="4" s="1"/>
  <c r="X13" i="4"/>
  <c r="W13" i="4"/>
  <c r="W16" i="4" s="1"/>
  <c r="W17" i="4" s="1"/>
  <c r="V13" i="4"/>
  <c r="U13" i="4"/>
  <c r="U16" i="4" s="1"/>
  <c r="U17" i="4" s="1"/>
  <c r="T13" i="4"/>
  <c r="S13" i="4"/>
  <c r="S16" i="4" s="1"/>
  <c r="S17" i="4" s="1"/>
  <c r="R13" i="4"/>
  <c r="Q13" i="4"/>
  <c r="Q16" i="4" s="1"/>
  <c r="Q17" i="4" s="1"/>
  <c r="P13" i="4"/>
  <c r="O13" i="4"/>
  <c r="O16" i="4" s="1"/>
  <c r="O17" i="4" s="1"/>
  <c r="N13" i="4"/>
  <c r="M13" i="4"/>
  <c r="M16" i="4" s="1"/>
  <c r="M17" i="4" s="1"/>
  <c r="L13" i="4"/>
  <c r="K13" i="4"/>
  <c r="K16" i="4" s="1"/>
  <c r="K17" i="4" s="1"/>
  <c r="J13" i="4"/>
  <c r="I13" i="4"/>
  <c r="I16" i="4" s="1"/>
  <c r="I17" i="4" s="1"/>
  <c r="H13" i="4"/>
  <c r="G13" i="4"/>
  <c r="F13" i="4"/>
  <c r="E13" i="4"/>
  <c r="E16" i="4" s="1"/>
  <c r="E17" i="4" s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F21" i="1"/>
  <c r="B21" i="1"/>
  <c r="B20" i="1"/>
  <c r="B19" i="1"/>
  <c r="AI18" i="1"/>
  <c r="AI32" i="1" s="1"/>
  <c r="AH18" i="1"/>
  <c r="AG18" i="1"/>
  <c r="AF18" i="1"/>
  <c r="AE18" i="1"/>
  <c r="AE32" i="1" s="1"/>
  <c r="AD18" i="1"/>
  <c r="AC18" i="1"/>
  <c r="AB18" i="1"/>
  <c r="AA18" i="1"/>
  <c r="AA32" i="1" s="1"/>
  <c r="Z18" i="1"/>
  <c r="Y18" i="1"/>
  <c r="X18" i="1"/>
  <c r="W18" i="1"/>
  <c r="W32" i="1" s="1"/>
  <c r="V18" i="1"/>
  <c r="U18" i="1"/>
  <c r="T18" i="1"/>
  <c r="S18" i="1"/>
  <c r="S32" i="1" s="1"/>
  <c r="R18" i="1"/>
  <c r="Q18" i="1"/>
  <c r="P18" i="1"/>
  <c r="O18" i="1"/>
  <c r="O32" i="1" s="1"/>
  <c r="N18" i="1"/>
  <c r="M18" i="1"/>
  <c r="L18" i="1"/>
  <c r="K18" i="1"/>
  <c r="K32" i="1" s="1"/>
  <c r="J18" i="1"/>
  <c r="I18" i="1"/>
  <c r="H18" i="1"/>
  <c r="G18" i="1"/>
  <c r="G32" i="1" s="1"/>
  <c r="F18" i="1"/>
  <c r="E18" i="1"/>
  <c r="B18" i="1"/>
  <c r="AI17" i="1"/>
  <c r="AI31" i="1" s="1"/>
  <c r="AH17" i="1"/>
  <c r="AG17" i="1"/>
  <c r="AG31" i="1" s="1"/>
  <c r="AF17" i="1"/>
  <c r="AE17" i="1"/>
  <c r="AD17" i="1"/>
  <c r="AC17" i="1"/>
  <c r="AC31" i="1" s="1"/>
  <c r="AB17" i="1"/>
  <c r="AA17" i="1"/>
  <c r="Z17" i="1"/>
  <c r="Y17" i="1"/>
  <c r="Y31" i="1" s="1"/>
  <c r="X17" i="1"/>
  <c r="W17" i="1"/>
  <c r="V17" i="1"/>
  <c r="U17" i="1"/>
  <c r="U31" i="1" s="1"/>
  <c r="T17" i="1"/>
  <c r="S17" i="1"/>
  <c r="R17" i="1"/>
  <c r="Q17" i="1"/>
  <c r="Q31" i="1" s="1"/>
  <c r="P17" i="1"/>
  <c r="O17" i="1"/>
  <c r="N17" i="1"/>
  <c r="M17" i="1"/>
  <c r="M31" i="1" s="1"/>
  <c r="L17" i="1"/>
  <c r="K17" i="1"/>
  <c r="J17" i="1"/>
  <c r="I17" i="1"/>
  <c r="I31" i="1" s="1"/>
  <c r="H17" i="1"/>
  <c r="G17" i="1"/>
  <c r="F17" i="1"/>
  <c r="E17" i="1"/>
  <c r="E31" i="1" s="1"/>
  <c r="B17" i="1"/>
  <c r="AI16" i="1"/>
  <c r="AI30" i="1" s="1"/>
  <c r="AH16" i="1"/>
  <c r="AG16" i="1"/>
  <c r="AF16" i="1"/>
  <c r="AE16" i="1"/>
  <c r="AE30" i="1" s="1"/>
  <c r="AD16" i="1"/>
  <c r="AC16" i="1"/>
  <c r="AB16" i="1"/>
  <c r="AA16" i="1"/>
  <c r="AA30" i="1" s="1"/>
  <c r="Z16" i="1"/>
  <c r="Y16" i="1"/>
  <c r="X16" i="1"/>
  <c r="W16" i="1"/>
  <c r="W30" i="1" s="1"/>
  <c r="V16" i="1"/>
  <c r="U16" i="1"/>
  <c r="T16" i="1"/>
  <c r="S16" i="1"/>
  <c r="S30" i="1" s="1"/>
  <c r="R16" i="1"/>
  <c r="Q16" i="1"/>
  <c r="P16" i="1"/>
  <c r="O16" i="1"/>
  <c r="O30" i="1" s="1"/>
  <c r="N16" i="1"/>
  <c r="M16" i="1"/>
  <c r="L16" i="1"/>
  <c r="K16" i="1"/>
  <c r="K30" i="1" s="1"/>
  <c r="J16" i="1"/>
  <c r="I16" i="1"/>
  <c r="H16" i="1"/>
  <c r="G16" i="1"/>
  <c r="G30" i="1" s="1"/>
  <c r="F16" i="1"/>
  <c r="E16" i="1"/>
  <c r="B16" i="1"/>
  <c r="AI15" i="1"/>
  <c r="AI29" i="1" s="1"/>
  <c r="AH15" i="1"/>
  <c r="AG15" i="1"/>
  <c r="AG29" i="1" s="1"/>
  <c r="AF15" i="1"/>
  <c r="AE15" i="1"/>
  <c r="AD15" i="1"/>
  <c r="AC15" i="1"/>
  <c r="AC29" i="1" s="1"/>
  <c r="AB15" i="1"/>
  <c r="AA15" i="1"/>
  <c r="Z15" i="1"/>
  <c r="Y15" i="1"/>
  <c r="Y29" i="1" s="1"/>
  <c r="X15" i="1"/>
  <c r="W15" i="1"/>
  <c r="V15" i="1"/>
  <c r="U15" i="1"/>
  <c r="U29" i="1" s="1"/>
  <c r="T15" i="1"/>
  <c r="S15" i="1"/>
  <c r="R15" i="1"/>
  <c r="Q15" i="1"/>
  <c r="Q29" i="1" s="1"/>
  <c r="P15" i="1"/>
  <c r="O15" i="1"/>
  <c r="N15" i="1"/>
  <c r="M15" i="1"/>
  <c r="M29" i="1" s="1"/>
  <c r="L15" i="1"/>
  <c r="K15" i="1"/>
  <c r="J15" i="1"/>
  <c r="I15" i="1"/>
  <c r="I29" i="1" s="1"/>
  <c r="H15" i="1"/>
  <c r="G15" i="1"/>
  <c r="F15" i="1"/>
  <c r="E15" i="1"/>
  <c r="E29" i="1" s="1"/>
  <c r="B15" i="1"/>
  <c r="AI14" i="1"/>
  <c r="AI28" i="1" s="1"/>
  <c r="AH14" i="1"/>
  <c r="AG14" i="1"/>
  <c r="AF14" i="1"/>
  <c r="AE14" i="1"/>
  <c r="AE28" i="1" s="1"/>
  <c r="AD14" i="1"/>
  <c r="AC14" i="1"/>
  <c r="AB14" i="1"/>
  <c r="AA14" i="1"/>
  <c r="AA28" i="1" s="1"/>
  <c r="Z14" i="1"/>
  <c r="Y14" i="1"/>
  <c r="X14" i="1"/>
  <c r="W14" i="1"/>
  <c r="W28" i="1" s="1"/>
  <c r="V14" i="1"/>
  <c r="U14" i="1"/>
  <c r="T14" i="1"/>
  <c r="S14" i="1"/>
  <c r="S28" i="1" s="1"/>
  <c r="R14" i="1"/>
  <c r="Q14" i="1"/>
  <c r="P14" i="1"/>
  <c r="O14" i="1"/>
  <c r="O28" i="1" s="1"/>
  <c r="N14" i="1"/>
  <c r="M14" i="1"/>
  <c r="L14" i="1"/>
  <c r="K14" i="1"/>
  <c r="K28" i="1" s="1"/>
  <c r="J14" i="1"/>
  <c r="I14" i="1"/>
  <c r="H14" i="1"/>
  <c r="G14" i="1"/>
  <c r="G28" i="1" s="1"/>
  <c r="F14" i="1"/>
  <c r="E14" i="1"/>
  <c r="B14" i="1"/>
  <c r="AI13" i="1"/>
  <c r="AI9" i="4" s="1"/>
  <c r="AH13" i="1"/>
  <c r="AG13" i="1"/>
  <c r="AG21" i="4" s="1"/>
  <c r="AF13" i="1"/>
  <c r="AE13" i="1"/>
  <c r="AE9" i="4" s="1"/>
  <c r="AD13" i="1"/>
  <c r="AC13" i="1"/>
  <c r="AC21" i="4" s="1"/>
  <c r="AB13" i="1"/>
  <c r="AA13" i="1"/>
  <c r="AA9" i="4" s="1"/>
  <c r="Z13" i="1"/>
  <c r="Y13" i="1"/>
  <c r="Y21" i="4" s="1"/>
  <c r="X13" i="1"/>
  <c r="W13" i="1"/>
  <c r="W9" i="4" s="1"/>
  <c r="V13" i="1"/>
  <c r="U13" i="1"/>
  <c r="U21" i="4" s="1"/>
  <c r="T13" i="1"/>
  <c r="S13" i="1"/>
  <c r="S9" i="4" s="1"/>
  <c r="R13" i="1"/>
  <c r="Q13" i="1"/>
  <c r="Q21" i="4" s="1"/>
  <c r="P13" i="1"/>
  <c r="O13" i="1"/>
  <c r="O9" i="4" s="1"/>
  <c r="N13" i="1"/>
  <c r="M13" i="1"/>
  <c r="M21" i="4" s="1"/>
  <c r="L13" i="1"/>
  <c r="K13" i="1"/>
  <c r="K9" i="4" s="1"/>
  <c r="J13" i="1"/>
  <c r="I13" i="1"/>
  <c r="I21" i="4" s="1"/>
  <c r="H13" i="1"/>
  <c r="G13" i="1"/>
  <c r="G9" i="4" s="1"/>
  <c r="F13" i="1"/>
  <c r="E13" i="1"/>
  <c r="E21" i="4" s="1"/>
  <c r="B13" i="1"/>
  <c r="AI12" i="1"/>
  <c r="AI26" i="1" s="1"/>
  <c r="AH12" i="1"/>
  <c r="AG12" i="1"/>
  <c r="AF12" i="1"/>
  <c r="AE12" i="1"/>
  <c r="AE26" i="1" s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B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B11" i="1"/>
  <c r="AI10" i="1"/>
  <c r="AI24" i="1" s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B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9" i="1"/>
  <c r="AI8" i="1"/>
  <c r="AI22" i="1" s="1"/>
  <c r="AH8" i="1"/>
  <c r="AH22" i="1" s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N21" i="1" s="1"/>
  <c r="M7" i="1"/>
  <c r="L7" i="1"/>
  <c r="K7" i="1"/>
  <c r="J7" i="1"/>
  <c r="J21" i="1" s="1"/>
  <c r="I7" i="1"/>
  <c r="H7" i="1"/>
  <c r="G7" i="1"/>
  <c r="F7" i="1"/>
  <c r="E7" i="1"/>
  <c r="B7" i="1"/>
  <c r="B6" i="1"/>
  <c r="B5" i="1"/>
  <c r="B4" i="1"/>
  <c r="B3" i="1"/>
  <c r="B2" i="1"/>
  <c r="D17" i="3" l="1"/>
  <c r="C17" i="3" s="1"/>
  <c r="I27" i="1"/>
  <c r="Q27" i="1"/>
  <c r="Y27" i="1"/>
  <c r="AG27" i="1"/>
  <c r="I9" i="4"/>
  <c r="Q9" i="4"/>
  <c r="Y9" i="4"/>
  <c r="AG9" i="4"/>
  <c r="G21" i="4"/>
  <c r="O21" i="4"/>
  <c r="W21" i="4"/>
  <c r="AE21" i="4"/>
  <c r="E27" i="1"/>
  <c r="M27" i="1"/>
  <c r="U27" i="1"/>
  <c r="AC27" i="1"/>
  <c r="E9" i="4"/>
  <c r="M9" i="4"/>
  <c r="U9" i="4"/>
  <c r="AC9" i="4"/>
  <c r="K21" i="4"/>
  <c r="S21" i="4"/>
  <c r="AA21" i="4"/>
  <c r="AI21" i="4"/>
  <c r="F9" i="10"/>
  <c r="F21" i="10"/>
  <c r="H9" i="10"/>
  <c r="H21" i="10"/>
  <c r="J9" i="10"/>
  <c r="J21" i="10"/>
  <c r="L9" i="10"/>
  <c r="L21" i="10"/>
  <c r="N9" i="10"/>
  <c r="N21" i="10"/>
  <c r="P9" i="10"/>
  <c r="P21" i="10"/>
  <c r="R9" i="10"/>
  <c r="R21" i="10"/>
  <c r="R21" i="1"/>
  <c r="T9" i="10"/>
  <c r="T21" i="10"/>
  <c r="T21" i="1"/>
  <c r="V9" i="10"/>
  <c r="V21" i="10"/>
  <c r="V21" i="1"/>
  <c r="X9" i="10"/>
  <c r="X21" i="10"/>
  <c r="X21" i="1"/>
  <c r="Z9" i="10"/>
  <c r="Z21" i="10"/>
  <c r="Z21" i="1"/>
  <c r="AB9" i="10"/>
  <c r="AB21" i="10"/>
  <c r="AB21" i="1"/>
  <c r="AD9" i="10"/>
  <c r="AD21" i="10"/>
  <c r="AD21" i="1"/>
  <c r="AF9" i="10"/>
  <c r="AF21" i="10"/>
  <c r="AF21" i="1"/>
  <c r="AH9" i="10"/>
  <c r="AH21" i="10"/>
  <c r="AH21" i="1"/>
  <c r="F21" i="9"/>
  <c r="F9" i="9"/>
  <c r="F22" i="1"/>
  <c r="H21" i="9"/>
  <c r="H9" i="9"/>
  <c r="H22" i="1"/>
  <c r="J21" i="9"/>
  <c r="J9" i="9"/>
  <c r="J22" i="1"/>
  <c r="L21" i="9"/>
  <c r="L9" i="9"/>
  <c r="L22" i="1"/>
  <c r="N21" i="9"/>
  <c r="N9" i="9"/>
  <c r="N22" i="1"/>
  <c r="P21" i="9"/>
  <c r="P9" i="9"/>
  <c r="P22" i="1"/>
  <c r="R21" i="9"/>
  <c r="R9" i="9"/>
  <c r="R22" i="1"/>
  <c r="T21" i="9"/>
  <c r="T9" i="9"/>
  <c r="T22" i="1"/>
  <c r="V21" i="9"/>
  <c r="V9" i="9"/>
  <c r="V22" i="1"/>
  <c r="X21" i="9"/>
  <c r="X9" i="9"/>
  <c r="X22" i="1"/>
  <c r="Z21" i="9"/>
  <c r="Z9" i="9"/>
  <c r="Z22" i="1"/>
  <c r="AB21" i="9"/>
  <c r="AB9" i="9"/>
  <c r="AB22" i="1"/>
  <c r="AD21" i="9"/>
  <c r="AD9" i="9"/>
  <c r="AD22" i="1"/>
  <c r="AF21" i="9"/>
  <c r="AF9" i="9"/>
  <c r="AF22" i="1"/>
  <c r="F21" i="8"/>
  <c r="F9" i="8"/>
  <c r="F23" i="1"/>
  <c r="H21" i="8"/>
  <c r="H9" i="8"/>
  <c r="H23" i="1"/>
  <c r="J21" i="8"/>
  <c r="J9" i="8"/>
  <c r="J23" i="1"/>
  <c r="L21" i="8"/>
  <c r="L9" i="8"/>
  <c r="L23" i="1"/>
  <c r="N21" i="8"/>
  <c r="N9" i="8"/>
  <c r="N23" i="1"/>
  <c r="P21" i="8"/>
  <c r="P9" i="8"/>
  <c r="P23" i="1"/>
  <c r="R21" i="8"/>
  <c r="R9" i="8"/>
  <c r="R23" i="1"/>
  <c r="T21" i="8"/>
  <c r="T9" i="8"/>
  <c r="T23" i="1"/>
  <c r="V21" i="8"/>
  <c r="V9" i="8"/>
  <c r="V23" i="1"/>
  <c r="X21" i="8"/>
  <c r="X9" i="8"/>
  <c r="X23" i="1"/>
  <c r="Z21" i="8"/>
  <c r="Z9" i="8"/>
  <c r="Z23" i="1"/>
  <c r="AB21" i="8"/>
  <c r="AB9" i="8"/>
  <c r="AB23" i="1"/>
  <c r="AD21" i="8"/>
  <c r="AD9" i="8"/>
  <c r="AD23" i="1"/>
  <c r="AF21" i="8"/>
  <c r="AF9" i="8"/>
  <c r="AF23" i="1"/>
  <c r="AH21" i="8"/>
  <c r="AH9" i="8"/>
  <c r="AH23" i="1"/>
  <c r="F21" i="7"/>
  <c r="F9" i="7"/>
  <c r="F24" i="1"/>
  <c r="H9" i="7"/>
  <c r="H21" i="7"/>
  <c r="H24" i="1"/>
  <c r="J21" i="7"/>
  <c r="J9" i="7"/>
  <c r="J24" i="1"/>
  <c r="L9" i="7"/>
  <c r="L21" i="7"/>
  <c r="L24" i="1"/>
  <c r="N21" i="7"/>
  <c r="N9" i="7"/>
  <c r="N24" i="1"/>
  <c r="P21" i="7"/>
  <c r="P9" i="7"/>
  <c r="P24" i="1"/>
  <c r="R21" i="7"/>
  <c r="R9" i="7"/>
  <c r="R24" i="1"/>
  <c r="T21" i="7"/>
  <c r="T9" i="7"/>
  <c r="T24" i="1"/>
  <c r="V21" i="7"/>
  <c r="V9" i="7"/>
  <c r="V24" i="1"/>
  <c r="X21" i="7"/>
  <c r="X9" i="7"/>
  <c r="X24" i="1"/>
  <c r="Z21" i="7"/>
  <c r="Z9" i="7"/>
  <c r="Z24" i="1"/>
  <c r="AB21" i="7"/>
  <c r="AB9" i="7"/>
  <c r="AB24" i="1"/>
  <c r="AD21" i="7"/>
  <c r="AD9" i="7"/>
  <c r="AD24" i="1"/>
  <c r="AF21" i="7"/>
  <c r="AF9" i="7"/>
  <c r="AF24" i="1"/>
  <c r="AH21" i="7"/>
  <c r="AH9" i="7"/>
  <c r="AH24" i="1"/>
  <c r="F21" i="6"/>
  <c r="F9" i="6"/>
  <c r="F25" i="1"/>
  <c r="H21" i="6"/>
  <c r="H9" i="6"/>
  <c r="H25" i="1"/>
  <c r="J21" i="6"/>
  <c r="J9" i="6"/>
  <c r="J25" i="1"/>
  <c r="L21" i="6"/>
  <c r="L9" i="6"/>
  <c r="L25" i="1"/>
  <c r="N21" i="6"/>
  <c r="N9" i="6"/>
  <c r="N25" i="1"/>
  <c r="P21" i="6"/>
  <c r="P9" i="6"/>
  <c r="P25" i="1"/>
  <c r="R21" i="6"/>
  <c r="R9" i="6"/>
  <c r="R25" i="1"/>
  <c r="T21" i="6"/>
  <c r="T9" i="6"/>
  <c r="T25" i="1"/>
  <c r="V21" i="6"/>
  <c r="V9" i="6"/>
  <c r="V25" i="1"/>
  <c r="X21" i="6"/>
  <c r="X9" i="6"/>
  <c r="X25" i="1"/>
  <c r="Z21" i="6"/>
  <c r="Z9" i="6"/>
  <c r="Z25" i="1"/>
  <c r="AB21" i="6"/>
  <c r="AB9" i="6"/>
  <c r="AB25" i="1"/>
  <c r="AD21" i="6"/>
  <c r="AD9" i="6"/>
  <c r="AD25" i="1"/>
  <c r="AF21" i="6"/>
  <c r="AF9" i="6"/>
  <c r="AF25" i="1"/>
  <c r="AH21" i="6"/>
  <c r="AH9" i="6"/>
  <c r="AH25" i="1"/>
  <c r="F21" i="5"/>
  <c r="F9" i="5"/>
  <c r="F26" i="1"/>
  <c r="H9" i="5"/>
  <c r="H21" i="5"/>
  <c r="H26" i="1"/>
  <c r="J21" i="5"/>
  <c r="J9" i="5"/>
  <c r="J26" i="1"/>
  <c r="L9" i="5"/>
  <c r="L21" i="5"/>
  <c r="L26" i="1"/>
  <c r="N21" i="5"/>
  <c r="N9" i="5"/>
  <c r="N26" i="1"/>
  <c r="P9" i="5"/>
  <c r="P21" i="5"/>
  <c r="P26" i="1"/>
  <c r="R21" i="5"/>
  <c r="R9" i="5"/>
  <c r="R26" i="1"/>
  <c r="T9" i="5"/>
  <c r="T21" i="5"/>
  <c r="T26" i="1"/>
  <c r="V21" i="5"/>
  <c r="V9" i="5"/>
  <c r="V26" i="1"/>
  <c r="X9" i="5"/>
  <c r="X21" i="5"/>
  <c r="X26" i="1"/>
  <c r="Z21" i="5"/>
  <c r="Z9" i="5"/>
  <c r="Z26" i="1"/>
  <c r="AB9" i="5"/>
  <c r="AB21" i="5"/>
  <c r="AB26" i="1"/>
  <c r="AD21" i="5"/>
  <c r="AD9" i="5"/>
  <c r="AD26" i="1"/>
  <c r="AF9" i="5"/>
  <c r="AF21" i="5"/>
  <c r="AF26" i="1"/>
  <c r="AH21" i="5"/>
  <c r="AH9" i="5"/>
  <c r="AH26" i="1"/>
  <c r="F21" i="4"/>
  <c r="F9" i="4"/>
  <c r="F27" i="1"/>
  <c r="H21" i="4"/>
  <c r="H9" i="4"/>
  <c r="H27" i="1"/>
  <c r="J21" i="4"/>
  <c r="J9" i="4"/>
  <c r="J27" i="1"/>
  <c r="L21" i="4"/>
  <c r="L9" i="4"/>
  <c r="L27" i="1"/>
  <c r="N21" i="4"/>
  <c r="N9" i="4"/>
  <c r="N27" i="1"/>
  <c r="P21" i="4"/>
  <c r="P9" i="4"/>
  <c r="P27" i="1"/>
  <c r="R21" i="4"/>
  <c r="R9" i="4"/>
  <c r="R27" i="1"/>
  <c r="T21" i="4"/>
  <c r="T9" i="4"/>
  <c r="T27" i="1"/>
  <c r="V21" i="4"/>
  <c r="V9" i="4"/>
  <c r="V27" i="1"/>
  <c r="X21" i="4"/>
  <c r="X9" i="4"/>
  <c r="X27" i="1"/>
  <c r="Z21" i="4"/>
  <c r="Z9" i="4"/>
  <c r="Z27" i="1"/>
  <c r="AB21" i="4"/>
  <c r="AB9" i="4"/>
  <c r="AB27" i="1"/>
  <c r="AD21" i="4"/>
  <c r="AD9" i="4"/>
  <c r="AD27" i="1"/>
  <c r="AF21" i="4"/>
  <c r="AF9" i="4"/>
  <c r="AF27" i="1"/>
  <c r="AH21" i="4"/>
  <c r="AH9" i="4"/>
  <c r="AH27" i="1"/>
  <c r="F28" i="1"/>
  <c r="F21" i="3"/>
  <c r="F9" i="3"/>
  <c r="H28" i="1"/>
  <c r="H21" i="3"/>
  <c r="H9" i="3"/>
  <c r="J28" i="1"/>
  <c r="J21" i="3"/>
  <c r="J9" i="3"/>
  <c r="L28" i="1"/>
  <c r="L21" i="3"/>
  <c r="L9" i="3"/>
  <c r="N28" i="1"/>
  <c r="N21" i="3"/>
  <c r="N9" i="3"/>
  <c r="P28" i="1"/>
  <c r="P21" i="3"/>
  <c r="P9" i="3"/>
  <c r="R28" i="1"/>
  <c r="R21" i="3"/>
  <c r="R9" i="3"/>
  <c r="T28" i="1"/>
  <c r="T21" i="3"/>
  <c r="T9" i="3"/>
  <c r="V28" i="1"/>
  <c r="V21" i="3"/>
  <c r="V9" i="3"/>
  <c r="X28" i="1"/>
  <c r="X21" i="3"/>
  <c r="X9" i="3"/>
  <c r="Z28" i="1"/>
  <c r="Z21" i="3"/>
  <c r="Z9" i="3"/>
  <c r="AB28" i="1"/>
  <c r="AB21" i="3"/>
  <c r="AB9" i="3"/>
  <c r="AD28" i="1"/>
  <c r="AD21" i="3"/>
  <c r="AD9" i="3"/>
  <c r="AF28" i="1"/>
  <c r="AF21" i="3"/>
  <c r="AF9" i="3"/>
  <c r="AH28" i="1"/>
  <c r="AH21" i="3"/>
  <c r="AH9" i="3"/>
  <c r="F9" i="2"/>
  <c r="F29" i="1"/>
  <c r="F21" i="2"/>
  <c r="H9" i="2"/>
  <c r="H29" i="1"/>
  <c r="H21" i="2"/>
  <c r="J9" i="2"/>
  <c r="J29" i="1"/>
  <c r="J21" i="2"/>
  <c r="L9" i="2"/>
  <c r="L29" i="1"/>
  <c r="L21" i="2"/>
  <c r="N9" i="2"/>
  <c r="N29" i="1"/>
  <c r="N21" i="2"/>
  <c r="P9" i="2"/>
  <c r="P29" i="1"/>
  <c r="P21" i="2"/>
  <c r="R9" i="2"/>
  <c r="R29" i="1"/>
  <c r="R21" i="2"/>
  <c r="T9" i="2"/>
  <c r="T29" i="1"/>
  <c r="T21" i="2"/>
  <c r="V9" i="2"/>
  <c r="V29" i="1"/>
  <c r="V21" i="2"/>
  <c r="X9" i="2"/>
  <c r="X29" i="1"/>
  <c r="X21" i="2"/>
  <c r="Z9" i="2"/>
  <c r="Z29" i="1"/>
  <c r="Z21" i="2"/>
  <c r="AB9" i="2"/>
  <c r="AB29" i="1"/>
  <c r="AB21" i="2"/>
  <c r="AD9" i="2"/>
  <c r="AD29" i="1"/>
  <c r="AD21" i="2"/>
  <c r="AF9" i="2"/>
  <c r="AF29" i="1"/>
  <c r="AF21" i="2"/>
  <c r="AH9" i="2"/>
  <c r="AH29" i="1"/>
  <c r="AH21" i="2"/>
  <c r="F21" i="11"/>
  <c r="F9" i="11"/>
  <c r="F30" i="1"/>
  <c r="H21" i="11"/>
  <c r="H9" i="11"/>
  <c r="H30" i="1"/>
  <c r="J21" i="11"/>
  <c r="J9" i="11"/>
  <c r="J30" i="1"/>
  <c r="L21" i="11"/>
  <c r="L9" i="11"/>
  <c r="L30" i="1"/>
  <c r="N21" i="11"/>
  <c r="N9" i="11"/>
  <c r="N30" i="1"/>
  <c r="P21" i="11"/>
  <c r="P9" i="11"/>
  <c r="P30" i="1"/>
  <c r="R21" i="11"/>
  <c r="R9" i="11"/>
  <c r="R30" i="1"/>
  <c r="T21" i="11"/>
  <c r="T9" i="11"/>
  <c r="T30" i="1"/>
  <c r="V21" i="11"/>
  <c r="V9" i="11"/>
  <c r="V30" i="1"/>
  <c r="X21" i="11"/>
  <c r="X9" i="11"/>
  <c r="X30" i="1"/>
  <c r="Z21" i="11"/>
  <c r="Z9" i="11"/>
  <c r="Z30" i="1"/>
  <c r="AB21" i="11"/>
  <c r="AB9" i="11"/>
  <c r="AB30" i="1"/>
  <c r="AD21" i="11"/>
  <c r="AD9" i="11"/>
  <c r="AD30" i="1"/>
  <c r="AF21" i="11"/>
  <c r="AF9" i="11"/>
  <c r="AF30" i="1"/>
  <c r="AH21" i="11"/>
  <c r="AH9" i="11"/>
  <c r="AH30" i="1"/>
  <c r="F21" i="12"/>
  <c r="F9" i="12"/>
  <c r="F31" i="1"/>
  <c r="H21" i="12"/>
  <c r="H9" i="12"/>
  <c r="H31" i="1"/>
  <c r="J21" i="12"/>
  <c r="J9" i="12"/>
  <c r="J31" i="1"/>
  <c r="L21" i="12"/>
  <c r="L9" i="12"/>
  <c r="L31" i="1"/>
  <c r="N21" i="12"/>
  <c r="N9" i="12"/>
  <c r="N31" i="1"/>
  <c r="P21" i="12"/>
  <c r="P9" i="12"/>
  <c r="P31" i="1"/>
  <c r="R21" i="12"/>
  <c r="R9" i="12"/>
  <c r="R31" i="1"/>
  <c r="T21" i="12"/>
  <c r="T9" i="12"/>
  <c r="T31" i="1"/>
  <c r="V21" i="12"/>
  <c r="V9" i="12"/>
  <c r="V31" i="1"/>
  <c r="X21" i="12"/>
  <c r="X9" i="12"/>
  <c r="X31" i="1"/>
  <c r="Z21" i="12"/>
  <c r="Z9" i="12"/>
  <c r="Z31" i="1"/>
  <c r="AB21" i="12"/>
  <c r="AB9" i="12"/>
  <c r="AB31" i="1"/>
  <c r="AD21" i="12"/>
  <c r="AD9" i="12"/>
  <c r="AD31" i="1"/>
  <c r="AF21" i="12"/>
  <c r="AF9" i="12"/>
  <c r="AF31" i="1"/>
  <c r="AH21" i="12"/>
  <c r="AH9" i="12"/>
  <c r="AH31" i="1"/>
  <c r="F21" i="13"/>
  <c r="F9" i="13"/>
  <c r="F32" i="1"/>
  <c r="H21" i="13"/>
  <c r="H9" i="13"/>
  <c r="H32" i="1"/>
  <c r="J21" i="13"/>
  <c r="J9" i="13"/>
  <c r="J32" i="1"/>
  <c r="L21" i="13"/>
  <c r="L9" i="13"/>
  <c r="L32" i="1"/>
  <c r="N21" i="13"/>
  <c r="N9" i="13"/>
  <c r="N32" i="1"/>
  <c r="P21" i="13"/>
  <c r="P9" i="13"/>
  <c r="P32" i="1"/>
  <c r="R21" i="13"/>
  <c r="R9" i="13"/>
  <c r="R32" i="1"/>
  <c r="T21" i="13"/>
  <c r="T9" i="13"/>
  <c r="T32" i="1"/>
  <c r="V21" i="13"/>
  <c r="V9" i="13"/>
  <c r="V32" i="1"/>
  <c r="X21" i="13"/>
  <c r="X9" i="13"/>
  <c r="X32" i="1"/>
  <c r="Z21" i="13"/>
  <c r="Z9" i="13"/>
  <c r="Z32" i="1"/>
  <c r="AB21" i="13"/>
  <c r="AB9" i="13"/>
  <c r="AB32" i="1"/>
  <c r="AD21" i="13"/>
  <c r="AD9" i="13"/>
  <c r="AD32" i="1"/>
  <c r="AF21" i="13"/>
  <c r="AF9" i="13"/>
  <c r="AF32" i="1"/>
  <c r="AH21" i="13"/>
  <c r="AH9" i="13"/>
  <c r="AH32" i="1"/>
  <c r="H21" i="1"/>
  <c r="L21" i="1"/>
  <c r="P21" i="1"/>
  <c r="E9" i="10"/>
  <c r="E21" i="10"/>
  <c r="G21" i="10"/>
  <c r="G9" i="10"/>
  <c r="I21" i="10"/>
  <c r="I9" i="10"/>
  <c r="K21" i="10"/>
  <c r="K9" i="10"/>
  <c r="M21" i="10"/>
  <c r="M9" i="10"/>
  <c r="O21" i="10"/>
  <c r="O9" i="10"/>
  <c r="Q21" i="10"/>
  <c r="Q9" i="10"/>
  <c r="S21" i="10"/>
  <c r="S9" i="10"/>
  <c r="U21" i="10"/>
  <c r="U9" i="10"/>
  <c r="W21" i="10"/>
  <c r="W9" i="10"/>
  <c r="Y21" i="10"/>
  <c r="Y9" i="10"/>
  <c r="AA21" i="10"/>
  <c r="AA9" i="10"/>
  <c r="AC21" i="10"/>
  <c r="AC9" i="10"/>
  <c r="AE21" i="10"/>
  <c r="AE9" i="10"/>
  <c r="AG21" i="10"/>
  <c r="AG9" i="10"/>
  <c r="AI21" i="10"/>
  <c r="AI9" i="10"/>
  <c r="E21" i="9"/>
  <c r="E9" i="9"/>
  <c r="G9" i="9"/>
  <c r="G21" i="9"/>
  <c r="I9" i="9"/>
  <c r="I21" i="9"/>
  <c r="K9" i="9"/>
  <c r="K21" i="9"/>
  <c r="M9" i="9"/>
  <c r="M21" i="9"/>
  <c r="O9" i="9"/>
  <c r="O21" i="9"/>
  <c r="Q9" i="9"/>
  <c r="Q21" i="9"/>
  <c r="S9" i="9"/>
  <c r="S21" i="9"/>
  <c r="U9" i="9"/>
  <c r="U21" i="9"/>
  <c r="W9" i="9"/>
  <c r="W21" i="9"/>
  <c r="Y9" i="9"/>
  <c r="Y21" i="9"/>
  <c r="AA9" i="9"/>
  <c r="AA21" i="9"/>
  <c r="AC9" i="9"/>
  <c r="AC21" i="9"/>
  <c r="AE9" i="9"/>
  <c r="AE21" i="9"/>
  <c r="AG9" i="9"/>
  <c r="AG21" i="9"/>
  <c r="E9" i="8"/>
  <c r="E21" i="8"/>
  <c r="G21" i="8"/>
  <c r="G9" i="8"/>
  <c r="I9" i="8"/>
  <c r="I21" i="8"/>
  <c r="K21" i="8"/>
  <c r="K9" i="8"/>
  <c r="M9" i="8"/>
  <c r="M21" i="8"/>
  <c r="O21" i="8"/>
  <c r="O9" i="8"/>
  <c r="Q9" i="8"/>
  <c r="Q21" i="8"/>
  <c r="S21" i="8"/>
  <c r="S9" i="8"/>
  <c r="U9" i="8"/>
  <c r="U21" i="8"/>
  <c r="W21" i="8"/>
  <c r="W9" i="8"/>
  <c r="Y9" i="8"/>
  <c r="Y21" i="8"/>
  <c r="AA21" i="8"/>
  <c r="AA9" i="8"/>
  <c r="AC9" i="8"/>
  <c r="AC21" i="8"/>
  <c r="AE21" i="8"/>
  <c r="AE9" i="8"/>
  <c r="AG9" i="8"/>
  <c r="AG21" i="8"/>
  <c r="AI21" i="8"/>
  <c r="AI9" i="8"/>
  <c r="E21" i="7"/>
  <c r="E9" i="7"/>
  <c r="G21" i="7"/>
  <c r="G9" i="7"/>
  <c r="I21" i="7"/>
  <c r="I9" i="7"/>
  <c r="K21" i="7"/>
  <c r="K9" i="7"/>
  <c r="M21" i="7"/>
  <c r="M9" i="7"/>
  <c r="O21" i="7"/>
  <c r="O9" i="7"/>
  <c r="Q21" i="7"/>
  <c r="Q9" i="7"/>
  <c r="S21" i="7"/>
  <c r="S9" i="7"/>
  <c r="U21" i="7"/>
  <c r="U9" i="7"/>
  <c r="W21" i="7"/>
  <c r="W9" i="7"/>
  <c r="Y21" i="7"/>
  <c r="Y9" i="7"/>
  <c r="AA21" i="7"/>
  <c r="AA9" i="7"/>
  <c r="AC21" i="7"/>
  <c r="AC9" i="7"/>
  <c r="AE21" i="7"/>
  <c r="AE9" i="7"/>
  <c r="AG21" i="7"/>
  <c r="AG9" i="7"/>
  <c r="E21" i="6"/>
  <c r="E9" i="6"/>
  <c r="G9" i="6"/>
  <c r="G21" i="6"/>
  <c r="I9" i="6"/>
  <c r="I21" i="6"/>
  <c r="K9" i="6"/>
  <c r="K21" i="6"/>
  <c r="M9" i="6"/>
  <c r="M21" i="6"/>
  <c r="O9" i="6"/>
  <c r="O21" i="6"/>
  <c r="Q9" i="6"/>
  <c r="Q21" i="6"/>
  <c r="S9" i="6"/>
  <c r="S21" i="6"/>
  <c r="U9" i="6"/>
  <c r="U21" i="6"/>
  <c r="W9" i="6"/>
  <c r="W21" i="6"/>
  <c r="Y9" i="6"/>
  <c r="Y21" i="6"/>
  <c r="AA9" i="6"/>
  <c r="AA21" i="6"/>
  <c r="AC9" i="6"/>
  <c r="AC21" i="6"/>
  <c r="AE9" i="6"/>
  <c r="AE21" i="6"/>
  <c r="AG9" i="6"/>
  <c r="AG21" i="6"/>
  <c r="AI9" i="6"/>
  <c r="AI21" i="6"/>
  <c r="E21" i="5"/>
  <c r="E9" i="5"/>
  <c r="G21" i="5"/>
  <c r="G9" i="5"/>
  <c r="I21" i="5"/>
  <c r="I9" i="5"/>
  <c r="K21" i="5"/>
  <c r="K9" i="5"/>
  <c r="M21" i="5"/>
  <c r="M9" i="5"/>
  <c r="O21" i="5"/>
  <c r="O9" i="5"/>
  <c r="Q21" i="5"/>
  <c r="Q9" i="5"/>
  <c r="S21" i="5"/>
  <c r="S9" i="5"/>
  <c r="U21" i="5"/>
  <c r="U9" i="5"/>
  <c r="W21" i="5"/>
  <c r="W9" i="5"/>
  <c r="Y21" i="5"/>
  <c r="Y9" i="5"/>
  <c r="AA21" i="5"/>
  <c r="AA9" i="5"/>
  <c r="AC21" i="5"/>
  <c r="AC9" i="5"/>
  <c r="AE21" i="5"/>
  <c r="AE9" i="5"/>
  <c r="AG21" i="5"/>
  <c r="AG9" i="5"/>
  <c r="E21" i="3"/>
  <c r="E9" i="3"/>
  <c r="G21" i="3"/>
  <c r="G9" i="3"/>
  <c r="I21" i="3"/>
  <c r="I9" i="3"/>
  <c r="K21" i="3"/>
  <c r="K9" i="3"/>
  <c r="M21" i="3"/>
  <c r="M9" i="3"/>
  <c r="O21" i="3"/>
  <c r="O9" i="3"/>
  <c r="Q21" i="3"/>
  <c r="Q9" i="3"/>
  <c r="S21" i="3"/>
  <c r="S9" i="3"/>
  <c r="U21" i="3"/>
  <c r="U9" i="3"/>
  <c r="W21" i="3"/>
  <c r="W9" i="3"/>
  <c r="Y21" i="3"/>
  <c r="Y9" i="3"/>
  <c r="AA21" i="3"/>
  <c r="AA9" i="3"/>
  <c r="AC21" i="3"/>
  <c r="AC9" i="3"/>
  <c r="AE21" i="3"/>
  <c r="AE9" i="3"/>
  <c r="AG21" i="3"/>
  <c r="AG9" i="3"/>
  <c r="AI21" i="3"/>
  <c r="AI9" i="3"/>
  <c r="E9" i="2"/>
  <c r="E21" i="2"/>
  <c r="G9" i="2"/>
  <c r="G21" i="2"/>
  <c r="I9" i="2"/>
  <c r="I21" i="2"/>
  <c r="K9" i="2"/>
  <c r="K21" i="2"/>
  <c r="M9" i="2"/>
  <c r="M21" i="2"/>
  <c r="O9" i="2"/>
  <c r="O21" i="2"/>
  <c r="Q9" i="2"/>
  <c r="Q21" i="2"/>
  <c r="S9" i="2"/>
  <c r="S21" i="2"/>
  <c r="U9" i="2"/>
  <c r="U21" i="2"/>
  <c r="W9" i="2"/>
  <c r="W21" i="2"/>
  <c r="Y9" i="2"/>
  <c r="Y21" i="2"/>
  <c r="AA9" i="2"/>
  <c r="AA21" i="2"/>
  <c r="AC9" i="2"/>
  <c r="AC21" i="2"/>
  <c r="AE9" i="2"/>
  <c r="AE21" i="2"/>
  <c r="AG9" i="2"/>
  <c r="AG21" i="2"/>
  <c r="E9" i="11"/>
  <c r="E21" i="11"/>
  <c r="G21" i="11"/>
  <c r="G9" i="11"/>
  <c r="I21" i="11"/>
  <c r="I9" i="11"/>
  <c r="K21" i="11"/>
  <c r="K9" i="11"/>
  <c r="M21" i="11"/>
  <c r="M9" i="11"/>
  <c r="O21" i="11"/>
  <c r="O9" i="11"/>
  <c r="Q21" i="11"/>
  <c r="Q9" i="11"/>
  <c r="S21" i="11"/>
  <c r="S9" i="11"/>
  <c r="U21" i="11"/>
  <c r="U9" i="11"/>
  <c r="W21" i="11"/>
  <c r="W9" i="11"/>
  <c r="Y21" i="11"/>
  <c r="Y9" i="11"/>
  <c r="AA21" i="11"/>
  <c r="AA9" i="11"/>
  <c r="AC21" i="11"/>
  <c r="AC9" i="11"/>
  <c r="AE21" i="11"/>
  <c r="AE9" i="11"/>
  <c r="AG21" i="11"/>
  <c r="AG9" i="11"/>
  <c r="AI21" i="11"/>
  <c r="AI9" i="11"/>
  <c r="E21" i="12"/>
  <c r="E9" i="12"/>
  <c r="G21" i="12"/>
  <c r="G9" i="12"/>
  <c r="I21" i="12"/>
  <c r="I9" i="12"/>
  <c r="K21" i="12"/>
  <c r="K9" i="12"/>
  <c r="M21" i="12"/>
  <c r="M9" i="12"/>
  <c r="O21" i="12"/>
  <c r="O9" i="12"/>
  <c r="Q21" i="12"/>
  <c r="Q9" i="12"/>
  <c r="S21" i="12"/>
  <c r="S9" i="12"/>
  <c r="U21" i="12"/>
  <c r="U9" i="12"/>
  <c r="W21" i="12"/>
  <c r="W9" i="12"/>
  <c r="Y21" i="12"/>
  <c r="Y9" i="12"/>
  <c r="AA21" i="12"/>
  <c r="AA9" i="12"/>
  <c r="AC21" i="12"/>
  <c r="AC9" i="12"/>
  <c r="AE21" i="12"/>
  <c r="AE9" i="12"/>
  <c r="AG21" i="12"/>
  <c r="AG9" i="12"/>
  <c r="E21" i="13"/>
  <c r="E9" i="13"/>
  <c r="G9" i="13"/>
  <c r="G21" i="13"/>
  <c r="I9" i="13"/>
  <c r="I21" i="13"/>
  <c r="K9" i="13"/>
  <c r="K21" i="13"/>
  <c r="M9" i="13"/>
  <c r="M21" i="13"/>
  <c r="O9" i="13"/>
  <c r="O21" i="13"/>
  <c r="Q9" i="13"/>
  <c r="Q21" i="13"/>
  <c r="S9" i="13"/>
  <c r="S21" i="13"/>
  <c r="U9" i="13"/>
  <c r="U21" i="13"/>
  <c r="W9" i="13"/>
  <c r="W21" i="13"/>
  <c r="Y9" i="13"/>
  <c r="Y21" i="13"/>
  <c r="AA9" i="13"/>
  <c r="AA21" i="13"/>
  <c r="AC9" i="13"/>
  <c r="AC21" i="13"/>
  <c r="AE9" i="13"/>
  <c r="AE21" i="13"/>
  <c r="AG9" i="13"/>
  <c r="AG21" i="13"/>
  <c r="AI9" i="13"/>
  <c r="AI21" i="13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E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E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G26" i="1"/>
  <c r="G27" i="1"/>
  <c r="K27" i="1"/>
  <c r="O27" i="1"/>
  <c r="S27" i="1"/>
  <c r="W27" i="1"/>
  <c r="AA27" i="1"/>
  <c r="AE27" i="1"/>
  <c r="AI27" i="1"/>
  <c r="E28" i="1"/>
  <c r="I28" i="1"/>
  <c r="M28" i="1"/>
  <c r="Q28" i="1"/>
  <c r="U28" i="1"/>
  <c r="Y28" i="1"/>
  <c r="AC28" i="1"/>
  <c r="AG28" i="1"/>
  <c r="G29" i="1"/>
  <c r="K29" i="1"/>
  <c r="O29" i="1"/>
  <c r="S29" i="1"/>
  <c r="W29" i="1"/>
  <c r="AA29" i="1"/>
  <c r="AE29" i="1"/>
  <c r="E30" i="1"/>
  <c r="I30" i="1"/>
  <c r="M30" i="1"/>
  <c r="Q30" i="1"/>
  <c r="U30" i="1"/>
  <c r="Y30" i="1"/>
  <c r="AC30" i="1"/>
  <c r="AG30" i="1"/>
  <c r="G31" i="1"/>
  <c r="K31" i="1"/>
  <c r="O31" i="1"/>
  <c r="S31" i="1"/>
  <c r="W31" i="1"/>
  <c r="AA31" i="1"/>
  <c r="AE31" i="1"/>
  <c r="E32" i="1"/>
  <c r="I32" i="1"/>
  <c r="M32" i="1"/>
  <c r="Q32" i="1"/>
  <c r="U32" i="1"/>
  <c r="Y32" i="1"/>
  <c r="AC32" i="1"/>
  <c r="AG32" i="1"/>
  <c r="H16" i="4"/>
  <c r="H17" i="4" s="1"/>
  <c r="L16" i="4"/>
  <c r="L17" i="4" s="1"/>
  <c r="J16" i="4"/>
  <c r="J17" i="4" s="1"/>
  <c r="G16" i="4"/>
  <c r="G17" i="4"/>
  <c r="D17" i="4" s="1"/>
  <c r="C17" i="4" s="1"/>
  <c r="Z16" i="2"/>
  <c r="Z17" i="2" s="1"/>
  <c r="AD16" i="2"/>
  <c r="AD17" i="2" s="1"/>
  <c r="AH16" i="2"/>
  <c r="E17" i="2"/>
  <c r="AH17" i="2"/>
  <c r="AJ17" i="2"/>
  <c r="AI17" i="2"/>
  <c r="B15" i="4" l="1"/>
  <c r="B16" i="4"/>
  <c r="B17" i="12"/>
  <c r="B14" i="4"/>
  <c r="B16" i="13"/>
  <c r="B14" i="13"/>
  <c r="B17" i="13"/>
  <c r="B15" i="13"/>
  <c r="B13" i="13"/>
  <c r="B16" i="3"/>
  <c r="B14" i="3"/>
  <c r="B17" i="3"/>
  <c r="B15" i="3"/>
  <c r="B13" i="3"/>
  <c r="B16" i="5"/>
  <c r="B15" i="5"/>
  <c r="B13" i="5"/>
  <c r="B17" i="5"/>
  <c r="B14" i="5"/>
  <c r="B16" i="6"/>
  <c r="B14" i="6"/>
  <c r="B17" i="6"/>
  <c r="B15" i="6"/>
  <c r="B13" i="6"/>
  <c r="B15" i="9"/>
  <c r="B17" i="9"/>
  <c r="B16" i="9"/>
  <c r="B14" i="9"/>
  <c r="B13" i="9"/>
  <c r="B17" i="10"/>
  <c r="B15" i="10"/>
  <c r="B13" i="10"/>
  <c r="B16" i="10"/>
  <c r="B14" i="10"/>
  <c r="B16" i="12"/>
  <c r="B15" i="12"/>
  <c r="B16" i="11"/>
  <c r="B14" i="11"/>
  <c r="B15" i="11"/>
  <c r="B17" i="11"/>
  <c r="B13" i="11"/>
  <c r="B17" i="7"/>
  <c r="B15" i="7"/>
  <c r="B13" i="7"/>
  <c r="B16" i="7"/>
  <c r="B14" i="7"/>
  <c r="B17" i="8"/>
  <c r="B15" i="8"/>
  <c r="B13" i="8"/>
  <c r="B14" i="8"/>
  <c r="B16" i="8"/>
  <c r="B14" i="12"/>
  <c r="B13" i="12"/>
  <c r="D17" i="2"/>
  <c r="C17" i="2" s="1"/>
  <c r="B13" i="4"/>
  <c r="B17" i="4"/>
  <c r="B16" i="2"/>
  <c r="B14" i="2"/>
  <c r="B15" i="2"/>
  <c r="B13" i="2"/>
  <c r="B17" i="2"/>
</calcChain>
</file>

<file path=xl/sharedStrings.xml><?xml version="1.0" encoding="utf-8"?>
<sst xmlns="http://schemas.openxmlformats.org/spreadsheetml/2006/main" count="1860" uniqueCount="158">
  <si>
    <t>Соц. Услуги</t>
  </si>
  <si>
    <t>01. Приготовление пищи</t>
  </si>
  <si>
    <t>02. Помощь при приготовлении пищи</t>
  </si>
  <si>
    <t>03. Подготовка и подача пищи</t>
  </si>
  <si>
    <t>04. Помощь при подготовке пищи к приему</t>
  </si>
  <si>
    <t>05. Кормление</t>
  </si>
  <si>
    <t>06. Помощь при приеме пищи</t>
  </si>
  <si>
    <t>07. Помощь в соблюдении питьевого режима.</t>
  </si>
  <si>
    <t>08. Умывание</t>
  </si>
  <si>
    <t>09. Помощь при умывании</t>
  </si>
  <si>
    <t>10. Купание в кровати, включая мытье головы</t>
  </si>
  <si>
    <t>11. Купание в приспособленном помещении (месте), включая мытье головы</t>
  </si>
  <si>
    <t>12. Помощь при купании в приспособленном помещении (месте), включая мытье головы</t>
  </si>
  <si>
    <t>13. Гигиеническое обтирание</t>
  </si>
  <si>
    <t>14. Мытье головы, в том числе в кровати</t>
  </si>
  <si>
    <t>15. Помощь при мытье головы</t>
  </si>
  <si>
    <t>16. Подмывание</t>
  </si>
  <si>
    <t>17. Гигиеническая обработка рук и ногтей (процесс обработки ногтей на руках с водой и гиг.ср-ми, включая стрижку или подпиливание ногтей)</t>
  </si>
  <si>
    <t>18. Помощь при гигиенической обработке рук и ногтей (сохранение навыков гиг.обработки ногтей на руках и (или) облегчение данного процесса)</t>
  </si>
  <si>
    <t>19. Мытье ног</t>
  </si>
  <si>
    <t>20. Помощь при мытье ног</t>
  </si>
  <si>
    <t xml:space="preserve">21. Гигиеническая обработка ног и ногтей (процесс обработки ногтей на ногах с водой  и гиг.ср-ми, включая стрижку или подпиливание ногтей) </t>
  </si>
  <si>
    <t>22. Помощь при гигиенической обработка ног и ногтей (сохранение навыков мытья ног и (или) облегчение данного процесса)</t>
  </si>
  <si>
    <t>23. Гигиенииеское бритье</t>
  </si>
  <si>
    <t>24. Гигиеническая стрижка</t>
  </si>
  <si>
    <t>25. Смена одежды (обуви)</t>
  </si>
  <si>
    <t>26. Помощь при смене одежды (обуви)</t>
  </si>
  <si>
    <t>27. Смена нательного белья</t>
  </si>
  <si>
    <t>28. Помощь при смене нательного белья</t>
  </si>
  <si>
    <t>29. Смена постельного белья</t>
  </si>
  <si>
    <t>30. Помощь при смене постельного белья</t>
  </si>
  <si>
    <t>31. Смена абсорбирующего белья, включая гигиеническую обработку</t>
  </si>
  <si>
    <t>32. Помощь при смене абсорбирующего белья (сохранение навыков снятия и надевания абс.белья и (или) облегчение данного процесса)</t>
  </si>
  <si>
    <t>33. Помощь при пользовании туалетом (иными приспособлениями), включая гигиеническую обработку (поддержание способности и сохранение навыков пользования туалетом и (или) иными приспособлениями и (или) облегчение данного процесса)</t>
  </si>
  <si>
    <t>34. Замена мочеприемника и (или) калоприемника, включая гигиеническую обработку</t>
  </si>
  <si>
    <t>35. Помощь при замене мочеприемника и (или) калоприемника</t>
  </si>
  <si>
    <t>36. Позиционирование</t>
  </si>
  <si>
    <t>37. Помощь при позиционировании</t>
  </si>
  <si>
    <t>38. Пересаживание</t>
  </si>
  <si>
    <t>39. Помощь при пересаживании.</t>
  </si>
  <si>
    <t>40. Помощь при передвижении по помещению, пересаживании (поддержание способности к передвижению)</t>
  </si>
  <si>
    <t>41. Измерение температуры тела, артериального давления, пульса, сатурации (в соответствии с медицинскими рекомендациями) (процесс наблюдения за состоянием здоровья)</t>
  </si>
  <si>
    <t>42. Помощь в соблюдении медицинских рекомендаций (поддержание способности следовать мед.назначениям и рекомендациям)</t>
  </si>
  <si>
    <t>43. Подготовка лекарственных препаратов к приему</t>
  </si>
  <si>
    <t>44. Помощь в соблюдении приема лекарственных препаратов (поддержание способности принимать лекарственные препараты)</t>
  </si>
  <si>
    <t>45. Помощь в использовании очков и (или) слуховых аппаратов</t>
  </si>
  <si>
    <t>46. Помощь в использовании протезов или ортезов</t>
  </si>
  <si>
    <t>47. Помощь в поддержании посильной социальной активности</t>
  </si>
  <si>
    <t>48. Помощь в поддержании  посильной физической активности, включая прогулки</t>
  </si>
  <si>
    <t>49. Помощь в поддержании посильной бытовой активности</t>
  </si>
  <si>
    <t>50. Помощь в поддержании когнитивных функций</t>
  </si>
  <si>
    <t>Кратко</t>
  </si>
  <si>
    <t>Наименование социальной услуги по уходу</t>
  </si>
  <si>
    <t>Объем и периодичность социальной услуги по уходу</t>
  </si>
  <si>
    <t>число месяца</t>
  </si>
  <si>
    <t>день недели (пн, вт, ср, чт, пт, сб, вс)</t>
  </si>
  <si>
    <t>1 нед.</t>
  </si>
  <si>
    <t>Объем</t>
  </si>
  <si>
    <t>Периодичность</t>
  </si>
  <si>
    <t>Услуга</t>
  </si>
  <si>
    <t>№</t>
  </si>
  <si>
    <t>посещения</t>
  </si>
  <si>
    <t>УСЛУГ</t>
  </si>
  <si>
    <t>МИНУТ</t>
  </si>
  <si>
    <t>ВСЕГО</t>
  </si>
  <si>
    <t>№ Посещения</t>
  </si>
  <si>
    <t>ПЛАН-ОТЧЕТ  ПРЕДОСТАВЛЕНИЯ СОЦИАЛЬНЫХ УСЛУГ ПО УХОДУ,</t>
  </si>
  <si>
    <t>ВКЛЮЧЕННЫХ В СОЦИАЛЬНЫЙ ПАКЕТ ДОЛГОВРЕМЕННОГО УХОДА</t>
  </si>
  <si>
    <t>Получатель:</t>
  </si>
  <si>
    <t>за</t>
  </si>
  <si>
    <t>сентябрь</t>
  </si>
  <si>
    <t>август</t>
  </si>
  <si>
    <t>50. Помощь в поддержании когнитивных фун</t>
  </si>
  <si>
    <t>48. Помощь в поддержании  посильной физи</t>
  </si>
  <si>
    <t>44. Помощь в соблюдении приема лекарстве</t>
  </si>
  <si>
    <t xml:space="preserve">43. Подготовка лекарственных препаратов </t>
  </si>
  <si>
    <t>33. Помощь при пользовании туалетом (ины</t>
  </si>
  <si>
    <t xml:space="preserve">31. Смена абсорбирующего белья, включая </t>
  </si>
  <si>
    <t xml:space="preserve">11. Купание в приспособленном помещении </t>
  </si>
  <si>
    <t>07. Помощь в соблюдении питьевого режима</t>
  </si>
  <si>
    <t>июль</t>
  </si>
  <si>
    <t>за неделю</t>
  </si>
  <si>
    <t>периодичность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</si>
  <si>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</si>
  <si>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</si>
  <si>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</si>
  <si>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</si>
  <si>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</si>
  <si>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</si>
  <si>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</si>
  <si>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</si>
  <si>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</si>
  <si>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</si>
  <si>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</si>
  <si>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</si>
  <si>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</si>
  <si>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</si>
  <si>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</si>
  <si>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</si>
  <si>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</si>
  <si>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</si>
  <si>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</si>
  <si>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</si>
  <si>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</si>
  <si>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</si>
  <si>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</si>
  <si>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</si>
  <si>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</si>
  <si>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</si>
  <si>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</si>
  <si>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</si>
  <si>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</si>
  <si>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</si>
  <si>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всего минут</t>
  </si>
  <si>
    <t>Проверка</t>
  </si>
  <si>
    <t>Всего</t>
  </si>
  <si>
    <t>Сентябрь</t>
  </si>
  <si>
    <t>Месяц</t>
  </si>
  <si>
    <t>Октябрь</t>
  </si>
  <si>
    <t>Август</t>
  </si>
  <si>
    <t>Июль</t>
  </si>
  <si>
    <t>31</t>
  </si>
  <si>
    <t>Июнь</t>
  </si>
  <si>
    <t>Май</t>
  </si>
  <si>
    <t>Апрель</t>
  </si>
  <si>
    <t>Март</t>
  </si>
  <si>
    <t>Февраль</t>
  </si>
  <si>
    <t>Январь</t>
  </si>
  <si>
    <t>Ноябрь</t>
  </si>
  <si>
    <t>Декабрь</t>
  </si>
  <si>
    <t>Год</t>
  </si>
  <si>
    <t>июнь</t>
  </si>
  <si>
    <t>г.</t>
  </si>
  <si>
    <t>май</t>
  </si>
  <si>
    <t>март</t>
  </si>
  <si>
    <t>февраль</t>
  </si>
  <si>
    <t>январь</t>
  </si>
  <si>
    <t>октябрь</t>
  </si>
  <si>
    <t>ноябрь</t>
  </si>
  <si>
    <t>декабрь</t>
  </si>
  <si>
    <t>10. Купание в кровати, включая мытье гол</t>
  </si>
  <si>
    <t>12. Помощь при купании в приспособленном</t>
  </si>
  <si>
    <t>17. Гигиеническая обработка рук и ногтей</t>
  </si>
  <si>
    <t>18. Помощь при гигиенической обработке р</t>
  </si>
  <si>
    <t>21. Гигиеническая обработка ног и ногтей</t>
  </si>
  <si>
    <t>22. Помощь при гигиенической обработка н</t>
  </si>
  <si>
    <t>32. Помощь при смене абсорбирующего бель</t>
  </si>
  <si>
    <t>34. Замена мочеприемника и (или) калопри</t>
  </si>
  <si>
    <t>35. Помощь при замене мочеприемника и (и</t>
  </si>
  <si>
    <t>40. Помощь при передвижении по помещению</t>
  </si>
  <si>
    <t>41. Измерение температуры тела, артериал</t>
  </si>
  <si>
    <t>42. Помощь в соблюдении медицинских реко</t>
  </si>
  <si>
    <t>45. Помощь в использовании очков и (или)</t>
  </si>
  <si>
    <t xml:space="preserve">46. Помощь в использовании протезов или </t>
  </si>
  <si>
    <t>47. Помощь в поддержании посильной социа</t>
  </si>
  <si>
    <t>49. Помощь в поддержании посильной бытов</t>
  </si>
  <si>
    <t>ФИО</t>
  </si>
  <si>
    <t>Фамилия И.О.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</si>
</sst>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ddd"/>
    <numFmt numFmtId="167" formatCode="0;[Red]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 tint="0.14999847407452621"/>
      <name val="Times New Roman"/>
      <family val="1"/>
      <charset val="204"/>
    </font>
    <font>
      <sz val="9"/>
      <color theme="1" tint="0.14999847407452621"/>
      <name val="Times New Roman"/>
      <family val="1"/>
      <charset val="204"/>
    </font>
    <font>
      <sz val="14"/>
      <color theme="1" tint="0.1499984740745262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</font>
    <font>
      <sz val="12"/>
      <color theme="1" tint="0.14999847407452621"/>
      <name val="Times New Roman"/>
    </font>
    <font>
      <b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C1C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14" fontId="2" fillId="0" borderId="0" xfId="0" applyNumberFormat="1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 shrinkToFit="1"/>
    </xf>
    <xf numFmtId="166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/>
    <xf numFmtId="167" fontId="2" fillId="0" borderId="0" xfId="0" applyNumberFormat="1" applyFont="1"/>
    <xf numFmtId="166" fontId="2" fillId="0" borderId="1" xfId="0" applyNumberFormat="1" applyFont="1" applyBorder="1" applyAlignment="1">
      <alignment horizontal="center" vertical="center" shrinkToFit="1"/>
    </xf>
    <xf numFmtId="166" fontId="2" fillId="0" borderId="10" xfId="0" applyNumberFormat="1" applyFont="1" applyBorder="1" applyAlignment="1">
      <alignment horizontal="center" vertical="center"/>
    </xf>
    <xf numFmtId="17" fontId="2" fillId="0" borderId="0" xfId="0" applyNumberFormat="1" applyFont="1"/>
    <xf numFmtId="0" fontId="3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 wrapText="1" shrinkToFit="1"/>
    </xf>
    <xf numFmtId="0" fontId="5" fillId="0" borderId="5" xfId="0" applyFont="1" applyBorder="1" applyAlignment="1">
      <alignment horizontal="right" vertical="center" wrapText="1" shrinkToFit="1"/>
    </xf>
    <xf numFmtId="0" fontId="5" fillId="0" borderId="5" xfId="0" applyFont="1" applyBorder="1" applyAlignment="1">
      <alignment horizontal="left" vertical="center" wrapText="1" shrinkToFit="1"/>
    </xf>
    <xf numFmtId="0" fontId="11" fillId="2" borderId="0" xfId="0" applyFont="1" applyFill="1" applyAlignment="1">
      <alignment horizontal="left" vertical="center" wrapText="1" shrinkToFit="1"/>
    </xf>
    <xf numFmtId="0" fontId="11" fillId="0" borderId="0" xfId="0" applyFont="1" applyAlignment="1">
      <alignment horizontal="center" vertical="center" wrapText="1" shrinkToFit="1"/>
    </xf>
    <xf numFmtId="1" fontId="11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1" fillId="0" borderId="0" xfId="1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10" fillId="0" borderId="6" xfId="0" applyFont="1" applyBorder="1" applyAlignment="1">
      <alignment horizontal="center" vertical="center" wrapText="1" shrinkToFit="1"/>
    </xf>
    <xf numFmtId="0" fontId="10" fillId="0" borderId="11" xfId="0" applyFont="1" applyBorder="1" applyAlignment="1">
      <alignment horizontal="center" vertical="center" wrapText="1" shrinkToFit="1"/>
    </xf>
    <xf numFmtId="0" fontId="2" fillId="0" borderId="12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 wrapText="1" shrinkToFit="1"/>
    </xf>
    <xf numFmtId="0" fontId="9" fillId="0" borderId="13" xfId="0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 shrinkToFit="1"/>
    </xf>
    <xf numFmtId="0" fontId="9" fillId="0" borderId="14" xfId="0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textRotation="90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9" fillId="0" borderId="15" xfId="0" applyFont="1" applyBorder="1" applyAlignment="1">
      <alignment horizontal="center" vertical="center" wrapText="1" shrinkToFit="1"/>
    </xf>
    <xf numFmtId="0" fontId="9" fillId="0" borderId="7" xfId="0" applyFont="1" applyBorder="1" applyAlignment="1">
      <alignment horizontal="center" vertical="center" wrapText="1" shrinkToFit="1"/>
    </xf>
    <xf numFmtId="0" fontId="9" fillId="0" borderId="3" xfId="0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textRotation="90" wrapText="1" shrinkToFit="1"/>
    </xf>
    <xf numFmtId="0" fontId="9" fillId="0" borderId="6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4" fillId="0" borderId="0" xfId="0" applyFont="1" applyAlignment="1">
      <alignment horizontal="right" vertical="center" wrapText="1" shrinkToFit="1"/>
    </xf>
    <xf numFmtId="0" fontId="2" fillId="0" borderId="7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 wrapText="1" shrinkToFit="1"/>
    </xf>
    <xf numFmtId="0" fontId="9" fillId="0" borderId="8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0" fontId="9" fillId="0" borderId="5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</cellXfs>
  <cellStyles count="2">
    <cellStyle name="Обычный" xfId="0" builtinId="0"/>
    <cellStyle name="Обычный 2 2 2" xfId="1"/>
  </cellStyles>
  <dxfs count="12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984740745262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C1C1"/>
        </patternFill>
      </fill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7" formatCode="0;[Red]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Услуги" displayName="Услуги" ref="A1:B51" totalsRowShown="0" headerRowDxfId="1256" dataDxfId="1255">
  <autoFilter ref="A1:B51">
    <filterColumn colId="0" hiddenButton="1"/>
    <filterColumn colId="1" hiddenButton="1"/>
  </autoFilter>
  <tableColumns count="2">
    <tableColumn id="1" name="Соц. Услуги" dataDxfId="1254"/>
    <tableColumn id="2" name="Кратко" dataDxfId="1253">
      <calculatedColumnFormula>LEFT(Услуги[[#This Row],[Соц. Услуги]],40)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ФевральИтоги" displayName="ФевральИтоги" ref="A12:AI17" totalsRowShown="0" headerRowDxfId="1022" dataDxfId="1021" tableBorderDxfId="1020">
  <autoFilter ref="A12:AI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</autoFilter>
  <tableColumns count="35">
    <tableColumn id="1" name="периодичность" dataDxfId="1019"/>
    <tableColumn id="2" name="за неделю" dataDxfId="1018">
      <calculatedColumnFormula>SUM(H23:L23)</calculatedColumnFormula>
    </tableColumn>
    <tableColumn id="3" name="всего минут" dataDxfId="1017">
      <calculatedColumnFormula>ФевральИтоги[[#This Row],[№]]*60</calculatedColumnFormula>
    </tableColumn>
    <tableColumn id="4" name="№" dataDxfId="1016"/>
    <tableColumn id="5" name="1" dataDxfId="1015">
      <calculatedColumnFormula>SUM(E10:E19)</calculatedColumnFormula>
    </tableColumn>
    <tableColumn id="6" name="2" dataDxfId="1014"/>
    <tableColumn id="7" name="3" dataDxfId="1013"/>
    <tableColumn id="8" name="4" dataDxfId="1012"/>
    <tableColumn id="9" name="5" dataDxfId="1011"/>
    <tableColumn id="10" name="6" dataDxfId="1010"/>
    <tableColumn id="11" name="7" dataDxfId="1009"/>
    <tableColumn id="12" name="8" dataDxfId="1008"/>
    <tableColumn id="13" name="9" dataDxfId="1007"/>
    <tableColumn id="14" name="10" dataDxfId="1006"/>
    <tableColumn id="15" name="11" dataDxfId="1005"/>
    <tableColumn id="16" name="12" dataDxfId="1004"/>
    <tableColumn id="17" name="13" dataDxfId="1003"/>
    <tableColumn id="18" name="14" dataDxfId="1002"/>
    <tableColumn id="19" name="15" dataDxfId="1001"/>
    <tableColumn id="20" name="16" dataDxfId="1000"/>
    <tableColumn id="21" name="17" dataDxfId="999"/>
    <tableColumn id="22" name="18" dataDxfId="998"/>
    <tableColumn id="23" name="19" dataDxfId="997"/>
    <tableColumn id="24" name="20" dataDxfId="996"/>
    <tableColumn id="25" name="21" dataDxfId="995"/>
    <tableColumn id="26" name="22" dataDxfId="994"/>
    <tableColumn id="27" name="23" dataDxfId="993"/>
    <tableColumn id="28" name="24" dataDxfId="992"/>
    <tableColumn id="29" name="25" dataDxfId="991"/>
    <tableColumn id="30" name="26" dataDxfId="990"/>
    <tableColumn id="31" name="27" dataDxfId="989"/>
    <tableColumn id="32" name="28" dataDxfId="988"/>
    <tableColumn id="33" name="29" dataDxfId="987"/>
    <tableColumn id="35" name="УСЛУГ" dataDxfId="986">
      <calculatedColumnFormula>SUM(Сентябрь[УСЛУГ])</calculatedColumnFormula>
    </tableColumn>
    <tableColumn id="36" name="МИНУТ" dataDxfId="985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15" name="Март" displayName="Март" ref="A24:AK174" headerRowDxfId="982" dataDxfId="981" totalsRowDxfId="980">
  <autoFilter ref="A24:AK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979"/>
    <tableColumn id="2" name="Объем" dataDxfId="978" totalsRowDxfId="977"/>
    <tableColumn id="3" name="Периодичность" dataDxfId="976" totalsRowDxfId="975"/>
    <tableColumn id="4" name="№" dataDxfId="974" totalsRowDxfId="973"/>
    <tableColumn id="7" name="1" dataDxfId="972" dataCellStyle="Обычный 2 2 2"/>
    <tableColumn id="8" name="2" dataDxfId="971" dataCellStyle="Обычный 2 2 2"/>
    <tableColumn id="9" name="3" dataDxfId="970" dataCellStyle="Обычный 2 2 2"/>
    <tableColumn id="10" name="4" dataDxfId="969" totalsRowDxfId="968" dataCellStyle="Обычный 2 2 2"/>
    <tableColumn id="11" name="5" dataDxfId="967" totalsRowDxfId="966" dataCellStyle="Обычный 2 2 2"/>
    <tableColumn id="12" name="6" dataDxfId="965" totalsRowDxfId="964" dataCellStyle="Обычный 2 2 2"/>
    <tableColumn id="13" name="7" dataDxfId="963" dataCellStyle="Обычный 2 2 2"/>
    <tableColumn id="14" name="8" dataDxfId="962" dataCellStyle="Обычный 2 2 2"/>
    <tableColumn id="15" name="9" dataDxfId="961" dataCellStyle="Обычный 2 2 2"/>
    <tableColumn id="16" name="10" dataDxfId="960" dataCellStyle="Обычный 2 2 2"/>
    <tableColumn id="17" name="11" dataDxfId="959" totalsRowDxfId="958" dataCellStyle="Обычный 2 2 2"/>
    <tableColumn id="18" name="12" dataDxfId="957" totalsRowDxfId="956" dataCellStyle="Обычный 2 2 2"/>
    <tableColumn id="19" name="13" dataDxfId="955" totalsRowDxfId="954" dataCellStyle="Обычный 2 2 2"/>
    <tableColumn id="20" name="14" dataDxfId="953" dataCellStyle="Обычный 2 2 2"/>
    <tableColumn id="21" name="15" dataDxfId="952" dataCellStyle="Обычный 2 2 2"/>
    <tableColumn id="22" name="16" dataDxfId="951" dataCellStyle="Обычный 2 2 2"/>
    <tableColumn id="23" name="17" dataDxfId="950" dataCellStyle="Обычный 2 2 2"/>
    <tableColumn id="24" name="18" dataDxfId="949" totalsRowDxfId="948" dataCellStyle="Обычный 2 2 2"/>
    <tableColumn id="25" name="19" dataDxfId="947" totalsRowDxfId="946" dataCellStyle="Обычный 2 2 2"/>
    <tableColumn id="26" name="20" dataDxfId="945" totalsRowDxfId="944" dataCellStyle="Обычный 2 2 2"/>
    <tableColumn id="27" name="21" dataDxfId="943" dataCellStyle="Обычный 2 2 2"/>
    <tableColumn id="28" name="22" dataDxfId="942" dataCellStyle="Обычный 2 2 2"/>
    <tableColumn id="29" name="23" dataDxfId="941" dataCellStyle="Обычный 2 2 2"/>
    <tableColumn id="30" name="24" dataDxfId="940" dataCellStyle="Обычный 2 2 2"/>
    <tableColumn id="31" name="25" dataDxfId="939" totalsRowDxfId="938" dataCellStyle="Обычный 2 2 2"/>
    <tableColumn id="32" name="26" dataDxfId="937" totalsRowDxfId="936" dataCellStyle="Обычный 2 2 2"/>
    <tableColumn id="33" name="27" dataDxfId="935" totalsRowDxfId="934" dataCellStyle="Обычный 2 2 2"/>
    <tableColumn id="34" name="28" dataDxfId="933" dataCellStyle="Обычный 2 2 2"/>
    <tableColumn id="35" name="29" dataDxfId="932" dataCellStyle="Обычный 2 2 2"/>
    <tableColumn id="36" name="30" dataDxfId="931" dataCellStyle="Обычный 2 2 2"/>
    <tableColumn id="5" name="31" dataDxfId="930" dataCellStyle="Обычный 2 2 2"/>
    <tableColumn id="38" name="УСЛУГ" totalsRowFunction="sum" dataDxfId="929" totalsRowDxfId="928">
      <calculatedColumnFormula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calculatedColumnFormula>
    </tableColumn>
    <tableColumn id="39" name="МИНУТ" totalsRowFunction="sum" dataDxfId="927" totalsRowDxfId="926">
      <calculatedColumnFormula>IF(Март[[#This Row],[УСЛУГ]]&lt;&gt;"",Март[[#This Row],[УСЛУГ]]*Март[[#This Row],[Периодичность]],"")</calculatedColumnFormula>
    </tableColumn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id="16" name="МартИтоги" displayName="МартИтоги" ref="A12:AK17" totalsRowShown="0" headerRowDxfId="925" dataDxfId="924" tableBorderDxfId="923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922"/>
    <tableColumn id="2" name="за неделю" dataDxfId="921">
      <calculatedColumnFormula>SUMPRODUCT((#REF!=1)*E16:AI16)</calculatedColumnFormula>
    </tableColumn>
    <tableColumn id="3" name="всего минут" dataDxfId="920">
      <calculatedColumnFormula>МартИтоги[[#This Row],[№]]*60</calculatedColumnFormula>
    </tableColumn>
    <tableColumn id="4" name="№" dataDxfId="919"/>
    <tableColumn id="5" name="1" dataDxfId="918">
      <calculatedColumnFormula>SUM(E10:E15)</calculatedColumnFormula>
    </tableColumn>
    <tableColumn id="6" name="2" dataDxfId="917"/>
    <tableColumn id="7" name="3" dataDxfId="916"/>
    <tableColumn id="8" name="4" dataDxfId="915"/>
    <tableColumn id="9" name="5" dataDxfId="914"/>
    <tableColumn id="10" name="6" dataDxfId="913"/>
    <tableColumn id="11" name="7" dataDxfId="912"/>
    <tableColumn id="12" name="8" dataDxfId="911"/>
    <tableColumn id="13" name="9" dataDxfId="910"/>
    <tableColumn id="14" name="10" dataDxfId="909"/>
    <tableColumn id="15" name="11" dataDxfId="908"/>
    <tableColumn id="16" name="12" dataDxfId="907"/>
    <tableColumn id="17" name="13" dataDxfId="906"/>
    <tableColumn id="18" name="14" dataDxfId="905"/>
    <tableColumn id="19" name="15" dataDxfId="904"/>
    <tableColumn id="20" name="16" dataDxfId="903"/>
    <tableColumn id="21" name="17" dataDxfId="902"/>
    <tableColumn id="22" name="18" dataDxfId="901"/>
    <tableColumn id="23" name="19" dataDxfId="900"/>
    <tableColumn id="24" name="20" dataDxfId="899"/>
    <tableColumn id="25" name="21" dataDxfId="898"/>
    <tableColumn id="26" name="22" dataDxfId="897"/>
    <tableColumn id="27" name="23" dataDxfId="896"/>
    <tableColumn id="28" name="24" dataDxfId="895"/>
    <tableColumn id="29" name="25" dataDxfId="894"/>
    <tableColumn id="30" name="26" dataDxfId="893"/>
    <tableColumn id="31" name="27" dataDxfId="892"/>
    <tableColumn id="32" name="28" dataDxfId="891"/>
    <tableColumn id="33" name="29" dataDxfId="890"/>
    <tableColumn id="34" name="30" dataDxfId="889"/>
    <tableColumn id="37" name="31" dataDxfId="888">
      <calculatedColumnFormula>SUMPRODUCT((Август[№]=1)*Август[31],Август[Периодичность])</calculatedColumnFormula>
    </tableColumn>
    <tableColumn id="35" name="УСЛУГ" dataDxfId="887">
      <calculatedColumnFormula>SUM(Сентябрь[УСЛУГ])</calculatedColumnFormula>
    </tableColumn>
    <tableColumn id="36" name="МИНУТ" dataDxfId="886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id="13" name="Апрель" displayName="Апрель" ref="A24:AJ174" headerRowDxfId="883" dataDxfId="882" totalsRowDxfId="881">
  <autoFilter ref="A24:AJ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880"/>
    <tableColumn id="2" name="Объем" dataDxfId="879" totalsRowDxfId="878"/>
    <tableColumn id="3" name="Периодичность" dataDxfId="877" totalsRowDxfId="876"/>
    <tableColumn id="4" name="№" dataDxfId="875" totalsRowDxfId="874"/>
    <tableColumn id="7" name="1" dataDxfId="873" dataCellStyle="Обычный 2 2 2"/>
    <tableColumn id="8" name="2" dataDxfId="872" dataCellStyle="Обычный 2 2 2"/>
    <tableColumn id="9" name="3" dataDxfId="871" dataCellStyle="Обычный 2 2 2"/>
    <tableColumn id="10" name="4" dataDxfId="870" totalsRowDxfId="869" dataCellStyle="Обычный 2 2 2"/>
    <tableColumn id="11" name="5" dataDxfId="868" totalsRowDxfId="867" dataCellStyle="Обычный 2 2 2"/>
    <tableColumn id="12" name="6" dataDxfId="866" totalsRowDxfId="865" dataCellStyle="Обычный 2 2 2"/>
    <tableColumn id="13" name="7" dataDxfId="864" dataCellStyle="Обычный 2 2 2"/>
    <tableColumn id="14" name="8" dataDxfId="863" dataCellStyle="Обычный 2 2 2"/>
    <tableColumn id="15" name="9" dataDxfId="862" dataCellStyle="Обычный 2 2 2"/>
    <tableColumn id="16" name="10" dataDxfId="861" dataCellStyle="Обычный 2 2 2"/>
    <tableColumn id="17" name="11" dataDxfId="860" totalsRowDxfId="859" dataCellStyle="Обычный 2 2 2"/>
    <tableColumn id="18" name="12" dataDxfId="858" totalsRowDxfId="857" dataCellStyle="Обычный 2 2 2"/>
    <tableColumn id="19" name="13" dataDxfId="856" totalsRowDxfId="855" dataCellStyle="Обычный 2 2 2"/>
    <tableColumn id="20" name="14" dataDxfId="854" dataCellStyle="Обычный 2 2 2"/>
    <tableColumn id="21" name="15" dataDxfId="853" dataCellStyle="Обычный 2 2 2"/>
    <tableColumn id="22" name="16" dataDxfId="852" dataCellStyle="Обычный 2 2 2"/>
    <tableColumn id="23" name="17" dataDxfId="851" dataCellStyle="Обычный 2 2 2"/>
    <tableColumn id="24" name="18" dataDxfId="850" totalsRowDxfId="849" dataCellStyle="Обычный 2 2 2"/>
    <tableColumn id="25" name="19" dataDxfId="848" totalsRowDxfId="847" dataCellStyle="Обычный 2 2 2"/>
    <tableColumn id="26" name="20" dataDxfId="846" totalsRowDxfId="845" dataCellStyle="Обычный 2 2 2"/>
    <tableColumn id="27" name="21" dataDxfId="844" dataCellStyle="Обычный 2 2 2"/>
    <tableColumn id="28" name="22" dataDxfId="843" dataCellStyle="Обычный 2 2 2"/>
    <tableColumn id="29" name="23" dataDxfId="842" dataCellStyle="Обычный 2 2 2"/>
    <tableColumn id="30" name="24" dataDxfId="841" dataCellStyle="Обычный 2 2 2"/>
    <tableColumn id="31" name="25" dataDxfId="840" totalsRowDxfId="839" dataCellStyle="Обычный 2 2 2"/>
    <tableColumn id="32" name="26" dataDxfId="838" totalsRowDxfId="837" dataCellStyle="Обычный 2 2 2"/>
    <tableColumn id="33" name="27" dataDxfId="836" totalsRowDxfId="835" dataCellStyle="Обычный 2 2 2"/>
    <tableColumn id="34" name="28" dataDxfId="834" dataCellStyle="Обычный 2 2 2"/>
    <tableColumn id="35" name="29" dataDxfId="833" dataCellStyle="Обычный 2 2 2"/>
    <tableColumn id="36" name="30" dataDxfId="832" dataCellStyle="Обычный 2 2 2"/>
    <tableColumn id="38" name="УСЛУГ" totalsRowFunction="sum" dataDxfId="831" totalsRowDxfId="830">
      <calculatedColumnFormula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calculatedColumnFormula>
    </tableColumn>
    <tableColumn id="39" name="МИНУТ" totalsRowFunction="sum" dataDxfId="829" totalsRowDxfId="828">
      <calculatedColumnFormula>IF(Апрель[[#This Row],[УСЛУГ]]&lt;&gt;"",Апрель[[#This Row],[УСЛУГ]]*Апрель[[#This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id="14" name="АпрельИтоги" displayName="АпрельИтоги" ref="A12:AJ17" totalsRowShown="0" headerRowDxfId="827" dataDxfId="826" tableBorderDxfId="825">
  <autoFilter ref="A12:A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824"/>
    <tableColumn id="2" name="за неделю" dataDxfId="823">
      <calculatedColumnFormula>SUM(H23:L23)</calculatedColumnFormula>
    </tableColumn>
    <tableColumn id="3" name="всего минут" dataDxfId="822">
      <calculatedColumnFormula>АпрельИтоги[[#This Row],[№]]*60</calculatedColumnFormula>
    </tableColumn>
    <tableColumn id="4" name="№" dataDxfId="821"/>
    <tableColumn id="5" name="1" dataDxfId="820">
      <calculatedColumnFormula>SUM(E10:E19)</calculatedColumnFormula>
    </tableColumn>
    <tableColumn id="6" name="2" dataDxfId="819"/>
    <tableColumn id="7" name="3" dataDxfId="818"/>
    <tableColumn id="8" name="4" dataDxfId="817"/>
    <tableColumn id="9" name="5" dataDxfId="816"/>
    <tableColumn id="10" name="6" dataDxfId="815"/>
    <tableColumn id="11" name="7" dataDxfId="814"/>
    <tableColumn id="12" name="8" dataDxfId="813"/>
    <tableColumn id="13" name="9" dataDxfId="812"/>
    <tableColumn id="14" name="10" dataDxfId="811"/>
    <tableColumn id="15" name="11" dataDxfId="810"/>
    <tableColumn id="16" name="12" dataDxfId="809"/>
    <tableColumn id="17" name="13" dataDxfId="808"/>
    <tableColumn id="18" name="14" dataDxfId="807"/>
    <tableColumn id="19" name="15" dataDxfId="806"/>
    <tableColumn id="20" name="16" dataDxfId="805"/>
    <tableColumn id="21" name="17" dataDxfId="804"/>
    <tableColumn id="22" name="18" dataDxfId="803"/>
    <tableColumn id="23" name="19" dataDxfId="802"/>
    <tableColumn id="24" name="20" dataDxfId="801"/>
    <tableColumn id="25" name="21" dataDxfId="800"/>
    <tableColumn id="26" name="22" dataDxfId="799"/>
    <tableColumn id="27" name="23" dataDxfId="798"/>
    <tableColumn id="28" name="24" dataDxfId="797"/>
    <tableColumn id="29" name="25" dataDxfId="796"/>
    <tableColumn id="30" name="26" dataDxfId="795"/>
    <tableColumn id="31" name="27" dataDxfId="794"/>
    <tableColumn id="32" name="28" dataDxfId="793"/>
    <tableColumn id="33" name="29" dataDxfId="792"/>
    <tableColumn id="34" name="30" dataDxfId="791"/>
    <tableColumn id="35" name="УСЛУГ" dataDxfId="790">
      <calculatedColumnFormula>SUM(Сентябрь[УСЛУГ])</calculatedColumnFormula>
    </tableColumn>
    <tableColumn id="36" name="МИНУТ" dataDxfId="789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id="11" name="Май" displayName="Май" ref="A24:AK174" headerRowDxfId="786" dataDxfId="785" totalsRowDxfId="784">
  <autoFilter ref="A24:AK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783"/>
    <tableColumn id="2" name="Объем" dataDxfId="782" totalsRowDxfId="781"/>
    <tableColumn id="3" name="Периодичность" dataDxfId="780" totalsRowDxfId="779"/>
    <tableColumn id="4" name="№" dataDxfId="778" totalsRowDxfId="777"/>
    <tableColumn id="7" name="1" dataDxfId="776" dataCellStyle="Обычный 2 2 2"/>
    <tableColumn id="8" name="2" dataDxfId="775" dataCellStyle="Обычный 2 2 2"/>
    <tableColumn id="9" name="3" dataDxfId="774" dataCellStyle="Обычный 2 2 2"/>
    <tableColumn id="10" name="4" dataDxfId="773" totalsRowDxfId="772" dataCellStyle="Обычный 2 2 2"/>
    <tableColumn id="11" name="5" dataDxfId="771" totalsRowDxfId="770" dataCellStyle="Обычный 2 2 2"/>
    <tableColumn id="12" name="6" dataDxfId="769" totalsRowDxfId="768" dataCellStyle="Обычный 2 2 2"/>
    <tableColumn id="13" name="7" dataDxfId="767" dataCellStyle="Обычный 2 2 2"/>
    <tableColumn id="14" name="8" dataDxfId="766" dataCellStyle="Обычный 2 2 2"/>
    <tableColumn id="15" name="9" dataDxfId="765" dataCellStyle="Обычный 2 2 2"/>
    <tableColumn id="16" name="10" dataDxfId="764" dataCellStyle="Обычный 2 2 2"/>
    <tableColumn id="17" name="11" dataDxfId="763" totalsRowDxfId="762" dataCellStyle="Обычный 2 2 2"/>
    <tableColumn id="18" name="12" dataDxfId="761" totalsRowDxfId="760" dataCellStyle="Обычный 2 2 2"/>
    <tableColumn id="19" name="13" dataDxfId="759" totalsRowDxfId="758" dataCellStyle="Обычный 2 2 2"/>
    <tableColumn id="20" name="14" dataDxfId="757" dataCellStyle="Обычный 2 2 2"/>
    <tableColumn id="21" name="15" dataDxfId="756" dataCellStyle="Обычный 2 2 2"/>
    <tableColumn id="22" name="16" dataDxfId="755" dataCellStyle="Обычный 2 2 2"/>
    <tableColumn id="23" name="17" dataDxfId="754" dataCellStyle="Обычный 2 2 2"/>
    <tableColumn id="24" name="18" dataDxfId="753" totalsRowDxfId="752" dataCellStyle="Обычный 2 2 2"/>
    <tableColumn id="25" name="19" dataDxfId="751" totalsRowDxfId="750" dataCellStyle="Обычный 2 2 2"/>
    <tableColumn id="26" name="20" dataDxfId="749" totalsRowDxfId="748" dataCellStyle="Обычный 2 2 2"/>
    <tableColumn id="27" name="21" dataDxfId="747" dataCellStyle="Обычный 2 2 2"/>
    <tableColumn id="28" name="22" dataDxfId="746" dataCellStyle="Обычный 2 2 2"/>
    <tableColumn id="29" name="23" dataDxfId="745" dataCellStyle="Обычный 2 2 2"/>
    <tableColumn id="30" name="24" dataDxfId="744" dataCellStyle="Обычный 2 2 2"/>
    <tableColumn id="31" name="25" dataDxfId="743" totalsRowDxfId="742" dataCellStyle="Обычный 2 2 2"/>
    <tableColumn id="32" name="26" dataDxfId="741" totalsRowDxfId="740" dataCellStyle="Обычный 2 2 2"/>
    <tableColumn id="33" name="27" dataDxfId="739" totalsRowDxfId="738" dataCellStyle="Обычный 2 2 2"/>
    <tableColumn id="34" name="28" dataDxfId="737" dataCellStyle="Обычный 2 2 2"/>
    <tableColumn id="35" name="29" dataDxfId="736" dataCellStyle="Обычный 2 2 2"/>
    <tableColumn id="36" name="30" dataDxfId="735" dataCellStyle="Обычный 2 2 2"/>
    <tableColumn id="5" name="31" dataDxfId="734" dataCellStyle="Обычный 2 2 2"/>
    <tableColumn id="38" name="УСЛУГ" totalsRowFunction="sum" dataDxfId="733" totalsRowDxfId="732">
      <calculatedColumnFormula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calculatedColumnFormula>
    </tableColumn>
    <tableColumn id="39" name="МИНУТ" totalsRowFunction="sum" dataDxfId="731" totalsRowDxfId="730">
      <calculatedColumnFormula>IF(Май[[#This Row],[УСЛУГ]]&lt;&gt;"",Май[[#This Row],[УСЛУГ]]*Май[[#This Row],[Периодичность]],"")</calculatedColumnFormula>
    </tableColumn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id="12" name="МайИтоги" displayName="МайИтоги" ref="A12:AK17" totalsRowShown="0" headerRowDxfId="729" dataDxfId="728" tableBorderDxfId="727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726"/>
    <tableColumn id="2" name="за неделю" dataDxfId="725">
      <calculatedColumnFormula>SUMPRODUCT((#REF!=1)*E16:AI16)</calculatedColumnFormula>
    </tableColumn>
    <tableColumn id="3" name="всего минут" dataDxfId="724">
      <calculatedColumnFormula>МайИтоги[[#This Row],[№]]*60</calculatedColumnFormula>
    </tableColumn>
    <tableColumn id="4" name="№" dataDxfId="723"/>
    <tableColumn id="5" name="1" dataDxfId="722">
      <calculatedColumnFormula>SUM(E10:E15)</calculatedColumnFormula>
    </tableColumn>
    <tableColumn id="6" name="2" dataDxfId="721"/>
    <tableColumn id="7" name="3" dataDxfId="720"/>
    <tableColumn id="8" name="4" dataDxfId="719"/>
    <tableColumn id="9" name="5" dataDxfId="718"/>
    <tableColumn id="10" name="6" dataDxfId="717"/>
    <tableColumn id="11" name="7" dataDxfId="716"/>
    <tableColumn id="12" name="8" dataDxfId="715"/>
    <tableColumn id="13" name="9" dataDxfId="714"/>
    <tableColumn id="14" name="10" dataDxfId="713"/>
    <tableColumn id="15" name="11" dataDxfId="712"/>
    <tableColumn id="16" name="12" dataDxfId="711"/>
    <tableColumn id="17" name="13" dataDxfId="710"/>
    <tableColumn id="18" name="14" dataDxfId="709"/>
    <tableColumn id="19" name="15" dataDxfId="708"/>
    <tableColumn id="20" name="16" dataDxfId="707"/>
    <tableColumn id="21" name="17" dataDxfId="706"/>
    <tableColumn id="22" name="18" dataDxfId="705"/>
    <tableColumn id="23" name="19" dataDxfId="704"/>
    <tableColumn id="24" name="20" dataDxfId="703"/>
    <tableColumn id="25" name="21" dataDxfId="702"/>
    <tableColumn id="26" name="22" dataDxfId="701"/>
    <tableColumn id="27" name="23" dataDxfId="700"/>
    <tableColumn id="28" name="24" dataDxfId="699"/>
    <tableColumn id="29" name="25" dataDxfId="698"/>
    <tableColumn id="30" name="26" dataDxfId="697"/>
    <tableColumn id="31" name="27" dataDxfId="696"/>
    <tableColumn id="32" name="28" dataDxfId="695"/>
    <tableColumn id="33" name="29" dataDxfId="694"/>
    <tableColumn id="34" name="30" dataDxfId="693"/>
    <tableColumn id="37" name="31" dataDxfId="692">
      <calculatedColumnFormula>SUMPRODUCT((Август[№]=1)*Август[31],Август[Периодичность])</calculatedColumnFormula>
    </tableColumn>
    <tableColumn id="35" name="УСЛУГ" dataDxfId="691">
      <calculatedColumnFormula>SUM(Сентябрь[УСЛУГ])</calculatedColumnFormula>
    </tableColumn>
    <tableColumn id="36" name="МИНУТ" dataDxfId="690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id="9" name="Июнь" displayName="Июнь" ref="A24:AJ174" headerRowDxfId="687" dataDxfId="686" totalsRowDxfId="685">
  <autoFilter ref="A24:AJ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684"/>
    <tableColumn id="2" name="Объем" dataDxfId="683" totalsRowDxfId="682"/>
    <tableColumn id="3" name="Периодичность" dataDxfId="681" totalsRowDxfId="680"/>
    <tableColumn id="4" name="№" dataDxfId="679" totalsRowDxfId="678"/>
    <tableColumn id="7" name="1" dataDxfId="677" dataCellStyle="Обычный 2 2 2"/>
    <tableColumn id="8" name="2" dataDxfId="676" dataCellStyle="Обычный 2 2 2"/>
    <tableColumn id="9" name="3" dataDxfId="675" dataCellStyle="Обычный 2 2 2"/>
    <tableColumn id="10" name="4" dataDxfId="674" totalsRowDxfId="673" dataCellStyle="Обычный 2 2 2"/>
    <tableColumn id="11" name="5" dataDxfId="672" totalsRowDxfId="671" dataCellStyle="Обычный 2 2 2"/>
    <tableColumn id="12" name="6" dataDxfId="670" totalsRowDxfId="669" dataCellStyle="Обычный 2 2 2"/>
    <tableColumn id="13" name="7" dataDxfId="668" dataCellStyle="Обычный 2 2 2"/>
    <tableColumn id="14" name="8" dataDxfId="667" dataCellStyle="Обычный 2 2 2"/>
    <tableColumn id="15" name="9" dataDxfId="666" dataCellStyle="Обычный 2 2 2"/>
    <tableColumn id="16" name="10" dataDxfId="665" dataCellStyle="Обычный 2 2 2"/>
    <tableColumn id="17" name="11" dataDxfId="664" totalsRowDxfId="663" dataCellStyle="Обычный 2 2 2"/>
    <tableColumn id="18" name="12" dataDxfId="662" totalsRowDxfId="661" dataCellStyle="Обычный 2 2 2"/>
    <tableColumn id="19" name="13" dataDxfId="660" totalsRowDxfId="659" dataCellStyle="Обычный 2 2 2"/>
    <tableColumn id="20" name="14" dataDxfId="658" dataCellStyle="Обычный 2 2 2"/>
    <tableColumn id="21" name="15" dataDxfId="657" dataCellStyle="Обычный 2 2 2"/>
    <tableColumn id="22" name="16" dataDxfId="656" dataCellStyle="Обычный 2 2 2"/>
    <tableColumn id="23" name="17" dataDxfId="655" dataCellStyle="Обычный 2 2 2"/>
    <tableColumn id="24" name="18" dataDxfId="654" totalsRowDxfId="653" dataCellStyle="Обычный 2 2 2"/>
    <tableColumn id="25" name="19" dataDxfId="652" totalsRowDxfId="651" dataCellStyle="Обычный 2 2 2"/>
    <tableColumn id="26" name="20" dataDxfId="650" totalsRowDxfId="649" dataCellStyle="Обычный 2 2 2"/>
    <tableColumn id="27" name="21" dataDxfId="648" dataCellStyle="Обычный 2 2 2"/>
    <tableColumn id="28" name="22" dataDxfId="647" dataCellStyle="Обычный 2 2 2"/>
    <tableColumn id="29" name="23" dataDxfId="646" dataCellStyle="Обычный 2 2 2"/>
    <tableColumn id="30" name="24" dataDxfId="645" dataCellStyle="Обычный 2 2 2"/>
    <tableColumn id="31" name="25" dataDxfId="644" totalsRowDxfId="643" dataCellStyle="Обычный 2 2 2"/>
    <tableColumn id="32" name="26" dataDxfId="642" totalsRowDxfId="641" dataCellStyle="Обычный 2 2 2"/>
    <tableColumn id="33" name="27" dataDxfId="640" totalsRowDxfId="639" dataCellStyle="Обычный 2 2 2"/>
    <tableColumn id="34" name="28" dataDxfId="638" dataCellStyle="Обычный 2 2 2"/>
    <tableColumn id="35" name="29" dataDxfId="637" dataCellStyle="Обычный 2 2 2"/>
    <tableColumn id="36" name="30" dataDxfId="636" dataCellStyle="Обычный 2 2 2"/>
    <tableColumn id="38" name="УСЛУГ" totalsRowFunction="sum" dataDxfId="635" totalsRowDxfId="634">
      <calculatedColumnFormula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calculatedColumnFormula>
    </tableColumn>
    <tableColumn id="39" name="МИНУТ" totalsRowFunction="sum" dataDxfId="633" totalsRowDxfId="632">
      <calculatedColumnFormula>IF(Июнь[[#This Row],[УСЛУГ]]&lt;&gt;"",Июнь[[#This Row],[УСЛУГ]]*Июнь[[#This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18.xml><?xml version="1.0" encoding="utf-8"?>
<table xmlns="http://schemas.openxmlformats.org/spreadsheetml/2006/main" id="10" name="ИюньИтоги" displayName="ИюньИтоги" ref="A12:AJ17" totalsRowShown="0" headerRowDxfId="631" dataDxfId="630" tableBorderDxfId="629">
  <autoFilter ref="A12:A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628"/>
    <tableColumn id="2" name="за неделю" dataDxfId="627">
      <calculatedColumnFormula>SUM(H23:L23)</calculatedColumnFormula>
    </tableColumn>
    <tableColumn id="3" name="всего минут" dataDxfId="626">
      <calculatedColumnFormula>ИюньИтоги[[#This Row],[№]]*60</calculatedColumnFormula>
    </tableColumn>
    <tableColumn id="4" name="№" dataDxfId="625"/>
    <tableColumn id="5" name="1" dataDxfId="624">
      <calculatedColumnFormula>SUM(E10:E19)</calculatedColumnFormula>
    </tableColumn>
    <tableColumn id="6" name="2" dataDxfId="623"/>
    <tableColumn id="7" name="3" dataDxfId="622"/>
    <tableColumn id="8" name="4" dataDxfId="621"/>
    <tableColumn id="9" name="5" dataDxfId="620"/>
    <tableColumn id="10" name="6" dataDxfId="619"/>
    <tableColumn id="11" name="7" dataDxfId="618"/>
    <tableColumn id="12" name="8" dataDxfId="617"/>
    <tableColumn id="13" name="9" dataDxfId="616"/>
    <tableColumn id="14" name="10" dataDxfId="615"/>
    <tableColumn id="15" name="11" dataDxfId="614"/>
    <tableColumn id="16" name="12" dataDxfId="613"/>
    <tableColumn id="17" name="13" dataDxfId="612"/>
    <tableColumn id="18" name="14" dataDxfId="611"/>
    <tableColumn id="19" name="15" dataDxfId="610"/>
    <tableColumn id="20" name="16" dataDxfId="609"/>
    <tableColumn id="21" name="17" dataDxfId="608"/>
    <tableColumn id="22" name="18" dataDxfId="607"/>
    <tableColumn id="23" name="19" dataDxfId="606"/>
    <tableColumn id="24" name="20" dataDxfId="605"/>
    <tableColumn id="25" name="21" dataDxfId="604"/>
    <tableColumn id="26" name="22" dataDxfId="603"/>
    <tableColumn id="27" name="23" dataDxfId="602"/>
    <tableColumn id="28" name="24" dataDxfId="601"/>
    <tableColumn id="29" name="25" dataDxfId="600"/>
    <tableColumn id="30" name="26" dataDxfId="599"/>
    <tableColumn id="31" name="27" dataDxfId="598"/>
    <tableColumn id="32" name="28" dataDxfId="597"/>
    <tableColumn id="33" name="29" dataDxfId="596"/>
    <tableColumn id="34" name="30" dataDxfId="595"/>
    <tableColumn id="35" name="УСЛУГ" dataDxfId="594">
      <calculatedColumnFormula>SUM(Сентябрь[УСЛУГ])</calculatedColumnFormula>
    </tableColumn>
    <tableColumn id="36" name="МИНУТ" dataDxfId="593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19.xml><?xml version="1.0" encoding="utf-8"?>
<table xmlns="http://schemas.openxmlformats.org/spreadsheetml/2006/main" id="7" name="Июль" displayName="Июль" ref="A24:AK174" headerRowDxfId="590" dataDxfId="589" totalsRowDxfId="588">
  <autoFilter ref="A24:AK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587"/>
    <tableColumn id="2" name="Объем" dataDxfId="586" totalsRowDxfId="585"/>
    <tableColumn id="3" name="Периодичность" dataDxfId="584" totalsRowDxfId="583"/>
    <tableColumn id="4" name="№" dataDxfId="582" totalsRowDxfId="581"/>
    <tableColumn id="7" name="1" dataDxfId="580" dataCellStyle="Обычный 2 2 2"/>
    <tableColumn id="8" name="2" dataDxfId="579" dataCellStyle="Обычный 2 2 2"/>
    <tableColumn id="9" name="3" dataDxfId="578" dataCellStyle="Обычный 2 2 2"/>
    <tableColumn id="10" name="4" dataDxfId="577" totalsRowDxfId="576" dataCellStyle="Обычный 2 2 2"/>
    <tableColumn id="11" name="5" dataDxfId="575" totalsRowDxfId="574" dataCellStyle="Обычный 2 2 2"/>
    <tableColumn id="12" name="6" dataDxfId="573" totalsRowDxfId="572" dataCellStyle="Обычный 2 2 2"/>
    <tableColumn id="13" name="7" dataDxfId="571" dataCellStyle="Обычный 2 2 2"/>
    <tableColumn id="14" name="8" dataDxfId="570" dataCellStyle="Обычный 2 2 2"/>
    <tableColumn id="15" name="9" dataDxfId="569" dataCellStyle="Обычный 2 2 2"/>
    <tableColumn id="16" name="10" dataDxfId="568" dataCellStyle="Обычный 2 2 2"/>
    <tableColumn id="17" name="11" dataDxfId="567" totalsRowDxfId="566" dataCellStyle="Обычный 2 2 2"/>
    <tableColumn id="18" name="12" dataDxfId="565" totalsRowDxfId="564" dataCellStyle="Обычный 2 2 2"/>
    <tableColumn id="19" name="13" dataDxfId="563" totalsRowDxfId="562" dataCellStyle="Обычный 2 2 2"/>
    <tableColumn id="20" name="14" dataDxfId="561" dataCellStyle="Обычный 2 2 2"/>
    <tableColumn id="21" name="15" dataDxfId="560" dataCellStyle="Обычный 2 2 2"/>
    <tableColumn id="22" name="16" dataDxfId="559" dataCellStyle="Обычный 2 2 2"/>
    <tableColumn id="23" name="17" dataDxfId="558" dataCellStyle="Обычный 2 2 2"/>
    <tableColumn id="24" name="18" dataDxfId="557" totalsRowDxfId="556" dataCellStyle="Обычный 2 2 2"/>
    <tableColumn id="25" name="19" dataDxfId="555" totalsRowDxfId="554" dataCellStyle="Обычный 2 2 2"/>
    <tableColumn id="26" name="20" dataDxfId="553" totalsRowDxfId="552" dataCellStyle="Обычный 2 2 2"/>
    <tableColumn id="27" name="21" dataDxfId="551" dataCellStyle="Обычный 2 2 2"/>
    <tableColumn id="28" name="22" dataDxfId="550" dataCellStyle="Обычный 2 2 2"/>
    <tableColumn id="29" name="23" dataDxfId="549" dataCellStyle="Обычный 2 2 2"/>
    <tableColumn id="30" name="24" dataDxfId="548" dataCellStyle="Обычный 2 2 2"/>
    <tableColumn id="31" name="25" dataDxfId="547" totalsRowDxfId="546" dataCellStyle="Обычный 2 2 2"/>
    <tableColumn id="32" name="26" dataDxfId="545" totalsRowDxfId="544" dataCellStyle="Обычный 2 2 2"/>
    <tableColumn id="33" name="27" dataDxfId="543" totalsRowDxfId="542" dataCellStyle="Обычный 2 2 2"/>
    <tableColumn id="34" name="28" dataDxfId="541" dataCellStyle="Обычный 2 2 2"/>
    <tableColumn id="35" name="29" dataDxfId="540" dataCellStyle="Обычный 2 2 2"/>
    <tableColumn id="36" name="30" dataDxfId="539" dataCellStyle="Обычный 2 2 2"/>
    <tableColumn id="5" name="31" dataDxfId="538" dataCellStyle="Обычный 2 2 2"/>
    <tableColumn id="38" name="УСЛУГ" totalsRowFunction="sum" dataDxfId="537" totalsRowDxfId="536">
      <calculatedColumnFormula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calculatedColumnFormula>
    </tableColumn>
    <tableColumn id="39" name="МИНУТ" totalsRowFunction="sum" dataDxfId="535" totalsRowDxfId="534">
      <calculatedColumnFormula>IF(Июль[[#This Row],[УСЛУГ]]&lt;&gt;"",Июль[[#This Row],[УСЛУГ]]*Июль[[#This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Посещения" displayName="Посещения" ref="D1:D4" totalsRowShown="0" headerRowDxfId="1252" dataDxfId="1251">
  <autoFilter ref="D1:D4">
    <filterColumn colId="0" hiddenButton="1"/>
  </autoFilter>
  <tableColumns count="1">
    <tableColumn id="1" name="№ Посещения" dataDxfId="125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8" name="ИюльИтоги" displayName="ИюльИтоги" ref="A12:AK17" totalsRowShown="0" headerRowDxfId="533" dataDxfId="532" tableBorderDxfId="531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530"/>
    <tableColumn id="2" name="за неделю" dataDxfId="529">
      <calculatedColumnFormula>SUMPRODUCT((#REF!=1)*E16:AI16)</calculatedColumnFormula>
    </tableColumn>
    <tableColumn id="3" name="всего минут" dataDxfId="528">
      <calculatedColumnFormula>ИюльИтоги[[#This Row],[№]]*60</calculatedColumnFormula>
    </tableColumn>
    <tableColumn id="4" name="№" dataDxfId="527"/>
    <tableColumn id="5" name="1" dataDxfId="526">
      <calculatedColumnFormula>SUM(E10:E15)</calculatedColumnFormula>
    </tableColumn>
    <tableColumn id="6" name="2" dataDxfId="525"/>
    <tableColumn id="7" name="3" dataDxfId="524"/>
    <tableColumn id="8" name="4" dataDxfId="523"/>
    <tableColumn id="9" name="5" dataDxfId="522"/>
    <tableColumn id="10" name="6" dataDxfId="521"/>
    <tableColumn id="11" name="7" dataDxfId="520"/>
    <tableColumn id="12" name="8" dataDxfId="519"/>
    <tableColumn id="13" name="9" dataDxfId="518"/>
    <tableColumn id="14" name="10" dataDxfId="517"/>
    <tableColumn id="15" name="11" dataDxfId="516"/>
    <tableColumn id="16" name="12" dataDxfId="515"/>
    <tableColumn id="17" name="13" dataDxfId="514"/>
    <tableColumn id="18" name="14" dataDxfId="513"/>
    <tableColumn id="19" name="15" dataDxfId="512"/>
    <tableColumn id="20" name="16" dataDxfId="511"/>
    <tableColumn id="21" name="17" dataDxfId="510"/>
    <tableColumn id="22" name="18" dataDxfId="509"/>
    <tableColumn id="23" name="19" dataDxfId="508"/>
    <tableColumn id="24" name="20" dataDxfId="507"/>
    <tableColumn id="25" name="21" dataDxfId="506"/>
    <tableColumn id="26" name="22" dataDxfId="505"/>
    <tableColumn id="27" name="23" dataDxfId="504"/>
    <tableColumn id="28" name="24" dataDxfId="503"/>
    <tableColumn id="29" name="25" dataDxfId="502"/>
    <tableColumn id="30" name="26" dataDxfId="501"/>
    <tableColumn id="31" name="27" dataDxfId="500"/>
    <tableColumn id="32" name="28" dataDxfId="499"/>
    <tableColumn id="33" name="29" dataDxfId="498"/>
    <tableColumn id="34" name="30" dataDxfId="497"/>
    <tableColumn id="37" name="31" dataDxfId="496">
      <calculatedColumnFormula>SUMPRODUCT((Август[№]=1)*Август[31],Август[Периодичность])</calculatedColumnFormula>
    </tableColumn>
    <tableColumn id="35" name="УСЛУГ" dataDxfId="495">
      <calculatedColumnFormula>SUM(Сентябрь[УСЛУГ])</calculatedColumnFormula>
    </tableColumn>
    <tableColumn id="36" name="МИНУТ" dataDxfId="494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1.xml><?xml version="1.0" encoding="utf-8"?>
<table xmlns="http://schemas.openxmlformats.org/spreadsheetml/2006/main" id="4" name="Август" displayName="Август" ref="A24:AK174" headerRowDxfId="491" dataDxfId="490" totalsRowDxfId="489">
  <autoFilter ref="A24:AK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488"/>
    <tableColumn id="2" name="Объем" dataDxfId="487" totalsRowDxfId="486"/>
    <tableColumn id="3" name="Периодичность" dataDxfId="485" totalsRowDxfId="484"/>
    <tableColumn id="4" name="№" dataDxfId="483" totalsRowDxfId="482"/>
    <tableColumn id="7" name="1" dataDxfId="481" dataCellStyle="Обычный 2 2 2"/>
    <tableColumn id="8" name="2" dataDxfId="480" dataCellStyle="Обычный 2 2 2"/>
    <tableColumn id="9" name="3" dataDxfId="479" dataCellStyle="Обычный 2 2 2"/>
    <tableColumn id="10" name="4" dataDxfId="478" totalsRowDxfId="477" dataCellStyle="Обычный 2 2 2"/>
    <tableColumn id="11" name="5" dataDxfId="476" totalsRowDxfId="475" dataCellStyle="Обычный 2 2 2"/>
    <tableColumn id="12" name="6" dataDxfId="474" totalsRowDxfId="473" dataCellStyle="Обычный 2 2 2"/>
    <tableColumn id="13" name="7" dataDxfId="472" dataCellStyle="Обычный 2 2 2"/>
    <tableColumn id="14" name="8" dataDxfId="471" dataCellStyle="Обычный 2 2 2"/>
    <tableColumn id="15" name="9" dataDxfId="470" dataCellStyle="Обычный 2 2 2"/>
    <tableColumn id="16" name="10" dataDxfId="469" dataCellStyle="Обычный 2 2 2"/>
    <tableColumn id="17" name="11" dataDxfId="468" totalsRowDxfId="467" dataCellStyle="Обычный 2 2 2"/>
    <tableColumn id="18" name="12" dataDxfId="466" totalsRowDxfId="465" dataCellStyle="Обычный 2 2 2"/>
    <tableColumn id="19" name="13" dataDxfId="464" totalsRowDxfId="463" dataCellStyle="Обычный 2 2 2"/>
    <tableColumn id="20" name="14" dataDxfId="462" dataCellStyle="Обычный 2 2 2"/>
    <tableColumn id="21" name="15" dataDxfId="461" dataCellStyle="Обычный 2 2 2"/>
    <tableColumn id="22" name="16" dataDxfId="460" dataCellStyle="Обычный 2 2 2"/>
    <tableColumn id="23" name="17" dataDxfId="459" dataCellStyle="Обычный 2 2 2"/>
    <tableColumn id="24" name="18" dataDxfId="458" totalsRowDxfId="457" dataCellStyle="Обычный 2 2 2"/>
    <tableColumn id="25" name="19" dataDxfId="456" totalsRowDxfId="455" dataCellStyle="Обычный 2 2 2"/>
    <tableColumn id="26" name="20" dataDxfId="454" totalsRowDxfId="453" dataCellStyle="Обычный 2 2 2"/>
    <tableColumn id="27" name="21" dataDxfId="452" dataCellStyle="Обычный 2 2 2"/>
    <tableColumn id="28" name="22" dataDxfId="451" dataCellStyle="Обычный 2 2 2"/>
    <tableColumn id="29" name="23" dataDxfId="450" dataCellStyle="Обычный 2 2 2"/>
    <tableColumn id="30" name="24" dataDxfId="449" dataCellStyle="Обычный 2 2 2"/>
    <tableColumn id="31" name="25" dataDxfId="448" totalsRowDxfId="447" dataCellStyle="Обычный 2 2 2"/>
    <tableColumn id="32" name="26" dataDxfId="446" totalsRowDxfId="445" dataCellStyle="Обычный 2 2 2"/>
    <tableColumn id="33" name="27" dataDxfId="444" totalsRowDxfId="443" dataCellStyle="Обычный 2 2 2"/>
    <tableColumn id="34" name="28" dataDxfId="442" dataCellStyle="Обычный 2 2 2"/>
    <tableColumn id="35" name="29" dataDxfId="441" dataCellStyle="Обычный 2 2 2"/>
    <tableColumn id="36" name="30" dataDxfId="440" dataCellStyle="Обычный 2 2 2"/>
    <tableColumn id="5" name="31" dataDxfId="439" dataCellStyle="Обычный 2 2 2"/>
    <tableColumn id="38" name="УСЛУГ" totalsRowFunction="sum" dataDxfId="438" totalsRowDxfId="437">
      <calculatedColumnFormula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calculatedColumnFormula>
    </tableColumn>
    <tableColumn id="39" name="МИНУТ" totalsRowFunction="sum" dataDxfId="436" totalsRowDxfId="435">
      <calculatedColumnFormula>IF(Август[[#This Row],[УСЛУГ]]&lt;&gt;"",Август[[#This Row],[УСЛУГ]]*Август[[#This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2.xml><?xml version="1.0" encoding="utf-8"?>
<table xmlns="http://schemas.openxmlformats.org/spreadsheetml/2006/main" id="5" name="АвгустИтоги" displayName="АвгустИтоги" ref="A12:AK17" totalsRowShown="0" headerRowDxfId="434" dataDxfId="433" tableBorderDxfId="432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431"/>
    <tableColumn id="2" name="за неделю" dataDxfId="430">
      <calculatedColumnFormula>SUM(E16:H16)</calculatedColumnFormula>
    </tableColumn>
    <tableColumn id="3" name="всего минут" dataDxfId="429">
      <calculatedColumnFormula>АвгустИтоги[[#This Row],[№]]*60</calculatedColumnFormula>
    </tableColumn>
    <tableColumn id="4" name="№" dataDxfId="428"/>
    <tableColumn id="5" name="1" dataDxfId="427">
      <calculatedColumnFormula>SUM(E10:E16)</calculatedColumnFormula>
    </tableColumn>
    <tableColumn id="6" name="2" dataDxfId="426"/>
    <tableColumn id="7" name="3" dataDxfId="425"/>
    <tableColumn id="8" name="4" dataDxfId="424"/>
    <tableColumn id="9" name="5" dataDxfId="423"/>
    <tableColumn id="10" name="6" dataDxfId="422"/>
    <tableColumn id="11" name="7" dataDxfId="421"/>
    <tableColumn id="12" name="8" dataDxfId="420"/>
    <tableColumn id="13" name="9" dataDxfId="419"/>
    <tableColumn id="14" name="10" dataDxfId="418"/>
    <tableColumn id="15" name="11" dataDxfId="417"/>
    <tableColumn id="16" name="12" dataDxfId="416"/>
    <tableColumn id="17" name="13" dataDxfId="415"/>
    <tableColumn id="18" name="14" dataDxfId="414"/>
    <tableColumn id="19" name="15" dataDxfId="413"/>
    <tableColumn id="20" name="16" dataDxfId="412"/>
    <tableColumn id="21" name="17" dataDxfId="411"/>
    <tableColumn id="22" name="18" dataDxfId="410"/>
    <tableColumn id="23" name="19" dataDxfId="409"/>
    <tableColumn id="24" name="20" dataDxfId="408"/>
    <tableColumn id="25" name="21" dataDxfId="407"/>
    <tableColumn id="26" name="22" dataDxfId="406"/>
    <tableColumn id="27" name="23" dataDxfId="405"/>
    <tableColumn id="28" name="24" dataDxfId="404"/>
    <tableColumn id="29" name="25" dataDxfId="403"/>
    <tableColumn id="30" name="26" dataDxfId="402"/>
    <tableColumn id="31" name="27" dataDxfId="401"/>
    <tableColumn id="32" name="28" dataDxfId="400"/>
    <tableColumn id="33" name="29" dataDxfId="399"/>
    <tableColumn id="34" name="30" dataDxfId="398"/>
    <tableColumn id="37" name="31" dataDxfId="397">
      <calculatedColumnFormula>SUMPRODUCT((Август[№]=1)*Август[31],Август[Периодичность])</calculatedColumnFormula>
    </tableColumn>
    <tableColumn id="35" name="УСЛУГ" dataDxfId="396">
      <calculatedColumnFormula>SUM(Сентябрь[УСЛУГ])</calculatedColumnFormula>
    </tableColumn>
    <tableColumn id="36" name="МИНУТ" dataDxfId="395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3.xml><?xml version="1.0" encoding="utf-8"?>
<table xmlns="http://schemas.openxmlformats.org/spreadsheetml/2006/main" id="3" name="Сентябрь" displayName="Сентябрь" ref="A24:AJ174" headerRowDxfId="394" dataDxfId="393" totalsRowDxfId="392">
  <autoFilter ref="A24:AJ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391"/>
    <tableColumn id="2" name="Объем" dataDxfId="390" totalsRowDxfId="389"/>
    <tableColumn id="3" name="Периодичность" dataDxfId="388" totalsRowDxfId="387"/>
    <tableColumn id="4" name="№" dataDxfId="386" totalsRowDxfId="385"/>
    <tableColumn id="7" name="1" dataDxfId="384" dataCellStyle="Обычный 2 2 2"/>
    <tableColumn id="8" name="2" dataDxfId="383" dataCellStyle="Обычный 2 2 2"/>
    <tableColumn id="9" name="3" dataDxfId="382" dataCellStyle="Обычный 2 2 2"/>
    <tableColumn id="10" name="4" dataDxfId="381" totalsRowDxfId="380" dataCellStyle="Обычный 2 2 2"/>
    <tableColumn id="11" name="5" dataDxfId="379" totalsRowDxfId="378" dataCellStyle="Обычный 2 2 2"/>
    <tableColumn id="12" name="6" dataDxfId="377" totalsRowDxfId="376" dataCellStyle="Обычный 2 2 2"/>
    <tableColumn id="13" name="7" dataDxfId="375" dataCellStyle="Обычный 2 2 2"/>
    <tableColumn id="14" name="8" dataDxfId="374" dataCellStyle="Обычный 2 2 2"/>
    <tableColumn id="15" name="9" dataDxfId="373" dataCellStyle="Обычный 2 2 2"/>
    <tableColumn id="16" name="10" dataDxfId="372" dataCellStyle="Обычный 2 2 2"/>
    <tableColumn id="17" name="11" dataDxfId="371" totalsRowDxfId="370" dataCellStyle="Обычный 2 2 2"/>
    <tableColumn id="18" name="12" dataDxfId="369" totalsRowDxfId="368" dataCellStyle="Обычный 2 2 2"/>
    <tableColumn id="19" name="13" dataDxfId="367" totalsRowDxfId="366" dataCellStyle="Обычный 2 2 2"/>
    <tableColumn id="20" name="14" dataDxfId="365" dataCellStyle="Обычный 2 2 2"/>
    <tableColumn id="21" name="15" dataDxfId="364" dataCellStyle="Обычный 2 2 2"/>
    <tableColumn id="22" name="16" dataDxfId="363" dataCellStyle="Обычный 2 2 2"/>
    <tableColumn id="23" name="17" dataDxfId="362" dataCellStyle="Обычный 2 2 2"/>
    <tableColumn id="24" name="18" dataDxfId="361" totalsRowDxfId="360" dataCellStyle="Обычный 2 2 2"/>
    <tableColumn id="25" name="19" dataDxfId="359" totalsRowDxfId="358" dataCellStyle="Обычный 2 2 2"/>
    <tableColumn id="26" name="20" dataDxfId="357" totalsRowDxfId="356" dataCellStyle="Обычный 2 2 2"/>
    <tableColumn id="27" name="21" dataDxfId="355" dataCellStyle="Обычный 2 2 2"/>
    <tableColumn id="28" name="22" dataDxfId="354" dataCellStyle="Обычный 2 2 2"/>
    <tableColumn id="29" name="23" dataDxfId="353" dataCellStyle="Обычный 2 2 2"/>
    <tableColumn id="30" name="24" dataDxfId="352" dataCellStyle="Обычный 2 2 2"/>
    <tableColumn id="31" name="25" dataDxfId="351" totalsRowDxfId="350" dataCellStyle="Обычный 2 2 2"/>
    <tableColumn id="32" name="26" dataDxfId="349" totalsRowDxfId="348" dataCellStyle="Обычный 2 2 2"/>
    <tableColumn id="33" name="27" dataDxfId="347" totalsRowDxfId="346" dataCellStyle="Обычный 2 2 2"/>
    <tableColumn id="34" name="28" dataDxfId="345" dataCellStyle="Обычный 2 2 2"/>
    <tableColumn id="35" name="29" dataDxfId="344" dataCellStyle="Обычный 2 2 2"/>
    <tableColumn id="36" name="30" dataDxfId="343" dataCellStyle="Обычный 2 2 2"/>
    <tableColumn id="38" name="УСЛУГ" totalsRowFunction="sum" dataDxfId="342" totalsRowDxfId="341">
      <calculatedColumnFormula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calculatedColumnFormula>
    </tableColumn>
    <tableColumn id="39" name="МИНУТ" totalsRowFunction="sum" dataDxfId="340" totalsRowDxfId="339">
      <calculatedColumnFormula>IF(Сентябрь[[#This Row],[УСЛУГ]]&lt;&gt;"",Сентябрь[[#This Row],[УСЛУГ]]*Сентябрь[[#This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4.xml><?xml version="1.0" encoding="utf-8"?>
<table xmlns="http://schemas.openxmlformats.org/spreadsheetml/2006/main" id="6" name="СентябрьИтоги" displayName="СентябрьИтоги" ref="A12:AJ17" totalsRowShown="0" headerRowDxfId="338" dataDxfId="337" tableBorderDxfId="336">
  <autoFilter ref="A12:A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335"/>
    <tableColumn id="2" name="за неделю" dataDxfId="334">
      <calculatedColumnFormula>SUM(H23:L23)</calculatedColumnFormula>
    </tableColumn>
    <tableColumn id="3" name="всего минут" dataDxfId="333">
      <calculatedColumnFormula>СентябрьИтоги[[#This Row],[№]]*60</calculatedColumnFormula>
    </tableColumn>
    <tableColumn id="4" name="№" dataDxfId="332"/>
    <tableColumn id="5" name="1" dataDxfId="331">
      <calculatedColumnFormula>SUM(E10:E19)</calculatedColumnFormula>
    </tableColumn>
    <tableColumn id="6" name="2" dataDxfId="330"/>
    <tableColumn id="7" name="3" dataDxfId="329"/>
    <tableColumn id="8" name="4" dataDxfId="328"/>
    <tableColumn id="9" name="5" dataDxfId="327"/>
    <tableColumn id="10" name="6" dataDxfId="326"/>
    <tableColumn id="11" name="7" dataDxfId="325"/>
    <tableColumn id="12" name="8" dataDxfId="324"/>
    <tableColumn id="13" name="9" dataDxfId="323"/>
    <tableColumn id="14" name="10" dataDxfId="322"/>
    <tableColumn id="15" name="11" dataDxfId="321"/>
    <tableColumn id="16" name="12" dataDxfId="320"/>
    <tableColumn id="17" name="13" dataDxfId="319"/>
    <tableColumn id="18" name="14" dataDxfId="318"/>
    <tableColumn id="19" name="15" dataDxfId="317"/>
    <tableColumn id="20" name="16" dataDxfId="316"/>
    <tableColumn id="21" name="17" dataDxfId="315"/>
    <tableColumn id="22" name="18" dataDxfId="314"/>
    <tableColumn id="23" name="19" dataDxfId="313"/>
    <tableColumn id="24" name="20" dataDxfId="312"/>
    <tableColumn id="25" name="21" dataDxfId="311"/>
    <tableColumn id="26" name="22" dataDxfId="310"/>
    <tableColumn id="27" name="23" dataDxfId="309"/>
    <tableColumn id="28" name="24" dataDxfId="308"/>
    <tableColumn id="29" name="25" dataDxfId="307"/>
    <tableColumn id="30" name="26" dataDxfId="306"/>
    <tableColumn id="31" name="27" dataDxfId="305"/>
    <tableColumn id="32" name="28" dataDxfId="304"/>
    <tableColumn id="33" name="29" dataDxfId="303"/>
    <tableColumn id="34" name="30" dataDxfId="302"/>
    <tableColumn id="35" name="УСЛУГ" dataDxfId="301">
      <calculatedColumnFormula>SUM(Сентябрь[УСЛУГ])</calculatedColumnFormula>
    </tableColumn>
    <tableColumn id="36" name="МИНУТ" dataDxfId="300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5.xml><?xml version="1.0" encoding="utf-8"?>
<table xmlns="http://schemas.openxmlformats.org/spreadsheetml/2006/main" id="24" name="Октябрь" displayName="Октябрь" ref="A24:AK174" headerRowDxfId="297" dataDxfId="296" totalsRowDxfId="295">
  <autoFilter ref="A24:AK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294"/>
    <tableColumn id="2" name="Объем" dataDxfId="293" totalsRowDxfId="292"/>
    <tableColumn id="3" name="Периодичность" dataDxfId="291" totalsRowDxfId="290"/>
    <tableColumn id="4" name="№" dataDxfId="289" totalsRowDxfId="288"/>
    <tableColumn id="7" name="1" dataDxfId="287" dataCellStyle="Обычный 2 2 2"/>
    <tableColumn id="8" name="2" dataDxfId="286" dataCellStyle="Обычный 2 2 2"/>
    <tableColumn id="9" name="3" dataDxfId="285" dataCellStyle="Обычный 2 2 2"/>
    <tableColumn id="10" name="4" dataDxfId="284" totalsRowDxfId="283" dataCellStyle="Обычный 2 2 2"/>
    <tableColumn id="11" name="5" dataDxfId="282" totalsRowDxfId="281" dataCellStyle="Обычный 2 2 2"/>
    <tableColumn id="12" name="6" dataDxfId="280" totalsRowDxfId="279" dataCellStyle="Обычный 2 2 2"/>
    <tableColumn id="13" name="7" dataDxfId="278" dataCellStyle="Обычный 2 2 2"/>
    <tableColumn id="14" name="8" dataDxfId="277" dataCellStyle="Обычный 2 2 2"/>
    <tableColumn id="15" name="9" dataDxfId="276" dataCellStyle="Обычный 2 2 2"/>
    <tableColumn id="16" name="10" dataDxfId="275" dataCellStyle="Обычный 2 2 2"/>
    <tableColumn id="17" name="11" dataDxfId="274" totalsRowDxfId="273" dataCellStyle="Обычный 2 2 2"/>
    <tableColumn id="18" name="12" dataDxfId="272" totalsRowDxfId="271" dataCellStyle="Обычный 2 2 2"/>
    <tableColumn id="19" name="13" dataDxfId="270" totalsRowDxfId="269" dataCellStyle="Обычный 2 2 2"/>
    <tableColumn id="20" name="14" dataDxfId="268" dataCellStyle="Обычный 2 2 2"/>
    <tableColumn id="21" name="15" dataDxfId="267" dataCellStyle="Обычный 2 2 2"/>
    <tableColumn id="22" name="16" dataDxfId="266" dataCellStyle="Обычный 2 2 2"/>
    <tableColumn id="23" name="17" dataDxfId="265" dataCellStyle="Обычный 2 2 2"/>
    <tableColumn id="24" name="18" dataDxfId="264" totalsRowDxfId="263" dataCellStyle="Обычный 2 2 2"/>
    <tableColumn id="25" name="19" dataDxfId="262" totalsRowDxfId="261" dataCellStyle="Обычный 2 2 2"/>
    <tableColumn id="26" name="20" dataDxfId="260" totalsRowDxfId="259" dataCellStyle="Обычный 2 2 2"/>
    <tableColumn id="27" name="21" dataDxfId="258" dataCellStyle="Обычный 2 2 2"/>
    <tableColumn id="28" name="22" dataDxfId="257" dataCellStyle="Обычный 2 2 2"/>
    <tableColumn id="29" name="23" dataDxfId="256" dataCellStyle="Обычный 2 2 2"/>
    <tableColumn id="30" name="24" dataDxfId="255" dataCellStyle="Обычный 2 2 2"/>
    <tableColumn id="31" name="25" dataDxfId="254" totalsRowDxfId="253" dataCellStyle="Обычный 2 2 2"/>
    <tableColumn id="32" name="26" dataDxfId="252" totalsRowDxfId="251" dataCellStyle="Обычный 2 2 2"/>
    <tableColumn id="33" name="27" dataDxfId="250" totalsRowDxfId="249" dataCellStyle="Обычный 2 2 2"/>
    <tableColumn id="34" name="28" dataDxfId="248" dataCellStyle="Обычный 2 2 2"/>
    <tableColumn id="35" name="29" dataDxfId="247" dataCellStyle="Обычный 2 2 2"/>
    <tableColumn id="36" name="30" dataDxfId="246" dataCellStyle="Обычный 2 2 2"/>
    <tableColumn id="5" name="31" dataDxfId="245" dataCellStyle="Обычный 2 2 2"/>
    <tableColumn id="38" name="УСЛУГ" totalsRowFunction="sum" dataDxfId="244" totalsRowDxfId="243">
      <calculatedColumnFormula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calculatedColumnFormula>
    </tableColumn>
    <tableColumn id="39" name="МИНУТ" totalsRowFunction="sum" dataDxfId="242" totalsRowDxfId="241">
      <calculatedColumnFormula>IF(Октябрь[[#This Row],[УСЛУГ]]&lt;&gt;"",Октябрь[[#This Row],[УСЛУГ]]*Октябрь[[#This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6.xml><?xml version="1.0" encoding="utf-8"?>
<table xmlns="http://schemas.openxmlformats.org/spreadsheetml/2006/main" id="25" name="ОктябрьИтоги" displayName="ОктябрьИтоги" ref="A12:AK17" totalsRowShown="0" headerRowDxfId="240" dataDxfId="239" tableBorderDxfId="238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237"/>
    <tableColumn id="2" name="за неделю" dataDxfId="236">
      <calculatedColumnFormula>SUMPRODUCT((#REF!=1)*E16:AI16)</calculatedColumnFormula>
    </tableColumn>
    <tableColumn id="3" name="всего минут" dataDxfId="235">
      <calculatedColumnFormula>ОктябрьИтоги[[#This Row],[№]]*60</calculatedColumnFormula>
    </tableColumn>
    <tableColumn id="4" name="№" dataDxfId="234"/>
    <tableColumn id="5" name="1" dataDxfId="233">
      <calculatedColumnFormula>SUM(E10:E15)</calculatedColumnFormula>
    </tableColumn>
    <tableColumn id="6" name="2" dataDxfId="232"/>
    <tableColumn id="7" name="3" dataDxfId="231"/>
    <tableColumn id="8" name="4" dataDxfId="230"/>
    <tableColumn id="9" name="5" dataDxfId="229"/>
    <tableColumn id="10" name="6" dataDxfId="228"/>
    <tableColumn id="11" name="7" dataDxfId="227"/>
    <tableColumn id="12" name="8" dataDxfId="226"/>
    <tableColumn id="13" name="9" dataDxfId="225"/>
    <tableColumn id="14" name="10" dataDxfId="224"/>
    <tableColumn id="15" name="11" dataDxfId="223"/>
    <tableColumn id="16" name="12" dataDxfId="222"/>
    <tableColumn id="17" name="13" dataDxfId="221"/>
    <tableColumn id="18" name="14" dataDxfId="220"/>
    <tableColumn id="19" name="15" dataDxfId="219"/>
    <tableColumn id="20" name="16" dataDxfId="218"/>
    <tableColumn id="21" name="17" dataDxfId="217"/>
    <tableColumn id="22" name="18" dataDxfId="216"/>
    <tableColumn id="23" name="19" dataDxfId="215"/>
    <tableColumn id="24" name="20" dataDxfId="214"/>
    <tableColumn id="25" name="21" dataDxfId="213"/>
    <tableColumn id="26" name="22" dataDxfId="212"/>
    <tableColumn id="27" name="23" dataDxfId="211"/>
    <tableColumn id="28" name="24" dataDxfId="210"/>
    <tableColumn id="29" name="25" dataDxfId="209"/>
    <tableColumn id="30" name="26" dataDxfId="208"/>
    <tableColumn id="31" name="27" dataDxfId="207"/>
    <tableColumn id="32" name="28" dataDxfId="206"/>
    <tableColumn id="33" name="29" dataDxfId="205"/>
    <tableColumn id="34" name="30" dataDxfId="204"/>
    <tableColumn id="37" name="31" dataDxfId="203">
      <calculatedColumnFormula>SUMPRODUCT((Август[№]=1)*Август[31],Август[Периодичность])</calculatedColumnFormula>
    </tableColumn>
    <tableColumn id="35" name="УСЛУГ" dataDxfId="202">
      <calculatedColumnFormula>SUM(Сентябрь[УСЛУГ])</calculatedColumnFormula>
    </tableColumn>
    <tableColumn id="36" name="МИНУТ" dataDxfId="201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7.xml><?xml version="1.0" encoding="utf-8"?>
<table xmlns="http://schemas.openxmlformats.org/spreadsheetml/2006/main" id="26" name="Ноябрь" displayName="Ноябрь" ref="A24:AJ174" headerRowDxfId="198" dataDxfId="197" totalsRowDxfId="196">
  <autoFilter ref="A24:AJ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Услуга" totalsRowLabel="Итог" dataDxfId="195"/>
    <tableColumn id="2" name="Объем" dataDxfId="194" totalsRowDxfId="193"/>
    <tableColumn id="3" name="Периодичность" dataDxfId="192" totalsRowDxfId="191"/>
    <tableColumn id="4" name="№" dataDxfId="190" totalsRowDxfId="189"/>
    <tableColumn id="7" name="1" dataDxfId="188" dataCellStyle="Обычный 2 2 2"/>
    <tableColumn id="8" name="2" dataDxfId="187" dataCellStyle="Обычный 2 2 2"/>
    <tableColumn id="9" name="3" dataDxfId="186" dataCellStyle="Обычный 2 2 2"/>
    <tableColumn id="10" name="4" dataDxfId="185" totalsRowDxfId="184" dataCellStyle="Обычный 2 2 2"/>
    <tableColumn id="11" name="5" dataDxfId="183" totalsRowDxfId="182" dataCellStyle="Обычный 2 2 2"/>
    <tableColumn id="12" name="6" dataDxfId="181" totalsRowDxfId="180" dataCellStyle="Обычный 2 2 2"/>
    <tableColumn id="13" name="7" dataDxfId="179" dataCellStyle="Обычный 2 2 2"/>
    <tableColumn id="14" name="8" dataDxfId="178" dataCellStyle="Обычный 2 2 2"/>
    <tableColumn id="15" name="9" dataDxfId="177" dataCellStyle="Обычный 2 2 2"/>
    <tableColumn id="16" name="10" dataDxfId="176" dataCellStyle="Обычный 2 2 2"/>
    <tableColumn id="17" name="11" dataDxfId="175" totalsRowDxfId="174" dataCellStyle="Обычный 2 2 2"/>
    <tableColumn id="18" name="12" dataDxfId="173" totalsRowDxfId="172" dataCellStyle="Обычный 2 2 2"/>
    <tableColumn id="19" name="13" dataDxfId="171" totalsRowDxfId="170" dataCellStyle="Обычный 2 2 2"/>
    <tableColumn id="20" name="14" dataDxfId="169" dataCellStyle="Обычный 2 2 2"/>
    <tableColumn id="21" name="15" dataDxfId="168" dataCellStyle="Обычный 2 2 2"/>
    <tableColumn id="22" name="16" dataDxfId="167" dataCellStyle="Обычный 2 2 2"/>
    <tableColumn id="23" name="17" dataDxfId="166" dataCellStyle="Обычный 2 2 2"/>
    <tableColumn id="24" name="18" dataDxfId="165" totalsRowDxfId="164" dataCellStyle="Обычный 2 2 2"/>
    <tableColumn id="25" name="19" dataDxfId="163" totalsRowDxfId="162" dataCellStyle="Обычный 2 2 2"/>
    <tableColumn id="26" name="20" dataDxfId="161" totalsRowDxfId="160" dataCellStyle="Обычный 2 2 2"/>
    <tableColumn id="27" name="21" dataDxfId="159" dataCellStyle="Обычный 2 2 2"/>
    <tableColumn id="28" name="22" dataDxfId="158" dataCellStyle="Обычный 2 2 2"/>
    <tableColumn id="29" name="23" dataDxfId="157" dataCellStyle="Обычный 2 2 2"/>
    <tableColumn id="30" name="24" dataDxfId="156" dataCellStyle="Обычный 2 2 2"/>
    <tableColumn id="31" name="25" dataDxfId="155" totalsRowDxfId="154" dataCellStyle="Обычный 2 2 2"/>
    <tableColumn id="32" name="26" dataDxfId="153" totalsRowDxfId="152" dataCellStyle="Обычный 2 2 2"/>
    <tableColumn id="33" name="27" dataDxfId="151" totalsRowDxfId="150" dataCellStyle="Обычный 2 2 2"/>
    <tableColumn id="34" name="28" dataDxfId="149" dataCellStyle="Обычный 2 2 2"/>
    <tableColumn id="35" name="29" dataDxfId="148" dataCellStyle="Обычный 2 2 2"/>
    <tableColumn id="36" name="30" dataDxfId="147" dataCellStyle="Обычный 2 2 2"/>
    <tableColumn id="38" name="УСЛУГ" totalsRowFunction="sum" dataDxfId="146" totalsRowDxfId="145">
      <calculatedColumnFormula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calculatedColumnFormula>
    </tableColumn>
    <tableColumn id="39" name="МИНУТ" totalsRowFunction="sum" dataDxfId="144" totalsRowDxfId="143">
      <calculatedColumnFormula>IF(Ноябрь[[#This Row],[УСЛУГ]]&lt;&gt;"",Ноябрь[[#This Row],[УСЛУГ]]*Ноябрь[[#This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28.xml><?xml version="1.0" encoding="utf-8"?>
<table xmlns="http://schemas.openxmlformats.org/spreadsheetml/2006/main" id="27" name="НоябрьИтоги" displayName="НоябрьИтоги" ref="A12:AJ17" totalsRowShown="0" headerRowDxfId="142" dataDxfId="141" tableBorderDxfId="140">
  <autoFilter ref="A12:A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1" name="периодичность" dataDxfId="139"/>
    <tableColumn id="2" name="за неделю" dataDxfId="138">
      <calculatedColumnFormula>SUM(H23:L23)</calculatedColumnFormula>
    </tableColumn>
    <tableColumn id="3" name="всего минут" dataDxfId="137">
      <calculatedColumnFormula>НоябрьИтоги[[#This Row],[№]]*60</calculatedColumnFormula>
    </tableColumn>
    <tableColumn id="4" name="№" dataDxfId="136"/>
    <tableColumn id="5" name="1" dataDxfId="135">
      <calculatedColumnFormula>SUM(E10:E19)</calculatedColumnFormula>
    </tableColumn>
    <tableColumn id="6" name="2" dataDxfId="134"/>
    <tableColumn id="7" name="3" dataDxfId="133"/>
    <tableColumn id="8" name="4" dataDxfId="132"/>
    <tableColumn id="9" name="5" dataDxfId="131"/>
    <tableColumn id="10" name="6" dataDxfId="130"/>
    <tableColumn id="11" name="7" dataDxfId="129"/>
    <tableColumn id="12" name="8" dataDxfId="128"/>
    <tableColumn id="13" name="9" dataDxfId="127"/>
    <tableColumn id="14" name="10" dataDxfId="126"/>
    <tableColumn id="15" name="11" dataDxfId="125"/>
    <tableColumn id="16" name="12" dataDxfId="124"/>
    <tableColumn id="17" name="13" dataDxfId="123"/>
    <tableColumn id="18" name="14" dataDxfId="122"/>
    <tableColumn id="19" name="15" dataDxfId="121"/>
    <tableColumn id="20" name="16" dataDxfId="120"/>
    <tableColumn id="21" name="17" dataDxfId="119"/>
    <tableColumn id="22" name="18" dataDxfId="118"/>
    <tableColumn id="23" name="19" dataDxfId="117"/>
    <tableColumn id="24" name="20" dataDxfId="116"/>
    <tableColumn id="25" name="21" dataDxfId="115"/>
    <tableColumn id="26" name="22" dataDxfId="114"/>
    <tableColumn id="27" name="23" dataDxfId="113"/>
    <tableColumn id="28" name="24" dataDxfId="112"/>
    <tableColumn id="29" name="25" dataDxfId="111"/>
    <tableColumn id="30" name="26" dataDxfId="110"/>
    <tableColumn id="31" name="27" dataDxfId="109"/>
    <tableColumn id="32" name="28" dataDxfId="108"/>
    <tableColumn id="33" name="29" dataDxfId="107"/>
    <tableColumn id="34" name="30" dataDxfId="106"/>
    <tableColumn id="35" name="УСЛУГ" dataDxfId="105">
      <calculatedColumnFormula>SUM(Сентябрь[УСЛУГ])</calculatedColumnFormula>
    </tableColumn>
    <tableColumn id="36" name="МИНУТ" dataDxfId="104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29.xml><?xml version="1.0" encoding="utf-8"?>
<table xmlns="http://schemas.openxmlformats.org/spreadsheetml/2006/main" id="28" name="Декабрь" displayName="Декабрь" ref="A24:AK174" headerRowDxfId="101" dataDxfId="100" totalsRowDxfId="99">
  <autoFilter ref="A24:AK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98"/>
    <tableColumn id="2" name="Объем" dataDxfId="97" totalsRowDxfId="96"/>
    <tableColumn id="3" name="Периодичность" dataDxfId="95" totalsRowDxfId="94"/>
    <tableColumn id="4" name="№" dataDxfId="93" totalsRowDxfId="92"/>
    <tableColumn id="7" name="1" dataDxfId="91" dataCellStyle="Обычный 2 2 2"/>
    <tableColumn id="8" name="2" dataDxfId="90" dataCellStyle="Обычный 2 2 2"/>
    <tableColumn id="9" name="3" dataDxfId="89" dataCellStyle="Обычный 2 2 2"/>
    <tableColumn id="10" name="4" dataDxfId="88" totalsRowDxfId="87" dataCellStyle="Обычный 2 2 2"/>
    <tableColumn id="11" name="5" dataDxfId="86" totalsRowDxfId="85" dataCellStyle="Обычный 2 2 2"/>
    <tableColumn id="12" name="6" dataDxfId="84" totalsRowDxfId="83" dataCellStyle="Обычный 2 2 2"/>
    <tableColumn id="13" name="7" dataDxfId="82" dataCellStyle="Обычный 2 2 2"/>
    <tableColumn id="14" name="8" dataDxfId="81" dataCellStyle="Обычный 2 2 2"/>
    <tableColumn id="15" name="9" dataDxfId="80" dataCellStyle="Обычный 2 2 2"/>
    <tableColumn id="16" name="10" dataDxfId="79" dataCellStyle="Обычный 2 2 2"/>
    <tableColumn id="17" name="11" dataDxfId="78" totalsRowDxfId="77" dataCellStyle="Обычный 2 2 2"/>
    <tableColumn id="18" name="12" dataDxfId="76" totalsRowDxfId="75" dataCellStyle="Обычный 2 2 2"/>
    <tableColumn id="19" name="13" dataDxfId="74" totalsRowDxfId="73" dataCellStyle="Обычный 2 2 2"/>
    <tableColumn id="20" name="14" dataDxfId="72" dataCellStyle="Обычный 2 2 2"/>
    <tableColumn id="21" name="15" dataDxfId="71" dataCellStyle="Обычный 2 2 2"/>
    <tableColumn id="22" name="16" dataDxfId="70" dataCellStyle="Обычный 2 2 2"/>
    <tableColumn id="23" name="17" dataDxfId="69" dataCellStyle="Обычный 2 2 2"/>
    <tableColumn id="24" name="18" dataDxfId="68" totalsRowDxfId="67" dataCellStyle="Обычный 2 2 2"/>
    <tableColumn id="25" name="19" dataDxfId="66" totalsRowDxfId="65" dataCellStyle="Обычный 2 2 2"/>
    <tableColumn id="26" name="20" dataDxfId="64" totalsRowDxfId="63" dataCellStyle="Обычный 2 2 2"/>
    <tableColumn id="27" name="21" dataDxfId="62" dataCellStyle="Обычный 2 2 2"/>
    <tableColumn id="28" name="22" dataDxfId="61" dataCellStyle="Обычный 2 2 2"/>
    <tableColumn id="29" name="23" dataDxfId="60" dataCellStyle="Обычный 2 2 2"/>
    <tableColumn id="30" name="24" dataDxfId="59" dataCellStyle="Обычный 2 2 2"/>
    <tableColumn id="31" name="25" dataDxfId="58" totalsRowDxfId="57" dataCellStyle="Обычный 2 2 2"/>
    <tableColumn id="32" name="26" dataDxfId="56" totalsRowDxfId="55" dataCellStyle="Обычный 2 2 2"/>
    <tableColumn id="33" name="27" dataDxfId="54" totalsRowDxfId="53" dataCellStyle="Обычный 2 2 2"/>
    <tableColumn id="34" name="28" dataDxfId="52" dataCellStyle="Обычный 2 2 2"/>
    <tableColumn id="35" name="29" dataDxfId="51" dataCellStyle="Обычный 2 2 2"/>
    <tableColumn id="36" name="30" dataDxfId="50" dataCellStyle="Обычный 2 2 2"/>
    <tableColumn id="5" name="31" dataDxfId="49" dataCellStyle="Обычный 2 2 2"/>
    <tableColumn id="38" name="УСЛУГ" totalsRowFunction="sum" dataDxfId="48" totalsRowDxfId="47">
      <calculatedColumnFormula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calculatedColumnFormula>
    </tableColumn>
    <tableColumn id="39" name="МИНУТ" totalsRowFunction="sum" dataDxfId="46" totalsRowDxfId="45">
      <calculatedColumnFormula>IF(Декабрь[[#This Row],[УСЛУГ]]&lt;&gt;"",Декабрь[[#This Row],[УСЛУГ]]*Декабрь[[#This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21" name="Год" displayName="Год" ref="F1:F2" totalsRowShown="0" headerRowDxfId="1249" dataDxfId="1248">
  <autoFilter ref="F1:F2">
    <filterColumn colId="0" hiddenButton="1"/>
  </autoFilter>
  <tableColumns count="1">
    <tableColumn id="1" name="Год" dataDxfId="1247"/>
  </tableColumns>
  <tableStyleInfo name="TableStyleLight16" showFirstColumn="0" showLastColumn="0" showRowStripes="1" showColumnStripes="0"/>
</table>
</file>

<file path=xl/tables/table30.xml><?xml version="1.0" encoding="utf-8"?>
<table xmlns="http://schemas.openxmlformats.org/spreadsheetml/2006/main" id="29" name="ДекабрьИтоги" displayName="ДекабрьИтоги" ref="A12:AK17" totalsRowShown="0" headerRowDxfId="44" dataDxfId="43" tableBorderDxfId="42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41"/>
    <tableColumn id="2" name="за неделю" dataDxfId="40">
      <calculatedColumnFormula>SUMPRODUCT((#REF!=1)*E16:AI16)</calculatedColumnFormula>
    </tableColumn>
    <tableColumn id="3" name="всего минут" dataDxfId="39">
      <calculatedColumnFormula>ДекабрьИтоги[[#This Row],[№]]*60</calculatedColumnFormula>
    </tableColumn>
    <tableColumn id="4" name="№" dataDxfId="38"/>
    <tableColumn id="5" name="1" dataDxfId="37">
      <calculatedColumnFormula>SUM(E10:E15)</calculatedColumnFormula>
    </tableColumn>
    <tableColumn id="6" name="2" dataDxfId="36"/>
    <tableColumn id="7" name="3" dataDxfId="35"/>
    <tableColumn id="8" name="4" dataDxfId="34"/>
    <tableColumn id="9" name="5" dataDxfId="33"/>
    <tableColumn id="10" name="6" dataDxfId="32"/>
    <tableColumn id="11" name="7" dataDxfId="31"/>
    <tableColumn id="12" name="8" dataDxfId="30"/>
    <tableColumn id="13" name="9" dataDxfId="29"/>
    <tableColumn id="14" name="10" dataDxfId="28"/>
    <tableColumn id="15" name="11" dataDxfId="27"/>
    <tableColumn id="16" name="12" dataDxfId="26"/>
    <tableColumn id="17" name="13" dataDxfId="25"/>
    <tableColumn id="18" name="14" dataDxfId="24"/>
    <tableColumn id="19" name="15" dataDxfId="23"/>
    <tableColumn id="20" name="16" dataDxfId="22"/>
    <tableColumn id="21" name="17" dataDxfId="21"/>
    <tableColumn id="22" name="18" dataDxfId="20"/>
    <tableColumn id="23" name="19" dataDxfId="19"/>
    <tableColumn id="24" name="20" dataDxfId="18"/>
    <tableColumn id="25" name="21" dataDxfId="17"/>
    <tableColumn id="26" name="22" dataDxfId="16"/>
    <tableColumn id="27" name="23" dataDxfId="15"/>
    <tableColumn id="28" name="24" dataDxfId="14"/>
    <tableColumn id="29" name="25" dataDxfId="13"/>
    <tableColumn id="30" name="26" dataDxfId="12"/>
    <tableColumn id="31" name="27" dataDxfId="11"/>
    <tableColumn id="32" name="28" dataDxfId="10"/>
    <tableColumn id="33" name="29" dataDxfId="9"/>
    <tableColumn id="34" name="30" dataDxfId="8"/>
    <tableColumn id="37" name="31" dataDxfId="7">
      <calculatedColumnFormula>SUMPRODUCT((Август[№]=1)*Август[31],Август[Периодичность])</calculatedColumnFormula>
    </tableColumn>
    <tableColumn id="35" name="УСЛУГ" dataDxfId="6">
      <calculatedColumnFormula>SUM(Сентябрь[УСЛУГ])</calculatedColumnFormula>
    </tableColumn>
    <tableColumn id="36" name="МИНУТ" dataDxfId="5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22" name="КалендарьПолн" displayName="КалендарьПолн" ref="D6:AI18" totalsRowShown="0" headerRowDxfId="1246" dataDxfId="1245">
  <autoFilter ref="D6:AI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name="Месяц" dataDxfId="1244"/>
    <tableColumn id="2" name="1" dataDxfId="1243">
      <calculatedColumnFormula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calculatedColumnFormula>
    </tableColumn>
    <tableColumn id="3" name="2" dataDxfId="1242">
      <calculatedColumnFormula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calculatedColumnFormula>
    </tableColumn>
    <tableColumn id="4" name="3" dataDxfId="1241">
      <calculatedColumnFormula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calculatedColumnFormula>
    </tableColumn>
    <tableColumn id="5" name="4" dataDxfId="1240">
      <calculatedColumnFormula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calculatedColumnFormula>
    </tableColumn>
    <tableColumn id="6" name="5" dataDxfId="1239">
      <calculatedColumnFormula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calculatedColumnFormula>
    </tableColumn>
    <tableColumn id="7" name="6" dataDxfId="1238">
      <calculatedColumnFormula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calculatedColumnFormula>
    </tableColumn>
    <tableColumn id="8" name="7" dataDxfId="1237">
      <calculatedColumnFormula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calculatedColumnFormula>
    </tableColumn>
    <tableColumn id="9" name="8" dataDxfId="1236">
      <calculatedColumnFormula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calculatedColumnFormula>
    </tableColumn>
    <tableColumn id="10" name="9" dataDxfId="1235">
      <calculatedColumnFormula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calculatedColumnFormula>
    </tableColumn>
    <tableColumn id="11" name="10" dataDxfId="1234">
      <calculatedColumnFormula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calculatedColumnFormula>
    </tableColumn>
    <tableColumn id="12" name="11" dataDxfId="1233">
      <calculatedColumnFormula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calculatedColumnFormula>
    </tableColumn>
    <tableColumn id="13" name="12" dataDxfId="1232">
      <calculatedColumnFormula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calculatedColumnFormula>
    </tableColumn>
    <tableColumn id="14" name="13" dataDxfId="1231">
      <calculatedColumnFormula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calculatedColumnFormula>
    </tableColumn>
    <tableColumn id="15" name="14" dataDxfId="1230">
      <calculatedColumnFormula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calculatedColumnFormula>
    </tableColumn>
    <tableColumn id="16" name="15" dataDxfId="1229">
      <calculatedColumnFormula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calculatedColumnFormula>
    </tableColumn>
    <tableColumn id="17" name="16" dataDxfId="1228">
      <calculatedColumnFormula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calculatedColumnFormula>
    </tableColumn>
    <tableColumn id="18" name="17" dataDxfId="1227">
      <calculatedColumnFormula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calculatedColumnFormula>
    </tableColumn>
    <tableColumn id="19" name="18" dataDxfId="1226">
      <calculatedColumnFormula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calculatedColumnFormula>
    </tableColumn>
    <tableColumn id="20" name="19" dataDxfId="1225">
      <calculatedColumnFormula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calculatedColumnFormula>
    </tableColumn>
    <tableColumn id="21" name="20" dataDxfId="1224">
      <calculatedColumnFormula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calculatedColumnFormula>
    </tableColumn>
    <tableColumn id="22" name="21" dataDxfId="1223">
      <calculatedColumnFormula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calculatedColumnFormula>
    </tableColumn>
    <tableColumn id="23" name="22" dataDxfId="1222">
      <calculatedColumnFormula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calculatedColumnFormula>
    </tableColumn>
    <tableColumn id="24" name="23" dataDxfId="1221">
      <calculatedColumnFormula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calculatedColumnFormula>
    </tableColumn>
    <tableColumn id="25" name="24" dataDxfId="1220">
      <calculatedColumnFormula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calculatedColumnFormula>
    </tableColumn>
    <tableColumn id="26" name="25" dataDxfId="1219">
      <calculatedColumnFormula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calculatedColumnFormula>
    </tableColumn>
    <tableColumn id="27" name="26" dataDxfId="1218">
      <calculatedColumnFormula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calculatedColumnFormula>
    </tableColumn>
    <tableColumn id="28" name="27" dataDxfId="1217">
      <calculatedColumnFormula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calculatedColumnFormula>
    </tableColumn>
    <tableColumn id="29" name="28" dataDxfId="1216">
      <calculatedColumnFormula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calculatedColumnFormula>
    </tableColumn>
    <tableColumn id="30" name="29" dataDxfId="1215">
      <calculatedColumnFormula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calculatedColumnFormula>
    </tableColumn>
    <tableColumn id="31" name="30" dataDxfId="1214">
      <calculatedColumnFormula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calculatedColumnFormula>
    </tableColumn>
    <tableColumn id="32" name="31" dataDxfId="1213">
      <calculatedColumnFormula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23" name="КалендарьНН" displayName="КалендарьНН" ref="D20:AI32" totalsRowShown="0" headerRowDxfId="1212" dataDxfId="1211">
  <autoFilter ref="D20:AI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name="Месяц" dataDxfId="1210"/>
    <tableColumn id="2" name="1" dataDxfId="1209">
      <calculatedColumnFormula>IF(E7="",0,ROUNDUP(DAY(E7)/7,0)+(WEEKDAY(E7-DAY(E7)+1,11)&gt;WEEKDAY(E7,11)))</calculatedColumnFormula>
    </tableColumn>
    <tableColumn id="3" name="2" dataDxfId="1208">
      <calculatedColumnFormula>IF(F7="",0,ROUNDUP(DAY(F7)/7,0)+(WEEKDAY(F7-DAY(F7)+1,11)&gt;WEEKDAY(F7,11)))</calculatedColumnFormula>
    </tableColumn>
    <tableColumn id="4" name="3" dataDxfId="1207">
      <calculatedColumnFormula>IF(G7="",0,ROUNDUP(DAY(G7)/7,0)+(WEEKDAY(G7-DAY(G7)+1,11)&gt;WEEKDAY(G7,11)))</calculatedColumnFormula>
    </tableColumn>
    <tableColumn id="5" name="4" dataDxfId="1206">
      <calculatedColumnFormula>IF(H7="",0,ROUNDUP(DAY(H7)/7,0)+(WEEKDAY(H7-DAY(H7)+1,11)&gt;WEEKDAY(H7,11)))</calculatedColumnFormula>
    </tableColumn>
    <tableColumn id="6" name="5" dataDxfId="1205">
      <calculatedColumnFormula>IF(I7="",0,ROUNDUP(DAY(I7)/7,0)+(WEEKDAY(I7-DAY(I7)+1,11)&gt;WEEKDAY(I7,11)))</calculatedColumnFormula>
    </tableColumn>
    <tableColumn id="7" name="6" dataDxfId="1204">
      <calculatedColumnFormula>IF(J7="",0,ROUNDUP(DAY(J7)/7,0)+(WEEKDAY(J7-DAY(J7)+1,11)&gt;WEEKDAY(J7,11)))</calculatedColumnFormula>
    </tableColumn>
    <tableColumn id="8" name="7" dataDxfId="1203">
      <calculatedColumnFormula>IF(K7="",0,ROUNDUP(DAY(K7)/7,0)+(WEEKDAY(K7-DAY(K7)+1,11)&gt;WEEKDAY(K7,11)))</calculatedColumnFormula>
    </tableColumn>
    <tableColumn id="9" name="8" dataDxfId="1202">
      <calculatedColumnFormula>IF(L7="",0,ROUNDUP(DAY(L7)/7,0)+(WEEKDAY(L7-DAY(L7)+1,11)&gt;WEEKDAY(L7,11)))</calculatedColumnFormula>
    </tableColumn>
    <tableColumn id="10" name="9" dataDxfId="1201">
      <calculatedColumnFormula>IF(M7="",0,ROUNDUP(DAY(M7)/7,0)+(WEEKDAY(M7-DAY(M7)+1,11)&gt;WEEKDAY(M7,11)))</calculatedColumnFormula>
    </tableColumn>
    <tableColumn id="11" name="10" dataDxfId="1200">
      <calculatedColumnFormula>IF(N7="",0,ROUNDUP(DAY(N7)/7,0)+(WEEKDAY(N7-DAY(N7)+1,11)&gt;WEEKDAY(N7,11)))</calculatedColumnFormula>
    </tableColumn>
    <tableColumn id="12" name="11" dataDxfId="1199">
      <calculatedColumnFormula>IF(O7="",0,ROUNDUP(DAY(O7)/7,0)+(WEEKDAY(O7-DAY(O7)+1,11)&gt;WEEKDAY(O7,11)))</calculatedColumnFormula>
    </tableColumn>
    <tableColumn id="13" name="12" dataDxfId="1198">
      <calculatedColumnFormula>IF(P7="",0,ROUNDUP(DAY(P7)/7,0)+(WEEKDAY(P7-DAY(P7)+1,11)&gt;WEEKDAY(P7,11)))</calculatedColumnFormula>
    </tableColumn>
    <tableColumn id="14" name="13" dataDxfId="1197">
      <calculatedColumnFormula>IF(Q7="",0,ROUNDUP(DAY(Q7)/7,0)+(WEEKDAY(Q7-DAY(Q7)+1,11)&gt;WEEKDAY(Q7,11)))</calculatedColumnFormula>
    </tableColumn>
    <tableColumn id="15" name="14" dataDxfId="1196">
      <calculatedColumnFormula>IF(R7="",0,ROUNDUP(DAY(R7)/7,0)+(WEEKDAY(R7-DAY(R7)+1,11)&gt;WEEKDAY(R7,11)))</calculatedColumnFormula>
    </tableColumn>
    <tableColumn id="16" name="15" dataDxfId="1195">
      <calculatedColumnFormula>IF(S7="",0,ROUNDUP(DAY(S7)/7,0)+(WEEKDAY(S7-DAY(S7)+1,11)&gt;WEEKDAY(S7,11)))</calculatedColumnFormula>
    </tableColumn>
    <tableColumn id="17" name="16" dataDxfId="1194">
      <calculatedColumnFormula>IF(T7="",0,ROUNDUP(DAY(T7)/7,0)+(WEEKDAY(T7-DAY(T7)+1,11)&gt;WEEKDAY(T7,11)))</calculatedColumnFormula>
    </tableColumn>
    <tableColumn id="18" name="17" dataDxfId="1193">
      <calculatedColumnFormula>IF(U7="",0,ROUNDUP(DAY(U7)/7,0)+(WEEKDAY(U7-DAY(U7)+1,11)&gt;WEEKDAY(U7,11)))</calculatedColumnFormula>
    </tableColumn>
    <tableColumn id="19" name="18" dataDxfId="1192">
      <calculatedColumnFormula>IF(V7="",0,ROUNDUP(DAY(V7)/7,0)+(WEEKDAY(V7-DAY(V7)+1,11)&gt;WEEKDAY(V7,11)))</calculatedColumnFormula>
    </tableColumn>
    <tableColumn id="20" name="19" dataDxfId="1191">
      <calculatedColumnFormula>IF(W7="",0,ROUNDUP(DAY(W7)/7,0)+(WEEKDAY(W7-DAY(W7)+1,11)&gt;WEEKDAY(W7,11)))</calculatedColumnFormula>
    </tableColumn>
    <tableColumn id="21" name="20" dataDxfId="1190">
      <calculatedColumnFormula>IF(X7="",0,ROUNDUP(DAY(X7)/7,0)+(WEEKDAY(X7-DAY(X7)+1,11)&gt;WEEKDAY(X7,11)))</calculatedColumnFormula>
    </tableColumn>
    <tableColumn id="22" name="21" dataDxfId="1189">
      <calculatedColumnFormula>IF(Y7="",0,ROUNDUP(DAY(Y7)/7,0)+(WEEKDAY(Y7-DAY(Y7)+1,11)&gt;WEEKDAY(Y7,11)))</calculatedColumnFormula>
    </tableColumn>
    <tableColumn id="23" name="22" dataDxfId="1188">
      <calculatedColumnFormula>IF(Z7="",0,ROUNDUP(DAY(Z7)/7,0)+(WEEKDAY(Z7-DAY(Z7)+1,11)&gt;WEEKDAY(Z7,11)))</calculatedColumnFormula>
    </tableColumn>
    <tableColumn id="24" name="23" dataDxfId="1187">
      <calculatedColumnFormula>IF(AA7="",0,ROUNDUP(DAY(AA7)/7,0)+(WEEKDAY(AA7-DAY(AA7)+1,11)&gt;WEEKDAY(AA7,11)))</calculatedColumnFormula>
    </tableColumn>
    <tableColumn id="25" name="24" dataDxfId="1186">
      <calculatedColumnFormula>IF(AB7="",0,ROUNDUP(DAY(AB7)/7,0)+(WEEKDAY(AB7-DAY(AB7)+1,11)&gt;WEEKDAY(AB7,11)))</calculatedColumnFormula>
    </tableColumn>
    <tableColumn id="26" name="25" dataDxfId="1185">
      <calculatedColumnFormula>IF(AC7="",0,ROUNDUP(DAY(AC7)/7,0)+(WEEKDAY(AC7-DAY(AC7)+1,11)&gt;WEEKDAY(AC7,11)))</calculatedColumnFormula>
    </tableColumn>
    <tableColumn id="27" name="26" dataDxfId="1184">
      <calculatedColumnFormula>IF(AD7="",0,ROUNDUP(DAY(AD7)/7,0)+(WEEKDAY(AD7-DAY(AD7)+1,11)&gt;WEEKDAY(AD7,11)))</calculatedColumnFormula>
    </tableColumn>
    <tableColumn id="28" name="27" dataDxfId="1183">
      <calculatedColumnFormula>IF(AE7="",0,ROUNDUP(DAY(AE7)/7,0)+(WEEKDAY(AE7-DAY(AE7)+1,11)&gt;WEEKDAY(AE7,11)))</calculatedColumnFormula>
    </tableColumn>
    <tableColumn id="29" name="28" dataDxfId="1182">
      <calculatedColumnFormula>IF(AF7="",0,ROUNDUP(DAY(AF7)/7,0)+(WEEKDAY(AF7-DAY(AF7)+1,11)&gt;WEEKDAY(AF7,11)))</calculatedColumnFormula>
    </tableColumn>
    <tableColumn id="30" name="29" dataDxfId="1181">
      <calculatedColumnFormula>IF(AG7="",0,ROUNDUP(DAY(AG7)/7,0)+(WEEKDAY(AG7-DAY(AG7)+1,11)&gt;WEEKDAY(AG7,11)))</calculatedColumnFormula>
    </tableColumn>
    <tableColumn id="31" name="30" dataDxfId="1180">
      <calculatedColumnFormula>IF(AH7="",0,ROUNDUP(DAY(AH7)/7,0)+(WEEKDAY(AH7-DAY(AH7)+1,11)&gt;WEEKDAY(AH7,11)))</calculatedColumnFormula>
    </tableColumn>
    <tableColumn id="32" name="31" dataDxfId="1179">
      <calculatedColumnFormula>IF(AI7="",0,ROUNDUP(DAY(AI7)/7,0)+(WEEKDAY(AI7-DAY(AI7)+1,11)&gt;WEEKDAY(AI7,11)))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30" name="Получатель" displayName="Получатель" ref="H1:H2" totalsRowShown="0" headerRowDxfId="0" dataDxfId="1">
  <autoFilter ref="H1:H2">
    <filterColumn colId="0" hiddenButton="1"/>
  </autoFilter>
  <tableColumns count="1">
    <tableColumn id="1" name="ФИО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9" name="Январь" displayName="Январь" ref="A24:AK174" headerRowDxfId="1176" dataDxfId="1175" totalsRowDxfId="1174">
  <autoFilter ref="A24:AK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Услуга" totalsRowLabel="Итог" dataDxfId="1173"/>
    <tableColumn id="2" name="Объем" dataDxfId="1172" totalsRowDxfId="1171"/>
    <tableColumn id="3" name="Периодичность" dataDxfId="1170" totalsRowDxfId="1169"/>
    <tableColumn id="4" name="№" dataDxfId="1168" totalsRowDxfId="1167"/>
    <tableColumn id="7" name="1" dataDxfId="1166" dataCellStyle="Обычный 2 2 2"/>
    <tableColumn id="8" name="2" dataDxfId="1165" dataCellStyle="Обычный 2 2 2"/>
    <tableColumn id="9" name="3" dataDxfId="1164" dataCellStyle="Обычный 2 2 2"/>
    <tableColumn id="10" name="4" dataDxfId="1163" totalsRowDxfId="1162" dataCellStyle="Обычный 2 2 2"/>
    <tableColumn id="11" name="5" dataDxfId="1161" totalsRowDxfId="1160" dataCellStyle="Обычный 2 2 2"/>
    <tableColumn id="12" name="6" dataDxfId="1159" totalsRowDxfId="1158" dataCellStyle="Обычный 2 2 2"/>
    <tableColumn id="13" name="7" dataDxfId="1157" dataCellStyle="Обычный 2 2 2"/>
    <tableColumn id="14" name="8" dataDxfId="1156" dataCellStyle="Обычный 2 2 2"/>
    <tableColumn id="15" name="9" dataDxfId="1155" dataCellStyle="Обычный 2 2 2"/>
    <tableColumn id="16" name="10" dataDxfId="1154" dataCellStyle="Обычный 2 2 2"/>
    <tableColumn id="17" name="11" dataDxfId="1153" totalsRowDxfId="1152" dataCellStyle="Обычный 2 2 2"/>
    <tableColumn id="18" name="12" dataDxfId="1151" totalsRowDxfId="1150" dataCellStyle="Обычный 2 2 2"/>
    <tableColumn id="19" name="13" dataDxfId="1149" totalsRowDxfId="1148" dataCellStyle="Обычный 2 2 2"/>
    <tableColumn id="20" name="14" dataDxfId="1147" dataCellStyle="Обычный 2 2 2"/>
    <tableColumn id="21" name="15" dataDxfId="1146" dataCellStyle="Обычный 2 2 2"/>
    <tableColumn id="22" name="16" dataDxfId="1145" dataCellStyle="Обычный 2 2 2"/>
    <tableColumn id="23" name="17" dataDxfId="1144" dataCellStyle="Обычный 2 2 2"/>
    <tableColumn id="24" name="18" dataDxfId="1143" totalsRowDxfId="1142" dataCellStyle="Обычный 2 2 2"/>
    <tableColumn id="25" name="19" dataDxfId="1141" totalsRowDxfId="1140" dataCellStyle="Обычный 2 2 2"/>
    <tableColumn id="26" name="20" dataDxfId="1139" totalsRowDxfId="1138" dataCellStyle="Обычный 2 2 2"/>
    <tableColumn id="27" name="21" dataDxfId="1137" dataCellStyle="Обычный 2 2 2"/>
    <tableColumn id="28" name="22" dataDxfId="1136" dataCellStyle="Обычный 2 2 2"/>
    <tableColumn id="29" name="23" dataDxfId="1135" dataCellStyle="Обычный 2 2 2"/>
    <tableColumn id="30" name="24" dataDxfId="1134" dataCellStyle="Обычный 2 2 2"/>
    <tableColumn id="31" name="25" dataDxfId="1133" totalsRowDxfId="1132" dataCellStyle="Обычный 2 2 2"/>
    <tableColumn id="32" name="26" dataDxfId="1131" totalsRowDxfId="1130" dataCellStyle="Обычный 2 2 2"/>
    <tableColumn id="33" name="27" dataDxfId="1129" totalsRowDxfId="1128" dataCellStyle="Обычный 2 2 2"/>
    <tableColumn id="34" name="28" dataDxfId="1127" dataCellStyle="Обычный 2 2 2"/>
    <tableColumn id="35" name="29" dataDxfId="1126" dataCellStyle="Обычный 2 2 2"/>
    <tableColumn id="36" name="30" dataDxfId="1125" dataCellStyle="Обычный 2 2 2"/>
    <tableColumn id="5" name="31" dataDxfId="1124" dataCellStyle="Обычный 2 2 2"/>
    <tableColumn id="38" name="УСЛУГ" totalsRowFunction="sum" dataDxfId="1123" totalsRowDxfId="1122">
      <calculatedColumnFormula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calculatedColumnFormula>
    </tableColumn>
    <tableColumn id="39" name="МИНУТ" totalsRowFunction="sum" dataDxfId="1121" totalsRowDxfId="1120">
      <calculatedColumnFormula>IF(Январь[[#This Row],[УСЛУГ]]&lt;&gt;"",Январь[[#This Row],[УСЛУГ]]*Январь[[#This Row],[Периодичность]],"")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20" name="ЯнварьИтоги" displayName="ЯнварьИтоги" ref="A12:AK17" totalsRowShown="0" headerRowDxfId="1119" dataDxfId="1118" tableBorderDxfId="1117">
  <autoFilter ref="A12:AK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name="периодичность" dataDxfId="1116"/>
    <tableColumn id="2" name="за неделю" dataDxfId="1115">
      <calculatedColumnFormula>SUMPRODUCT((#REF!=1)*E16:AI16)</calculatedColumnFormula>
    </tableColumn>
    <tableColumn id="3" name="всего минут" dataDxfId="1114">
      <calculatedColumnFormula>ЯнварьИтоги[[#This Row],[№]]*60</calculatedColumnFormula>
    </tableColumn>
    <tableColumn id="4" name="№" dataDxfId="1113"/>
    <tableColumn id="5" name="1" dataDxfId="1112">
      <calculatedColumnFormula>SUM(E10:E15)</calculatedColumnFormula>
    </tableColumn>
    <tableColumn id="6" name="2" dataDxfId="1111"/>
    <tableColumn id="7" name="3" dataDxfId="1110"/>
    <tableColumn id="8" name="4" dataDxfId="1109"/>
    <tableColumn id="9" name="5" dataDxfId="1108"/>
    <tableColumn id="10" name="6" dataDxfId="1107"/>
    <tableColumn id="11" name="7" dataDxfId="1106"/>
    <tableColumn id="12" name="8" dataDxfId="1105"/>
    <tableColumn id="13" name="9" dataDxfId="1104"/>
    <tableColumn id="14" name="10" dataDxfId="1103"/>
    <tableColumn id="15" name="11" dataDxfId="1102"/>
    <tableColumn id="16" name="12" dataDxfId="1101"/>
    <tableColumn id="17" name="13" dataDxfId="1100"/>
    <tableColumn id="18" name="14" dataDxfId="1099"/>
    <tableColumn id="19" name="15" dataDxfId="1098"/>
    <tableColumn id="20" name="16" dataDxfId="1097"/>
    <tableColumn id="21" name="17" dataDxfId="1096"/>
    <tableColumn id="22" name="18" dataDxfId="1095"/>
    <tableColumn id="23" name="19" dataDxfId="1094"/>
    <tableColumn id="24" name="20" dataDxfId="1093"/>
    <tableColumn id="25" name="21" dataDxfId="1092"/>
    <tableColumn id="26" name="22" dataDxfId="1091"/>
    <tableColumn id="27" name="23" dataDxfId="1090"/>
    <tableColumn id="28" name="24" dataDxfId="1089"/>
    <tableColumn id="29" name="25" dataDxfId="1088"/>
    <tableColumn id="30" name="26" dataDxfId="1087"/>
    <tableColumn id="31" name="27" dataDxfId="1086"/>
    <tableColumn id="32" name="28" dataDxfId="1085"/>
    <tableColumn id="33" name="29" dataDxfId="1084"/>
    <tableColumn id="34" name="30" dataDxfId="1083"/>
    <tableColumn id="37" name="31" dataDxfId="1082">
      <calculatedColumnFormula>SUMPRODUCT((Август[№]=1)*Август[31],Август[Периодичность])</calculatedColumnFormula>
    </tableColumn>
    <tableColumn id="35" name="УСЛУГ" dataDxfId="1081">
      <calculatedColumnFormula>SUM(Сентябрь[УСЛУГ])</calculatedColumnFormula>
    </tableColumn>
    <tableColumn id="36" name="МИНУТ" dataDxfId="1080">
      <calculatedColumnFormula>SUM(Сентябрь[МИНУТ])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17" name="Февраль" displayName="Февраль" ref="A24:AI174" headerRowDxfId="1077" dataDxfId="1076" totalsRowDxfId="1075">
  <autoFilter ref="A24:AI1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</autoFilter>
  <tableColumns count="35">
    <tableColumn id="1" name="Услуга" totalsRowLabel="Итог" dataDxfId="1074"/>
    <tableColumn id="2" name="Объем" dataDxfId="1073" totalsRowDxfId="1072"/>
    <tableColumn id="3" name="Периодичность" dataDxfId="1071" totalsRowDxfId="1070"/>
    <tableColumn id="4" name="№" dataDxfId="1069" totalsRowDxfId="1068"/>
    <tableColumn id="7" name="1" dataDxfId="1067" dataCellStyle="Обычный 2 2 2"/>
    <tableColumn id="8" name="2" dataDxfId="1066" dataCellStyle="Обычный 2 2 2"/>
    <tableColumn id="9" name="3" dataDxfId="1065" dataCellStyle="Обычный 2 2 2"/>
    <tableColumn id="10" name="4" dataDxfId="1064" totalsRowDxfId="1063" dataCellStyle="Обычный 2 2 2"/>
    <tableColumn id="11" name="5" dataDxfId="1062" totalsRowDxfId="1061" dataCellStyle="Обычный 2 2 2"/>
    <tableColumn id="12" name="6" dataDxfId="1060" totalsRowDxfId="1059" dataCellStyle="Обычный 2 2 2"/>
    <tableColumn id="13" name="7" dataDxfId="1058" dataCellStyle="Обычный 2 2 2"/>
    <tableColumn id="14" name="8" dataDxfId="1057" dataCellStyle="Обычный 2 2 2"/>
    <tableColumn id="15" name="9" dataDxfId="1056" dataCellStyle="Обычный 2 2 2"/>
    <tableColumn id="16" name="10" dataDxfId="1055" dataCellStyle="Обычный 2 2 2"/>
    <tableColumn id="17" name="11" dataDxfId="1054" totalsRowDxfId="1053" dataCellStyle="Обычный 2 2 2"/>
    <tableColumn id="18" name="12" dataDxfId="1052" totalsRowDxfId="1051" dataCellStyle="Обычный 2 2 2"/>
    <tableColumn id="19" name="13" dataDxfId="1050" totalsRowDxfId="1049" dataCellStyle="Обычный 2 2 2"/>
    <tableColumn id="20" name="14" dataDxfId="1048" dataCellStyle="Обычный 2 2 2"/>
    <tableColumn id="21" name="15" dataDxfId="1047" dataCellStyle="Обычный 2 2 2"/>
    <tableColumn id="22" name="16" dataDxfId="1046" dataCellStyle="Обычный 2 2 2"/>
    <tableColumn id="23" name="17" dataDxfId="1045" dataCellStyle="Обычный 2 2 2"/>
    <tableColumn id="24" name="18" dataDxfId="1044" totalsRowDxfId="1043" dataCellStyle="Обычный 2 2 2"/>
    <tableColumn id="25" name="19" dataDxfId="1042" totalsRowDxfId="1041" dataCellStyle="Обычный 2 2 2"/>
    <tableColumn id="26" name="20" dataDxfId="1040" totalsRowDxfId="1039" dataCellStyle="Обычный 2 2 2"/>
    <tableColumn id="27" name="21" dataDxfId="1038" dataCellStyle="Обычный 2 2 2"/>
    <tableColumn id="28" name="22" dataDxfId="1037" dataCellStyle="Обычный 2 2 2"/>
    <tableColumn id="29" name="23" dataDxfId="1036" dataCellStyle="Обычный 2 2 2"/>
    <tableColumn id="30" name="24" dataDxfId="1035" dataCellStyle="Обычный 2 2 2"/>
    <tableColumn id="31" name="25" dataDxfId="1034" totalsRowDxfId="1033" dataCellStyle="Обычный 2 2 2"/>
    <tableColumn id="32" name="26" dataDxfId="1032" totalsRowDxfId="1031" dataCellStyle="Обычный 2 2 2"/>
    <tableColumn id="33" name="27" dataDxfId="1030" totalsRowDxfId="1029" dataCellStyle="Обычный 2 2 2"/>
    <tableColumn id="34" name="28" dataDxfId="1028" dataCellStyle="Обычный 2 2 2"/>
    <tableColumn id="35" name="29" dataDxfId="1027" dataCellStyle="Обычный 2 2 2"/>
    <tableColumn id="38" name="УСЛУГ" totalsRowFunction="sum" dataDxfId="1026" totalsRowDxfId="1025">
      <calculatedColumnFormula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calculatedColumnFormula>
    </tableColumn>
    <tableColumn id="39" name="МИНУТ" totalsRowFunction="sum" dataDxfId="1024" totalsRowDxfId="1023">
      <calculatedColumnFormula>IF(Февраль[[#This Row],[УСЛУГ]]&lt;&gt;"",Февраль[[#This Row],[УСЛУГ]]*Февраль[[#This Row],[Периодичность]],"")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opLeftCell="B1" workbookViewId="0">
      <selection activeCell="F4" sqref="F4"/>
    </sheetView>
  </sheetViews>
  <sheetFormatPr defaultRowHeight="15.75" x14ac:dyDescent="0.25"/>
  <cols>
    <col min="1" max="1" width="71.42578125" style="1" customWidth="1"/>
    <col min="2" max="2" width="48.140625" style="1" bestFit="1" customWidth="1"/>
    <col min="3" max="3" width="9.140625" style="1"/>
    <col min="4" max="4" width="18" style="1" bestFit="1" customWidth="1"/>
    <col min="5" max="7" width="11.28515625" style="1" bestFit="1" customWidth="1"/>
    <col min="8" max="8" width="15.140625" style="1" bestFit="1" customWidth="1"/>
    <col min="9" max="36" width="11.28515625" style="1" bestFit="1" customWidth="1"/>
    <col min="37" max="16384" width="9.140625" style="1"/>
  </cols>
  <sheetData>
    <row r="1" spans="1:36" x14ac:dyDescent="0.25">
      <c r="A1" s="1" t="s">
        <v>0</v>
      </c>
      <c r="B1" s="1" t="s">
        <v>51</v>
      </c>
      <c r="D1" s="1" t="s">
        <v>65</v>
      </c>
      <c r="F1" s="1" t="s">
        <v>130</v>
      </c>
      <c r="H1" s="1" t="s">
        <v>156</v>
      </c>
    </row>
    <row r="2" spans="1:36" x14ac:dyDescent="0.25">
      <c r="A2" s="1" t="s">
        <v>1</v>
      </c>
      <c r="B2" s="1" t="str">
        <f>LEFT(Услуги[[#This Row],[Соц. Услуги]],40)</f>
        <v>01. Приготовление пищи</v>
      </c>
      <c r="D2" s="1">
        <v>1</v>
      </c>
      <c r="F2" s="1">
        <v>2023</v>
      </c>
      <c r="H2" s="1" t="s">
        <v>157</v>
      </c>
    </row>
    <row r="3" spans="1:36" x14ac:dyDescent="0.25">
      <c r="A3" s="1" t="s">
        <v>2</v>
      </c>
      <c r="B3" s="1" t="str">
        <f>LEFT(Услуги[[#This Row],[Соц. Услуги]],40)</f>
        <v>02. Помощь при приготовлении пищи</v>
      </c>
      <c r="D3" s="1">
        <v>2</v>
      </c>
    </row>
    <row r="4" spans="1:36" x14ac:dyDescent="0.25">
      <c r="A4" s="1" t="s">
        <v>3</v>
      </c>
      <c r="B4" s="1" t="str">
        <f>LEFT(Услуги[[#This Row],[Соц. Услуги]],40)</f>
        <v>03. Подготовка и подача пищи</v>
      </c>
      <c r="D4" s="1">
        <v>3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36" x14ac:dyDescent="0.25">
      <c r="A5" s="1" t="s">
        <v>4</v>
      </c>
      <c r="B5" s="1" t="str">
        <f>LEFT(Услуги[[#This Row],[Соц. Услуги]],40)</f>
        <v>04. Помощь при подготовке пищи к приему</v>
      </c>
    </row>
    <row r="6" spans="1:36" x14ac:dyDescent="0.25">
      <c r="A6" s="1" t="s">
        <v>5</v>
      </c>
      <c r="B6" s="1" t="str">
        <f>LEFT(Услуги[[#This Row],[Соц. Услуги]],40)</f>
        <v>05. Кормление</v>
      </c>
      <c r="D6" s="1" t="s">
        <v>117</v>
      </c>
      <c r="E6" s="1" t="s">
        <v>83</v>
      </c>
      <c r="F6" s="1" t="s">
        <v>84</v>
      </c>
      <c r="G6" s="1" t="s">
        <v>85</v>
      </c>
      <c r="H6" s="1" t="s">
        <v>86</v>
      </c>
      <c r="I6" s="1" t="s">
        <v>87</v>
      </c>
      <c r="J6" s="1" t="s">
        <v>88</v>
      </c>
      <c r="K6" s="1" t="s">
        <v>89</v>
      </c>
      <c r="L6" s="1" t="s">
        <v>90</v>
      </c>
      <c r="M6" s="1" t="s">
        <v>91</v>
      </c>
      <c r="N6" s="1" t="s">
        <v>92</v>
      </c>
      <c r="O6" s="1" t="s">
        <v>93</v>
      </c>
      <c r="P6" s="1" t="s">
        <v>94</v>
      </c>
      <c r="Q6" s="1" t="s">
        <v>95</v>
      </c>
      <c r="R6" s="1" t="s">
        <v>96</v>
      </c>
      <c r="S6" s="1" t="s">
        <v>97</v>
      </c>
      <c r="T6" s="1" t="s">
        <v>98</v>
      </c>
      <c r="U6" s="1" t="s">
        <v>99</v>
      </c>
      <c r="V6" s="1" t="s">
        <v>100</v>
      </c>
      <c r="W6" s="1" t="s">
        <v>101</v>
      </c>
      <c r="X6" s="1" t="s">
        <v>102</v>
      </c>
      <c r="Y6" s="1" t="s">
        <v>103</v>
      </c>
      <c r="Z6" s="1" t="s">
        <v>104</v>
      </c>
      <c r="AA6" s="1" t="s">
        <v>105</v>
      </c>
      <c r="AB6" s="1" t="s">
        <v>106</v>
      </c>
      <c r="AC6" s="1" t="s">
        <v>107</v>
      </c>
      <c r="AD6" s="1" t="s">
        <v>108</v>
      </c>
      <c r="AE6" s="1" t="s">
        <v>109</v>
      </c>
      <c r="AF6" s="1" t="s">
        <v>110</v>
      </c>
      <c r="AG6" s="1" t="s">
        <v>111</v>
      </c>
      <c r="AH6" s="1" t="s">
        <v>112</v>
      </c>
      <c r="AI6" s="1" t="s">
        <v>121</v>
      </c>
      <c r="AJ6" s="24"/>
    </row>
    <row r="7" spans="1:36" x14ac:dyDescent="0.25">
      <c r="A7" s="1" t="s">
        <v>6</v>
      </c>
      <c r="B7" s="1" t="str">
        <f>LEFT(Услуги[[#This Row],[Соц. Услуги]],40)</f>
        <v>06. Помощь при приеме пищи</v>
      </c>
      <c r="D7" s="28">
        <v>44927</v>
      </c>
      <c r="E7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44927</v>
      </c>
      <c r="F7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44928</v>
      </c>
      <c r="G7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44929</v>
      </c>
      <c r="H7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44930</v>
      </c>
      <c r="I7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44931</v>
      </c>
      <c r="J7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44932</v>
      </c>
      <c r="K7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44933</v>
      </c>
      <c r="L7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44934</v>
      </c>
      <c r="M7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44935</v>
      </c>
      <c r="N7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44936</v>
      </c>
      <c r="O7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44937</v>
      </c>
      <c r="P7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44938</v>
      </c>
      <c r="Q7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44939</v>
      </c>
      <c r="R7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44940</v>
      </c>
      <c r="S7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44941</v>
      </c>
      <c r="T7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44942</v>
      </c>
      <c r="U7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44943</v>
      </c>
      <c r="V7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44944</v>
      </c>
      <c r="W7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44945</v>
      </c>
      <c r="X7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44946</v>
      </c>
      <c r="Y7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44947</v>
      </c>
      <c r="Z7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44948</v>
      </c>
      <c r="AA7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44949</v>
      </c>
      <c r="AB7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44950</v>
      </c>
      <c r="AC7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44951</v>
      </c>
      <c r="AD7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44952</v>
      </c>
      <c r="AE7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44953</v>
      </c>
      <c r="AF7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44954</v>
      </c>
      <c r="AG7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44955</v>
      </c>
      <c r="AH7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44956</v>
      </c>
      <c r="AI7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44957</v>
      </c>
      <c r="AJ7" s="25"/>
    </row>
    <row r="8" spans="1:36" x14ac:dyDescent="0.25">
      <c r="A8" s="1" t="s">
        <v>7</v>
      </c>
      <c r="B8" s="1" t="str">
        <f>LEFT(Услуги[[#This Row],[Соц. Услуги]],40)</f>
        <v>07. Помощь в соблюдении питьевого режима</v>
      </c>
      <c r="D8" s="28">
        <v>44958</v>
      </c>
      <c r="E8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44958</v>
      </c>
      <c r="F8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44959</v>
      </c>
      <c r="G8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44960</v>
      </c>
      <c r="H8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44961</v>
      </c>
      <c r="I8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44962</v>
      </c>
      <c r="J8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44963</v>
      </c>
      <c r="K8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44964</v>
      </c>
      <c r="L8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44965</v>
      </c>
      <c r="M8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44966</v>
      </c>
      <c r="N8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44967</v>
      </c>
      <c r="O8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44968</v>
      </c>
      <c r="P8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44969</v>
      </c>
      <c r="Q8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44970</v>
      </c>
      <c r="R8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44971</v>
      </c>
      <c r="S8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44972</v>
      </c>
      <c r="T8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44973</v>
      </c>
      <c r="U8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44974</v>
      </c>
      <c r="V8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44975</v>
      </c>
      <c r="W8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44976</v>
      </c>
      <c r="X8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44977</v>
      </c>
      <c r="Y8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44978</v>
      </c>
      <c r="Z8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44979</v>
      </c>
      <c r="AA8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44980</v>
      </c>
      <c r="AB8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44981</v>
      </c>
      <c r="AC8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44982</v>
      </c>
      <c r="AD8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44983</v>
      </c>
      <c r="AE8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44984</v>
      </c>
      <c r="AF8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44985</v>
      </c>
      <c r="AG8" s="24" t="str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/>
      </c>
      <c r="AH8" s="24" t="str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/>
      </c>
      <c r="AI8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9" spans="1:36" x14ac:dyDescent="0.25">
      <c r="A9" s="1" t="s">
        <v>8</v>
      </c>
      <c r="B9" s="1" t="str">
        <f>LEFT(Услуги[[#This Row],[Соц. Услуги]],40)</f>
        <v>08. Умывание</v>
      </c>
      <c r="D9" s="28">
        <v>44986</v>
      </c>
      <c r="E9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44986</v>
      </c>
      <c r="F9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44987</v>
      </c>
      <c r="G9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44988</v>
      </c>
      <c r="H9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44989</v>
      </c>
      <c r="I9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44990</v>
      </c>
      <c r="J9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44991</v>
      </c>
      <c r="K9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44992</v>
      </c>
      <c r="L9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44993</v>
      </c>
      <c r="M9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44994</v>
      </c>
      <c r="N9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44995</v>
      </c>
      <c r="O9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44996</v>
      </c>
      <c r="P9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44997</v>
      </c>
      <c r="Q9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44998</v>
      </c>
      <c r="R9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44999</v>
      </c>
      <c r="S9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45000</v>
      </c>
      <c r="T9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45001</v>
      </c>
      <c r="U9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45002</v>
      </c>
      <c r="V9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45003</v>
      </c>
      <c r="W9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45004</v>
      </c>
      <c r="X9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45005</v>
      </c>
      <c r="Y9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45006</v>
      </c>
      <c r="Z9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45007</v>
      </c>
      <c r="AA9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45008</v>
      </c>
      <c r="AB9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45009</v>
      </c>
      <c r="AC9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45010</v>
      </c>
      <c r="AD9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45011</v>
      </c>
      <c r="AE9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45012</v>
      </c>
      <c r="AF9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45013</v>
      </c>
      <c r="AG9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45014</v>
      </c>
      <c r="AH9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45015</v>
      </c>
      <c r="AI9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45016</v>
      </c>
    </row>
    <row r="10" spans="1:36" x14ac:dyDescent="0.25">
      <c r="A10" s="1" t="s">
        <v>9</v>
      </c>
      <c r="B10" s="1" t="str">
        <f>LEFT(Услуги[[#This Row],[Соц. Услуги]],40)</f>
        <v>09. Помощь при умывании</v>
      </c>
      <c r="D10" s="28">
        <v>45017</v>
      </c>
      <c r="E10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45017</v>
      </c>
      <c r="F10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45018</v>
      </c>
      <c r="G10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45019</v>
      </c>
      <c r="H10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45020</v>
      </c>
      <c r="I10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45021</v>
      </c>
      <c r="J10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45022</v>
      </c>
      <c r="K10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45023</v>
      </c>
      <c r="L10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45024</v>
      </c>
      <c r="M10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45025</v>
      </c>
      <c r="N10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45026</v>
      </c>
      <c r="O10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45027</v>
      </c>
      <c r="P10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45028</v>
      </c>
      <c r="Q10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45029</v>
      </c>
      <c r="R10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45030</v>
      </c>
      <c r="S10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45031</v>
      </c>
      <c r="T10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45032</v>
      </c>
      <c r="U10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45033</v>
      </c>
      <c r="V10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45034</v>
      </c>
      <c r="W10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45035</v>
      </c>
      <c r="X10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45036</v>
      </c>
      <c r="Y10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45037</v>
      </c>
      <c r="Z10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45038</v>
      </c>
      <c r="AA10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45039</v>
      </c>
      <c r="AB10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45040</v>
      </c>
      <c r="AC10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45041</v>
      </c>
      <c r="AD10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45042</v>
      </c>
      <c r="AE10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45043</v>
      </c>
      <c r="AF10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45044</v>
      </c>
      <c r="AG10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45045</v>
      </c>
      <c r="AH10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45046</v>
      </c>
      <c r="AI10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1" spans="1:36" x14ac:dyDescent="0.25">
      <c r="A11" s="1" t="s">
        <v>10</v>
      </c>
      <c r="B11" s="1" t="str">
        <f>LEFT(Услуги[[#This Row],[Соц. Услуги]],40)</f>
        <v>10. Купание в кровати, включая мытье гол</v>
      </c>
      <c r="D11" s="28">
        <v>45047</v>
      </c>
      <c r="E11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45047</v>
      </c>
      <c r="F11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45048</v>
      </c>
      <c r="G11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45049</v>
      </c>
      <c r="H11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45050</v>
      </c>
      <c r="I11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45051</v>
      </c>
      <c r="J11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45052</v>
      </c>
      <c r="K11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45053</v>
      </c>
      <c r="L11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45054</v>
      </c>
      <c r="M11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45055</v>
      </c>
      <c r="N11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45056</v>
      </c>
      <c r="O11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45057</v>
      </c>
      <c r="P11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45058</v>
      </c>
      <c r="Q11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45059</v>
      </c>
      <c r="R11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45060</v>
      </c>
      <c r="S11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45061</v>
      </c>
      <c r="T11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45062</v>
      </c>
      <c r="U11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45063</v>
      </c>
      <c r="V11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45064</v>
      </c>
      <c r="W11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45065</v>
      </c>
      <c r="X11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45066</v>
      </c>
      <c r="Y11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45067</v>
      </c>
      <c r="Z11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45068</v>
      </c>
      <c r="AA11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45069</v>
      </c>
      <c r="AB11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45070</v>
      </c>
      <c r="AC11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45071</v>
      </c>
      <c r="AD11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45072</v>
      </c>
      <c r="AE11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45073</v>
      </c>
      <c r="AF11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45074</v>
      </c>
      <c r="AG11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45075</v>
      </c>
      <c r="AH11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45076</v>
      </c>
      <c r="AI11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45077</v>
      </c>
    </row>
    <row r="12" spans="1:36" x14ac:dyDescent="0.25">
      <c r="A12" s="1" t="s">
        <v>11</v>
      </c>
      <c r="B12" s="1" t="str">
        <f>LEFT(Услуги[[#This Row],[Соц. Услуги]],40)</f>
        <v xml:space="preserve">11. Купание в приспособленном помещении </v>
      </c>
      <c r="D12" s="28">
        <v>45078</v>
      </c>
      <c r="E12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45078</v>
      </c>
      <c r="F12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45079</v>
      </c>
      <c r="G12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45080</v>
      </c>
      <c r="H12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45081</v>
      </c>
      <c r="I12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45082</v>
      </c>
      <c r="J12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45083</v>
      </c>
      <c r="K12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45084</v>
      </c>
      <c r="L12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45085</v>
      </c>
      <c r="M12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45086</v>
      </c>
      <c r="N12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45087</v>
      </c>
      <c r="O12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45088</v>
      </c>
      <c r="P12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45089</v>
      </c>
      <c r="Q12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45090</v>
      </c>
      <c r="R12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45091</v>
      </c>
      <c r="S12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45092</v>
      </c>
      <c r="T12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45093</v>
      </c>
      <c r="U12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45094</v>
      </c>
      <c r="V12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45095</v>
      </c>
      <c r="W12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45096</v>
      </c>
      <c r="X12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45097</v>
      </c>
      <c r="Y12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45098</v>
      </c>
      <c r="Z12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45099</v>
      </c>
      <c r="AA12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45100</v>
      </c>
      <c r="AB12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45101</v>
      </c>
      <c r="AC12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45102</v>
      </c>
      <c r="AD12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45103</v>
      </c>
      <c r="AE12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45104</v>
      </c>
      <c r="AF12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45105</v>
      </c>
      <c r="AG12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45106</v>
      </c>
      <c r="AH12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45107</v>
      </c>
      <c r="AI12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3" spans="1:36" x14ac:dyDescent="0.25">
      <c r="A13" s="1" t="s">
        <v>12</v>
      </c>
      <c r="B13" s="1" t="str">
        <f>LEFT(Услуги[[#This Row],[Соц. Услуги]],40)</f>
        <v>12. Помощь при купании в приспособленном</v>
      </c>
      <c r="D13" s="28">
        <v>45108</v>
      </c>
      <c r="E13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45108</v>
      </c>
      <c r="F13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45109</v>
      </c>
      <c r="G13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45110</v>
      </c>
      <c r="H13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45111</v>
      </c>
      <c r="I13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45112</v>
      </c>
      <c r="J13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45113</v>
      </c>
      <c r="K13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45114</v>
      </c>
      <c r="L13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45115</v>
      </c>
      <c r="M13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45116</v>
      </c>
      <c r="N13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45117</v>
      </c>
      <c r="O13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45118</v>
      </c>
      <c r="P13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45119</v>
      </c>
      <c r="Q13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45120</v>
      </c>
      <c r="R13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45121</v>
      </c>
      <c r="S13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45122</v>
      </c>
      <c r="T13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45123</v>
      </c>
      <c r="U13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45124</v>
      </c>
      <c r="V13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45125</v>
      </c>
      <c r="W13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45126</v>
      </c>
      <c r="X13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45127</v>
      </c>
      <c r="Y13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45128</v>
      </c>
      <c r="Z13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45129</v>
      </c>
      <c r="AA13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45130</v>
      </c>
      <c r="AB13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45131</v>
      </c>
      <c r="AC13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45132</v>
      </c>
      <c r="AD13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45133</v>
      </c>
      <c r="AE13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45134</v>
      </c>
      <c r="AF13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45135</v>
      </c>
      <c r="AG13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45136</v>
      </c>
      <c r="AH13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45137</v>
      </c>
      <c r="AI13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45138</v>
      </c>
    </row>
    <row r="14" spans="1:36" x14ac:dyDescent="0.25">
      <c r="A14" s="1" t="s">
        <v>13</v>
      </c>
      <c r="B14" s="1" t="str">
        <f>LEFT(Услуги[[#This Row],[Соц. Услуги]],40)</f>
        <v>13. Гигиеническое обтирание</v>
      </c>
      <c r="D14" s="28">
        <v>45139</v>
      </c>
      <c r="E14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45139</v>
      </c>
      <c r="F14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45140</v>
      </c>
      <c r="G14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45141</v>
      </c>
      <c r="H14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45142</v>
      </c>
      <c r="I14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45143</v>
      </c>
      <c r="J14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45144</v>
      </c>
      <c r="K14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45145</v>
      </c>
      <c r="L14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45146</v>
      </c>
      <c r="M14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45147</v>
      </c>
      <c r="N14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45148</v>
      </c>
      <c r="O14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45149</v>
      </c>
      <c r="P14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45150</v>
      </c>
      <c r="Q14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45151</v>
      </c>
      <c r="R14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45152</v>
      </c>
      <c r="S14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45153</v>
      </c>
      <c r="T14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45154</v>
      </c>
      <c r="U14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45155</v>
      </c>
      <c r="V14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45156</v>
      </c>
      <c r="W14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45157</v>
      </c>
      <c r="X14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45158</v>
      </c>
      <c r="Y14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45159</v>
      </c>
      <c r="Z14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45160</v>
      </c>
      <c r="AA14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45161</v>
      </c>
      <c r="AB14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45162</v>
      </c>
      <c r="AC14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45163</v>
      </c>
      <c r="AD14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45164</v>
      </c>
      <c r="AE14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45165</v>
      </c>
      <c r="AF14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45166</v>
      </c>
      <c r="AG14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45167</v>
      </c>
      <c r="AH14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45168</v>
      </c>
      <c r="AI14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45169</v>
      </c>
    </row>
    <row r="15" spans="1:36" x14ac:dyDescent="0.25">
      <c r="A15" s="1" t="s">
        <v>14</v>
      </c>
      <c r="B15" s="1" t="str">
        <f>LEFT(Услуги[[#This Row],[Соц. Услуги]],40)</f>
        <v>14. Мытье головы, в том числе в кровати</v>
      </c>
      <c r="D15" s="28">
        <v>45170</v>
      </c>
      <c r="E15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45170</v>
      </c>
      <c r="F15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45171</v>
      </c>
      <c r="G15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45172</v>
      </c>
      <c r="H15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45173</v>
      </c>
      <c r="I15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45174</v>
      </c>
      <c r="J15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45175</v>
      </c>
      <c r="K15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45176</v>
      </c>
      <c r="L15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45177</v>
      </c>
      <c r="M15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45178</v>
      </c>
      <c r="N15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45179</v>
      </c>
      <c r="O15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45180</v>
      </c>
      <c r="P15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45181</v>
      </c>
      <c r="Q15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45182</v>
      </c>
      <c r="R15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45183</v>
      </c>
      <c r="S15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45184</v>
      </c>
      <c r="T15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45185</v>
      </c>
      <c r="U15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45186</v>
      </c>
      <c r="V15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45187</v>
      </c>
      <c r="W15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45188</v>
      </c>
      <c r="X15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45189</v>
      </c>
      <c r="Y15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45190</v>
      </c>
      <c r="Z15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45191</v>
      </c>
      <c r="AA15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45192</v>
      </c>
      <c r="AB15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45193</v>
      </c>
      <c r="AC15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45194</v>
      </c>
      <c r="AD15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45195</v>
      </c>
      <c r="AE15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45196</v>
      </c>
      <c r="AF15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45197</v>
      </c>
      <c r="AG15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45198</v>
      </c>
      <c r="AH15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45199</v>
      </c>
      <c r="AI15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6" spans="1:36" x14ac:dyDescent="0.25">
      <c r="A16" s="1" t="s">
        <v>15</v>
      </c>
      <c r="B16" s="1" t="str">
        <f>LEFT(Услуги[[#This Row],[Соц. Услуги]],40)</f>
        <v>15. Помощь при мытье головы</v>
      </c>
      <c r="D16" s="28">
        <v>45200</v>
      </c>
      <c r="E16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45200</v>
      </c>
      <c r="F16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45201</v>
      </c>
      <c r="G16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45202</v>
      </c>
      <c r="H16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45203</v>
      </c>
      <c r="I16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45204</v>
      </c>
      <c r="J16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45205</v>
      </c>
      <c r="K16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45206</v>
      </c>
      <c r="L16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45207</v>
      </c>
      <c r="M16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45208</v>
      </c>
      <c r="N16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45209</v>
      </c>
      <c r="O16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45210</v>
      </c>
      <c r="P16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45211</v>
      </c>
      <c r="Q16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45212</v>
      </c>
      <c r="R16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45213</v>
      </c>
      <c r="S16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45214</v>
      </c>
      <c r="T16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45215</v>
      </c>
      <c r="U16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45216</v>
      </c>
      <c r="V16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45217</v>
      </c>
      <c r="W16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45218</v>
      </c>
      <c r="X16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45219</v>
      </c>
      <c r="Y16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45220</v>
      </c>
      <c r="Z16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45221</v>
      </c>
      <c r="AA16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45222</v>
      </c>
      <c r="AB16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45223</v>
      </c>
      <c r="AC16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45224</v>
      </c>
      <c r="AD16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45225</v>
      </c>
      <c r="AE16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45226</v>
      </c>
      <c r="AF16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45227</v>
      </c>
      <c r="AG16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45228</v>
      </c>
      <c r="AH16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45229</v>
      </c>
      <c r="AI16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45230</v>
      </c>
    </row>
    <row r="17" spans="1:35" x14ac:dyDescent="0.25">
      <c r="A17" s="1" t="s">
        <v>16</v>
      </c>
      <c r="B17" s="1" t="str">
        <f>LEFT(Услуги[[#This Row],[Соц. Услуги]],40)</f>
        <v>16. Подмывание</v>
      </c>
      <c r="D17" s="28">
        <v>45231</v>
      </c>
      <c r="E17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45231</v>
      </c>
      <c r="F17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45232</v>
      </c>
      <c r="G17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45233</v>
      </c>
      <c r="H17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45234</v>
      </c>
      <c r="I17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45235</v>
      </c>
      <c r="J17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45236</v>
      </c>
      <c r="K17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45237</v>
      </c>
      <c r="L17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45238</v>
      </c>
      <c r="M17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45239</v>
      </c>
      <c r="N17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45240</v>
      </c>
      <c r="O17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45241</v>
      </c>
      <c r="P17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45242</v>
      </c>
      <c r="Q17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45243</v>
      </c>
      <c r="R17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45244</v>
      </c>
      <c r="S17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45245</v>
      </c>
      <c r="T17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45246</v>
      </c>
      <c r="U17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45247</v>
      </c>
      <c r="V17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45248</v>
      </c>
      <c r="W17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45249</v>
      </c>
      <c r="X17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45250</v>
      </c>
      <c r="Y17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45251</v>
      </c>
      <c r="Z17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45252</v>
      </c>
      <c r="AA17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45253</v>
      </c>
      <c r="AB17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45254</v>
      </c>
      <c r="AC17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45255</v>
      </c>
      <c r="AD17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45256</v>
      </c>
      <c r="AE17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45257</v>
      </c>
      <c r="AF17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45258</v>
      </c>
      <c r="AG17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45259</v>
      </c>
      <c r="AH17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45260</v>
      </c>
      <c r="AI17" s="24" t="str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/>
      </c>
    </row>
    <row r="18" spans="1:35" x14ac:dyDescent="0.25">
      <c r="A18" s="1" t="s">
        <v>17</v>
      </c>
      <c r="B18" s="1" t="str">
        <f>LEFT(Услуги[[#This Row],[Соц. Услуги]],40)</f>
        <v>17. Гигиеническая обработка рук и ногтей</v>
      </c>
      <c r="D18" s="28">
        <v>45261</v>
      </c>
      <c r="E18" s="24">
        <f>IF(MONTH(DATE(Год[Год],MONTH(КалендарьПолн[[#This Row],[Месяц]]),КалендарьПолн[[#Headers],[1]]))=MONTH(КалендарьПолн[[#This Row],[Месяц]]),DATE(Год[Год],MONTH(КалендарьПолн[[#This Row],[Месяц]]),КалендарьПолн[[#Headers],[1]]),"")</f>
        <v>45261</v>
      </c>
      <c r="F18" s="24">
        <f>IF(MONTH(DATE(Год[Год],MONTH(КалендарьПолн[[#This Row],[Месяц]]),КалендарьПолн[[#Headers],[2]]))=MONTH(КалендарьПолн[[#This Row],[Месяц]]),DATE(Год[Год],MONTH(КалендарьПолн[[#This Row],[Месяц]]),КалендарьПолн[[#Headers],[2]]),"")</f>
        <v>45262</v>
      </c>
      <c r="G18" s="24">
        <f>IF(MONTH(DATE(Год[Год],MONTH(КалендарьПолн[[#This Row],[Месяц]]),КалендарьПолн[[#Headers],[3]]))=MONTH(КалендарьПолн[[#This Row],[Месяц]]),DATE(Год[Год],MONTH(КалендарьПолн[[#This Row],[Месяц]]),КалендарьПолн[[#Headers],[3]]),"")</f>
        <v>45263</v>
      </c>
      <c r="H18" s="24">
        <f>IF(MONTH(DATE(Год[Год],MONTH(КалендарьПолн[[#This Row],[Месяц]]),КалендарьПолн[[#Headers],[4]]))=MONTH(КалендарьПолн[[#This Row],[Месяц]]),DATE(Год[Год],MONTH(КалендарьПолн[[#This Row],[Месяц]]),КалендарьПолн[[#Headers],[4]]),"")</f>
        <v>45264</v>
      </c>
      <c r="I18" s="24">
        <f>IF(MONTH(DATE(Год[Год],MONTH(КалендарьПолн[[#This Row],[Месяц]]),КалендарьПолн[[#Headers],[5]]))=MONTH(КалендарьПолн[[#This Row],[Месяц]]),DATE(Год[Год],MONTH(КалендарьПолн[[#This Row],[Месяц]]),КалендарьПолн[[#Headers],[5]]),"")</f>
        <v>45265</v>
      </c>
      <c r="J18" s="24">
        <f>IF(MONTH(DATE(Год[Год],MONTH(КалендарьПолн[[#This Row],[Месяц]]),КалендарьПолн[[#Headers],[6]]))=MONTH(КалендарьПолн[[#This Row],[Месяц]]),DATE(Год[Год],MONTH(КалендарьПолн[[#This Row],[Месяц]]),КалендарьПолн[[#Headers],[6]]),"")</f>
        <v>45266</v>
      </c>
      <c r="K18" s="24">
        <f>IF(MONTH(DATE(Год[Год],MONTH(КалендарьПолн[[#This Row],[Месяц]]),КалендарьПолн[[#Headers],[7]]))=MONTH(КалендарьПолн[[#This Row],[Месяц]]),DATE(Год[Год],MONTH(КалендарьПолн[[#This Row],[Месяц]]),КалендарьПолн[[#Headers],[7]]),"")</f>
        <v>45267</v>
      </c>
      <c r="L18" s="24">
        <f>IF(MONTH(DATE(Год[Год],MONTH(КалендарьПолн[[#This Row],[Месяц]]),КалендарьПолн[[#Headers],[8]]))=MONTH(КалендарьПолн[[#This Row],[Месяц]]),DATE(Год[Год],MONTH(КалендарьПолн[[#This Row],[Месяц]]),КалендарьПолн[[#Headers],[8]]),"")</f>
        <v>45268</v>
      </c>
      <c r="M18" s="24">
        <f>IF(MONTH(DATE(Год[Год],MONTH(КалендарьПолн[[#This Row],[Месяц]]),КалендарьПолн[[#Headers],[9]]))=MONTH(КалендарьПолн[[#This Row],[Месяц]]),DATE(Год[Год],MONTH(КалендарьПолн[[#This Row],[Месяц]]),КалендарьПолн[[#Headers],[9]]),"")</f>
        <v>45269</v>
      </c>
      <c r="N18" s="24">
        <f>IF(MONTH(DATE(Год[Год],MONTH(КалендарьПолн[[#This Row],[Месяц]]),КалендарьПолн[[#Headers],[10]]))=MONTH(КалендарьПолн[[#This Row],[Месяц]]),DATE(Год[Год],MONTH(КалендарьПолн[[#This Row],[Месяц]]),КалендарьПолн[[#Headers],[10]]),"")</f>
        <v>45270</v>
      </c>
      <c r="O18" s="24">
        <f>IF(MONTH(DATE(Год[Год],MONTH(КалендарьПолн[[#This Row],[Месяц]]),КалендарьПолн[[#Headers],[11]]))=MONTH(КалендарьПолн[[#This Row],[Месяц]]),DATE(Год[Год],MONTH(КалендарьПолн[[#This Row],[Месяц]]),КалендарьПолн[[#Headers],[11]]),"")</f>
        <v>45271</v>
      </c>
      <c r="P18" s="24">
        <f>IF(MONTH(DATE(Год[Год],MONTH(КалендарьПолн[[#This Row],[Месяц]]),КалендарьПолн[[#Headers],[12]]))=MONTH(КалендарьПолн[[#This Row],[Месяц]]),DATE(Год[Год],MONTH(КалендарьПолн[[#This Row],[Месяц]]),КалендарьПолн[[#Headers],[12]]),"")</f>
        <v>45272</v>
      </c>
      <c r="Q18" s="24">
        <f>IF(MONTH(DATE(Год[Год],MONTH(КалендарьПолн[[#This Row],[Месяц]]),КалендарьПолн[[#Headers],[13]]))=MONTH(КалендарьПолн[[#This Row],[Месяц]]),DATE(Год[Год],MONTH(КалендарьПолн[[#This Row],[Месяц]]),КалендарьПолн[[#Headers],[13]]),"")</f>
        <v>45273</v>
      </c>
      <c r="R18" s="24">
        <f>IF(MONTH(DATE(Год[Год],MONTH(КалендарьПолн[[#This Row],[Месяц]]),КалендарьПолн[[#Headers],[14]]))=MONTH(КалендарьПолн[[#This Row],[Месяц]]),DATE(Год[Год],MONTH(КалендарьПолн[[#This Row],[Месяц]]),КалендарьПолн[[#Headers],[14]]),"")</f>
        <v>45274</v>
      </c>
      <c r="S18" s="24">
        <f>IF(MONTH(DATE(Год[Год],MONTH(КалендарьПолн[[#This Row],[Месяц]]),КалендарьПолн[[#Headers],[15]]))=MONTH(КалендарьПолн[[#This Row],[Месяц]]),DATE(Год[Год],MONTH(КалендарьПолн[[#This Row],[Месяц]]),КалендарьПолн[[#Headers],[15]]),"")</f>
        <v>45275</v>
      </c>
      <c r="T18" s="24">
        <f>IF(MONTH(DATE(Год[Год],MONTH(КалендарьПолн[[#This Row],[Месяц]]),КалендарьПолн[[#Headers],[16]]))=MONTH(КалендарьПолн[[#This Row],[Месяц]]),DATE(Год[Год],MONTH(КалендарьПолн[[#This Row],[Месяц]]),КалендарьПолн[[#Headers],[16]]),"")</f>
        <v>45276</v>
      </c>
      <c r="U18" s="24">
        <f>IF(MONTH(DATE(Год[Год],MONTH(КалендарьПолн[[#This Row],[Месяц]]),КалендарьПолн[[#Headers],[17]]))=MONTH(КалендарьПолн[[#This Row],[Месяц]]),DATE(Год[Год],MONTH(КалендарьПолн[[#This Row],[Месяц]]),КалендарьПолн[[#Headers],[17]]),"")</f>
        <v>45277</v>
      </c>
      <c r="V18" s="24">
        <f>IF(MONTH(DATE(Год[Год],MONTH(КалендарьПолн[[#This Row],[Месяц]]),КалендарьПолн[[#Headers],[18]]))=MONTH(КалендарьПолн[[#This Row],[Месяц]]),DATE(Год[Год],MONTH(КалендарьПолн[[#This Row],[Месяц]]),КалендарьПолн[[#Headers],[18]]),"")</f>
        <v>45278</v>
      </c>
      <c r="W18" s="24">
        <f>IF(MONTH(DATE(Год[Год],MONTH(КалендарьПолн[[#This Row],[Месяц]]),КалендарьПолн[[#Headers],[19]]))=MONTH(КалендарьПолн[[#This Row],[Месяц]]),DATE(Год[Год],MONTH(КалендарьПолн[[#This Row],[Месяц]]),КалендарьПолн[[#Headers],[19]]),"")</f>
        <v>45279</v>
      </c>
      <c r="X18" s="24">
        <f>IF(MONTH(DATE(Год[Год],MONTH(КалендарьПолн[[#This Row],[Месяц]]),КалендарьПолн[[#Headers],[20]]))=MONTH(КалендарьПолн[[#This Row],[Месяц]]),DATE(Год[Год],MONTH(КалендарьПолн[[#This Row],[Месяц]]),КалендарьПолн[[#Headers],[20]]),"")</f>
        <v>45280</v>
      </c>
      <c r="Y18" s="24">
        <f>IF(MONTH(DATE(Год[Год],MONTH(КалендарьПолн[[#This Row],[Месяц]]),КалендарьПолн[[#Headers],[21]]))=MONTH(КалендарьПолн[[#This Row],[Месяц]]),DATE(Год[Год],MONTH(КалендарьПолн[[#This Row],[Месяц]]),КалендарьПолн[[#Headers],[21]]),"")</f>
        <v>45281</v>
      </c>
      <c r="Z18" s="24">
        <f>IF(MONTH(DATE(Год[Год],MONTH(КалендарьПолн[[#This Row],[Месяц]]),КалендарьПолн[[#Headers],[22]]))=MONTH(КалендарьПолн[[#This Row],[Месяц]]),DATE(Год[Год],MONTH(КалендарьПолн[[#This Row],[Месяц]]),КалендарьПолн[[#Headers],[22]]),"")</f>
        <v>45282</v>
      </c>
      <c r="AA18" s="24">
        <f>IF(MONTH(DATE(Год[Год],MONTH(КалендарьПолн[[#This Row],[Месяц]]),КалендарьПолн[[#Headers],[23]]))=MONTH(КалендарьПолн[[#This Row],[Месяц]]),DATE(Год[Год],MONTH(КалендарьПолн[[#This Row],[Месяц]]),КалендарьПолн[[#Headers],[23]]),"")</f>
        <v>45283</v>
      </c>
      <c r="AB18" s="24">
        <f>IF(MONTH(DATE(Год[Год],MONTH(КалендарьПолн[[#This Row],[Месяц]]),КалендарьПолн[[#Headers],[24]]))=MONTH(КалендарьПолн[[#This Row],[Месяц]]),DATE(Год[Год],MONTH(КалендарьПолн[[#This Row],[Месяц]]),КалендарьПолн[[#Headers],[24]]),"")</f>
        <v>45284</v>
      </c>
      <c r="AC18" s="24">
        <f>IF(MONTH(DATE(Год[Год],MONTH(КалендарьПолн[[#This Row],[Месяц]]),КалендарьПолн[[#Headers],[25]]))=MONTH(КалендарьПолн[[#This Row],[Месяц]]),DATE(Год[Год],MONTH(КалендарьПолн[[#This Row],[Месяц]]),КалендарьПолн[[#Headers],[25]]),"")</f>
        <v>45285</v>
      </c>
      <c r="AD18" s="24">
        <f>IF(MONTH(DATE(Год[Год],MONTH(КалендарьПолн[[#This Row],[Месяц]]),КалендарьПолн[[#Headers],[26]]))=MONTH(КалендарьПолн[[#This Row],[Месяц]]),DATE(Год[Год],MONTH(КалендарьПолн[[#This Row],[Месяц]]),КалендарьПолн[[#Headers],[26]]),"")</f>
        <v>45286</v>
      </c>
      <c r="AE18" s="24">
        <f>IF(MONTH(DATE(Год[Год],MONTH(КалендарьПолн[[#This Row],[Месяц]]),КалендарьПолн[[#Headers],[27]]))=MONTH(КалендарьПолн[[#This Row],[Месяц]]),DATE(Год[Год],MONTH(КалендарьПолн[[#This Row],[Месяц]]),КалендарьПолн[[#Headers],[27]]),"")</f>
        <v>45287</v>
      </c>
      <c r="AF18" s="24">
        <f>IF(MONTH(DATE(Год[Год],MONTH(КалендарьПолн[[#This Row],[Месяц]]),КалендарьПолн[[#Headers],[28]]))=MONTH(КалендарьПолн[[#This Row],[Месяц]]),DATE(Год[Год],MONTH(КалендарьПолн[[#This Row],[Месяц]]),КалендарьПолн[[#Headers],[28]]),"")</f>
        <v>45288</v>
      </c>
      <c r="AG18" s="24">
        <f>IF(MONTH(DATE(Год[Год],MONTH(КалендарьПолн[[#This Row],[Месяц]]),КалендарьПолн[[#Headers],[29]]))=MONTH(КалендарьПолн[[#This Row],[Месяц]]),DATE(Год[Год],MONTH(КалендарьПолн[[#This Row],[Месяц]]),КалендарьПолн[[#Headers],[29]]),"")</f>
        <v>45289</v>
      </c>
      <c r="AH18" s="24">
        <f>IF(MONTH(DATE(Год[Год],MONTH(КалендарьПолн[[#This Row],[Месяц]]),КалендарьПолн[[#Headers],[30]]))=MONTH(КалендарьПолн[[#This Row],[Месяц]]),DATE(Год[Год],MONTH(КалендарьПолн[[#This Row],[Месяц]]),КалендарьПолн[[#Headers],[30]]),"")</f>
        <v>45290</v>
      </c>
      <c r="AI18" s="24">
        <f>IF(MONTH(DATE(Год[Год],MONTH(КалендарьПолн[[#This Row],[Месяц]]),КалендарьПолн[[#Headers],[31]]))=MONTH(КалендарьПолн[[#This Row],[Месяц]]),DATE(Год[Год],MONTH(КалендарьПолн[[#This Row],[Месяц]]),КалендарьПолн[[#Headers],[31]]),"")</f>
        <v>45291</v>
      </c>
    </row>
    <row r="19" spans="1:35" x14ac:dyDescent="0.25">
      <c r="A19" s="1" t="s">
        <v>18</v>
      </c>
      <c r="B19" s="1" t="str">
        <f>LEFT(Услуги[[#This Row],[Соц. Услуги]],40)</f>
        <v>18. Помощь при гигиенической обработке р</v>
      </c>
    </row>
    <row r="20" spans="1:35" x14ac:dyDescent="0.25">
      <c r="A20" s="1" t="s">
        <v>19</v>
      </c>
      <c r="B20" s="1" t="str">
        <f>LEFT(Услуги[[#This Row],[Соц. Услуги]],40)</f>
        <v>19. Мытье ног</v>
      </c>
      <c r="D20" s="1" t="s">
        <v>117</v>
      </c>
      <c r="E20" s="1" t="s">
        <v>83</v>
      </c>
      <c r="F20" s="1" t="s">
        <v>84</v>
      </c>
      <c r="G20" s="1" t="s">
        <v>85</v>
      </c>
      <c r="H20" s="1" t="s">
        <v>86</v>
      </c>
      <c r="I20" s="1" t="s">
        <v>87</v>
      </c>
      <c r="J20" s="1" t="s">
        <v>88</v>
      </c>
      <c r="K20" s="1" t="s">
        <v>89</v>
      </c>
      <c r="L20" s="1" t="s">
        <v>90</v>
      </c>
      <c r="M20" s="1" t="s">
        <v>91</v>
      </c>
      <c r="N20" s="1" t="s">
        <v>92</v>
      </c>
      <c r="O20" s="1" t="s">
        <v>93</v>
      </c>
      <c r="P20" s="1" t="s">
        <v>94</v>
      </c>
      <c r="Q20" s="1" t="s">
        <v>95</v>
      </c>
      <c r="R20" s="1" t="s">
        <v>96</v>
      </c>
      <c r="S20" s="1" t="s">
        <v>97</v>
      </c>
      <c r="T20" s="1" t="s">
        <v>98</v>
      </c>
      <c r="U20" s="1" t="s">
        <v>99</v>
      </c>
      <c r="V20" s="1" t="s">
        <v>100</v>
      </c>
      <c r="W20" s="1" t="s">
        <v>101</v>
      </c>
      <c r="X20" s="1" t="s">
        <v>102</v>
      </c>
      <c r="Y20" s="1" t="s">
        <v>103</v>
      </c>
      <c r="Z20" s="1" t="s">
        <v>104</v>
      </c>
      <c r="AA20" s="1" t="s">
        <v>105</v>
      </c>
      <c r="AB20" s="1" t="s">
        <v>106</v>
      </c>
      <c r="AC20" s="1" t="s">
        <v>107</v>
      </c>
      <c r="AD20" s="1" t="s">
        <v>108</v>
      </c>
      <c r="AE20" s="1" t="s">
        <v>109</v>
      </c>
      <c r="AF20" s="1" t="s">
        <v>110</v>
      </c>
      <c r="AG20" s="1" t="s">
        <v>111</v>
      </c>
      <c r="AH20" s="1" t="s">
        <v>112</v>
      </c>
      <c r="AI20" s="1" t="s">
        <v>121</v>
      </c>
    </row>
    <row r="21" spans="1:35" x14ac:dyDescent="0.25">
      <c r="A21" s="1" t="s">
        <v>20</v>
      </c>
      <c r="B21" s="1" t="str">
        <f>LEFT(Услуги[[#This Row],[Соц. Услуги]],40)</f>
        <v>20. Помощь при мытье ног</v>
      </c>
      <c r="D21" s="1" t="s">
        <v>127</v>
      </c>
      <c r="E21" s="25">
        <f t="shared" ref="E21:T21" si="0">IF(E7="",0,ROUNDUP(DAY(E7)/7,0)+(WEEKDAY(E7-DAY(E7)+1,11)&gt;WEEKDAY(E7,11)))</f>
        <v>1</v>
      </c>
      <c r="F21" s="25">
        <f t="shared" si="0"/>
        <v>2</v>
      </c>
      <c r="G21" s="25">
        <f t="shared" si="0"/>
        <v>2</v>
      </c>
      <c r="H21" s="25">
        <f t="shared" si="0"/>
        <v>2</v>
      </c>
      <c r="I21" s="25">
        <f t="shared" si="0"/>
        <v>2</v>
      </c>
      <c r="J21" s="25">
        <f t="shared" si="0"/>
        <v>2</v>
      </c>
      <c r="K21" s="25">
        <f t="shared" si="0"/>
        <v>2</v>
      </c>
      <c r="L21" s="25">
        <f t="shared" si="0"/>
        <v>2</v>
      </c>
      <c r="M21" s="25">
        <f t="shared" si="0"/>
        <v>3</v>
      </c>
      <c r="N21" s="25">
        <f t="shared" si="0"/>
        <v>3</v>
      </c>
      <c r="O21" s="25">
        <f t="shared" si="0"/>
        <v>3</v>
      </c>
      <c r="P21" s="25">
        <f t="shared" si="0"/>
        <v>3</v>
      </c>
      <c r="Q21" s="25">
        <f t="shared" si="0"/>
        <v>3</v>
      </c>
      <c r="R21" s="25">
        <f t="shared" si="0"/>
        <v>3</v>
      </c>
      <c r="S21" s="25">
        <f t="shared" si="0"/>
        <v>3</v>
      </c>
      <c r="T21" s="25">
        <f t="shared" si="0"/>
        <v>4</v>
      </c>
      <c r="U21" s="25">
        <f t="shared" ref="F21:AI29" si="1">IF(U7="",0,ROUNDUP(DAY(U7)/7,0)+(WEEKDAY(U7-DAY(U7)+1,11)&gt;WEEKDAY(U7,11)))</f>
        <v>4</v>
      </c>
      <c r="V21" s="25">
        <f t="shared" si="1"/>
        <v>4</v>
      </c>
      <c r="W21" s="25">
        <f t="shared" si="1"/>
        <v>4</v>
      </c>
      <c r="X21" s="25">
        <f t="shared" si="1"/>
        <v>4</v>
      </c>
      <c r="Y21" s="25">
        <f t="shared" si="1"/>
        <v>4</v>
      </c>
      <c r="Z21" s="25">
        <f t="shared" si="1"/>
        <v>4</v>
      </c>
      <c r="AA21" s="25">
        <f t="shared" si="1"/>
        <v>5</v>
      </c>
      <c r="AB21" s="25">
        <f t="shared" si="1"/>
        <v>5</v>
      </c>
      <c r="AC21" s="25">
        <f t="shared" si="1"/>
        <v>5</v>
      </c>
      <c r="AD21" s="25">
        <f t="shared" si="1"/>
        <v>5</v>
      </c>
      <c r="AE21" s="25">
        <f t="shared" si="1"/>
        <v>5</v>
      </c>
      <c r="AF21" s="25">
        <f t="shared" si="1"/>
        <v>5</v>
      </c>
      <c r="AG21" s="25">
        <f t="shared" si="1"/>
        <v>5</v>
      </c>
      <c r="AH21" s="25">
        <f t="shared" si="1"/>
        <v>6</v>
      </c>
      <c r="AI21" s="25">
        <f t="shared" si="1"/>
        <v>6</v>
      </c>
    </row>
    <row r="22" spans="1:35" x14ac:dyDescent="0.25">
      <c r="A22" s="1" t="s">
        <v>21</v>
      </c>
      <c r="B22" s="1" t="str">
        <f>LEFT(Услуги[[#This Row],[Соц. Услуги]],40)</f>
        <v>21. Гигиеническая обработка ног и ногтей</v>
      </c>
      <c r="D22" s="1" t="s">
        <v>126</v>
      </c>
      <c r="E22" s="25">
        <f t="shared" ref="E22:E32" si="2">IF(E8="",0,ROUNDUP(DAY(E8)/7,0)+(WEEKDAY(E8-DAY(E8)+1,11)&gt;WEEKDAY(E8,11)))</f>
        <v>1</v>
      </c>
      <c r="F22" s="25">
        <f t="shared" si="1"/>
        <v>1</v>
      </c>
      <c r="G22" s="25">
        <f t="shared" si="1"/>
        <v>1</v>
      </c>
      <c r="H22" s="25">
        <f t="shared" si="1"/>
        <v>1</v>
      </c>
      <c r="I22" s="25">
        <f t="shared" si="1"/>
        <v>1</v>
      </c>
      <c r="J22" s="25">
        <f t="shared" si="1"/>
        <v>2</v>
      </c>
      <c r="K22" s="25">
        <f t="shared" si="1"/>
        <v>2</v>
      </c>
      <c r="L22" s="25">
        <f t="shared" si="1"/>
        <v>2</v>
      </c>
      <c r="M22" s="25">
        <f t="shared" si="1"/>
        <v>2</v>
      </c>
      <c r="N22" s="25">
        <f t="shared" si="1"/>
        <v>2</v>
      </c>
      <c r="O22" s="25">
        <f t="shared" si="1"/>
        <v>2</v>
      </c>
      <c r="P22" s="25">
        <f t="shared" si="1"/>
        <v>2</v>
      </c>
      <c r="Q22" s="25">
        <f t="shared" si="1"/>
        <v>3</v>
      </c>
      <c r="R22" s="25">
        <f t="shared" si="1"/>
        <v>3</v>
      </c>
      <c r="S22" s="25">
        <f t="shared" si="1"/>
        <v>3</v>
      </c>
      <c r="T22" s="25">
        <f t="shared" si="1"/>
        <v>3</v>
      </c>
      <c r="U22" s="25">
        <f t="shared" si="1"/>
        <v>3</v>
      </c>
      <c r="V22" s="25">
        <f t="shared" si="1"/>
        <v>3</v>
      </c>
      <c r="W22" s="25">
        <f t="shared" si="1"/>
        <v>3</v>
      </c>
      <c r="X22" s="25">
        <f t="shared" si="1"/>
        <v>4</v>
      </c>
      <c r="Y22" s="25">
        <f t="shared" si="1"/>
        <v>4</v>
      </c>
      <c r="Z22" s="25">
        <f t="shared" si="1"/>
        <v>4</v>
      </c>
      <c r="AA22" s="25">
        <f t="shared" si="1"/>
        <v>4</v>
      </c>
      <c r="AB22" s="25">
        <f t="shared" si="1"/>
        <v>4</v>
      </c>
      <c r="AC22" s="25">
        <f t="shared" si="1"/>
        <v>4</v>
      </c>
      <c r="AD22" s="25">
        <f t="shared" si="1"/>
        <v>4</v>
      </c>
      <c r="AE22" s="25">
        <f t="shared" si="1"/>
        <v>5</v>
      </c>
      <c r="AF22" s="25">
        <f t="shared" si="1"/>
        <v>5</v>
      </c>
      <c r="AG22" s="25">
        <f t="shared" si="1"/>
        <v>0</v>
      </c>
      <c r="AH22" s="25">
        <f t="shared" si="1"/>
        <v>0</v>
      </c>
      <c r="AI22" s="25">
        <f t="shared" si="1"/>
        <v>0</v>
      </c>
    </row>
    <row r="23" spans="1:35" x14ac:dyDescent="0.25">
      <c r="A23" s="1" t="s">
        <v>22</v>
      </c>
      <c r="B23" s="1" t="str">
        <f>LEFT(Услуги[[#This Row],[Соц. Услуги]],40)</f>
        <v>22. Помощь при гигиенической обработка н</v>
      </c>
      <c r="D23" s="1" t="s">
        <v>125</v>
      </c>
      <c r="E23" s="25">
        <f t="shared" si="2"/>
        <v>1</v>
      </c>
      <c r="F23" s="25">
        <f t="shared" si="1"/>
        <v>1</v>
      </c>
      <c r="G23" s="25">
        <f t="shared" si="1"/>
        <v>1</v>
      </c>
      <c r="H23" s="25">
        <f t="shared" si="1"/>
        <v>1</v>
      </c>
      <c r="I23" s="25">
        <f t="shared" si="1"/>
        <v>1</v>
      </c>
      <c r="J23" s="25">
        <f t="shared" si="1"/>
        <v>2</v>
      </c>
      <c r="K23" s="25">
        <f t="shared" si="1"/>
        <v>2</v>
      </c>
      <c r="L23" s="25">
        <f t="shared" si="1"/>
        <v>2</v>
      </c>
      <c r="M23" s="25">
        <f t="shared" si="1"/>
        <v>2</v>
      </c>
      <c r="N23" s="25">
        <f t="shared" si="1"/>
        <v>2</v>
      </c>
      <c r="O23" s="25">
        <f t="shared" si="1"/>
        <v>2</v>
      </c>
      <c r="P23" s="25">
        <f t="shared" si="1"/>
        <v>2</v>
      </c>
      <c r="Q23" s="25">
        <f t="shared" si="1"/>
        <v>3</v>
      </c>
      <c r="R23" s="25">
        <f t="shared" si="1"/>
        <v>3</v>
      </c>
      <c r="S23" s="25">
        <f t="shared" si="1"/>
        <v>3</v>
      </c>
      <c r="T23" s="25">
        <f t="shared" si="1"/>
        <v>3</v>
      </c>
      <c r="U23" s="25">
        <f t="shared" si="1"/>
        <v>3</v>
      </c>
      <c r="V23" s="25">
        <f t="shared" si="1"/>
        <v>3</v>
      </c>
      <c r="W23" s="25">
        <f t="shared" si="1"/>
        <v>3</v>
      </c>
      <c r="X23" s="25">
        <f t="shared" si="1"/>
        <v>4</v>
      </c>
      <c r="Y23" s="25">
        <f t="shared" si="1"/>
        <v>4</v>
      </c>
      <c r="Z23" s="25">
        <f t="shared" si="1"/>
        <v>4</v>
      </c>
      <c r="AA23" s="25">
        <f t="shared" si="1"/>
        <v>4</v>
      </c>
      <c r="AB23" s="25">
        <f t="shared" si="1"/>
        <v>4</v>
      </c>
      <c r="AC23" s="25">
        <f t="shared" si="1"/>
        <v>4</v>
      </c>
      <c r="AD23" s="25">
        <f t="shared" si="1"/>
        <v>4</v>
      </c>
      <c r="AE23" s="25">
        <f t="shared" si="1"/>
        <v>5</v>
      </c>
      <c r="AF23" s="25">
        <f t="shared" si="1"/>
        <v>5</v>
      </c>
      <c r="AG23" s="25">
        <f t="shared" si="1"/>
        <v>5</v>
      </c>
      <c r="AH23" s="25">
        <f t="shared" si="1"/>
        <v>5</v>
      </c>
      <c r="AI23" s="25">
        <f t="shared" si="1"/>
        <v>5</v>
      </c>
    </row>
    <row r="24" spans="1:35" x14ac:dyDescent="0.25">
      <c r="A24" s="1" t="s">
        <v>23</v>
      </c>
      <c r="B24" s="1" t="str">
        <f>LEFT(Услуги[[#This Row],[Соц. Услуги]],40)</f>
        <v>23. Гигиенииеское бритье</v>
      </c>
      <c r="D24" s="1" t="s">
        <v>124</v>
      </c>
      <c r="E24" s="25">
        <f t="shared" si="2"/>
        <v>1</v>
      </c>
      <c r="F24" s="25">
        <f t="shared" si="1"/>
        <v>1</v>
      </c>
      <c r="G24" s="25">
        <f t="shared" si="1"/>
        <v>2</v>
      </c>
      <c r="H24" s="25">
        <f t="shared" si="1"/>
        <v>2</v>
      </c>
      <c r="I24" s="25">
        <f t="shared" si="1"/>
        <v>2</v>
      </c>
      <c r="J24" s="25">
        <f t="shared" si="1"/>
        <v>2</v>
      </c>
      <c r="K24" s="25">
        <f t="shared" si="1"/>
        <v>2</v>
      </c>
      <c r="L24" s="25">
        <f t="shared" si="1"/>
        <v>2</v>
      </c>
      <c r="M24" s="25">
        <f t="shared" si="1"/>
        <v>2</v>
      </c>
      <c r="N24" s="25">
        <f t="shared" si="1"/>
        <v>3</v>
      </c>
      <c r="O24" s="25">
        <f t="shared" si="1"/>
        <v>3</v>
      </c>
      <c r="P24" s="25">
        <f t="shared" si="1"/>
        <v>3</v>
      </c>
      <c r="Q24" s="25">
        <f t="shared" si="1"/>
        <v>3</v>
      </c>
      <c r="R24" s="25">
        <f t="shared" si="1"/>
        <v>3</v>
      </c>
      <c r="S24" s="25">
        <f t="shared" si="1"/>
        <v>3</v>
      </c>
      <c r="T24" s="25">
        <f t="shared" si="1"/>
        <v>3</v>
      </c>
      <c r="U24" s="25">
        <f t="shared" si="1"/>
        <v>4</v>
      </c>
      <c r="V24" s="25">
        <f t="shared" si="1"/>
        <v>4</v>
      </c>
      <c r="W24" s="25">
        <f t="shared" si="1"/>
        <v>4</v>
      </c>
      <c r="X24" s="25">
        <f t="shared" si="1"/>
        <v>4</v>
      </c>
      <c r="Y24" s="25">
        <f t="shared" si="1"/>
        <v>4</v>
      </c>
      <c r="Z24" s="25">
        <f t="shared" si="1"/>
        <v>4</v>
      </c>
      <c r="AA24" s="25">
        <f t="shared" si="1"/>
        <v>4</v>
      </c>
      <c r="AB24" s="25">
        <f t="shared" si="1"/>
        <v>5</v>
      </c>
      <c r="AC24" s="25">
        <f t="shared" si="1"/>
        <v>5</v>
      </c>
      <c r="AD24" s="25">
        <f t="shared" si="1"/>
        <v>5</v>
      </c>
      <c r="AE24" s="25">
        <f t="shared" si="1"/>
        <v>5</v>
      </c>
      <c r="AF24" s="25">
        <f t="shared" si="1"/>
        <v>5</v>
      </c>
      <c r="AG24" s="25">
        <f t="shared" si="1"/>
        <v>5</v>
      </c>
      <c r="AH24" s="25">
        <f t="shared" si="1"/>
        <v>5</v>
      </c>
      <c r="AI24" s="25">
        <f t="shared" si="1"/>
        <v>0</v>
      </c>
    </row>
    <row r="25" spans="1:35" x14ac:dyDescent="0.25">
      <c r="A25" s="1" t="s">
        <v>24</v>
      </c>
      <c r="B25" s="1" t="str">
        <f>LEFT(Услуги[[#This Row],[Соц. Услуги]],40)</f>
        <v>24. Гигиеническая стрижка</v>
      </c>
      <c r="D25" s="1" t="s">
        <v>123</v>
      </c>
      <c r="E25" s="25">
        <f t="shared" si="2"/>
        <v>1</v>
      </c>
      <c r="F25" s="25">
        <f t="shared" si="1"/>
        <v>1</v>
      </c>
      <c r="G25" s="25">
        <f t="shared" si="1"/>
        <v>1</v>
      </c>
      <c r="H25" s="25">
        <f t="shared" si="1"/>
        <v>1</v>
      </c>
      <c r="I25" s="25">
        <f t="shared" si="1"/>
        <v>1</v>
      </c>
      <c r="J25" s="25">
        <f t="shared" si="1"/>
        <v>1</v>
      </c>
      <c r="K25" s="25">
        <f t="shared" si="1"/>
        <v>1</v>
      </c>
      <c r="L25" s="25">
        <f t="shared" si="1"/>
        <v>2</v>
      </c>
      <c r="M25" s="25">
        <f t="shared" si="1"/>
        <v>2</v>
      </c>
      <c r="N25" s="25">
        <f t="shared" si="1"/>
        <v>2</v>
      </c>
      <c r="O25" s="25">
        <f t="shared" si="1"/>
        <v>2</v>
      </c>
      <c r="P25" s="25">
        <f t="shared" si="1"/>
        <v>2</v>
      </c>
      <c r="Q25" s="25">
        <f t="shared" si="1"/>
        <v>2</v>
      </c>
      <c r="R25" s="25">
        <f t="shared" si="1"/>
        <v>2</v>
      </c>
      <c r="S25" s="25">
        <f t="shared" si="1"/>
        <v>3</v>
      </c>
      <c r="T25" s="25">
        <f t="shared" si="1"/>
        <v>3</v>
      </c>
      <c r="U25" s="25">
        <f t="shared" si="1"/>
        <v>3</v>
      </c>
      <c r="V25" s="25">
        <f t="shared" si="1"/>
        <v>3</v>
      </c>
      <c r="W25" s="25">
        <f t="shared" si="1"/>
        <v>3</v>
      </c>
      <c r="X25" s="25">
        <f t="shared" si="1"/>
        <v>3</v>
      </c>
      <c r="Y25" s="25">
        <f t="shared" si="1"/>
        <v>3</v>
      </c>
      <c r="Z25" s="25">
        <f t="shared" si="1"/>
        <v>4</v>
      </c>
      <c r="AA25" s="25">
        <f t="shared" si="1"/>
        <v>4</v>
      </c>
      <c r="AB25" s="25">
        <f t="shared" si="1"/>
        <v>4</v>
      </c>
      <c r="AC25" s="25">
        <f t="shared" si="1"/>
        <v>4</v>
      </c>
      <c r="AD25" s="25">
        <f t="shared" si="1"/>
        <v>4</v>
      </c>
      <c r="AE25" s="25">
        <f t="shared" si="1"/>
        <v>4</v>
      </c>
      <c r="AF25" s="25">
        <f t="shared" si="1"/>
        <v>4</v>
      </c>
      <c r="AG25" s="25">
        <f t="shared" si="1"/>
        <v>5</v>
      </c>
      <c r="AH25" s="25">
        <f t="shared" si="1"/>
        <v>5</v>
      </c>
      <c r="AI25" s="25">
        <f t="shared" si="1"/>
        <v>5</v>
      </c>
    </row>
    <row r="26" spans="1:35" x14ac:dyDescent="0.25">
      <c r="A26" s="1" t="s">
        <v>25</v>
      </c>
      <c r="B26" s="1" t="str">
        <f>LEFT(Услуги[[#This Row],[Соц. Услуги]],40)</f>
        <v>25. Смена одежды (обуви)</v>
      </c>
      <c r="D26" s="1" t="s">
        <v>122</v>
      </c>
      <c r="E26" s="25">
        <f t="shared" si="2"/>
        <v>1</v>
      </c>
      <c r="F26" s="25">
        <f t="shared" si="1"/>
        <v>1</v>
      </c>
      <c r="G26" s="25">
        <f t="shared" si="1"/>
        <v>1</v>
      </c>
      <c r="H26" s="25">
        <f t="shared" si="1"/>
        <v>1</v>
      </c>
      <c r="I26" s="25">
        <f t="shared" si="1"/>
        <v>2</v>
      </c>
      <c r="J26" s="25">
        <f t="shared" si="1"/>
        <v>2</v>
      </c>
      <c r="K26" s="25">
        <f t="shared" si="1"/>
        <v>2</v>
      </c>
      <c r="L26" s="25">
        <f t="shared" si="1"/>
        <v>2</v>
      </c>
      <c r="M26" s="25">
        <f t="shared" si="1"/>
        <v>2</v>
      </c>
      <c r="N26" s="25">
        <f t="shared" si="1"/>
        <v>2</v>
      </c>
      <c r="O26" s="25">
        <f t="shared" si="1"/>
        <v>2</v>
      </c>
      <c r="P26" s="25">
        <f t="shared" si="1"/>
        <v>3</v>
      </c>
      <c r="Q26" s="25">
        <f t="shared" si="1"/>
        <v>3</v>
      </c>
      <c r="R26" s="25">
        <f t="shared" si="1"/>
        <v>3</v>
      </c>
      <c r="S26" s="25">
        <f t="shared" si="1"/>
        <v>3</v>
      </c>
      <c r="T26" s="25">
        <f t="shared" si="1"/>
        <v>3</v>
      </c>
      <c r="U26" s="25">
        <f t="shared" si="1"/>
        <v>3</v>
      </c>
      <c r="V26" s="25">
        <f t="shared" si="1"/>
        <v>3</v>
      </c>
      <c r="W26" s="25">
        <f t="shared" si="1"/>
        <v>4</v>
      </c>
      <c r="X26" s="25">
        <f t="shared" si="1"/>
        <v>4</v>
      </c>
      <c r="Y26" s="25">
        <f t="shared" si="1"/>
        <v>4</v>
      </c>
      <c r="Z26" s="25">
        <f t="shared" si="1"/>
        <v>4</v>
      </c>
      <c r="AA26" s="25">
        <f t="shared" si="1"/>
        <v>4</v>
      </c>
      <c r="AB26" s="25">
        <f t="shared" si="1"/>
        <v>4</v>
      </c>
      <c r="AC26" s="25">
        <f t="shared" si="1"/>
        <v>4</v>
      </c>
      <c r="AD26" s="25">
        <f t="shared" si="1"/>
        <v>5</v>
      </c>
      <c r="AE26" s="25">
        <f t="shared" si="1"/>
        <v>5</v>
      </c>
      <c r="AF26" s="25">
        <f t="shared" si="1"/>
        <v>5</v>
      </c>
      <c r="AG26" s="25">
        <f t="shared" si="1"/>
        <v>5</v>
      </c>
      <c r="AH26" s="25">
        <f t="shared" si="1"/>
        <v>5</v>
      </c>
      <c r="AI26" s="25">
        <f t="shared" si="1"/>
        <v>0</v>
      </c>
    </row>
    <row r="27" spans="1:35" x14ac:dyDescent="0.25">
      <c r="A27" s="1" t="s">
        <v>26</v>
      </c>
      <c r="B27" s="1" t="str">
        <f>LEFT(Услуги[[#This Row],[Соц. Услуги]],40)</f>
        <v>26. Помощь при смене одежды (обуви)</v>
      </c>
      <c r="D27" s="1" t="s">
        <v>120</v>
      </c>
      <c r="E27" s="25">
        <f t="shared" si="2"/>
        <v>1</v>
      </c>
      <c r="F27" s="25">
        <f t="shared" si="1"/>
        <v>1</v>
      </c>
      <c r="G27" s="25">
        <f t="shared" si="1"/>
        <v>2</v>
      </c>
      <c r="H27" s="25">
        <f t="shared" si="1"/>
        <v>2</v>
      </c>
      <c r="I27" s="25">
        <f t="shared" si="1"/>
        <v>2</v>
      </c>
      <c r="J27" s="25">
        <f t="shared" si="1"/>
        <v>2</v>
      </c>
      <c r="K27" s="25">
        <f t="shared" si="1"/>
        <v>2</v>
      </c>
      <c r="L27" s="25">
        <f t="shared" si="1"/>
        <v>2</v>
      </c>
      <c r="M27" s="25">
        <f t="shared" si="1"/>
        <v>2</v>
      </c>
      <c r="N27" s="25">
        <f t="shared" si="1"/>
        <v>3</v>
      </c>
      <c r="O27" s="25">
        <f t="shared" si="1"/>
        <v>3</v>
      </c>
      <c r="P27" s="25">
        <f t="shared" si="1"/>
        <v>3</v>
      </c>
      <c r="Q27" s="25">
        <f t="shared" si="1"/>
        <v>3</v>
      </c>
      <c r="R27" s="25">
        <f t="shared" si="1"/>
        <v>3</v>
      </c>
      <c r="S27" s="25">
        <f t="shared" si="1"/>
        <v>3</v>
      </c>
      <c r="T27" s="25">
        <f t="shared" si="1"/>
        <v>3</v>
      </c>
      <c r="U27" s="25">
        <f t="shared" si="1"/>
        <v>4</v>
      </c>
      <c r="V27" s="25">
        <f t="shared" si="1"/>
        <v>4</v>
      </c>
      <c r="W27" s="25">
        <f t="shared" si="1"/>
        <v>4</v>
      </c>
      <c r="X27" s="25">
        <f t="shared" si="1"/>
        <v>4</v>
      </c>
      <c r="Y27" s="25">
        <f t="shared" si="1"/>
        <v>4</v>
      </c>
      <c r="Z27" s="25">
        <f t="shared" si="1"/>
        <v>4</v>
      </c>
      <c r="AA27" s="25">
        <f t="shared" si="1"/>
        <v>4</v>
      </c>
      <c r="AB27" s="25">
        <f t="shared" si="1"/>
        <v>5</v>
      </c>
      <c r="AC27" s="25">
        <f t="shared" si="1"/>
        <v>5</v>
      </c>
      <c r="AD27" s="25">
        <f t="shared" si="1"/>
        <v>5</v>
      </c>
      <c r="AE27" s="25">
        <f t="shared" si="1"/>
        <v>5</v>
      </c>
      <c r="AF27" s="25">
        <f t="shared" si="1"/>
        <v>5</v>
      </c>
      <c r="AG27" s="25">
        <f t="shared" si="1"/>
        <v>5</v>
      </c>
      <c r="AH27" s="25">
        <f t="shared" si="1"/>
        <v>5</v>
      </c>
      <c r="AI27" s="25">
        <f t="shared" si="1"/>
        <v>6</v>
      </c>
    </row>
    <row r="28" spans="1:35" x14ac:dyDescent="0.25">
      <c r="A28" s="1" t="s">
        <v>27</v>
      </c>
      <c r="B28" s="1" t="str">
        <f>LEFT(Услуги[[#This Row],[Соц. Услуги]],40)</f>
        <v>27. Смена нательного белья</v>
      </c>
      <c r="D28" s="1" t="s">
        <v>119</v>
      </c>
      <c r="E28" s="25">
        <f t="shared" si="2"/>
        <v>1</v>
      </c>
      <c r="F28" s="25">
        <f t="shared" si="1"/>
        <v>1</v>
      </c>
      <c r="G28" s="25">
        <f t="shared" si="1"/>
        <v>1</v>
      </c>
      <c r="H28" s="25">
        <f t="shared" si="1"/>
        <v>1</v>
      </c>
      <c r="I28" s="25">
        <f t="shared" si="1"/>
        <v>1</v>
      </c>
      <c r="J28" s="25">
        <f t="shared" si="1"/>
        <v>1</v>
      </c>
      <c r="K28" s="25">
        <f t="shared" si="1"/>
        <v>2</v>
      </c>
      <c r="L28" s="25">
        <f t="shared" si="1"/>
        <v>2</v>
      </c>
      <c r="M28" s="25">
        <f t="shared" si="1"/>
        <v>2</v>
      </c>
      <c r="N28" s="25">
        <f t="shared" si="1"/>
        <v>2</v>
      </c>
      <c r="O28" s="25">
        <f t="shared" si="1"/>
        <v>2</v>
      </c>
      <c r="P28" s="25">
        <f t="shared" si="1"/>
        <v>2</v>
      </c>
      <c r="Q28" s="25">
        <f t="shared" si="1"/>
        <v>2</v>
      </c>
      <c r="R28" s="25">
        <f t="shared" si="1"/>
        <v>3</v>
      </c>
      <c r="S28" s="25">
        <f t="shared" si="1"/>
        <v>3</v>
      </c>
      <c r="T28" s="25">
        <f t="shared" si="1"/>
        <v>3</v>
      </c>
      <c r="U28" s="25">
        <f t="shared" si="1"/>
        <v>3</v>
      </c>
      <c r="V28" s="25">
        <f t="shared" si="1"/>
        <v>3</v>
      </c>
      <c r="W28" s="25">
        <f t="shared" si="1"/>
        <v>3</v>
      </c>
      <c r="X28" s="25">
        <f t="shared" si="1"/>
        <v>3</v>
      </c>
      <c r="Y28" s="25">
        <f t="shared" si="1"/>
        <v>4</v>
      </c>
      <c r="Z28" s="25">
        <f t="shared" si="1"/>
        <v>4</v>
      </c>
      <c r="AA28" s="25">
        <f t="shared" si="1"/>
        <v>4</v>
      </c>
      <c r="AB28" s="25">
        <f t="shared" si="1"/>
        <v>4</v>
      </c>
      <c r="AC28" s="25">
        <f t="shared" si="1"/>
        <v>4</v>
      </c>
      <c r="AD28" s="25">
        <f t="shared" si="1"/>
        <v>4</v>
      </c>
      <c r="AE28" s="25">
        <f t="shared" si="1"/>
        <v>4</v>
      </c>
      <c r="AF28" s="25">
        <f t="shared" si="1"/>
        <v>5</v>
      </c>
      <c r="AG28" s="25">
        <f t="shared" si="1"/>
        <v>5</v>
      </c>
      <c r="AH28" s="25">
        <f t="shared" si="1"/>
        <v>5</v>
      </c>
      <c r="AI28" s="25">
        <f t="shared" si="1"/>
        <v>5</v>
      </c>
    </row>
    <row r="29" spans="1:35" x14ac:dyDescent="0.25">
      <c r="A29" s="1" t="s">
        <v>28</v>
      </c>
      <c r="B29" s="1" t="str">
        <f>LEFT(Услуги[[#This Row],[Соц. Услуги]],40)</f>
        <v>28. Помощь при смене нательного белья</v>
      </c>
      <c r="D29" s="1" t="s">
        <v>116</v>
      </c>
      <c r="E29" s="25">
        <f t="shared" si="2"/>
        <v>1</v>
      </c>
      <c r="F29" s="25">
        <f t="shared" si="1"/>
        <v>1</v>
      </c>
      <c r="G29" s="25">
        <f t="shared" si="1"/>
        <v>1</v>
      </c>
      <c r="H29" s="25">
        <f t="shared" si="1"/>
        <v>2</v>
      </c>
      <c r="I29" s="25">
        <f t="shared" si="1"/>
        <v>2</v>
      </c>
      <c r="J29" s="25">
        <f t="shared" si="1"/>
        <v>2</v>
      </c>
      <c r="K29" s="25">
        <f t="shared" si="1"/>
        <v>2</v>
      </c>
      <c r="L29" s="25">
        <f t="shared" si="1"/>
        <v>2</v>
      </c>
      <c r="M29" s="25">
        <f t="shared" si="1"/>
        <v>2</v>
      </c>
      <c r="N29" s="25">
        <f t="shared" si="1"/>
        <v>2</v>
      </c>
      <c r="O29" s="25">
        <f t="shared" si="1"/>
        <v>3</v>
      </c>
      <c r="P29" s="25">
        <f t="shared" si="1"/>
        <v>3</v>
      </c>
      <c r="Q29" s="25">
        <f t="shared" si="1"/>
        <v>3</v>
      </c>
      <c r="R29" s="25">
        <f t="shared" si="1"/>
        <v>3</v>
      </c>
      <c r="S29" s="25">
        <f t="shared" si="1"/>
        <v>3</v>
      </c>
      <c r="T29" s="25">
        <f t="shared" si="1"/>
        <v>3</v>
      </c>
      <c r="U29" s="25">
        <f t="shared" si="1"/>
        <v>3</v>
      </c>
      <c r="V29" s="25">
        <f t="shared" si="1"/>
        <v>4</v>
      </c>
      <c r="W29" s="25">
        <f t="shared" si="1"/>
        <v>4</v>
      </c>
      <c r="X29" s="25">
        <f t="shared" si="1"/>
        <v>4</v>
      </c>
      <c r="Y29" s="25">
        <f t="shared" si="1"/>
        <v>4</v>
      </c>
      <c r="Z29" s="25">
        <f t="shared" si="1"/>
        <v>4</v>
      </c>
      <c r="AA29" s="25">
        <f t="shared" si="1"/>
        <v>4</v>
      </c>
      <c r="AB29" s="25">
        <f t="shared" si="1"/>
        <v>4</v>
      </c>
      <c r="AC29" s="25">
        <f t="shared" si="1"/>
        <v>5</v>
      </c>
      <c r="AD29" s="25">
        <f t="shared" si="1"/>
        <v>5</v>
      </c>
      <c r="AE29" s="25">
        <f t="shared" si="1"/>
        <v>5</v>
      </c>
      <c r="AF29" s="25">
        <f t="shared" si="1"/>
        <v>5</v>
      </c>
      <c r="AG29" s="25">
        <f t="shared" si="1"/>
        <v>5</v>
      </c>
      <c r="AH29" s="25">
        <f t="shared" si="1"/>
        <v>5</v>
      </c>
      <c r="AI29" s="25">
        <f t="shared" si="1"/>
        <v>0</v>
      </c>
    </row>
    <row r="30" spans="1:35" x14ac:dyDescent="0.25">
      <c r="A30" s="1" t="s">
        <v>29</v>
      </c>
      <c r="B30" s="1" t="str">
        <f>LEFT(Услуги[[#This Row],[Соц. Услуги]],40)</f>
        <v>29. Смена постельного белья</v>
      </c>
      <c r="D30" s="1" t="s">
        <v>118</v>
      </c>
      <c r="E30" s="25">
        <f t="shared" si="2"/>
        <v>1</v>
      </c>
      <c r="F30" s="25">
        <f t="shared" ref="F30:AI32" si="3">IF(F16="",0,ROUNDUP(DAY(F16)/7,0)+(WEEKDAY(F16-DAY(F16)+1,11)&gt;WEEKDAY(F16,11)))</f>
        <v>2</v>
      </c>
      <c r="G30" s="25">
        <f t="shared" si="3"/>
        <v>2</v>
      </c>
      <c r="H30" s="25">
        <f t="shared" si="3"/>
        <v>2</v>
      </c>
      <c r="I30" s="25">
        <f t="shared" si="3"/>
        <v>2</v>
      </c>
      <c r="J30" s="25">
        <f t="shared" si="3"/>
        <v>2</v>
      </c>
      <c r="K30" s="25">
        <f t="shared" si="3"/>
        <v>2</v>
      </c>
      <c r="L30" s="25">
        <f t="shared" si="3"/>
        <v>2</v>
      </c>
      <c r="M30" s="25">
        <f t="shared" si="3"/>
        <v>3</v>
      </c>
      <c r="N30" s="25">
        <f t="shared" si="3"/>
        <v>3</v>
      </c>
      <c r="O30" s="25">
        <f t="shared" si="3"/>
        <v>3</v>
      </c>
      <c r="P30" s="25">
        <f t="shared" si="3"/>
        <v>3</v>
      </c>
      <c r="Q30" s="25">
        <f t="shared" si="3"/>
        <v>3</v>
      </c>
      <c r="R30" s="25">
        <f t="shared" si="3"/>
        <v>3</v>
      </c>
      <c r="S30" s="25">
        <f t="shared" si="3"/>
        <v>3</v>
      </c>
      <c r="T30" s="25">
        <f t="shared" si="3"/>
        <v>4</v>
      </c>
      <c r="U30" s="25">
        <f t="shared" si="3"/>
        <v>4</v>
      </c>
      <c r="V30" s="25">
        <f t="shared" si="3"/>
        <v>4</v>
      </c>
      <c r="W30" s="25">
        <f t="shared" si="3"/>
        <v>4</v>
      </c>
      <c r="X30" s="25">
        <f t="shared" si="3"/>
        <v>4</v>
      </c>
      <c r="Y30" s="25">
        <f t="shared" si="3"/>
        <v>4</v>
      </c>
      <c r="Z30" s="25">
        <f t="shared" si="3"/>
        <v>4</v>
      </c>
      <c r="AA30" s="25">
        <f t="shared" si="3"/>
        <v>5</v>
      </c>
      <c r="AB30" s="25">
        <f t="shared" si="3"/>
        <v>5</v>
      </c>
      <c r="AC30" s="25">
        <f t="shared" si="3"/>
        <v>5</v>
      </c>
      <c r="AD30" s="25">
        <f t="shared" si="3"/>
        <v>5</v>
      </c>
      <c r="AE30" s="25">
        <f t="shared" si="3"/>
        <v>5</v>
      </c>
      <c r="AF30" s="25">
        <f t="shared" si="3"/>
        <v>5</v>
      </c>
      <c r="AG30" s="25">
        <f t="shared" si="3"/>
        <v>5</v>
      </c>
      <c r="AH30" s="25">
        <f t="shared" si="3"/>
        <v>6</v>
      </c>
      <c r="AI30" s="25">
        <f t="shared" si="3"/>
        <v>6</v>
      </c>
    </row>
    <row r="31" spans="1:35" x14ac:dyDescent="0.25">
      <c r="A31" s="1" t="s">
        <v>30</v>
      </c>
      <c r="B31" s="1" t="str">
        <f>LEFT(Услуги[[#This Row],[Соц. Услуги]],40)</f>
        <v>30. Помощь при смене постельного белья</v>
      </c>
      <c r="D31" s="1" t="s">
        <v>128</v>
      </c>
      <c r="E31" s="25">
        <f t="shared" si="2"/>
        <v>1</v>
      </c>
      <c r="F31" s="25">
        <f t="shared" si="3"/>
        <v>1</v>
      </c>
      <c r="G31" s="25">
        <f t="shared" si="3"/>
        <v>1</v>
      </c>
      <c r="H31" s="25">
        <f t="shared" si="3"/>
        <v>1</v>
      </c>
      <c r="I31" s="25">
        <f t="shared" si="3"/>
        <v>1</v>
      </c>
      <c r="J31" s="25">
        <f t="shared" si="3"/>
        <v>2</v>
      </c>
      <c r="K31" s="25">
        <f t="shared" si="3"/>
        <v>2</v>
      </c>
      <c r="L31" s="25">
        <f t="shared" si="3"/>
        <v>2</v>
      </c>
      <c r="M31" s="25">
        <f t="shared" si="3"/>
        <v>2</v>
      </c>
      <c r="N31" s="25">
        <f t="shared" si="3"/>
        <v>2</v>
      </c>
      <c r="O31" s="25">
        <f t="shared" si="3"/>
        <v>2</v>
      </c>
      <c r="P31" s="25">
        <f t="shared" si="3"/>
        <v>2</v>
      </c>
      <c r="Q31" s="25">
        <f t="shared" si="3"/>
        <v>3</v>
      </c>
      <c r="R31" s="25">
        <f t="shared" si="3"/>
        <v>3</v>
      </c>
      <c r="S31" s="25">
        <f t="shared" si="3"/>
        <v>3</v>
      </c>
      <c r="T31" s="25">
        <f t="shared" si="3"/>
        <v>3</v>
      </c>
      <c r="U31" s="25">
        <f t="shared" si="3"/>
        <v>3</v>
      </c>
      <c r="V31" s="25">
        <f t="shared" si="3"/>
        <v>3</v>
      </c>
      <c r="W31" s="25">
        <f t="shared" si="3"/>
        <v>3</v>
      </c>
      <c r="X31" s="25">
        <f t="shared" si="3"/>
        <v>4</v>
      </c>
      <c r="Y31" s="25">
        <f t="shared" si="3"/>
        <v>4</v>
      </c>
      <c r="Z31" s="25">
        <f t="shared" si="3"/>
        <v>4</v>
      </c>
      <c r="AA31" s="25">
        <f t="shared" si="3"/>
        <v>4</v>
      </c>
      <c r="AB31" s="25">
        <f t="shared" si="3"/>
        <v>4</v>
      </c>
      <c r="AC31" s="25">
        <f t="shared" si="3"/>
        <v>4</v>
      </c>
      <c r="AD31" s="25">
        <f t="shared" si="3"/>
        <v>4</v>
      </c>
      <c r="AE31" s="25">
        <f t="shared" si="3"/>
        <v>5</v>
      </c>
      <c r="AF31" s="25">
        <f t="shared" si="3"/>
        <v>5</v>
      </c>
      <c r="AG31" s="25">
        <f t="shared" si="3"/>
        <v>5</v>
      </c>
      <c r="AH31" s="25">
        <f t="shared" si="3"/>
        <v>5</v>
      </c>
      <c r="AI31" s="25">
        <f t="shared" si="3"/>
        <v>0</v>
      </c>
    </row>
    <row r="32" spans="1:35" x14ac:dyDescent="0.25">
      <c r="A32" s="1" t="s">
        <v>31</v>
      </c>
      <c r="B32" s="1" t="str">
        <f>LEFT(Услуги[[#This Row],[Соц. Услуги]],40)</f>
        <v xml:space="preserve">31. Смена абсорбирующего белья, включая </v>
      </c>
      <c r="D32" s="1" t="s">
        <v>129</v>
      </c>
      <c r="E32" s="25">
        <f t="shared" si="2"/>
        <v>1</v>
      </c>
      <c r="F32" s="25">
        <f t="shared" si="3"/>
        <v>1</v>
      </c>
      <c r="G32" s="25">
        <f t="shared" si="3"/>
        <v>1</v>
      </c>
      <c r="H32" s="25">
        <f t="shared" si="3"/>
        <v>2</v>
      </c>
      <c r="I32" s="25">
        <f t="shared" si="3"/>
        <v>2</v>
      </c>
      <c r="J32" s="25">
        <f t="shared" si="3"/>
        <v>2</v>
      </c>
      <c r="K32" s="25">
        <f t="shared" si="3"/>
        <v>2</v>
      </c>
      <c r="L32" s="25">
        <f t="shared" si="3"/>
        <v>2</v>
      </c>
      <c r="M32" s="25">
        <f t="shared" si="3"/>
        <v>2</v>
      </c>
      <c r="N32" s="25">
        <f t="shared" si="3"/>
        <v>2</v>
      </c>
      <c r="O32" s="25">
        <f t="shared" si="3"/>
        <v>3</v>
      </c>
      <c r="P32" s="25">
        <f t="shared" si="3"/>
        <v>3</v>
      </c>
      <c r="Q32" s="25">
        <f t="shared" si="3"/>
        <v>3</v>
      </c>
      <c r="R32" s="25">
        <f t="shared" si="3"/>
        <v>3</v>
      </c>
      <c r="S32" s="25">
        <f t="shared" si="3"/>
        <v>3</v>
      </c>
      <c r="T32" s="25">
        <f t="shared" si="3"/>
        <v>3</v>
      </c>
      <c r="U32" s="25">
        <f t="shared" si="3"/>
        <v>3</v>
      </c>
      <c r="V32" s="25">
        <f t="shared" si="3"/>
        <v>4</v>
      </c>
      <c r="W32" s="25">
        <f t="shared" si="3"/>
        <v>4</v>
      </c>
      <c r="X32" s="25">
        <f t="shared" si="3"/>
        <v>4</v>
      </c>
      <c r="Y32" s="25">
        <f t="shared" si="3"/>
        <v>4</v>
      </c>
      <c r="Z32" s="25">
        <f t="shared" si="3"/>
        <v>4</v>
      </c>
      <c r="AA32" s="25">
        <f t="shared" si="3"/>
        <v>4</v>
      </c>
      <c r="AB32" s="25">
        <f t="shared" si="3"/>
        <v>4</v>
      </c>
      <c r="AC32" s="25">
        <f t="shared" si="3"/>
        <v>5</v>
      </c>
      <c r="AD32" s="25">
        <f t="shared" si="3"/>
        <v>5</v>
      </c>
      <c r="AE32" s="25">
        <f t="shared" si="3"/>
        <v>5</v>
      </c>
      <c r="AF32" s="25">
        <f t="shared" si="3"/>
        <v>5</v>
      </c>
      <c r="AG32" s="25">
        <f t="shared" si="3"/>
        <v>5</v>
      </c>
      <c r="AH32" s="25">
        <f t="shared" si="3"/>
        <v>5</v>
      </c>
      <c r="AI32" s="25">
        <f t="shared" si="3"/>
        <v>5</v>
      </c>
    </row>
    <row r="33" spans="1:36" x14ac:dyDescent="0.25">
      <c r="A33" s="1" t="s">
        <v>32</v>
      </c>
      <c r="B33" s="1" t="str">
        <f>LEFT(Услуги[[#This Row],[Соц. Услуги]],40)</f>
        <v>32. Помощь при смене абсорбирующего бель</v>
      </c>
    </row>
    <row r="34" spans="1:36" x14ac:dyDescent="0.25">
      <c r="A34" s="1" t="s">
        <v>33</v>
      </c>
      <c r="B34" s="1" t="str">
        <f>LEFT(Услуги[[#This Row],[Соц. Услуги]],40)</f>
        <v>33. Помощь при пользовании туалетом (ины</v>
      </c>
    </row>
    <row r="35" spans="1:36" x14ac:dyDescent="0.25">
      <c r="A35" s="1" t="s">
        <v>34</v>
      </c>
      <c r="B35" s="1" t="str">
        <f>LEFT(Услуги[[#This Row],[Соц. Услуги]],40)</f>
        <v>34. Замена мочеприемника и (или) калопри</v>
      </c>
    </row>
    <row r="36" spans="1:36" x14ac:dyDescent="0.25">
      <c r="A36" s="1" t="s">
        <v>35</v>
      </c>
      <c r="B36" s="1" t="str">
        <f>LEFT(Услуги[[#This Row],[Соц. Услуги]],40)</f>
        <v>35. Помощь при замене мочеприемника и (и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1" t="s">
        <v>36</v>
      </c>
      <c r="B37" s="1" t="str">
        <f>LEFT(Услуги[[#This Row],[Соц. Услуги]],40)</f>
        <v>36. Позиционирование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</row>
    <row r="38" spans="1:36" x14ac:dyDescent="0.25">
      <c r="A38" s="1" t="s">
        <v>37</v>
      </c>
      <c r="B38" s="1" t="str">
        <f>LEFT(Услуги[[#This Row],[Соц. Услуги]],40)</f>
        <v>37. Помощь при позиционировании</v>
      </c>
    </row>
    <row r="39" spans="1:36" x14ac:dyDescent="0.25">
      <c r="A39" s="1" t="s">
        <v>38</v>
      </c>
      <c r="B39" s="1" t="str">
        <f>LEFT(Услуги[[#This Row],[Соц. Услуги]],40)</f>
        <v>38. Пересаживание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1" t="s">
        <v>39</v>
      </c>
      <c r="B40" s="1" t="str">
        <f>LEFT(Услуги[[#This Row],[Соц. Услуги]],40)</f>
        <v>39. Помощь при пересаживании.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1:36" x14ac:dyDescent="0.25">
      <c r="A41" s="1" t="s">
        <v>40</v>
      </c>
      <c r="B41" s="1" t="str">
        <f>LEFT(Услуги[[#This Row],[Соц. Услуги]],40)</f>
        <v>40. Помощь при передвижении по помещению</v>
      </c>
    </row>
    <row r="42" spans="1:36" x14ac:dyDescent="0.25">
      <c r="A42" s="1" t="s">
        <v>41</v>
      </c>
      <c r="B42" s="1" t="str">
        <f>LEFT(Услуги[[#This Row],[Соц. Услуги]],40)</f>
        <v>41. Измерение температуры тела, артериал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1" t="s">
        <v>42</v>
      </c>
      <c r="B43" s="1" t="str">
        <f>LEFT(Услуги[[#This Row],[Соц. Услуги]],40)</f>
        <v>42. Помощь в соблюдении медицинских реко</v>
      </c>
    </row>
    <row r="44" spans="1:36" x14ac:dyDescent="0.25">
      <c r="A44" s="1" t="s">
        <v>43</v>
      </c>
      <c r="B44" s="1" t="str">
        <f>LEFT(Услуги[[#This Row],[Соц. Услуги]],40)</f>
        <v xml:space="preserve">43. Подготовка лекарственных препаратов </v>
      </c>
    </row>
    <row r="45" spans="1:36" x14ac:dyDescent="0.25">
      <c r="A45" s="1" t="s">
        <v>44</v>
      </c>
      <c r="B45" s="1" t="str">
        <f>LEFT(Услуги[[#This Row],[Соц. Услуги]],40)</f>
        <v>44. Помощь в соблюдении приема лекарстве</v>
      </c>
    </row>
    <row r="46" spans="1:36" x14ac:dyDescent="0.25">
      <c r="A46" s="1" t="s">
        <v>45</v>
      </c>
      <c r="B46" s="1" t="str">
        <f>LEFT(Услуги[[#This Row],[Соц. Услуги]],40)</f>
        <v>45. Помощь в использовании очков и (или)</v>
      </c>
    </row>
    <row r="47" spans="1:36" x14ac:dyDescent="0.25">
      <c r="A47" s="1" t="s">
        <v>46</v>
      </c>
      <c r="B47" s="1" t="str">
        <f>LEFT(Услуги[[#This Row],[Соц. Услуги]],40)</f>
        <v xml:space="preserve">46. Помощь в использовании протезов или </v>
      </c>
    </row>
    <row r="48" spans="1:36" x14ac:dyDescent="0.25">
      <c r="A48" s="1" t="s">
        <v>47</v>
      </c>
      <c r="B48" s="1" t="str">
        <f>LEFT(Услуги[[#This Row],[Соц. Услуги]],40)</f>
        <v>47. Помощь в поддержании посильной социа</v>
      </c>
    </row>
    <row r="49" spans="1:2" x14ac:dyDescent="0.25">
      <c r="A49" s="1" t="s">
        <v>48</v>
      </c>
      <c r="B49" s="1" t="str">
        <f>LEFT(Услуги[[#This Row],[Соц. Услуги]],40)</f>
        <v>48. Помощь в поддержании  посильной физи</v>
      </c>
    </row>
    <row r="50" spans="1:2" x14ac:dyDescent="0.25">
      <c r="A50" s="1" t="s">
        <v>49</v>
      </c>
      <c r="B50" s="1" t="str">
        <f>LEFT(Услуги[[#This Row],[Соц. Услуги]],40)</f>
        <v>49. Помощь в поддержании посильной бытов</v>
      </c>
    </row>
    <row r="51" spans="1:2" x14ac:dyDescent="0.25">
      <c r="A51" s="1" t="s">
        <v>50</v>
      </c>
      <c r="B51" s="1" t="str">
        <f>LEFT(Услуги[[#This Row],[Соц. Услуги]],40)</f>
        <v>50. Помощь в поддержании когнитивных фун</v>
      </c>
    </row>
  </sheetData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74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7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7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7" ht="18.75" x14ac:dyDescent="0.25">
      <c r="C5" s="17"/>
      <c r="L5" s="12" t="s">
        <v>69</v>
      </c>
      <c r="M5" s="68" t="s">
        <v>70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7" ht="18.75" x14ac:dyDescent="0.25">
      <c r="C6" s="17"/>
      <c r="L6" s="12"/>
      <c r="M6" s="22"/>
      <c r="N6" s="32"/>
      <c r="O6" s="32"/>
      <c r="P6" s="32"/>
      <c r="Q6" s="32"/>
      <c r="R6" s="22"/>
      <c r="S6" s="32"/>
      <c r="T6" s="14"/>
      <c r="U6" s="14"/>
    </row>
    <row r="7" spans="1:37" ht="26.25" customHeight="1" x14ac:dyDescent="0.25">
      <c r="A7" s="54"/>
      <c r="B7" s="62" t="s">
        <v>115</v>
      </c>
      <c r="C7" s="62" t="s">
        <v>114</v>
      </c>
      <c r="D7" s="63" t="s">
        <v>61</v>
      </c>
      <c r="E7" s="48" t="s">
        <v>55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50"/>
      <c r="AI7" s="44" t="s">
        <v>64</v>
      </c>
      <c r="AJ7" s="44" t="s">
        <v>64</v>
      </c>
      <c r="AK7" s="4"/>
    </row>
    <row r="8" spans="1:37" ht="15.75" customHeight="1" x14ac:dyDescent="0.25">
      <c r="A8" s="54"/>
      <c r="B8" s="57"/>
      <c r="C8" s="57"/>
      <c r="D8" s="64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  <c r="AI8" s="44"/>
      <c r="AJ8" s="44"/>
      <c r="AK8" s="4"/>
    </row>
    <row r="9" spans="1:37" x14ac:dyDescent="0.25">
      <c r="A9" s="54"/>
      <c r="B9" s="57"/>
      <c r="C9" s="57"/>
      <c r="D9" s="64"/>
      <c r="E9" s="23">
        <f>Настройки!E15</f>
        <v>45170</v>
      </c>
      <c r="F9" s="23">
        <f>Настройки!F15</f>
        <v>45171</v>
      </c>
      <c r="G9" s="23">
        <f>Настройки!G15</f>
        <v>45172</v>
      </c>
      <c r="H9" s="23">
        <f>Настройки!H15</f>
        <v>45173</v>
      </c>
      <c r="I9" s="23">
        <f>Настройки!I15</f>
        <v>45174</v>
      </c>
      <c r="J9" s="23">
        <f>Настройки!J15</f>
        <v>45175</v>
      </c>
      <c r="K9" s="23">
        <f>Настройки!K15</f>
        <v>45176</v>
      </c>
      <c r="L9" s="23">
        <f>Настройки!L15</f>
        <v>45177</v>
      </c>
      <c r="M9" s="23">
        <f>Настройки!M15</f>
        <v>45178</v>
      </c>
      <c r="N9" s="23">
        <f>Настройки!N15</f>
        <v>45179</v>
      </c>
      <c r="O9" s="23">
        <f>Настройки!O15</f>
        <v>45180</v>
      </c>
      <c r="P9" s="23">
        <f>Настройки!P15</f>
        <v>45181</v>
      </c>
      <c r="Q9" s="23">
        <f>Настройки!Q15</f>
        <v>45182</v>
      </c>
      <c r="R9" s="23">
        <f>Настройки!R15</f>
        <v>45183</v>
      </c>
      <c r="S9" s="23">
        <f>Настройки!S15</f>
        <v>45184</v>
      </c>
      <c r="T9" s="23">
        <f>Настройки!T15</f>
        <v>45185</v>
      </c>
      <c r="U9" s="23">
        <f>Настройки!U15</f>
        <v>45186</v>
      </c>
      <c r="V9" s="23">
        <f>Настройки!V15</f>
        <v>45187</v>
      </c>
      <c r="W9" s="23">
        <f>Настройки!W15</f>
        <v>45188</v>
      </c>
      <c r="X9" s="23">
        <f>Настройки!X15</f>
        <v>45189</v>
      </c>
      <c r="Y9" s="23">
        <f>Настройки!Y15</f>
        <v>45190</v>
      </c>
      <c r="Z9" s="23">
        <f>Настройки!Z15</f>
        <v>45191</v>
      </c>
      <c r="AA9" s="23">
        <f>Настройки!AA15</f>
        <v>45192</v>
      </c>
      <c r="AB9" s="23">
        <f>Настройки!AB15</f>
        <v>45193</v>
      </c>
      <c r="AC9" s="23">
        <f>Настройки!AC15</f>
        <v>45194</v>
      </c>
      <c r="AD9" s="23">
        <f>Настройки!AD15</f>
        <v>45195</v>
      </c>
      <c r="AE9" s="23">
        <f>Настройки!AE15</f>
        <v>45196</v>
      </c>
      <c r="AF9" s="23">
        <f>Настройки!AF15</f>
        <v>45197</v>
      </c>
      <c r="AG9" s="23">
        <f>Настройки!AG15</f>
        <v>45198</v>
      </c>
      <c r="AH9" s="23">
        <f>Настройки!AH15</f>
        <v>45199</v>
      </c>
      <c r="AI9" s="44"/>
      <c r="AJ9" s="44"/>
      <c r="AK9" s="4"/>
    </row>
    <row r="10" spans="1:37" ht="15.75" customHeight="1" x14ac:dyDescent="0.25">
      <c r="A10" s="54"/>
      <c r="B10" s="57"/>
      <c r="C10" s="57"/>
      <c r="D10" s="64"/>
      <c r="E10" s="48" t="s">
        <v>54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74"/>
      <c r="AI10" s="44"/>
      <c r="AJ10" s="44"/>
      <c r="AK10" s="4"/>
    </row>
    <row r="11" spans="1:37" x14ac:dyDescent="0.25">
      <c r="A11" s="62"/>
      <c r="B11" s="57"/>
      <c r="C11" s="57"/>
      <c r="D11" s="64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3"/>
      <c r="AI11" s="44"/>
      <c r="AJ11" s="44"/>
    </row>
    <row r="12" spans="1:37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15" t="s">
        <v>83</v>
      </c>
      <c r="F12" s="15" t="s">
        <v>84</v>
      </c>
      <c r="G12" s="15" t="s">
        <v>85</v>
      </c>
      <c r="H12" s="15" t="s">
        <v>86</v>
      </c>
      <c r="I12" s="15" t="s">
        <v>87</v>
      </c>
      <c r="J12" s="15" t="s">
        <v>88</v>
      </c>
      <c r="K12" s="15" t="s">
        <v>89</v>
      </c>
      <c r="L12" s="15" t="s">
        <v>90</v>
      </c>
      <c r="M12" s="15" t="s">
        <v>91</v>
      </c>
      <c r="N12" s="15" t="s">
        <v>92</v>
      </c>
      <c r="O12" s="15" t="s">
        <v>93</v>
      </c>
      <c r="P12" s="15" t="s">
        <v>94</v>
      </c>
      <c r="Q12" s="15" t="s">
        <v>95</v>
      </c>
      <c r="R12" s="15" t="s">
        <v>96</v>
      </c>
      <c r="S12" s="15" t="s">
        <v>97</v>
      </c>
      <c r="T12" s="15" t="s">
        <v>98</v>
      </c>
      <c r="U12" s="15" t="s">
        <v>99</v>
      </c>
      <c r="V12" s="15" t="s">
        <v>100</v>
      </c>
      <c r="W12" s="15" t="s">
        <v>101</v>
      </c>
      <c r="X12" s="15" t="s">
        <v>102</v>
      </c>
      <c r="Y12" s="15" t="s">
        <v>103</v>
      </c>
      <c r="Z12" s="15" t="s">
        <v>104</v>
      </c>
      <c r="AA12" s="15" t="s">
        <v>105</v>
      </c>
      <c r="AB12" s="15" t="s">
        <v>106</v>
      </c>
      <c r="AC12" s="15" t="s">
        <v>107</v>
      </c>
      <c r="AD12" s="15" t="s">
        <v>108</v>
      </c>
      <c r="AE12" s="15" t="s">
        <v>109</v>
      </c>
      <c r="AF12" s="15" t="s">
        <v>110</v>
      </c>
      <c r="AG12" s="15" t="s">
        <v>111</v>
      </c>
      <c r="AH12" s="15" t="s">
        <v>112</v>
      </c>
      <c r="AI12" s="3" t="s">
        <v>62</v>
      </c>
      <c r="AJ12" s="3" t="s">
        <v>63</v>
      </c>
    </row>
    <row r="13" spans="1:37" ht="22.5" customHeight="1" x14ac:dyDescent="0.25">
      <c r="A13" s="5" t="s">
        <v>56</v>
      </c>
      <c r="B13" s="3">
        <f>SUMPRODUCT((Настройки!$E$29:$AH$29=1)*E16:AH16)</f>
        <v>0</v>
      </c>
      <c r="C13" s="15"/>
      <c r="D13" s="5">
        <v>1</v>
      </c>
      <c r="E13" s="3">
        <f>SUMPRODUCT((Сентябрь[№]=1)*Сентябрь[1],Сентябрь[Периодичность])</f>
        <v>0</v>
      </c>
      <c r="F13" s="30">
        <f>SUMPRODUCT((Сентябрь[№]=1)*Сентябрь[2],Сентябрь[Периодичность])</f>
        <v>0</v>
      </c>
      <c r="G13" s="30">
        <f>SUMPRODUCT((Сентябрь[№]=1)*Сентябрь[3],Сентябрь[Периодичность])</f>
        <v>0</v>
      </c>
      <c r="H13" s="30">
        <f>SUMPRODUCT((Сентябрь[№]=1)*Сентябрь[4],Сентябрь[Периодичность])</f>
        <v>0</v>
      </c>
      <c r="I13" s="30">
        <f>SUMPRODUCT((Сентябрь[№]=1)*Сентябрь[5],Сентябрь[Периодичность])</f>
        <v>0</v>
      </c>
      <c r="J13" s="30">
        <f>SUMPRODUCT((Сентябрь[№]=1)*Сентябрь[6],Сентябрь[Периодичность])</f>
        <v>0</v>
      </c>
      <c r="K13" s="30">
        <f>SUMPRODUCT((Сентябрь[№]=1)*Сентябрь[7],Сентябрь[Периодичность])</f>
        <v>0</v>
      </c>
      <c r="L13" s="30">
        <f>SUMPRODUCT((Сентябрь[№]=1)*Сентябрь[8],Сентябрь[Периодичность])</f>
        <v>0</v>
      </c>
      <c r="M13" s="30">
        <f>SUMPRODUCT((Сентябрь[№]=1)*Сентябрь[9],Сентябрь[Периодичность])</f>
        <v>0</v>
      </c>
      <c r="N13" s="30">
        <f>SUMPRODUCT((Сентябрь[№]=1)*Сентябрь[10],Сентябрь[Периодичность])</f>
        <v>0</v>
      </c>
      <c r="O13" s="30">
        <f>SUMPRODUCT((Сентябрь[№]=1)*Сентябрь[11],Сентябрь[Периодичность])</f>
        <v>0</v>
      </c>
      <c r="P13" s="30">
        <f>SUMPRODUCT((Сентябрь[№]=1)*Сентябрь[12],Сентябрь[Периодичность])</f>
        <v>0</v>
      </c>
      <c r="Q13" s="30">
        <f>SUMPRODUCT((Сентябрь[№]=1)*Сентябрь[13],Сентябрь[Периодичность])</f>
        <v>0</v>
      </c>
      <c r="R13" s="30">
        <f>SUMPRODUCT((Сентябрь[№]=1)*Сентябрь[14],Сентябрь[Периодичность])</f>
        <v>0</v>
      </c>
      <c r="S13" s="30">
        <f>SUMPRODUCT((Сентябрь[№]=1)*Сентябрь[15],Сентябрь[Периодичность])</f>
        <v>0</v>
      </c>
      <c r="T13" s="30">
        <f>SUMPRODUCT((Сентябрь[№]=1)*Сентябрь[16],Сентябрь[Периодичность])</f>
        <v>0</v>
      </c>
      <c r="U13" s="30">
        <f>SUMPRODUCT((Сентябрь[№]=1)*Сентябрь[17],Сентябрь[Периодичность])</f>
        <v>0</v>
      </c>
      <c r="V13" s="30">
        <f>SUMPRODUCT((Сентябрь[№]=1)*Сентябрь[18],Сентябрь[Периодичность])</f>
        <v>0</v>
      </c>
      <c r="W13" s="30">
        <f>SUMPRODUCT((Сентябрь[№]=1)*Сентябрь[19],Сентябрь[Периодичность])</f>
        <v>0</v>
      </c>
      <c r="X13" s="30">
        <f>SUMPRODUCT((Сентябрь[№]=1)*Сентябрь[20],Сентябрь[Периодичность])</f>
        <v>0</v>
      </c>
      <c r="Y13" s="30">
        <f>SUMPRODUCT((Сентябрь[№]=1)*Сентябрь[21],Сентябрь[Периодичность])</f>
        <v>0</v>
      </c>
      <c r="Z13" s="30">
        <f>SUMPRODUCT((Сентябрь[№]=1)*Сентябрь[22],Сентябрь[Периодичность])</f>
        <v>0</v>
      </c>
      <c r="AA13" s="30">
        <f>SUMPRODUCT((Сентябрь[№]=1)*Сентябрь[23],Сентябрь[Периодичность])</f>
        <v>0</v>
      </c>
      <c r="AB13" s="30">
        <f>SUMPRODUCT((Сентябрь[№]=1)*Сентябрь[24],Сентябрь[Периодичность])</f>
        <v>0</v>
      </c>
      <c r="AC13" s="30">
        <f>SUMPRODUCT((Сентябрь[№]=1)*Сентябрь[25],Сентябрь[Периодичность])</f>
        <v>0</v>
      </c>
      <c r="AD13" s="30">
        <f>SUMPRODUCT((Сентябрь[№]=1)*Сентябрь[26],Сентябрь[Периодичность])</f>
        <v>0</v>
      </c>
      <c r="AE13" s="30">
        <f>SUMPRODUCT((Сентябрь[№]=1)*Сентябрь[27],Сентябрь[Периодичность])</f>
        <v>0</v>
      </c>
      <c r="AF13" s="30">
        <f>SUMPRODUCT((Сентябрь[№]=1)*Сентябрь[28],Сентябрь[Периодичность])</f>
        <v>0</v>
      </c>
      <c r="AG13" s="30">
        <f>SUMPRODUCT((Сентябрь[№]=1)*Сентябрь[29],Сентябрь[Периодичность])</f>
        <v>0</v>
      </c>
      <c r="AH13" s="30">
        <f>SUMPRODUCT((Сентябрь[№]=1)*Сентябрь[30],Сентябрь[Периодичность])</f>
        <v>0</v>
      </c>
    </row>
    <row r="14" spans="1:37" ht="20.25" customHeight="1" x14ac:dyDescent="0.25">
      <c r="B14" s="3">
        <f>SUMPRODUCT((Настройки!$E$29:$AH$29=2)*E16:AH16)</f>
        <v>0</v>
      </c>
      <c r="D14" s="5">
        <v>2</v>
      </c>
      <c r="E14" s="3">
        <f>SUMPRODUCT((Сентябрь[№]=2)*Сентябрь[1],Сентябрь[Периодичность])</f>
        <v>0</v>
      </c>
      <c r="F14" s="30">
        <f>SUMPRODUCT((Сентябрь[№]=2)*Сентябрь[2],Сентябрь[Периодичность])</f>
        <v>0</v>
      </c>
      <c r="G14" s="30">
        <f>SUMPRODUCT((Сентябрь[№]=2)*Сентябрь[3],Сентябрь[Периодичность])</f>
        <v>0</v>
      </c>
      <c r="H14" s="30">
        <f>SUMPRODUCT((Сентябрь[№]=2)*Сентябрь[4],Сентябрь[Периодичность])</f>
        <v>0</v>
      </c>
      <c r="I14" s="30">
        <f>SUMPRODUCT((Сентябрь[№]=2)*Сентябрь[5],Сентябрь[Периодичность])</f>
        <v>0</v>
      </c>
      <c r="J14" s="30">
        <f>SUMPRODUCT((Сентябрь[№]=2)*Сентябрь[6],Сентябрь[Периодичность])</f>
        <v>0</v>
      </c>
      <c r="K14" s="30">
        <f>SUMPRODUCT((Сентябрь[№]=2)*Сентябрь[7],Сентябрь[Периодичность])</f>
        <v>0</v>
      </c>
      <c r="L14" s="30">
        <f>SUMPRODUCT((Сентябрь[№]=2)*Сентябрь[8],Сентябрь[Периодичность])</f>
        <v>0</v>
      </c>
      <c r="M14" s="30">
        <f>SUMPRODUCT((Сентябрь[№]=2)*Сентябрь[9],Сентябрь[Периодичность])</f>
        <v>0</v>
      </c>
      <c r="N14" s="30">
        <f>SUMPRODUCT((Сентябрь[№]=2)*Сентябрь[10],Сентябрь[Периодичность])</f>
        <v>0</v>
      </c>
      <c r="O14" s="30">
        <f>SUMPRODUCT((Сентябрь[№]=2)*Сентябрь[11],Сентябрь[Периодичность])</f>
        <v>0</v>
      </c>
      <c r="P14" s="30">
        <f>SUMPRODUCT((Сентябрь[№]=2)*Сентябрь[12],Сентябрь[Периодичность])</f>
        <v>0</v>
      </c>
      <c r="Q14" s="30">
        <f>SUMPRODUCT((Сентябрь[№]=2)*Сентябрь[13],Сентябрь[Периодичность])</f>
        <v>0</v>
      </c>
      <c r="R14" s="30">
        <f>SUMPRODUCT((Сентябрь[№]=2)*Сентябрь[14],Сентябрь[Периодичность])</f>
        <v>0</v>
      </c>
      <c r="S14" s="30">
        <f>SUMPRODUCT((Сентябрь[№]=2)*Сентябрь[15],Сентябрь[Периодичность])</f>
        <v>0</v>
      </c>
      <c r="T14" s="30">
        <f>SUMPRODUCT((Сентябрь[№]=2)*Сентябрь[16],Сентябрь[Периодичность])</f>
        <v>0</v>
      </c>
      <c r="U14" s="30">
        <f>SUMPRODUCT((Сентябрь[№]=2)*Сентябрь[17],Сентябрь[Периодичность])</f>
        <v>0</v>
      </c>
      <c r="V14" s="30">
        <f>SUMPRODUCT((Сентябрь[№]=2)*Сентябрь[18],Сентябрь[Периодичность])</f>
        <v>0</v>
      </c>
      <c r="W14" s="30">
        <f>SUMPRODUCT((Сентябрь[№]=2)*Сентябрь[19],Сентябрь[Периодичность])</f>
        <v>0</v>
      </c>
      <c r="X14" s="30">
        <f>SUMPRODUCT((Сентябрь[№]=2)*Сентябрь[20],Сентябрь[Периодичность])</f>
        <v>0</v>
      </c>
      <c r="Y14" s="30">
        <f>SUMPRODUCT((Сентябрь[№]=2)*Сентябрь[21],Сентябрь[Периодичность])</f>
        <v>0</v>
      </c>
      <c r="Z14" s="30">
        <f>SUMPRODUCT((Сентябрь[№]=2)*Сентябрь[22],Сентябрь[Периодичность])</f>
        <v>0</v>
      </c>
      <c r="AA14" s="30">
        <f>SUMPRODUCT((Сентябрь[№]=2)*Сентябрь[23],Сентябрь[Периодичность])</f>
        <v>0</v>
      </c>
      <c r="AB14" s="30">
        <f>SUMPRODUCT((Сентябрь[№]=2)*Сентябрь[24],Сентябрь[Периодичность])</f>
        <v>0</v>
      </c>
      <c r="AC14" s="30">
        <f>SUMPRODUCT((Сентябрь[№]=2)*Сентябрь[25],Сентябрь[Периодичность])</f>
        <v>0</v>
      </c>
      <c r="AD14" s="30">
        <f>SUMPRODUCT((Сентябрь[№]=2)*Сентябрь[26],Сентябрь[Периодичность])</f>
        <v>0</v>
      </c>
      <c r="AE14" s="30">
        <f>SUMPRODUCT((Сентябрь[№]=2)*Сентябрь[27],Сентябрь[Периодичность])</f>
        <v>0</v>
      </c>
      <c r="AF14" s="30">
        <f>SUMPRODUCT((Сентябрь[№]=2)*Сентябрь[28],Сентябрь[Периодичность])</f>
        <v>0</v>
      </c>
      <c r="AG14" s="30">
        <f>SUMPRODUCT((Сентябрь[№]=2)*Сентябрь[29],Сентябрь[Периодичность])</f>
        <v>0</v>
      </c>
      <c r="AH14" s="30">
        <f>SUMPRODUCT((Сентябрь[№]=2)*Сентябрь[30],Сентябрь[Периодичность])</f>
        <v>0</v>
      </c>
    </row>
    <row r="15" spans="1:37" ht="22.5" customHeight="1" x14ac:dyDescent="0.25">
      <c r="B15" s="3">
        <f>SUMPRODUCT((Настройки!$E$29:$AH$29=3)*E16:AH16)</f>
        <v>0</v>
      </c>
      <c r="D15" s="5">
        <v>3</v>
      </c>
      <c r="E15" s="3">
        <f>SUMPRODUCT((Сентябрь[№]=3)*Сентябрь[1],Сентябрь[Периодичность])</f>
        <v>0</v>
      </c>
      <c r="F15" s="30">
        <f>SUMPRODUCT((Сентябрь[№]=3)*Сентябрь[2],Сентябрь[Периодичность])</f>
        <v>0</v>
      </c>
      <c r="G15" s="30">
        <f>SUMPRODUCT((Сентябрь[№]=3)*Сентябрь[3],Сентябрь[Периодичность])</f>
        <v>0</v>
      </c>
      <c r="H15" s="30">
        <f>SUMPRODUCT((Сентябрь[№]=3)*Сентябрь[4],Сентябрь[Периодичность])</f>
        <v>0</v>
      </c>
      <c r="I15" s="30">
        <f>SUMPRODUCT((Сентябрь[№]=3)*Сентябрь[5],Сентябрь[Периодичность])</f>
        <v>0</v>
      </c>
      <c r="J15" s="30">
        <f>SUMPRODUCT((Сентябрь[№]=3)*Сентябрь[6],Сентябрь[Периодичность])</f>
        <v>0</v>
      </c>
      <c r="K15" s="30">
        <f>SUMPRODUCT((Сентябрь[№]=3)*Сентябрь[7],Сентябрь[Периодичность])</f>
        <v>0</v>
      </c>
      <c r="L15" s="30">
        <f>SUMPRODUCT((Сентябрь[№]=3)*Сентябрь[8],Сентябрь[Периодичность])</f>
        <v>0</v>
      </c>
      <c r="M15" s="30">
        <f>SUMPRODUCT((Сентябрь[№]=3)*Сентябрь[9],Сентябрь[Периодичность])</f>
        <v>0</v>
      </c>
      <c r="N15" s="30">
        <f>SUMPRODUCT((Сентябрь[№]=3)*Сентябрь[10],Сентябрь[Периодичность])</f>
        <v>0</v>
      </c>
      <c r="O15" s="30">
        <f>SUMPRODUCT((Сентябрь[№]=3)*Сентябрь[11],Сентябрь[Периодичность])</f>
        <v>0</v>
      </c>
      <c r="P15" s="30">
        <f>SUMPRODUCT((Сентябрь[№]=3)*Сентябрь[12],Сентябрь[Периодичность])</f>
        <v>0</v>
      </c>
      <c r="Q15" s="30">
        <f>SUMPRODUCT((Сентябрь[№]=3)*Сентябрь[13],Сентябрь[Периодичность])</f>
        <v>0</v>
      </c>
      <c r="R15" s="30">
        <f>SUMPRODUCT((Сентябрь[№]=3)*Сентябрь[14],Сентябрь[Периодичность])</f>
        <v>0</v>
      </c>
      <c r="S15" s="30">
        <f>SUMPRODUCT((Сентябрь[№]=3)*Сентябрь[15],Сентябрь[Периодичность])</f>
        <v>0</v>
      </c>
      <c r="T15" s="30">
        <f>SUMPRODUCT((Сентябрь[№]=3)*Сентябрь[16],Сентябрь[Периодичность])</f>
        <v>0</v>
      </c>
      <c r="U15" s="30">
        <f>SUMPRODUCT((Сентябрь[№]=3)*Сентябрь[17],Сентябрь[Периодичность])</f>
        <v>0</v>
      </c>
      <c r="V15" s="30">
        <f>SUMPRODUCT((Сентябрь[№]=3)*Сентябрь[18],Сентябрь[Периодичность])</f>
        <v>0</v>
      </c>
      <c r="W15" s="30">
        <f>SUMPRODUCT((Сентябрь[№]=3)*Сентябрь[19],Сентябрь[Периодичность])</f>
        <v>0</v>
      </c>
      <c r="X15" s="30">
        <f>SUMPRODUCT((Сентябрь[№]=3)*Сентябрь[20],Сентябрь[Периодичность])</f>
        <v>0</v>
      </c>
      <c r="Y15" s="30">
        <f>SUMPRODUCT((Сентябрь[№]=3)*Сентябрь[21],Сентябрь[Периодичность])</f>
        <v>0</v>
      </c>
      <c r="Z15" s="30">
        <f>SUMPRODUCT((Сентябрь[№]=3)*Сентябрь[22],Сентябрь[Периодичность])</f>
        <v>0</v>
      </c>
      <c r="AA15" s="30">
        <f>SUMPRODUCT((Сентябрь[№]=3)*Сентябрь[23],Сентябрь[Периодичность])</f>
        <v>0</v>
      </c>
      <c r="AB15" s="30">
        <f>SUMPRODUCT((Сентябрь[№]=3)*Сентябрь[24],Сентябрь[Периодичность])</f>
        <v>0</v>
      </c>
      <c r="AC15" s="30">
        <f>SUMPRODUCT((Сентябрь[№]=3)*Сентябрь[25],Сентябрь[Периодичность])</f>
        <v>0</v>
      </c>
      <c r="AD15" s="30">
        <f>SUMPRODUCT((Сентябрь[№]=3)*Сентябрь[26],Сентябрь[Периодичность])</f>
        <v>0</v>
      </c>
      <c r="AE15" s="30">
        <f>SUMPRODUCT((Сентябрь[№]=3)*Сентябрь[27],Сентябрь[Периодичность])</f>
        <v>0</v>
      </c>
      <c r="AF15" s="30">
        <f>SUMPRODUCT((Сентябрь[№]=3)*Сентябрь[28],Сентябрь[Периодичность])</f>
        <v>0</v>
      </c>
      <c r="AG15" s="30">
        <f>SUMPRODUCT((Сентябрь[№]=3)*Сентябрь[29],Сентябрь[Периодичность])</f>
        <v>0</v>
      </c>
      <c r="AH15" s="30">
        <f>SUMPRODUCT((Сентябрь[№]=3)*Сентябрь[30],Сентябрь[Периодичность])</f>
        <v>0</v>
      </c>
      <c r="AJ15" s="11"/>
    </row>
    <row r="16" spans="1:37" ht="18" customHeight="1" x14ac:dyDescent="0.25">
      <c r="B16" s="3">
        <f>SUMPRODUCT((Настройки!$E$29:$AH$29=4)*E16:AH16)</f>
        <v>0</v>
      </c>
      <c r="D16" s="5"/>
      <c r="E16" s="3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SUMPRODUCT((Настройки!$E$29:$AH$29=5)*E16:AH16)</f>
        <v>0</v>
      </c>
      <c r="C17" s="5">
        <f>СентябрьИтоги[[#This Row],[№]]*60</f>
        <v>0</v>
      </c>
      <c r="D17" s="7">
        <f>SUM(СентябрьИтоги[[#This Row],[1]:[30]])</f>
        <v>0</v>
      </c>
      <c r="E17" s="6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5">
        <f ca="1">SUM(Сентябрь[УСЛУГ])</f>
        <v>0</v>
      </c>
      <c r="AJ17" s="21">
        <f ca="1">SUM(Сентябрь[МИНУТ])</f>
        <v>0</v>
      </c>
    </row>
    <row r="19" spans="1:36" x14ac:dyDescent="0.25">
      <c r="A19" s="54" t="s">
        <v>52</v>
      </c>
      <c r="B19" s="54" t="s">
        <v>53</v>
      </c>
      <c r="C19" s="55"/>
      <c r="D19" s="56" t="s">
        <v>61</v>
      </c>
      <c r="E19" s="48" t="s">
        <v>55</v>
      </c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50"/>
      <c r="AI19" s="44" t="s">
        <v>64</v>
      </c>
      <c r="AJ19" s="44" t="s">
        <v>64</v>
      </c>
    </row>
    <row r="20" spans="1:36" ht="15.75" customHeight="1" x14ac:dyDescent="0.25">
      <c r="A20" s="54"/>
      <c r="B20" s="54"/>
      <c r="C20" s="55"/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  <c r="AI20" s="44"/>
      <c r="AJ20" s="44"/>
    </row>
    <row r="21" spans="1:36" x14ac:dyDescent="0.25">
      <c r="A21" s="54"/>
      <c r="B21" s="54"/>
      <c r="C21" s="55"/>
      <c r="D21" s="57"/>
      <c r="E21" s="27">
        <f>Настройки!E15</f>
        <v>45170</v>
      </c>
      <c r="F21" s="27">
        <f>Настройки!F15</f>
        <v>45171</v>
      </c>
      <c r="G21" s="27">
        <f>Настройки!G15</f>
        <v>45172</v>
      </c>
      <c r="H21" s="27">
        <f>Настройки!H15</f>
        <v>45173</v>
      </c>
      <c r="I21" s="27">
        <f>Настройки!I15</f>
        <v>45174</v>
      </c>
      <c r="J21" s="27">
        <f>Настройки!J15</f>
        <v>45175</v>
      </c>
      <c r="K21" s="27">
        <f>Настройки!K15</f>
        <v>45176</v>
      </c>
      <c r="L21" s="27">
        <f>Настройки!L15</f>
        <v>45177</v>
      </c>
      <c r="M21" s="27">
        <f>Настройки!M15</f>
        <v>45178</v>
      </c>
      <c r="N21" s="27">
        <f>Настройки!N15</f>
        <v>45179</v>
      </c>
      <c r="O21" s="27">
        <f>Настройки!O15</f>
        <v>45180</v>
      </c>
      <c r="P21" s="27">
        <f>Настройки!P15</f>
        <v>45181</v>
      </c>
      <c r="Q21" s="27">
        <f>Настройки!Q15</f>
        <v>45182</v>
      </c>
      <c r="R21" s="27">
        <f>Настройки!R15</f>
        <v>45183</v>
      </c>
      <c r="S21" s="27">
        <f>Настройки!S15</f>
        <v>45184</v>
      </c>
      <c r="T21" s="27">
        <f>Настройки!T15</f>
        <v>45185</v>
      </c>
      <c r="U21" s="27">
        <f>Настройки!U15</f>
        <v>45186</v>
      </c>
      <c r="V21" s="27">
        <f>Настройки!V15</f>
        <v>45187</v>
      </c>
      <c r="W21" s="27">
        <f>Настройки!W15</f>
        <v>45188</v>
      </c>
      <c r="X21" s="27">
        <f>Настройки!X15</f>
        <v>45189</v>
      </c>
      <c r="Y21" s="27">
        <f>Настройки!Y15</f>
        <v>45190</v>
      </c>
      <c r="Z21" s="27">
        <f>Настройки!Z15</f>
        <v>45191</v>
      </c>
      <c r="AA21" s="27">
        <f>Настройки!AA15</f>
        <v>45192</v>
      </c>
      <c r="AB21" s="27">
        <f>Настройки!AB15</f>
        <v>45193</v>
      </c>
      <c r="AC21" s="27">
        <f>Настройки!AC15</f>
        <v>45194</v>
      </c>
      <c r="AD21" s="27">
        <f>Настройки!AD15</f>
        <v>45195</v>
      </c>
      <c r="AE21" s="27">
        <f>Настройки!AE15</f>
        <v>45196</v>
      </c>
      <c r="AF21" s="27">
        <f>Настройки!AF15</f>
        <v>45197</v>
      </c>
      <c r="AG21" s="27">
        <f>Настройки!AG15</f>
        <v>45198</v>
      </c>
      <c r="AH21" s="27">
        <f>Настройки!AH15</f>
        <v>45199</v>
      </c>
      <c r="AI21" s="44"/>
      <c r="AJ21" s="44"/>
    </row>
    <row r="22" spans="1:36" x14ac:dyDescent="0.25">
      <c r="A22" s="54"/>
      <c r="B22" s="54"/>
      <c r="C22" s="55"/>
      <c r="D22" s="57"/>
      <c r="E22" s="49" t="s">
        <v>54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74"/>
      <c r="AI22" s="44"/>
      <c r="AJ22" s="44"/>
    </row>
    <row r="23" spans="1:36" x14ac:dyDescent="0.25">
      <c r="A23" s="54"/>
      <c r="B23" s="54"/>
      <c r="C23" s="55"/>
      <c r="D23" s="5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76"/>
      <c r="AI23" s="44"/>
      <c r="AJ23" s="44"/>
    </row>
    <row r="24" spans="1:36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112</v>
      </c>
      <c r="AI24" s="3" t="s">
        <v>62</v>
      </c>
      <c r="AJ24" s="3" t="s">
        <v>63</v>
      </c>
    </row>
    <row r="25" spans="1:36" ht="31.5" x14ac:dyDescent="0.25">
      <c r="A25" s="16" t="s">
        <v>1</v>
      </c>
      <c r="B25" s="2"/>
      <c r="C25" s="8">
        <v>0</v>
      </c>
      <c r="D25" s="11">
        <v>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25" s="5">
        <f ca="1">IF(Сентябрь[[#This Row],[УСЛУГ]]&lt;&gt;"",Сентябрь[[#This Row],[УСЛУГ]]*Сентябрь[[#This Row],[Периодичность]],"")</f>
        <v>0</v>
      </c>
    </row>
    <row r="26" spans="1:36" x14ac:dyDescent="0.25">
      <c r="A26" s="16"/>
      <c r="B26" s="2"/>
      <c r="C26" s="8">
        <v>0</v>
      </c>
      <c r="D26" s="11">
        <v>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26" s="5" t="str">
        <f ca="1">IF(Сентябрь[[#This Row],[УСЛУГ]]&lt;&gt;"",Сентябрь[[#This Row],[УСЛУГ]]*Сентябрь[[#This Row],[Периодичность]],"")</f>
        <v/>
      </c>
    </row>
    <row r="27" spans="1:36" x14ac:dyDescent="0.25">
      <c r="A27" s="16"/>
      <c r="B27" s="2"/>
      <c r="C27" s="8">
        <v>0</v>
      </c>
      <c r="D27" s="11">
        <v>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27" s="5" t="str">
        <f ca="1">IF(Сентябрь[[#This Row],[УСЛУГ]]&lt;&gt;"",Сентябрь[[#This Row],[УСЛУГ]]*Сентябрь[[#This Row],[Периодичность]],"")</f>
        <v/>
      </c>
    </row>
    <row r="28" spans="1:36" ht="47.25" x14ac:dyDescent="0.25">
      <c r="A28" s="35" t="s">
        <v>2</v>
      </c>
      <c r="B28" s="36"/>
      <c r="C28" s="37">
        <v>0</v>
      </c>
      <c r="D28" s="38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28" s="5">
        <f ca="1">IF(Сентябрь[[#This Row],[УСЛУГ]]&lt;&gt;"",Сентябрь[[#This Row],[УСЛУГ]]*Сентябрь[[#This Row],[Периодичность]],"")</f>
        <v>0</v>
      </c>
    </row>
    <row r="29" spans="1:36" x14ac:dyDescent="0.25">
      <c r="A29" s="35"/>
      <c r="B29" s="36"/>
      <c r="C29" s="37">
        <v>0</v>
      </c>
      <c r="D29" s="38">
        <v>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29" s="5" t="str">
        <f ca="1">IF(Сентябрь[[#This Row],[УСЛУГ]]&lt;&gt;"",Сентябрь[[#This Row],[УСЛУГ]]*Сентябрь[[#This Row],[Периодичность]],"")</f>
        <v/>
      </c>
    </row>
    <row r="30" spans="1:36" x14ac:dyDescent="0.25">
      <c r="A30" s="35"/>
      <c r="B30" s="36"/>
      <c r="C30" s="37">
        <v>0</v>
      </c>
      <c r="D30" s="38">
        <v>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0" s="5" t="str">
        <f ca="1">IF(Сентябрь[[#This Row],[УСЛУГ]]&lt;&gt;"",Сентябрь[[#This Row],[УСЛУГ]]*Сентябрь[[#This Row],[Периодичность]],"")</f>
        <v/>
      </c>
    </row>
    <row r="31" spans="1:36" ht="31.5" x14ac:dyDescent="0.25">
      <c r="A31" s="35" t="s">
        <v>3</v>
      </c>
      <c r="B31" s="36"/>
      <c r="C31" s="37">
        <v>0</v>
      </c>
      <c r="D31" s="38">
        <v>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31" s="5">
        <f ca="1">IF(Сентябрь[[#This Row],[УСЛУГ]]&lt;&gt;"",Сентябрь[[#This Row],[УСЛУГ]]*Сентябрь[[#This Row],[Периодичность]],"")</f>
        <v>0</v>
      </c>
    </row>
    <row r="32" spans="1:36" x14ac:dyDescent="0.25">
      <c r="A32" s="35"/>
      <c r="B32" s="36"/>
      <c r="C32" s="37">
        <v>0</v>
      </c>
      <c r="D32" s="38">
        <v>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2" s="5" t="str">
        <f ca="1">IF(Сентябрь[[#This Row],[УСЛУГ]]&lt;&gt;"",Сентябрь[[#This Row],[УСЛУГ]]*Сентябрь[[#This Row],[Периодичность]],"")</f>
        <v/>
      </c>
    </row>
    <row r="33" spans="1:36" x14ac:dyDescent="0.25">
      <c r="A33" s="35"/>
      <c r="B33" s="36"/>
      <c r="C33" s="37">
        <v>0</v>
      </c>
      <c r="D33" s="38">
        <v>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3" s="5" t="str">
        <f ca="1">IF(Сентябрь[[#This Row],[УСЛУГ]]&lt;&gt;"",Сентябрь[[#This Row],[УСЛУГ]]*Сентябрь[[#This Row],[Периодичность]],"")</f>
        <v/>
      </c>
    </row>
    <row r="34" spans="1:36" ht="47.25" x14ac:dyDescent="0.25">
      <c r="A34" s="35" t="s">
        <v>4</v>
      </c>
      <c r="B34" s="36"/>
      <c r="C34" s="37">
        <v>0</v>
      </c>
      <c r="D34" s="38">
        <v>1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34" s="5">
        <f ca="1">IF(Сентябрь[[#This Row],[УСЛУГ]]&lt;&gt;"",Сентябрь[[#This Row],[УСЛУГ]]*Сентябрь[[#This Row],[Периодичность]],"")</f>
        <v>0</v>
      </c>
    </row>
    <row r="35" spans="1:36" x14ac:dyDescent="0.25">
      <c r="A35" s="35"/>
      <c r="B35" s="36"/>
      <c r="C35" s="37">
        <v>0</v>
      </c>
      <c r="D35" s="38">
        <v>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5" s="5" t="str">
        <f ca="1">IF(Сентябрь[[#This Row],[УСЛУГ]]&lt;&gt;"",Сентябрь[[#This Row],[УСЛУГ]]*Сентябрь[[#This Row],[Периодичность]],"")</f>
        <v/>
      </c>
    </row>
    <row r="36" spans="1:36" x14ac:dyDescent="0.25">
      <c r="A36" s="35"/>
      <c r="B36" s="36"/>
      <c r="C36" s="37">
        <v>0</v>
      </c>
      <c r="D36" s="38">
        <v>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6" s="5" t="str">
        <f ca="1">IF(Сентябрь[[#This Row],[УСЛУГ]]&lt;&gt;"",Сентябрь[[#This Row],[УСЛУГ]]*Сентябрь[[#This Row],[Периодичность]],"")</f>
        <v/>
      </c>
    </row>
    <row r="37" spans="1:36" x14ac:dyDescent="0.25">
      <c r="A37" s="35" t="s">
        <v>5</v>
      </c>
      <c r="B37" s="36"/>
      <c r="C37" s="37">
        <v>0</v>
      </c>
      <c r="D37" s="38">
        <v>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37" s="5">
        <f ca="1">IF(Сентябрь[[#This Row],[УСЛУГ]]&lt;&gt;"",Сентябрь[[#This Row],[УСЛУГ]]*Сентябрь[[#This Row],[Периодичность]],"")</f>
        <v>0</v>
      </c>
    </row>
    <row r="38" spans="1:36" x14ac:dyDescent="0.25">
      <c r="A38" s="35"/>
      <c r="B38" s="36"/>
      <c r="C38" s="37">
        <v>0</v>
      </c>
      <c r="D38" s="38">
        <v>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8" s="5" t="str">
        <f ca="1">IF(Сентябрь[[#This Row],[УСЛУГ]]&lt;&gt;"",Сентябрь[[#This Row],[УСЛУГ]]*Сентябрь[[#This Row],[Периодичность]],"")</f>
        <v/>
      </c>
    </row>
    <row r="39" spans="1:36" x14ac:dyDescent="0.25">
      <c r="A39" s="35"/>
      <c r="B39" s="36"/>
      <c r="C39" s="37">
        <v>0</v>
      </c>
      <c r="D39" s="38">
        <v>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39" s="5" t="str">
        <f ca="1">IF(Сентябрь[[#This Row],[УСЛУГ]]&lt;&gt;"",Сентябрь[[#This Row],[УСЛУГ]]*Сентябрь[[#This Row],[Периодичность]],"")</f>
        <v/>
      </c>
    </row>
    <row r="40" spans="1:36" ht="31.5" x14ac:dyDescent="0.25">
      <c r="A40" s="35" t="s">
        <v>6</v>
      </c>
      <c r="B40" s="36"/>
      <c r="C40" s="37">
        <v>0</v>
      </c>
      <c r="D40" s="38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40" s="5">
        <f ca="1">IF(Сентябрь[[#This Row],[УСЛУГ]]&lt;&gt;"",Сентябрь[[#This Row],[УСЛУГ]]*Сентябрь[[#This Row],[Периодичность]],"")</f>
        <v>0</v>
      </c>
    </row>
    <row r="41" spans="1:36" x14ac:dyDescent="0.25">
      <c r="A41" s="35"/>
      <c r="B41" s="36"/>
      <c r="C41" s="37">
        <v>0</v>
      </c>
      <c r="D41" s="38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1" s="5" t="str">
        <f ca="1">IF(Сентябрь[[#This Row],[УСЛУГ]]&lt;&gt;"",Сентябрь[[#This Row],[УСЛУГ]]*Сентябрь[[#This Row],[Периодичность]],"")</f>
        <v/>
      </c>
    </row>
    <row r="42" spans="1:36" x14ac:dyDescent="0.25">
      <c r="A42" s="35"/>
      <c r="B42" s="36"/>
      <c r="C42" s="37">
        <v>0</v>
      </c>
      <c r="D42" s="38">
        <v>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2" s="5" t="str">
        <f ca="1">IF(Сентябрь[[#This Row],[УСЛУГ]]&lt;&gt;"",Сентябрь[[#This Row],[УСЛУГ]]*Сентябрь[[#This Row],[Периодичность]],"")</f>
        <v/>
      </c>
    </row>
    <row r="43" spans="1:36" ht="47.25" x14ac:dyDescent="0.25">
      <c r="A43" s="35" t="s">
        <v>79</v>
      </c>
      <c r="B43" s="36"/>
      <c r="C43" s="37">
        <v>0</v>
      </c>
      <c r="D43" s="38">
        <v>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43" s="5">
        <f ca="1">IF(Сентябрь[[#This Row],[УСЛУГ]]&lt;&gt;"",Сентябрь[[#This Row],[УСЛУГ]]*Сентябрь[[#This Row],[Периодичность]],"")</f>
        <v>0</v>
      </c>
    </row>
    <row r="44" spans="1:36" x14ac:dyDescent="0.25">
      <c r="A44" s="35"/>
      <c r="B44" s="36"/>
      <c r="C44" s="37">
        <v>0</v>
      </c>
      <c r="D44" s="38">
        <v>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4" s="5" t="str">
        <f ca="1">IF(Сентябрь[[#This Row],[УСЛУГ]]&lt;&gt;"",Сентябрь[[#This Row],[УСЛУГ]]*Сентябрь[[#This Row],[Периодичность]],"")</f>
        <v/>
      </c>
    </row>
    <row r="45" spans="1:36" x14ac:dyDescent="0.25">
      <c r="A45" s="35"/>
      <c r="B45" s="36"/>
      <c r="C45" s="37">
        <v>0</v>
      </c>
      <c r="D45" s="38">
        <v>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5" s="5" t="str">
        <f ca="1">IF(Сентябрь[[#This Row],[УСЛУГ]]&lt;&gt;"",Сентябрь[[#This Row],[УСЛУГ]]*Сентябрь[[#This Row],[Периодичность]],"")</f>
        <v/>
      </c>
    </row>
    <row r="46" spans="1:36" x14ac:dyDescent="0.25">
      <c r="A46" s="35" t="s">
        <v>8</v>
      </c>
      <c r="B46" s="36"/>
      <c r="C46" s="37">
        <v>0</v>
      </c>
      <c r="D46" s="38">
        <v>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46" s="5">
        <f ca="1">IF(Сентябрь[[#This Row],[УСЛУГ]]&lt;&gt;"",Сентябрь[[#This Row],[УСЛУГ]]*Сентябрь[[#This Row],[Периодичность]],"")</f>
        <v>0</v>
      </c>
    </row>
    <row r="47" spans="1:36" x14ac:dyDescent="0.25">
      <c r="A47" s="35"/>
      <c r="B47" s="36"/>
      <c r="C47" s="37">
        <v>0</v>
      </c>
      <c r="D47" s="38">
        <v>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7" s="5" t="str">
        <f ca="1">IF(Сентябрь[[#This Row],[УСЛУГ]]&lt;&gt;"",Сентябрь[[#This Row],[УСЛУГ]]*Сентябрь[[#This Row],[Периодичность]],"")</f>
        <v/>
      </c>
    </row>
    <row r="48" spans="1:36" x14ac:dyDescent="0.25">
      <c r="A48" s="35"/>
      <c r="B48" s="36"/>
      <c r="C48" s="37">
        <v>0</v>
      </c>
      <c r="D48" s="38">
        <v>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48" s="5" t="str">
        <f ca="1">IF(Сентябрь[[#This Row],[УСЛУГ]]&lt;&gt;"",Сентябрь[[#This Row],[УСЛУГ]]*Сентябрь[[#This Row],[Периодичность]],"")</f>
        <v/>
      </c>
    </row>
    <row r="49" spans="1:36" ht="31.5" x14ac:dyDescent="0.25">
      <c r="A49" s="35" t="s">
        <v>9</v>
      </c>
      <c r="B49" s="36"/>
      <c r="C49" s="37">
        <v>0</v>
      </c>
      <c r="D49" s="38">
        <v>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49" s="5">
        <f ca="1">IF(Сентябрь[[#This Row],[УСЛУГ]]&lt;&gt;"",Сентябрь[[#This Row],[УСЛУГ]]*Сентябрь[[#This Row],[Периодичность]],"")</f>
        <v>0</v>
      </c>
    </row>
    <row r="50" spans="1:36" x14ac:dyDescent="0.25">
      <c r="A50" s="35"/>
      <c r="B50" s="36"/>
      <c r="C50" s="37">
        <v>0</v>
      </c>
      <c r="D50" s="38">
        <v>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0" s="5" t="str">
        <f ca="1">IF(Сентябрь[[#This Row],[УСЛУГ]]&lt;&gt;"",Сентябрь[[#This Row],[УСЛУГ]]*Сентябрь[[#This Row],[Периодичность]],"")</f>
        <v/>
      </c>
    </row>
    <row r="51" spans="1:36" x14ac:dyDescent="0.25">
      <c r="A51" s="35"/>
      <c r="B51" s="36"/>
      <c r="C51" s="37">
        <v>0</v>
      </c>
      <c r="D51" s="38">
        <v>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1" s="5" t="str">
        <f ca="1">IF(Сентябрь[[#This Row],[УСЛУГ]]&lt;&gt;"",Сентябрь[[#This Row],[УСЛУГ]]*Сентябрь[[#This Row],[Периодичность]],"")</f>
        <v/>
      </c>
    </row>
    <row r="52" spans="1:36" ht="47.25" x14ac:dyDescent="0.25">
      <c r="A52" s="35" t="s">
        <v>140</v>
      </c>
      <c r="B52" s="36"/>
      <c r="C52" s="37">
        <v>0</v>
      </c>
      <c r="D52" s="38">
        <v>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52" s="5">
        <f ca="1">IF(Сентябрь[[#This Row],[УСЛУГ]]&lt;&gt;"",Сентябрь[[#This Row],[УСЛУГ]]*Сентябрь[[#This Row],[Периодичность]],"")</f>
        <v>0</v>
      </c>
    </row>
    <row r="53" spans="1:36" x14ac:dyDescent="0.25">
      <c r="A53" s="35"/>
      <c r="B53" s="36"/>
      <c r="C53" s="37">
        <v>0</v>
      </c>
      <c r="D53" s="38">
        <v>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3" s="5" t="str">
        <f ca="1">IF(Сентябрь[[#This Row],[УСЛУГ]]&lt;&gt;"",Сентябрь[[#This Row],[УСЛУГ]]*Сентябрь[[#This Row],[Периодичность]],"")</f>
        <v/>
      </c>
    </row>
    <row r="54" spans="1:36" x14ac:dyDescent="0.25">
      <c r="A54" s="35"/>
      <c r="B54" s="36"/>
      <c r="C54" s="37">
        <v>0</v>
      </c>
      <c r="D54" s="38">
        <v>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4" s="5" t="str">
        <f ca="1">IF(Сентябрь[[#This Row],[УСЛУГ]]&lt;&gt;"",Сентябрь[[#This Row],[УСЛУГ]]*Сентябрь[[#This Row],[Периодичность]],"")</f>
        <v/>
      </c>
    </row>
    <row r="55" spans="1:36" ht="47.25" x14ac:dyDescent="0.25">
      <c r="A55" s="35" t="s">
        <v>78</v>
      </c>
      <c r="B55" s="36"/>
      <c r="C55" s="37">
        <v>0</v>
      </c>
      <c r="D55" s="38">
        <v>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55" s="5">
        <f ca="1">IF(Сентябрь[[#This Row],[УСЛУГ]]&lt;&gt;"",Сентябрь[[#This Row],[УСЛУГ]]*Сентябрь[[#This Row],[Периодичность]],"")</f>
        <v>0</v>
      </c>
    </row>
    <row r="56" spans="1:36" x14ac:dyDescent="0.25">
      <c r="A56" s="35"/>
      <c r="B56" s="36"/>
      <c r="C56" s="37">
        <v>0</v>
      </c>
      <c r="D56" s="38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6" s="5" t="str">
        <f ca="1">IF(Сентябрь[[#This Row],[УСЛУГ]]&lt;&gt;"",Сентябрь[[#This Row],[УСЛУГ]]*Сентябрь[[#This Row],[Периодичность]],"")</f>
        <v/>
      </c>
    </row>
    <row r="57" spans="1:36" x14ac:dyDescent="0.25">
      <c r="A57" s="35"/>
      <c r="B57" s="36"/>
      <c r="C57" s="37">
        <v>0</v>
      </c>
      <c r="D57" s="38">
        <v>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7" s="5" t="str">
        <f ca="1">IF(Сентябрь[[#This Row],[УСЛУГ]]&lt;&gt;"",Сентябрь[[#This Row],[УСЛУГ]]*Сентябрь[[#This Row],[Периодичность]],"")</f>
        <v/>
      </c>
    </row>
    <row r="58" spans="1:36" ht="47.25" x14ac:dyDescent="0.25">
      <c r="A58" s="35" t="s">
        <v>141</v>
      </c>
      <c r="B58" s="36"/>
      <c r="C58" s="37">
        <v>0</v>
      </c>
      <c r="D58" s="38">
        <v>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58" s="5">
        <f ca="1">IF(Сентябрь[[#This Row],[УСЛУГ]]&lt;&gt;"",Сентябрь[[#This Row],[УСЛУГ]]*Сентябрь[[#This Row],[Периодичность]],"")</f>
        <v>0</v>
      </c>
    </row>
    <row r="59" spans="1:36" x14ac:dyDescent="0.25">
      <c r="A59" s="35"/>
      <c r="B59" s="36"/>
      <c r="C59" s="37">
        <v>0</v>
      </c>
      <c r="D59" s="38">
        <v>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59" s="5" t="str">
        <f ca="1">IF(Сентябрь[[#This Row],[УСЛУГ]]&lt;&gt;"",Сентябрь[[#This Row],[УСЛУГ]]*Сентябрь[[#This Row],[Периодичность]],"")</f>
        <v/>
      </c>
    </row>
    <row r="60" spans="1:36" x14ac:dyDescent="0.25">
      <c r="A60" s="35"/>
      <c r="B60" s="36"/>
      <c r="C60" s="37">
        <v>0</v>
      </c>
      <c r="D60" s="38">
        <v>3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0" s="5" t="str">
        <f ca="1">IF(Сентябрь[[#This Row],[УСЛУГ]]&lt;&gt;"",Сентябрь[[#This Row],[УСЛУГ]]*Сентябрь[[#This Row],[Периодичность]],"")</f>
        <v/>
      </c>
    </row>
    <row r="61" spans="1:36" ht="31.5" x14ac:dyDescent="0.25">
      <c r="A61" s="35" t="s">
        <v>13</v>
      </c>
      <c r="B61" s="36"/>
      <c r="C61" s="37">
        <v>0</v>
      </c>
      <c r="D61" s="38">
        <v>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61" s="5">
        <f ca="1">IF(Сентябрь[[#This Row],[УСЛУГ]]&lt;&gt;"",Сентябрь[[#This Row],[УСЛУГ]]*Сентябрь[[#This Row],[Периодичность]],"")</f>
        <v>0</v>
      </c>
    </row>
    <row r="62" spans="1:36" x14ac:dyDescent="0.25">
      <c r="A62" s="35"/>
      <c r="B62" s="36"/>
      <c r="C62" s="37">
        <v>0</v>
      </c>
      <c r="D62" s="38">
        <v>2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2" s="5" t="str">
        <f ca="1">IF(Сентябрь[[#This Row],[УСЛУГ]]&lt;&gt;"",Сентябрь[[#This Row],[УСЛУГ]]*Сентябрь[[#This Row],[Периодичность]],"")</f>
        <v/>
      </c>
    </row>
    <row r="63" spans="1:36" x14ac:dyDescent="0.25">
      <c r="A63" s="35"/>
      <c r="B63" s="36"/>
      <c r="C63" s="37">
        <v>0</v>
      </c>
      <c r="D63" s="38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3" s="5" t="str">
        <f ca="1">IF(Сентябрь[[#This Row],[УСЛУГ]]&lt;&gt;"",Сентябрь[[#This Row],[УСЛУГ]]*Сентябрь[[#This Row],[Периодичность]],"")</f>
        <v/>
      </c>
    </row>
    <row r="64" spans="1:36" ht="31.5" x14ac:dyDescent="0.25">
      <c r="A64" s="35" t="s">
        <v>14</v>
      </c>
      <c r="B64" s="36"/>
      <c r="C64" s="37">
        <v>0</v>
      </c>
      <c r="D64" s="38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64" s="5">
        <f ca="1">IF(Сентябрь[[#This Row],[УСЛУГ]]&lt;&gt;"",Сентябрь[[#This Row],[УСЛУГ]]*Сентябрь[[#This Row],[Периодичность]],"")</f>
        <v>0</v>
      </c>
    </row>
    <row r="65" spans="1:36" x14ac:dyDescent="0.25">
      <c r="A65" s="35"/>
      <c r="B65" s="36"/>
      <c r="C65" s="37">
        <v>0</v>
      </c>
      <c r="D65" s="38">
        <v>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5" s="5" t="str">
        <f ca="1">IF(Сентябрь[[#This Row],[УСЛУГ]]&lt;&gt;"",Сентябрь[[#This Row],[УСЛУГ]]*Сентябрь[[#This Row],[Периодичность]],"")</f>
        <v/>
      </c>
    </row>
    <row r="66" spans="1:36" x14ac:dyDescent="0.25">
      <c r="A66" s="35"/>
      <c r="B66" s="36"/>
      <c r="C66" s="37">
        <v>0</v>
      </c>
      <c r="D66" s="38">
        <v>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6" s="5" t="str">
        <f ca="1">IF(Сентябрь[[#This Row],[УСЛУГ]]&lt;&gt;"",Сентябрь[[#This Row],[УСЛУГ]]*Сентябрь[[#This Row],[Периодичность]],"")</f>
        <v/>
      </c>
    </row>
    <row r="67" spans="1:36" ht="31.5" x14ac:dyDescent="0.25">
      <c r="A67" s="35" t="s">
        <v>15</v>
      </c>
      <c r="B67" s="36"/>
      <c r="C67" s="37">
        <v>0</v>
      </c>
      <c r="D67" s="38">
        <v>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67" s="5">
        <f ca="1">IF(Сентябрь[[#This Row],[УСЛУГ]]&lt;&gt;"",Сентябрь[[#This Row],[УСЛУГ]]*Сентябрь[[#This Row],[Периодичность]],"")</f>
        <v>0</v>
      </c>
    </row>
    <row r="68" spans="1:36" x14ac:dyDescent="0.25">
      <c r="A68" s="35"/>
      <c r="B68" s="36"/>
      <c r="C68" s="37">
        <v>0</v>
      </c>
      <c r="D68" s="38">
        <v>2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8" s="5" t="str">
        <f ca="1">IF(Сентябрь[[#This Row],[УСЛУГ]]&lt;&gt;"",Сентябрь[[#This Row],[УСЛУГ]]*Сентябрь[[#This Row],[Периодичность]],"")</f>
        <v/>
      </c>
    </row>
    <row r="69" spans="1:36" x14ac:dyDescent="0.25">
      <c r="A69" s="35"/>
      <c r="B69" s="36"/>
      <c r="C69" s="37">
        <v>0</v>
      </c>
      <c r="D69" s="38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69" s="5" t="str">
        <f ca="1">IF(Сентябрь[[#This Row],[УСЛУГ]]&lt;&gt;"",Сентябрь[[#This Row],[УСЛУГ]]*Сентябрь[[#This Row],[Периодичность]],"")</f>
        <v/>
      </c>
    </row>
    <row r="70" spans="1:36" x14ac:dyDescent="0.25">
      <c r="A70" s="35" t="s">
        <v>16</v>
      </c>
      <c r="B70" s="36"/>
      <c r="C70" s="37">
        <v>0</v>
      </c>
      <c r="D70" s="38">
        <v>1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70" s="5">
        <f ca="1">IF(Сентябрь[[#This Row],[УСЛУГ]]&lt;&gt;"",Сентябрь[[#This Row],[УСЛУГ]]*Сентябрь[[#This Row],[Периодичность]],"")</f>
        <v>0</v>
      </c>
    </row>
    <row r="71" spans="1:36" x14ac:dyDescent="0.25">
      <c r="A71" s="35"/>
      <c r="B71" s="36"/>
      <c r="C71" s="37">
        <v>0</v>
      </c>
      <c r="D71" s="38">
        <v>2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1" s="5" t="str">
        <f ca="1">IF(Сентябрь[[#This Row],[УСЛУГ]]&lt;&gt;"",Сентябрь[[#This Row],[УСЛУГ]]*Сентябрь[[#This Row],[Периодичность]],"")</f>
        <v/>
      </c>
    </row>
    <row r="72" spans="1:36" x14ac:dyDescent="0.25">
      <c r="A72" s="35"/>
      <c r="B72" s="36"/>
      <c r="C72" s="37">
        <v>0</v>
      </c>
      <c r="D72" s="38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2" s="5" t="str">
        <f ca="1">IF(Сентябрь[[#This Row],[УСЛУГ]]&lt;&gt;"",Сентябрь[[#This Row],[УСЛУГ]]*Сентябрь[[#This Row],[Периодичность]],"")</f>
        <v/>
      </c>
    </row>
    <row r="73" spans="1:36" ht="47.25" x14ac:dyDescent="0.25">
      <c r="A73" s="35" t="s">
        <v>142</v>
      </c>
      <c r="B73" s="36"/>
      <c r="C73" s="37">
        <v>0</v>
      </c>
      <c r="D73" s="38">
        <v>1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73" s="5">
        <f ca="1">IF(Сентябрь[[#This Row],[УСЛУГ]]&lt;&gt;"",Сентябрь[[#This Row],[УСЛУГ]]*Сентябрь[[#This Row],[Периодичность]],"")</f>
        <v>0</v>
      </c>
    </row>
    <row r="74" spans="1:36" x14ac:dyDescent="0.25">
      <c r="A74" s="35"/>
      <c r="B74" s="36"/>
      <c r="C74" s="37">
        <v>0</v>
      </c>
      <c r="D74" s="38">
        <v>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4" s="5" t="str">
        <f ca="1">IF(Сентябрь[[#This Row],[УСЛУГ]]&lt;&gt;"",Сентябрь[[#This Row],[УСЛУГ]]*Сентябрь[[#This Row],[Периодичность]],"")</f>
        <v/>
      </c>
    </row>
    <row r="75" spans="1:36" x14ac:dyDescent="0.25">
      <c r="A75" s="35"/>
      <c r="B75" s="36"/>
      <c r="C75" s="37">
        <v>0</v>
      </c>
      <c r="D75" s="38">
        <v>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5" s="5" t="str">
        <f ca="1">IF(Сентябрь[[#This Row],[УСЛУГ]]&lt;&gt;"",Сентябрь[[#This Row],[УСЛУГ]]*Сентябрь[[#This Row],[Периодичность]],"")</f>
        <v/>
      </c>
    </row>
    <row r="76" spans="1:36" ht="47.25" x14ac:dyDescent="0.25">
      <c r="A76" s="35" t="s">
        <v>143</v>
      </c>
      <c r="B76" s="36"/>
      <c r="C76" s="37">
        <v>0</v>
      </c>
      <c r="D76" s="38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76" s="5">
        <f ca="1">IF(Сентябрь[[#This Row],[УСЛУГ]]&lt;&gt;"",Сентябрь[[#This Row],[УСЛУГ]]*Сентябрь[[#This Row],[Периодичность]],"")</f>
        <v>0</v>
      </c>
    </row>
    <row r="77" spans="1:36" x14ac:dyDescent="0.25">
      <c r="A77" s="35"/>
      <c r="B77" s="36"/>
      <c r="C77" s="37">
        <v>0</v>
      </c>
      <c r="D77" s="38">
        <v>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7" s="5" t="str">
        <f ca="1">IF(Сентябрь[[#This Row],[УСЛУГ]]&lt;&gt;"",Сентябрь[[#This Row],[УСЛУГ]]*Сентябрь[[#This Row],[Периодичность]],"")</f>
        <v/>
      </c>
    </row>
    <row r="78" spans="1:36" x14ac:dyDescent="0.25">
      <c r="A78" s="35"/>
      <c r="B78" s="36"/>
      <c r="C78" s="37">
        <v>0</v>
      </c>
      <c r="D78" s="38">
        <v>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78" s="5" t="str">
        <f ca="1">IF(Сентябрь[[#This Row],[УСЛУГ]]&lt;&gt;"",Сентябрь[[#This Row],[УСЛУГ]]*Сентябрь[[#This Row],[Периодичность]],"")</f>
        <v/>
      </c>
    </row>
    <row r="79" spans="1:36" x14ac:dyDescent="0.25">
      <c r="A79" s="35" t="s">
        <v>19</v>
      </c>
      <c r="B79" s="36"/>
      <c r="C79" s="37">
        <v>0</v>
      </c>
      <c r="D79" s="38">
        <v>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79" s="5">
        <f ca="1">IF(Сентябрь[[#This Row],[УСЛУГ]]&lt;&gt;"",Сентябрь[[#This Row],[УСЛУГ]]*Сентябрь[[#This Row],[Периодичность]],"")</f>
        <v>0</v>
      </c>
    </row>
    <row r="80" spans="1:36" x14ac:dyDescent="0.25">
      <c r="A80" s="35"/>
      <c r="B80" s="36"/>
      <c r="C80" s="37">
        <v>0</v>
      </c>
      <c r="D80" s="38">
        <v>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0" s="5" t="str">
        <f ca="1">IF(Сентябрь[[#This Row],[УСЛУГ]]&lt;&gt;"",Сентябрь[[#This Row],[УСЛУГ]]*Сентябрь[[#This Row],[Периодичность]],"")</f>
        <v/>
      </c>
    </row>
    <row r="81" spans="1:36" x14ac:dyDescent="0.25">
      <c r="A81" s="35"/>
      <c r="B81" s="36"/>
      <c r="C81" s="37">
        <v>0</v>
      </c>
      <c r="D81" s="38">
        <v>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1" s="5" t="str">
        <f ca="1">IF(Сентябрь[[#This Row],[УСЛУГ]]&lt;&gt;"",Сентябрь[[#This Row],[УСЛУГ]]*Сентябрь[[#This Row],[Периодичность]],"")</f>
        <v/>
      </c>
    </row>
    <row r="82" spans="1:36" ht="31.5" x14ac:dyDescent="0.25">
      <c r="A82" s="35" t="s">
        <v>20</v>
      </c>
      <c r="B82" s="36"/>
      <c r="C82" s="37">
        <v>0</v>
      </c>
      <c r="D82" s="38">
        <v>1</v>
      </c>
      <c r="E82" s="41"/>
      <c r="F82" s="43"/>
      <c r="G82" s="41"/>
      <c r="H82" s="41"/>
      <c r="I82" s="41"/>
      <c r="J82" s="41"/>
      <c r="K82" s="41"/>
      <c r="L82" s="41"/>
      <c r="M82" s="43"/>
      <c r="N82" s="41"/>
      <c r="O82" s="41"/>
      <c r="P82" s="41"/>
      <c r="Q82" s="41"/>
      <c r="R82" s="41"/>
      <c r="S82" s="41"/>
      <c r="T82" s="43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3"/>
      <c r="AI82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82" s="42">
        <f ca="1">IF(Сентябрь[[#This Row],[УСЛУГ]]&lt;&gt;"",Сентябрь[[#This Row],[УСЛУГ]]*Сентябрь[[#This Row],[Периодичность]],"")</f>
        <v>0</v>
      </c>
    </row>
    <row r="83" spans="1:36" x14ac:dyDescent="0.25">
      <c r="A83" s="35"/>
      <c r="B83" s="36"/>
      <c r="C83" s="37">
        <v>0</v>
      </c>
      <c r="D83" s="38">
        <v>2</v>
      </c>
      <c r="E83" s="41"/>
      <c r="F83" s="43"/>
      <c r="G83" s="41"/>
      <c r="H83" s="41"/>
      <c r="I83" s="41"/>
      <c r="J83" s="41"/>
      <c r="K83" s="41"/>
      <c r="L83" s="41"/>
      <c r="M83" s="43"/>
      <c r="N83" s="41"/>
      <c r="O83" s="41"/>
      <c r="P83" s="41"/>
      <c r="Q83" s="41"/>
      <c r="R83" s="41"/>
      <c r="S83" s="41"/>
      <c r="T83" s="43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3"/>
      <c r="AI8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3" s="42" t="str">
        <f ca="1">IF(Сентябрь[[#This Row],[УСЛУГ]]&lt;&gt;"",Сентябрь[[#This Row],[УСЛУГ]]*Сентябрь[[#This Row],[Периодичность]],"")</f>
        <v/>
      </c>
    </row>
    <row r="84" spans="1:36" x14ac:dyDescent="0.25">
      <c r="A84" s="35"/>
      <c r="B84" s="36"/>
      <c r="C84" s="37">
        <v>0</v>
      </c>
      <c r="D84" s="38">
        <v>3</v>
      </c>
      <c r="E84" s="41"/>
      <c r="F84" s="43"/>
      <c r="G84" s="41"/>
      <c r="H84" s="41"/>
      <c r="I84" s="41"/>
      <c r="J84" s="41"/>
      <c r="K84" s="41"/>
      <c r="L84" s="41"/>
      <c r="M84" s="43"/>
      <c r="N84" s="41"/>
      <c r="O84" s="41"/>
      <c r="P84" s="41"/>
      <c r="Q84" s="41"/>
      <c r="R84" s="41"/>
      <c r="S84" s="41"/>
      <c r="T84" s="43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3"/>
      <c r="AI8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4" s="42" t="str">
        <f ca="1">IF(Сентябрь[[#This Row],[УСЛУГ]]&lt;&gt;"",Сентябрь[[#This Row],[УСЛУГ]]*Сентябрь[[#This Row],[Периодичность]],"")</f>
        <v/>
      </c>
    </row>
    <row r="85" spans="1:36" ht="47.25" x14ac:dyDescent="0.25">
      <c r="A85" s="35" t="s">
        <v>144</v>
      </c>
      <c r="B85" s="36"/>
      <c r="C85" s="37">
        <v>0</v>
      </c>
      <c r="D85" s="38">
        <v>1</v>
      </c>
      <c r="E85" s="41"/>
      <c r="F85" s="43"/>
      <c r="G85" s="41"/>
      <c r="H85" s="41"/>
      <c r="I85" s="41"/>
      <c r="J85" s="41"/>
      <c r="K85" s="41"/>
      <c r="L85" s="41"/>
      <c r="M85" s="43"/>
      <c r="N85" s="41"/>
      <c r="O85" s="41"/>
      <c r="P85" s="41"/>
      <c r="Q85" s="41"/>
      <c r="R85" s="41"/>
      <c r="S85" s="41"/>
      <c r="T85" s="43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3"/>
      <c r="AI85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85" s="42">
        <f ca="1">IF(Сентябрь[[#This Row],[УСЛУГ]]&lt;&gt;"",Сентябрь[[#This Row],[УСЛУГ]]*Сентябрь[[#This Row],[Периодичность]],"")</f>
        <v>0</v>
      </c>
    </row>
    <row r="86" spans="1:36" x14ac:dyDescent="0.25">
      <c r="A86" s="35"/>
      <c r="B86" s="36"/>
      <c r="C86" s="37">
        <v>0</v>
      </c>
      <c r="D86" s="38">
        <v>2</v>
      </c>
      <c r="E86" s="41"/>
      <c r="F86" s="43"/>
      <c r="G86" s="41"/>
      <c r="H86" s="41"/>
      <c r="I86" s="41"/>
      <c r="J86" s="41"/>
      <c r="K86" s="41"/>
      <c r="L86" s="41"/>
      <c r="M86" s="43"/>
      <c r="N86" s="41"/>
      <c r="O86" s="41"/>
      <c r="P86" s="41"/>
      <c r="Q86" s="41"/>
      <c r="R86" s="41"/>
      <c r="S86" s="41"/>
      <c r="T86" s="43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3"/>
      <c r="AI8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6" s="42" t="str">
        <f ca="1">IF(Сентябрь[[#This Row],[УСЛУГ]]&lt;&gt;"",Сентябрь[[#This Row],[УСЛУГ]]*Сентябрь[[#This Row],[Периодичность]],"")</f>
        <v/>
      </c>
    </row>
    <row r="87" spans="1:36" x14ac:dyDescent="0.25">
      <c r="A87" s="35"/>
      <c r="B87" s="36"/>
      <c r="C87" s="37">
        <v>0</v>
      </c>
      <c r="D87" s="38">
        <v>3</v>
      </c>
      <c r="E87" s="41"/>
      <c r="F87" s="43"/>
      <c r="G87" s="41"/>
      <c r="H87" s="41"/>
      <c r="I87" s="41"/>
      <c r="J87" s="41"/>
      <c r="K87" s="41"/>
      <c r="L87" s="41"/>
      <c r="M87" s="43"/>
      <c r="N87" s="41"/>
      <c r="O87" s="41"/>
      <c r="P87" s="41"/>
      <c r="Q87" s="41"/>
      <c r="R87" s="41"/>
      <c r="S87" s="41"/>
      <c r="T87" s="43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3"/>
      <c r="AI8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7" s="42" t="str">
        <f ca="1">IF(Сентябрь[[#This Row],[УСЛУГ]]&lt;&gt;"",Сентябрь[[#This Row],[УСЛУГ]]*Сентябрь[[#This Row],[Периодичность]],"")</f>
        <v/>
      </c>
    </row>
    <row r="88" spans="1:36" ht="47.25" x14ac:dyDescent="0.25">
      <c r="A88" s="35" t="s">
        <v>145</v>
      </c>
      <c r="B88" s="36"/>
      <c r="C88" s="37">
        <v>0</v>
      </c>
      <c r="D88" s="38">
        <v>1</v>
      </c>
      <c r="E88" s="41"/>
      <c r="F88" s="43"/>
      <c r="G88" s="41"/>
      <c r="H88" s="41"/>
      <c r="I88" s="41"/>
      <c r="J88" s="41"/>
      <c r="K88" s="41"/>
      <c r="L88" s="41"/>
      <c r="M88" s="43"/>
      <c r="N88" s="41"/>
      <c r="O88" s="41"/>
      <c r="P88" s="41"/>
      <c r="Q88" s="41"/>
      <c r="R88" s="41"/>
      <c r="S88" s="41"/>
      <c r="T88" s="43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3"/>
      <c r="AI88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88" s="42">
        <f ca="1">IF(Сентябрь[[#This Row],[УСЛУГ]]&lt;&gt;"",Сентябрь[[#This Row],[УСЛУГ]]*Сентябрь[[#This Row],[Периодичность]],"")</f>
        <v>0</v>
      </c>
    </row>
    <row r="89" spans="1:36" x14ac:dyDescent="0.25">
      <c r="A89" s="35"/>
      <c r="B89" s="36"/>
      <c r="C89" s="37">
        <v>0</v>
      </c>
      <c r="D89" s="38">
        <v>2</v>
      </c>
      <c r="E89" s="41"/>
      <c r="F89" s="43"/>
      <c r="G89" s="41"/>
      <c r="H89" s="41"/>
      <c r="I89" s="41"/>
      <c r="J89" s="41"/>
      <c r="K89" s="41"/>
      <c r="L89" s="41"/>
      <c r="M89" s="43"/>
      <c r="N89" s="41"/>
      <c r="O89" s="41"/>
      <c r="P89" s="41"/>
      <c r="Q89" s="41"/>
      <c r="R89" s="41"/>
      <c r="S89" s="41"/>
      <c r="T89" s="43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3"/>
      <c r="AI8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89" s="42" t="str">
        <f ca="1">IF(Сентябрь[[#This Row],[УСЛУГ]]&lt;&gt;"",Сентябрь[[#This Row],[УСЛУГ]]*Сентябрь[[#This Row],[Периодичность]],"")</f>
        <v/>
      </c>
    </row>
    <row r="90" spans="1:36" x14ac:dyDescent="0.25">
      <c r="A90" s="35"/>
      <c r="B90" s="36"/>
      <c r="C90" s="37">
        <v>0</v>
      </c>
      <c r="D90" s="38">
        <v>3</v>
      </c>
      <c r="E90" s="41"/>
      <c r="F90" s="43"/>
      <c r="G90" s="41"/>
      <c r="H90" s="41"/>
      <c r="I90" s="41"/>
      <c r="J90" s="41"/>
      <c r="K90" s="41"/>
      <c r="L90" s="41"/>
      <c r="M90" s="43"/>
      <c r="N90" s="41"/>
      <c r="O90" s="41"/>
      <c r="P90" s="41"/>
      <c r="Q90" s="41"/>
      <c r="R90" s="41"/>
      <c r="S90" s="41"/>
      <c r="T90" s="43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3"/>
      <c r="AI9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0" s="42" t="str">
        <f ca="1">IF(Сентябрь[[#This Row],[УСЛУГ]]&lt;&gt;"",Сентябрь[[#This Row],[УСЛУГ]]*Сентябрь[[#This Row],[Периодичность]],"")</f>
        <v/>
      </c>
    </row>
    <row r="91" spans="1:36" ht="31.5" x14ac:dyDescent="0.25">
      <c r="A91" s="35" t="s">
        <v>23</v>
      </c>
      <c r="B91" s="36"/>
      <c r="C91" s="37">
        <v>0</v>
      </c>
      <c r="D91" s="38">
        <v>1</v>
      </c>
      <c r="E91" s="41"/>
      <c r="F91" s="43"/>
      <c r="G91" s="41"/>
      <c r="H91" s="41"/>
      <c r="I91" s="41"/>
      <c r="J91" s="41"/>
      <c r="K91" s="41"/>
      <c r="L91" s="41"/>
      <c r="M91" s="43"/>
      <c r="N91" s="41"/>
      <c r="O91" s="41"/>
      <c r="P91" s="41"/>
      <c r="Q91" s="41"/>
      <c r="R91" s="41"/>
      <c r="S91" s="41"/>
      <c r="T91" s="43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3"/>
      <c r="AI91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91" s="42">
        <f ca="1">IF(Сентябрь[[#This Row],[УСЛУГ]]&lt;&gt;"",Сентябрь[[#This Row],[УСЛУГ]]*Сентябрь[[#This Row],[Периодичность]],"")</f>
        <v>0</v>
      </c>
    </row>
    <row r="92" spans="1:36" x14ac:dyDescent="0.25">
      <c r="A92" s="35"/>
      <c r="B92" s="36"/>
      <c r="C92" s="37">
        <v>0</v>
      </c>
      <c r="D92" s="38">
        <v>2</v>
      </c>
      <c r="E92" s="41"/>
      <c r="F92" s="43"/>
      <c r="G92" s="41"/>
      <c r="H92" s="41"/>
      <c r="I92" s="41"/>
      <c r="J92" s="41"/>
      <c r="K92" s="41"/>
      <c r="L92" s="41"/>
      <c r="M92" s="43"/>
      <c r="N92" s="41"/>
      <c r="O92" s="41"/>
      <c r="P92" s="41"/>
      <c r="Q92" s="41"/>
      <c r="R92" s="41"/>
      <c r="S92" s="41"/>
      <c r="T92" s="43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3"/>
      <c r="AI9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2" s="42" t="str">
        <f ca="1">IF(Сентябрь[[#This Row],[УСЛУГ]]&lt;&gt;"",Сентябрь[[#This Row],[УСЛУГ]]*Сентябрь[[#This Row],[Периодичность]],"")</f>
        <v/>
      </c>
    </row>
    <row r="93" spans="1:36" x14ac:dyDescent="0.25">
      <c r="A93" s="35"/>
      <c r="B93" s="36"/>
      <c r="C93" s="37">
        <v>0</v>
      </c>
      <c r="D93" s="38">
        <v>3</v>
      </c>
      <c r="E93" s="41"/>
      <c r="F93" s="43"/>
      <c r="G93" s="41"/>
      <c r="H93" s="41"/>
      <c r="I93" s="41"/>
      <c r="J93" s="41"/>
      <c r="K93" s="41"/>
      <c r="L93" s="41"/>
      <c r="M93" s="43"/>
      <c r="N93" s="41"/>
      <c r="O93" s="41"/>
      <c r="P93" s="41"/>
      <c r="Q93" s="41"/>
      <c r="R93" s="41"/>
      <c r="S93" s="41"/>
      <c r="T93" s="43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3"/>
      <c r="AI9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3" s="42" t="str">
        <f ca="1">IF(Сентябрь[[#This Row],[УСЛУГ]]&lt;&gt;"",Сентябрь[[#This Row],[УСЛУГ]]*Сентябрь[[#This Row],[Периодичность]],"")</f>
        <v/>
      </c>
    </row>
    <row r="94" spans="1:36" ht="31.5" x14ac:dyDescent="0.25">
      <c r="A94" s="35" t="s">
        <v>24</v>
      </c>
      <c r="B94" s="36"/>
      <c r="C94" s="37">
        <v>0</v>
      </c>
      <c r="D94" s="38">
        <v>1</v>
      </c>
      <c r="E94" s="41"/>
      <c r="F94" s="43"/>
      <c r="G94" s="41"/>
      <c r="H94" s="41"/>
      <c r="I94" s="41"/>
      <c r="J94" s="41"/>
      <c r="K94" s="41"/>
      <c r="L94" s="41"/>
      <c r="M94" s="43"/>
      <c r="N94" s="41"/>
      <c r="O94" s="41"/>
      <c r="P94" s="41"/>
      <c r="Q94" s="41"/>
      <c r="R94" s="41"/>
      <c r="S94" s="41"/>
      <c r="T94" s="43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3"/>
      <c r="AI94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94" s="42">
        <f ca="1">IF(Сентябрь[[#This Row],[УСЛУГ]]&lt;&gt;"",Сентябрь[[#This Row],[УСЛУГ]]*Сентябрь[[#This Row],[Периодичность]],"")</f>
        <v>0</v>
      </c>
    </row>
    <row r="95" spans="1:36" x14ac:dyDescent="0.25">
      <c r="A95" s="35"/>
      <c r="B95" s="36"/>
      <c r="C95" s="37">
        <v>0</v>
      </c>
      <c r="D95" s="38">
        <v>2</v>
      </c>
      <c r="E95" s="41"/>
      <c r="F95" s="43"/>
      <c r="G95" s="41"/>
      <c r="H95" s="41"/>
      <c r="I95" s="41"/>
      <c r="J95" s="41"/>
      <c r="K95" s="41"/>
      <c r="L95" s="41"/>
      <c r="M95" s="43"/>
      <c r="N95" s="41"/>
      <c r="O95" s="41"/>
      <c r="P95" s="41"/>
      <c r="Q95" s="41"/>
      <c r="R95" s="41"/>
      <c r="S95" s="41"/>
      <c r="T95" s="43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3"/>
      <c r="AI9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5" s="42" t="str">
        <f ca="1">IF(Сентябрь[[#This Row],[УСЛУГ]]&lt;&gt;"",Сентябрь[[#This Row],[УСЛУГ]]*Сентябрь[[#This Row],[Периодичность]],"")</f>
        <v/>
      </c>
    </row>
    <row r="96" spans="1:36" x14ac:dyDescent="0.25">
      <c r="A96" s="35"/>
      <c r="B96" s="36"/>
      <c r="C96" s="37">
        <v>0</v>
      </c>
      <c r="D96" s="38">
        <v>3</v>
      </c>
      <c r="E96" s="41"/>
      <c r="F96" s="43"/>
      <c r="G96" s="41"/>
      <c r="H96" s="41"/>
      <c r="I96" s="41"/>
      <c r="J96" s="41"/>
      <c r="K96" s="41"/>
      <c r="L96" s="41"/>
      <c r="M96" s="43"/>
      <c r="N96" s="41"/>
      <c r="O96" s="41"/>
      <c r="P96" s="41"/>
      <c r="Q96" s="41"/>
      <c r="R96" s="41"/>
      <c r="S96" s="41"/>
      <c r="T96" s="43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3"/>
      <c r="AI9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6" s="42" t="str">
        <f ca="1">IF(Сентябрь[[#This Row],[УСЛУГ]]&lt;&gt;"",Сентябрь[[#This Row],[УСЛУГ]]*Сентябрь[[#This Row],[Периодичность]],"")</f>
        <v/>
      </c>
    </row>
    <row r="97" spans="1:36" ht="31.5" x14ac:dyDescent="0.25">
      <c r="A97" s="35" t="s">
        <v>25</v>
      </c>
      <c r="B97" s="36"/>
      <c r="C97" s="37">
        <v>0</v>
      </c>
      <c r="D97" s="38">
        <v>1</v>
      </c>
      <c r="E97" s="41"/>
      <c r="F97" s="43"/>
      <c r="G97" s="41"/>
      <c r="H97" s="41"/>
      <c r="I97" s="41"/>
      <c r="J97" s="41"/>
      <c r="K97" s="41"/>
      <c r="L97" s="41"/>
      <c r="M97" s="43"/>
      <c r="N97" s="41"/>
      <c r="O97" s="41"/>
      <c r="P97" s="41"/>
      <c r="Q97" s="41"/>
      <c r="R97" s="41"/>
      <c r="S97" s="41"/>
      <c r="T97" s="43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3"/>
      <c r="AI97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97" s="42">
        <f ca="1">IF(Сентябрь[[#This Row],[УСЛУГ]]&lt;&gt;"",Сентябрь[[#This Row],[УСЛУГ]]*Сентябрь[[#This Row],[Периодичность]],"")</f>
        <v>0</v>
      </c>
    </row>
    <row r="98" spans="1:36" x14ac:dyDescent="0.25">
      <c r="A98" s="35"/>
      <c r="B98" s="36"/>
      <c r="C98" s="37">
        <v>0</v>
      </c>
      <c r="D98" s="38">
        <v>2</v>
      </c>
      <c r="E98" s="41"/>
      <c r="F98" s="43"/>
      <c r="G98" s="41"/>
      <c r="H98" s="41"/>
      <c r="I98" s="41"/>
      <c r="J98" s="41"/>
      <c r="K98" s="41"/>
      <c r="L98" s="41"/>
      <c r="M98" s="43"/>
      <c r="N98" s="41"/>
      <c r="O98" s="41"/>
      <c r="P98" s="41"/>
      <c r="Q98" s="41"/>
      <c r="R98" s="41"/>
      <c r="S98" s="41"/>
      <c r="T98" s="43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3"/>
      <c r="AI9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8" s="42" t="str">
        <f ca="1">IF(Сентябрь[[#This Row],[УСЛУГ]]&lt;&gt;"",Сентябрь[[#This Row],[УСЛУГ]]*Сентябрь[[#This Row],[Периодичность]],"")</f>
        <v/>
      </c>
    </row>
    <row r="99" spans="1:36" x14ac:dyDescent="0.25">
      <c r="A99" s="35"/>
      <c r="B99" s="36"/>
      <c r="C99" s="37">
        <v>0</v>
      </c>
      <c r="D99" s="38">
        <v>3</v>
      </c>
      <c r="E99" s="41"/>
      <c r="F99" s="43"/>
      <c r="G99" s="41"/>
      <c r="H99" s="41"/>
      <c r="I99" s="41"/>
      <c r="J99" s="41"/>
      <c r="K99" s="41"/>
      <c r="L99" s="41"/>
      <c r="M99" s="43"/>
      <c r="N99" s="41"/>
      <c r="O99" s="41"/>
      <c r="P99" s="41"/>
      <c r="Q99" s="41"/>
      <c r="R99" s="41"/>
      <c r="S99" s="41"/>
      <c r="T99" s="43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3"/>
      <c r="AI9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99" s="42" t="str">
        <f ca="1">IF(Сентябрь[[#This Row],[УСЛУГ]]&lt;&gt;"",Сентябрь[[#This Row],[УСЛУГ]]*Сентябрь[[#This Row],[Периодичность]],"")</f>
        <v/>
      </c>
    </row>
    <row r="100" spans="1:36" ht="47.25" x14ac:dyDescent="0.25">
      <c r="A100" s="35" t="s">
        <v>26</v>
      </c>
      <c r="B100" s="36"/>
      <c r="C100" s="37">
        <v>0</v>
      </c>
      <c r="D100" s="38">
        <v>1</v>
      </c>
      <c r="E100" s="41"/>
      <c r="F100" s="43"/>
      <c r="G100" s="41"/>
      <c r="H100" s="41"/>
      <c r="I100" s="41"/>
      <c r="J100" s="41"/>
      <c r="K100" s="41"/>
      <c r="L100" s="41"/>
      <c r="M100" s="43"/>
      <c r="N100" s="41"/>
      <c r="O100" s="41"/>
      <c r="P100" s="41"/>
      <c r="Q100" s="41"/>
      <c r="R100" s="41"/>
      <c r="S100" s="41"/>
      <c r="T100" s="43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3"/>
      <c r="AI100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00" s="42">
        <f ca="1">IF(Сентябрь[[#This Row],[УСЛУГ]]&lt;&gt;"",Сентябрь[[#This Row],[УСЛУГ]]*Сентябрь[[#This Row],[Периодичность]],"")</f>
        <v>0</v>
      </c>
    </row>
    <row r="101" spans="1:36" x14ac:dyDescent="0.25">
      <c r="A101" s="35"/>
      <c r="B101" s="36"/>
      <c r="C101" s="37">
        <v>0</v>
      </c>
      <c r="D101" s="38">
        <v>2</v>
      </c>
      <c r="E101" s="41"/>
      <c r="F101" s="43"/>
      <c r="G101" s="41"/>
      <c r="H101" s="41"/>
      <c r="I101" s="41"/>
      <c r="J101" s="41"/>
      <c r="K101" s="41"/>
      <c r="L101" s="41"/>
      <c r="M101" s="43"/>
      <c r="N101" s="41"/>
      <c r="O101" s="41"/>
      <c r="P101" s="41"/>
      <c r="Q101" s="41"/>
      <c r="R101" s="41"/>
      <c r="S101" s="41"/>
      <c r="T101" s="43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3"/>
      <c r="AI10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1" s="42" t="str">
        <f ca="1">IF(Сентябрь[[#This Row],[УСЛУГ]]&lt;&gt;"",Сентябрь[[#This Row],[УСЛУГ]]*Сентябрь[[#This Row],[Периодичность]],"")</f>
        <v/>
      </c>
    </row>
    <row r="102" spans="1:36" x14ac:dyDescent="0.25">
      <c r="A102" s="35"/>
      <c r="B102" s="36"/>
      <c r="C102" s="37">
        <v>0</v>
      </c>
      <c r="D102" s="38">
        <v>3</v>
      </c>
      <c r="E102" s="41"/>
      <c r="F102" s="43"/>
      <c r="G102" s="41"/>
      <c r="H102" s="41"/>
      <c r="I102" s="41"/>
      <c r="J102" s="41"/>
      <c r="K102" s="41"/>
      <c r="L102" s="41"/>
      <c r="M102" s="43"/>
      <c r="N102" s="41"/>
      <c r="O102" s="41"/>
      <c r="P102" s="41"/>
      <c r="Q102" s="41"/>
      <c r="R102" s="41"/>
      <c r="S102" s="41"/>
      <c r="T102" s="43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3"/>
      <c r="AI10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2" s="42" t="str">
        <f ca="1">IF(Сентябрь[[#This Row],[УСЛУГ]]&lt;&gt;"",Сентябрь[[#This Row],[УСЛУГ]]*Сентябрь[[#This Row],[Периодичность]],"")</f>
        <v/>
      </c>
    </row>
    <row r="103" spans="1:36" ht="31.5" x14ac:dyDescent="0.25">
      <c r="A103" s="35" t="s">
        <v>27</v>
      </c>
      <c r="B103" s="36"/>
      <c r="C103" s="37">
        <v>0</v>
      </c>
      <c r="D103" s="38">
        <v>1</v>
      </c>
      <c r="E103" s="41"/>
      <c r="F103" s="43"/>
      <c r="G103" s="41"/>
      <c r="H103" s="41"/>
      <c r="I103" s="41"/>
      <c r="J103" s="41"/>
      <c r="K103" s="41"/>
      <c r="L103" s="41"/>
      <c r="M103" s="43"/>
      <c r="N103" s="41"/>
      <c r="O103" s="41"/>
      <c r="P103" s="41"/>
      <c r="Q103" s="41"/>
      <c r="R103" s="41"/>
      <c r="S103" s="41"/>
      <c r="T103" s="43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3"/>
      <c r="AI103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03" s="42">
        <f ca="1">IF(Сентябрь[[#This Row],[УСЛУГ]]&lt;&gt;"",Сентябрь[[#This Row],[УСЛУГ]]*Сентябрь[[#This Row],[Периодичность]],"")</f>
        <v>0</v>
      </c>
    </row>
    <row r="104" spans="1:36" x14ac:dyDescent="0.25">
      <c r="A104" s="35"/>
      <c r="B104" s="36"/>
      <c r="C104" s="37">
        <v>0</v>
      </c>
      <c r="D104" s="38">
        <v>2</v>
      </c>
      <c r="E104" s="41"/>
      <c r="F104" s="43"/>
      <c r="G104" s="41"/>
      <c r="H104" s="41"/>
      <c r="I104" s="41"/>
      <c r="J104" s="41"/>
      <c r="K104" s="41"/>
      <c r="L104" s="41"/>
      <c r="M104" s="43"/>
      <c r="N104" s="41"/>
      <c r="O104" s="41"/>
      <c r="P104" s="41"/>
      <c r="Q104" s="41"/>
      <c r="R104" s="41"/>
      <c r="S104" s="41"/>
      <c r="T104" s="43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3"/>
      <c r="AI10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4" s="42" t="str">
        <f ca="1">IF(Сентябрь[[#This Row],[УСЛУГ]]&lt;&gt;"",Сентябрь[[#This Row],[УСЛУГ]]*Сентябрь[[#This Row],[Периодичность]],"")</f>
        <v/>
      </c>
    </row>
    <row r="105" spans="1:36" x14ac:dyDescent="0.25">
      <c r="A105" s="35"/>
      <c r="B105" s="36"/>
      <c r="C105" s="37">
        <v>0</v>
      </c>
      <c r="D105" s="38">
        <v>3</v>
      </c>
      <c r="E105" s="41"/>
      <c r="F105" s="43"/>
      <c r="G105" s="41"/>
      <c r="H105" s="41"/>
      <c r="I105" s="41"/>
      <c r="J105" s="41"/>
      <c r="K105" s="41"/>
      <c r="L105" s="41"/>
      <c r="M105" s="43"/>
      <c r="N105" s="41"/>
      <c r="O105" s="41"/>
      <c r="P105" s="41"/>
      <c r="Q105" s="41"/>
      <c r="R105" s="41"/>
      <c r="S105" s="41"/>
      <c r="T105" s="43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3"/>
      <c r="AI10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5" s="42" t="str">
        <f ca="1">IF(Сентябрь[[#This Row],[УСЛУГ]]&lt;&gt;"",Сентябрь[[#This Row],[УСЛУГ]]*Сентябрь[[#This Row],[Периодичность]],"")</f>
        <v/>
      </c>
    </row>
    <row r="106" spans="1:36" ht="47.25" x14ac:dyDescent="0.25">
      <c r="A106" s="35" t="s">
        <v>28</v>
      </c>
      <c r="B106" s="36"/>
      <c r="C106" s="37">
        <v>0</v>
      </c>
      <c r="D106" s="38">
        <v>1</v>
      </c>
      <c r="E106" s="41"/>
      <c r="F106" s="43"/>
      <c r="G106" s="41"/>
      <c r="H106" s="41"/>
      <c r="I106" s="41"/>
      <c r="J106" s="41"/>
      <c r="K106" s="41"/>
      <c r="L106" s="41"/>
      <c r="M106" s="43"/>
      <c r="N106" s="41"/>
      <c r="O106" s="41"/>
      <c r="P106" s="41"/>
      <c r="Q106" s="41"/>
      <c r="R106" s="41"/>
      <c r="S106" s="41"/>
      <c r="T106" s="43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3"/>
      <c r="AI106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06" s="42">
        <f ca="1">IF(Сентябрь[[#This Row],[УСЛУГ]]&lt;&gt;"",Сентябрь[[#This Row],[УСЛУГ]]*Сентябрь[[#This Row],[Периодичность]],"")</f>
        <v>0</v>
      </c>
    </row>
    <row r="107" spans="1:36" x14ac:dyDescent="0.25">
      <c r="A107" s="35"/>
      <c r="B107" s="36"/>
      <c r="C107" s="37">
        <v>0</v>
      </c>
      <c r="D107" s="38">
        <v>2</v>
      </c>
      <c r="E107" s="41"/>
      <c r="F107" s="43"/>
      <c r="G107" s="41"/>
      <c r="H107" s="41"/>
      <c r="I107" s="41"/>
      <c r="J107" s="41"/>
      <c r="K107" s="41"/>
      <c r="L107" s="41"/>
      <c r="M107" s="43"/>
      <c r="N107" s="41"/>
      <c r="O107" s="41"/>
      <c r="P107" s="41"/>
      <c r="Q107" s="41"/>
      <c r="R107" s="41"/>
      <c r="S107" s="41"/>
      <c r="T107" s="43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3"/>
      <c r="AI10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7" s="42" t="str">
        <f ca="1">IF(Сентябрь[[#This Row],[УСЛУГ]]&lt;&gt;"",Сентябрь[[#This Row],[УСЛУГ]]*Сентябрь[[#This Row],[Периодичность]],"")</f>
        <v/>
      </c>
    </row>
    <row r="108" spans="1:36" x14ac:dyDescent="0.25">
      <c r="A108" s="35"/>
      <c r="B108" s="36"/>
      <c r="C108" s="37">
        <v>0</v>
      </c>
      <c r="D108" s="38">
        <v>3</v>
      </c>
      <c r="E108" s="41"/>
      <c r="F108" s="43"/>
      <c r="G108" s="41"/>
      <c r="H108" s="41"/>
      <c r="I108" s="41"/>
      <c r="J108" s="41"/>
      <c r="K108" s="41"/>
      <c r="L108" s="41"/>
      <c r="M108" s="43"/>
      <c r="N108" s="41"/>
      <c r="O108" s="41"/>
      <c r="P108" s="41"/>
      <c r="Q108" s="41"/>
      <c r="R108" s="41"/>
      <c r="S108" s="41"/>
      <c r="T108" s="43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3"/>
      <c r="AI10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08" s="42" t="str">
        <f ca="1">IF(Сентябрь[[#This Row],[УСЛУГ]]&lt;&gt;"",Сентябрь[[#This Row],[УСЛУГ]]*Сентябрь[[#This Row],[Периодичность]],"")</f>
        <v/>
      </c>
    </row>
    <row r="109" spans="1:36" ht="31.5" x14ac:dyDescent="0.25">
      <c r="A109" s="35" t="s">
        <v>29</v>
      </c>
      <c r="B109" s="36"/>
      <c r="C109" s="37">
        <v>0</v>
      </c>
      <c r="D109" s="38">
        <v>1</v>
      </c>
      <c r="E109" s="41"/>
      <c r="F109" s="43"/>
      <c r="G109" s="41"/>
      <c r="H109" s="41"/>
      <c r="I109" s="41"/>
      <c r="J109" s="41"/>
      <c r="K109" s="41"/>
      <c r="L109" s="41"/>
      <c r="M109" s="43"/>
      <c r="N109" s="41"/>
      <c r="O109" s="41"/>
      <c r="P109" s="41"/>
      <c r="Q109" s="41"/>
      <c r="R109" s="41"/>
      <c r="S109" s="41"/>
      <c r="T109" s="43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3"/>
      <c r="AI109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09" s="42">
        <f ca="1">IF(Сентябрь[[#This Row],[УСЛУГ]]&lt;&gt;"",Сентябрь[[#This Row],[УСЛУГ]]*Сентябрь[[#This Row],[Периодичность]],"")</f>
        <v>0</v>
      </c>
    </row>
    <row r="110" spans="1:36" x14ac:dyDescent="0.25">
      <c r="A110" s="35"/>
      <c r="B110" s="36"/>
      <c r="C110" s="37">
        <v>0</v>
      </c>
      <c r="D110" s="38">
        <v>2</v>
      </c>
      <c r="E110" s="41"/>
      <c r="F110" s="43"/>
      <c r="G110" s="41"/>
      <c r="H110" s="41"/>
      <c r="I110" s="41"/>
      <c r="J110" s="41"/>
      <c r="K110" s="41"/>
      <c r="L110" s="41"/>
      <c r="M110" s="43"/>
      <c r="N110" s="41"/>
      <c r="O110" s="41"/>
      <c r="P110" s="41"/>
      <c r="Q110" s="41"/>
      <c r="R110" s="41"/>
      <c r="S110" s="41"/>
      <c r="T110" s="43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3"/>
      <c r="AI11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0" s="42" t="str">
        <f ca="1">IF(Сентябрь[[#This Row],[УСЛУГ]]&lt;&gt;"",Сентябрь[[#This Row],[УСЛУГ]]*Сентябрь[[#This Row],[Периодичность]],"")</f>
        <v/>
      </c>
    </row>
    <row r="111" spans="1:36" x14ac:dyDescent="0.25">
      <c r="A111" s="35"/>
      <c r="B111" s="36"/>
      <c r="C111" s="37">
        <v>0</v>
      </c>
      <c r="D111" s="38">
        <v>3</v>
      </c>
      <c r="E111" s="41"/>
      <c r="F111" s="43"/>
      <c r="G111" s="41"/>
      <c r="H111" s="41"/>
      <c r="I111" s="41"/>
      <c r="J111" s="41"/>
      <c r="K111" s="41"/>
      <c r="L111" s="41"/>
      <c r="M111" s="43"/>
      <c r="N111" s="41"/>
      <c r="O111" s="41"/>
      <c r="P111" s="41"/>
      <c r="Q111" s="41"/>
      <c r="R111" s="41"/>
      <c r="S111" s="41"/>
      <c r="T111" s="43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3"/>
      <c r="AI11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1" s="42" t="str">
        <f ca="1">IF(Сентябрь[[#This Row],[УСЛУГ]]&lt;&gt;"",Сентябрь[[#This Row],[УСЛУГ]]*Сентябрь[[#This Row],[Периодичность]],"")</f>
        <v/>
      </c>
    </row>
    <row r="112" spans="1:36" ht="47.25" x14ac:dyDescent="0.25">
      <c r="A112" s="35" t="s">
        <v>30</v>
      </c>
      <c r="B112" s="36"/>
      <c r="C112" s="37">
        <v>0</v>
      </c>
      <c r="D112" s="38">
        <v>1</v>
      </c>
      <c r="E112" s="41"/>
      <c r="F112" s="43"/>
      <c r="G112" s="41"/>
      <c r="H112" s="41"/>
      <c r="I112" s="41"/>
      <c r="J112" s="41"/>
      <c r="K112" s="41"/>
      <c r="L112" s="41"/>
      <c r="M112" s="43"/>
      <c r="N112" s="41"/>
      <c r="O112" s="41"/>
      <c r="P112" s="41"/>
      <c r="Q112" s="41"/>
      <c r="R112" s="41"/>
      <c r="S112" s="41"/>
      <c r="T112" s="43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3"/>
      <c r="AI112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12" s="42">
        <f ca="1">IF(Сентябрь[[#This Row],[УСЛУГ]]&lt;&gt;"",Сентябрь[[#This Row],[УСЛУГ]]*Сентябрь[[#This Row],[Периодичность]],"")</f>
        <v>0</v>
      </c>
    </row>
    <row r="113" spans="1:36" x14ac:dyDescent="0.25">
      <c r="A113" s="35"/>
      <c r="B113" s="36"/>
      <c r="C113" s="37">
        <v>0</v>
      </c>
      <c r="D113" s="38">
        <v>2</v>
      </c>
      <c r="E113" s="41"/>
      <c r="F113" s="43"/>
      <c r="G113" s="41"/>
      <c r="H113" s="41"/>
      <c r="I113" s="41"/>
      <c r="J113" s="41"/>
      <c r="K113" s="41"/>
      <c r="L113" s="41"/>
      <c r="M113" s="43"/>
      <c r="N113" s="41"/>
      <c r="O113" s="41"/>
      <c r="P113" s="41"/>
      <c r="Q113" s="41"/>
      <c r="R113" s="41"/>
      <c r="S113" s="41"/>
      <c r="T113" s="43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3"/>
      <c r="AI11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3" s="42" t="str">
        <f ca="1">IF(Сентябрь[[#This Row],[УСЛУГ]]&lt;&gt;"",Сентябрь[[#This Row],[УСЛУГ]]*Сентябрь[[#This Row],[Периодичность]],"")</f>
        <v/>
      </c>
    </row>
    <row r="114" spans="1:36" x14ac:dyDescent="0.25">
      <c r="A114" s="35"/>
      <c r="B114" s="36"/>
      <c r="C114" s="37">
        <v>0</v>
      </c>
      <c r="D114" s="38">
        <v>3</v>
      </c>
      <c r="E114" s="41"/>
      <c r="F114" s="43"/>
      <c r="G114" s="41"/>
      <c r="H114" s="41"/>
      <c r="I114" s="41"/>
      <c r="J114" s="41"/>
      <c r="K114" s="41"/>
      <c r="L114" s="41"/>
      <c r="M114" s="43"/>
      <c r="N114" s="41"/>
      <c r="O114" s="41"/>
      <c r="P114" s="41"/>
      <c r="Q114" s="41"/>
      <c r="R114" s="41"/>
      <c r="S114" s="41"/>
      <c r="T114" s="43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3"/>
      <c r="AI11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4" s="42" t="str">
        <f ca="1">IF(Сентябрь[[#This Row],[УСЛУГ]]&lt;&gt;"",Сентябрь[[#This Row],[УСЛУГ]]*Сентябрь[[#This Row],[Периодичность]],"")</f>
        <v/>
      </c>
    </row>
    <row r="115" spans="1:36" ht="47.25" x14ac:dyDescent="0.25">
      <c r="A115" s="35" t="s">
        <v>77</v>
      </c>
      <c r="B115" s="36"/>
      <c r="C115" s="37">
        <v>0</v>
      </c>
      <c r="D115" s="38">
        <v>1</v>
      </c>
      <c r="E115" s="41"/>
      <c r="F115" s="43"/>
      <c r="G115" s="41"/>
      <c r="H115" s="41"/>
      <c r="I115" s="41"/>
      <c r="J115" s="41"/>
      <c r="K115" s="41"/>
      <c r="L115" s="41"/>
      <c r="M115" s="43"/>
      <c r="N115" s="41"/>
      <c r="O115" s="41"/>
      <c r="P115" s="41"/>
      <c r="Q115" s="41"/>
      <c r="R115" s="41"/>
      <c r="S115" s="41"/>
      <c r="T115" s="43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3"/>
      <c r="AI115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15" s="42">
        <f ca="1">IF(Сентябрь[[#This Row],[УСЛУГ]]&lt;&gt;"",Сентябрь[[#This Row],[УСЛУГ]]*Сентябрь[[#This Row],[Периодичность]],"")</f>
        <v>0</v>
      </c>
    </row>
    <row r="116" spans="1:36" x14ac:dyDescent="0.25">
      <c r="A116" s="35"/>
      <c r="B116" s="36"/>
      <c r="C116" s="37">
        <v>0</v>
      </c>
      <c r="D116" s="38">
        <v>2</v>
      </c>
      <c r="E116" s="41"/>
      <c r="F116" s="43"/>
      <c r="G116" s="41"/>
      <c r="H116" s="41"/>
      <c r="I116" s="41"/>
      <c r="J116" s="41"/>
      <c r="K116" s="41"/>
      <c r="L116" s="41"/>
      <c r="M116" s="43"/>
      <c r="N116" s="41"/>
      <c r="O116" s="41"/>
      <c r="P116" s="41"/>
      <c r="Q116" s="41"/>
      <c r="R116" s="41"/>
      <c r="S116" s="41"/>
      <c r="T116" s="43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3"/>
      <c r="AI11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6" s="42" t="str">
        <f ca="1">IF(Сентябрь[[#This Row],[УСЛУГ]]&lt;&gt;"",Сентябрь[[#This Row],[УСЛУГ]]*Сентябрь[[#This Row],[Периодичность]],"")</f>
        <v/>
      </c>
    </row>
    <row r="117" spans="1:36" x14ac:dyDescent="0.25">
      <c r="A117" s="35"/>
      <c r="B117" s="36"/>
      <c r="C117" s="37">
        <v>0</v>
      </c>
      <c r="D117" s="38">
        <v>3</v>
      </c>
      <c r="E117" s="41"/>
      <c r="F117" s="43"/>
      <c r="G117" s="41"/>
      <c r="H117" s="41"/>
      <c r="I117" s="41"/>
      <c r="J117" s="41"/>
      <c r="K117" s="41"/>
      <c r="L117" s="41"/>
      <c r="M117" s="43"/>
      <c r="N117" s="41"/>
      <c r="O117" s="41"/>
      <c r="P117" s="41"/>
      <c r="Q117" s="41"/>
      <c r="R117" s="41"/>
      <c r="S117" s="41"/>
      <c r="T117" s="43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3"/>
      <c r="AI11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7" s="42" t="str">
        <f ca="1">IF(Сентябрь[[#This Row],[УСЛУГ]]&lt;&gt;"",Сентябрь[[#This Row],[УСЛУГ]]*Сентябрь[[#This Row],[Периодичность]],"")</f>
        <v/>
      </c>
    </row>
    <row r="118" spans="1:36" ht="63" x14ac:dyDescent="0.25">
      <c r="A118" s="35" t="s">
        <v>146</v>
      </c>
      <c r="B118" s="36"/>
      <c r="C118" s="37">
        <v>0</v>
      </c>
      <c r="D118" s="38">
        <v>1</v>
      </c>
      <c r="E118" s="41"/>
      <c r="F118" s="43"/>
      <c r="G118" s="41"/>
      <c r="H118" s="41"/>
      <c r="I118" s="41"/>
      <c r="J118" s="41"/>
      <c r="K118" s="41"/>
      <c r="L118" s="41"/>
      <c r="M118" s="43"/>
      <c r="N118" s="41"/>
      <c r="O118" s="41"/>
      <c r="P118" s="41"/>
      <c r="Q118" s="41"/>
      <c r="R118" s="41"/>
      <c r="S118" s="41"/>
      <c r="T118" s="43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3"/>
      <c r="AI118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18" s="42">
        <f ca="1">IF(Сентябрь[[#This Row],[УСЛУГ]]&lt;&gt;"",Сентябрь[[#This Row],[УСЛУГ]]*Сентябрь[[#This Row],[Периодичность]],"")</f>
        <v>0</v>
      </c>
    </row>
    <row r="119" spans="1:36" x14ac:dyDescent="0.25">
      <c r="A119" s="35"/>
      <c r="B119" s="36"/>
      <c r="C119" s="37">
        <v>0</v>
      </c>
      <c r="D119" s="38">
        <v>2</v>
      </c>
      <c r="E119" s="41"/>
      <c r="F119" s="43"/>
      <c r="G119" s="41"/>
      <c r="H119" s="41"/>
      <c r="I119" s="41"/>
      <c r="J119" s="41"/>
      <c r="K119" s="41"/>
      <c r="L119" s="41"/>
      <c r="M119" s="43"/>
      <c r="N119" s="41"/>
      <c r="O119" s="41"/>
      <c r="P119" s="41"/>
      <c r="Q119" s="41"/>
      <c r="R119" s="41"/>
      <c r="S119" s="41"/>
      <c r="T119" s="43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3"/>
      <c r="AI11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19" s="42" t="str">
        <f ca="1">IF(Сентябрь[[#This Row],[УСЛУГ]]&lt;&gt;"",Сентябрь[[#This Row],[УСЛУГ]]*Сентябрь[[#This Row],[Периодичность]],"")</f>
        <v/>
      </c>
    </row>
    <row r="120" spans="1:36" x14ac:dyDescent="0.25">
      <c r="A120" s="35"/>
      <c r="B120" s="36"/>
      <c r="C120" s="37">
        <v>0</v>
      </c>
      <c r="D120" s="38">
        <v>3</v>
      </c>
      <c r="E120" s="41"/>
      <c r="F120" s="43"/>
      <c r="G120" s="41"/>
      <c r="H120" s="41"/>
      <c r="I120" s="41"/>
      <c r="J120" s="41"/>
      <c r="K120" s="41"/>
      <c r="L120" s="41"/>
      <c r="M120" s="43"/>
      <c r="N120" s="41"/>
      <c r="O120" s="41"/>
      <c r="P120" s="41"/>
      <c r="Q120" s="41"/>
      <c r="R120" s="41"/>
      <c r="S120" s="41"/>
      <c r="T120" s="43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3"/>
      <c r="AI12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0" s="42" t="str">
        <f ca="1">IF(Сентябрь[[#This Row],[УСЛУГ]]&lt;&gt;"",Сентябрь[[#This Row],[УСЛУГ]]*Сентябрь[[#This Row],[Периодичность]],"")</f>
        <v/>
      </c>
    </row>
    <row r="121" spans="1:36" ht="47.25" x14ac:dyDescent="0.25">
      <c r="A121" s="35" t="s">
        <v>76</v>
      </c>
      <c r="B121" s="36"/>
      <c r="C121" s="37">
        <v>0</v>
      </c>
      <c r="D121" s="38">
        <v>1</v>
      </c>
      <c r="E121" s="41"/>
      <c r="F121" s="43"/>
      <c r="G121" s="41"/>
      <c r="H121" s="41"/>
      <c r="I121" s="41"/>
      <c r="J121" s="41"/>
      <c r="K121" s="41"/>
      <c r="L121" s="41"/>
      <c r="M121" s="43"/>
      <c r="N121" s="41"/>
      <c r="O121" s="41"/>
      <c r="P121" s="41"/>
      <c r="Q121" s="41"/>
      <c r="R121" s="41"/>
      <c r="S121" s="41"/>
      <c r="T121" s="43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3"/>
      <c r="AI121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21" s="42">
        <f ca="1">IF(Сентябрь[[#This Row],[УСЛУГ]]&lt;&gt;"",Сентябрь[[#This Row],[УСЛУГ]]*Сентябрь[[#This Row],[Периодичность]],"")</f>
        <v>0</v>
      </c>
    </row>
    <row r="122" spans="1:36" x14ac:dyDescent="0.25">
      <c r="A122" s="35"/>
      <c r="B122" s="36"/>
      <c r="C122" s="37">
        <v>0</v>
      </c>
      <c r="D122" s="38">
        <v>2</v>
      </c>
      <c r="E122" s="41"/>
      <c r="F122" s="43"/>
      <c r="G122" s="41"/>
      <c r="H122" s="41"/>
      <c r="I122" s="41"/>
      <c r="J122" s="41"/>
      <c r="K122" s="41"/>
      <c r="L122" s="41"/>
      <c r="M122" s="43"/>
      <c r="N122" s="41"/>
      <c r="O122" s="41"/>
      <c r="P122" s="41"/>
      <c r="Q122" s="41"/>
      <c r="R122" s="41"/>
      <c r="S122" s="41"/>
      <c r="T122" s="43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3"/>
      <c r="AI12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2" s="42" t="str">
        <f ca="1">IF(Сентябрь[[#This Row],[УСЛУГ]]&lt;&gt;"",Сентябрь[[#This Row],[УСЛУГ]]*Сентябрь[[#This Row],[Периодичность]],"")</f>
        <v/>
      </c>
    </row>
    <row r="123" spans="1:36" x14ac:dyDescent="0.25">
      <c r="A123" s="35"/>
      <c r="B123" s="36"/>
      <c r="C123" s="37">
        <v>0</v>
      </c>
      <c r="D123" s="38">
        <v>3</v>
      </c>
      <c r="E123" s="41"/>
      <c r="F123" s="43"/>
      <c r="G123" s="41"/>
      <c r="H123" s="41"/>
      <c r="I123" s="41"/>
      <c r="J123" s="41"/>
      <c r="K123" s="41"/>
      <c r="L123" s="41"/>
      <c r="M123" s="43"/>
      <c r="N123" s="41"/>
      <c r="O123" s="41"/>
      <c r="P123" s="41"/>
      <c r="Q123" s="41"/>
      <c r="R123" s="41"/>
      <c r="S123" s="41"/>
      <c r="T123" s="43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3"/>
      <c r="AI12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3" s="42" t="str">
        <f ca="1">IF(Сентябрь[[#This Row],[УСЛУГ]]&lt;&gt;"",Сентябрь[[#This Row],[УСЛУГ]]*Сентябрь[[#This Row],[Периодичность]],"")</f>
        <v/>
      </c>
    </row>
    <row r="124" spans="1:36" ht="47.25" x14ac:dyDescent="0.25">
      <c r="A124" s="35" t="s">
        <v>147</v>
      </c>
      <c r="B124" s="36"/>
      <c r="C124" s="37">
        <v>0</v>
      </c>
      <c r="D124" s="38">
        <v>1</v>
      </c>
      <c r="E124" s="41"/>
      <c r="F124" s="43"/>
      <c r="G124" s="41"/>
      <c r="H124" s="41"/>
      <c r="I124" s="41"/>
      <c r="J124" s="41"/>
      <c r="K124" s="41"/>
      <c r="L124" s="41"/>
      <c r="M124" s="43"/>
      <c r="N124" s="41"/>
      <c r="O124" s="41"/>
      <c r="P124" s="41"/>
      <c r="Q124" s="41"/>
      <c r="R124" s="41"/>
      <c r="S124" s="41"/>
      <c r="T124" s="43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3"/>
      <c r="AI124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24" s="42">
        <f ca="1">IF(Сентябрь[[#This Row],[УСЛУГ]]&lt;&gt;"",Сентябрь[[#This Row],[УСЛУГ]]*Сентябрь[[#This Row],[Периодичность]],"")</f>
        <v>0</v>
      </c>
    </row>
    <row r="125" spans="1:36" x14ac:dyDescent="0.25">
      <c r="A125" s="35"/>
      <c r="B125" s="36"/>
      <c r="C125" s="37">
        <v>0</v>
      </c>
      <c r="D125" s="38">
        <v>2</v>
      </c>
      <c r="E125" s="41"/>
      <c r="F125" s="43"/>
      <c r="G125" s="41"/>
      <c r="H125" s="41"/>
      <c r="I125" s="41"/>
      <c r="J125" s="41"/>
      <c r="K125" s="41"/>
      <c r="L125" s="41"/>
      <c r="M125" s="43"/>
      <c r="N125" s="41"/>
      <c r="O125" s="41"/>
      <c r="P125" s="41"/>
      <c r="Q125" s="41"/>
      <c r="R125" s="41"/>
      <c r="S125" s="41"/>
      <c r="T125" s="43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3"/>
      <c r="AI12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5" s="42" t="str">
        <f ca="1">IF(Сентябрь[[#This Row],[УСЛУГ]]&lt;&gt;"",Сентябрь[[#This Row],[УСЛУГ]]*Сентябрь[[#This Row],[Периодичность]],"")</f>
        <v/>
      </c>
    </row>
    <row r="126" spans="1:36" x14ac:dyDescent="0.25">
      <c r="A126" s="35"/>
      <c r="B126" s="36"/>
      <c r="C126" s="37">
        <v>0</v>
      </c>
      <c r="D126" s="38">
        <v>3</v>
      </c>
      <c r="E126" s="41"/>
      <c r="F126" s="43"/>
      <c r="G126" s="41"/>
      <c r="H126" s="41"/>
      <c r="I126" s="41"/>
      <c r="J126" s="41"/>
      <c r="K126" s="41"/>
      <c r="L126" s="41"/>
      <c r="M126" s="43"/>
      <c r="N126" s="41"/>
      <c r="O126" s="41"/>
      <c r="P126" s="41"/>
      <c r="Q126" s="41"/>
      <c r="R126" s="41"/>
      <c r="S126" s="41"/>
      <c r="T126" s="43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3"/>
      <c r="AI12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6" s="42" t="str">
        <f ca="1">IF(Сентябрь[[#This Row],[УСЛУГ]]&lt;&gt;"",Сентябрь[[#This Row],[УСЛУГ]]*Сентябрь[[#This Row],[Периодичность]],"")</f>
        <v/>
      </c>
    </row>
    <row r="127" spans="1:36" ht="47.25" x14ac:dyDescent="0.25">
      <c r="A127" s="35" t="s">
        <v>148</v>
      </c>
      <c r="B127" s="36"/>
      <c r="C127" s="37">
        <v>0</v>
      </c>
      <c r="D127" s="38">
        <v>1</v>
      </c>
      <c r="E127" s="41"/>
      <c r="F127" s="43"/>
      <c r="G127" s="41"/>
      <c r="H127" s="41"/>
      <c r="I127" s="41"/>
      <c r="J127" s="41"/>
      <c r="K127" s="41"/>
      <c r="L127" s="41"/>
      <c r="M127" s="43"/>
      <c r="N127" s="41"/>
      <c r="O127" s="41"/>
      <c r="P127" s="41"/>
      <c r="Q127" s="41"/>
      <c r="R127" s="41"/>
      <c r="S127" s="41"/>
      <c r="T127" s="43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3"/>
      <c r="AI127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27" s="42">
        <f ca="1">IF(Сентябрь[[#This Row],[УСЛУГ]]&lt;&gt;"",Сентябрь[[#This Row],[УСЛУГ]]*Сентябрь[[#This Row],[Периодичность]],"")</f>
        <v>0</v>
      </c>
    </row>
    <row r="128" spans="1:36" x14ac:dyDescent="0.25">
      <c r="A128" s="35"/>
      <c r="B128" s="36"/>
      <c r="C128" s="37">
        <v>0</v>
      </c>
      <c r="D128" s="38">
        <v>2</v>
      </c>
      <c r="E128" s="41"/>
      <c r="F128" s="43"/>
      <c r="G128" s="41"/>
      <c r="H128" s="41"/>
      <c r="I128" s="41"/>
      <c r="J128" s="41"/>
      <c r="K128" s="41"/>
      <c r="L128" s="41"/>
      <c r="M128" s="43"/>
      <c r="N128" s="41"/>
      <c r="O128" s="41"/>
      <c r="P128" s="41"/>
      <c r="Q128" s="41"/>
      <c r="R128" s="41"/>
      <c r="S128" s="41"/>
      <c r="T128" s="43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3"/>
      <c r="AI12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8" s="42" t="str">
        <f ca="1">IF(Сентябрь[[#This Row],[УСЛУГ]]&lt;&gt;"",Сентябрь[[#This Row],[УСЛУГ]]*Сентябрь[[#This Row],[Периодичность]],"")</f>
        <v/>
      </c>
    </row>
    <row r="129" spans="1:36" x14ac:dyDescent="0.25">
      <c r="A129" s="35"/>
      <c r="B129" s="36"/>
      <c r="C129" s="37">
        <v>0</v>
      </c>
      <c r="D129" s="38">
        <v>3</v>
      </c>
      <c r="E129" s="41"/>
      <c r="F129" s="43"/>
      <c r="G129" s="41"/>
      <c r="H129" s="41"/>
      <c r="I129" s="41"/>
      <c r="J129" s="41"/>
      <c r="K129" s="41"/>
      <c r="L129" s="41"/>
      <c r="M129" s="43"/>
      <c r="N129" s="41"/>
      <c r="O129" s="41"/>
      <c r="P129" s="41"/>
      <c r="Q129" s="41"/>
      <c r="R129" s="41"/>
      <c r="S129" s="41"/>
      <c r="T129" s="43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3"/>
      <c r="AI12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29" s="42" t="str">
        <f ca="1">IF(Сентябрь[[#This Row],[УСЛУГ]]&lt;&gt;"",Сентябрь[[#This Row],[УСЛУГ]]*Сентябрь[[#This Row],[Периодичность]],"")</f>
        <v/>
      </c>
    </row>
    <row r="130" spans="1:36" ht="31.5" x14ac:dyDescent="0.25">
      <c r="A130" s="35" t="s">
        <v>36</v>
      </c>
      <c r="B130" s="36"/>
      <c r="C130" s="37">
        <v>0</v>
      </c>
      <c r="D130" s="38">
        <v>1</v>
      </c>
      <c r="E130" s="41"/>
      <c r="F130" s="43"/>
      <c r="G130" s="41"/>
      <c r="H130" s="41"/>
      <c r="I130" s="41"/>
      <c r="J130" s="41"/>
      <c r="K130" s="41"/>
      <c r="L130" s="41"/>
      <c r="M130" s="43"/>
      <c r="N130" s="41"/>
      <c r="O130" s="41"/>
      <c r="P130" s="41"/>
      <c r="Q130" s="41"/>
      <c r="R130" s="41"/>
      <c r="S130" s="41"/>
      <c r="T130" s="43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3"/>
      <c r="AI130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30" s="42">
        <f ca="1">IF(Сентябрь[[#This Row],[УСЛУГ]]&lt;&gt;"",Сентябрь[[#This Row],[УСЛУГ]]*Сентябрь[[#This Row],[Периодичность]],"")</f>
        <v>0</v>
      </c>
    </row>
    <row r="131" spans="1:36" x14ac:dyDescent="0.25">
      <c r="A131" s="35"/>
      <c r="B131" s="36"/>
      <c r="C131" s="37">
        <v>0</v>
      </c>
      <c r="D131" s="38">
        <v>2</v>
      </c>
      <c r="E131" s="41"/>
      <c r="F131" s="43"/>
      <c r="G131" s="41"/>
      <c r="H131" s="41"/>
      <c r="I131" s="41"/>
      <c r="J131" s="41"/>
      <c r="K131" s="41"/>
      <c r="L131" s="41"/>
      <c r="M131" s="43"/>
      <c r="N131" s="41"/>
      <c r="O131" s="41"/>
      <c r="P131" s="41"/>
      <c r="Q131" s="41"/>
      <c r="R131" s="41"/>
      <c r="S131" s="41"/>
      <c r="T131" s="43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3"/>
      <c r="AI13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1" s="42" t="str">
        <f ca="1">IF(Сентябрь[[#This Row],[УСЛУГ]]&lt;&gt;"",Сентябрь[[#This Row],[УСЛУГ]]*Сентябрь[[#This Row],[Периодичность]],"")</f>
        <v/>
      </c>
    </row>
    <row r="132" spans="1:36" x14ac:dyDescent="0.25">
      <c r="A132" s="35"/>
      <c r="B132" s="36"/>
      <c r="C132" s="37">
        <v>0</v>
      </c>
      <c r="D132" s="38">
        <v>3</v>
      </c>
      <c r="E132" s="41"/>
      <c r="F132" s="43"/>
      <c r="G132" s="41"/>
      <c r="H132" s="41"/>
      <c r="I132" s="41"/>
      <c r="J132" s="41"/>
      <c r="K132" s="41"/>
      <c r="L132" s="41"/>
      <c r="M132" s="43"/>
      <c r="N132" s="41"/>
      <c r="O132" s="41"/>
      <c r="P132" s="41"/>
      <c r="Q132" s="41"/>
      <c r="R132" s="41"/>
      <c r="S132" s="41"/>
      <c r="T132" s="43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3"/>
      <c r="AI13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2" s="42" t="str">
        <f ca="1">IF(Сентябрь[[#This Row],[УСЛУГ]]&lt;&gt;"",Сентябрь[[#This Row],[УСЛУГ]]*Сентябрь[[#This Row],[Периодичность]],"")</f>
        <v/>
      </c>
    </row>
    <row r="133" spans="1:36" ht="31.5" x14ac:dyDescent="0.25">
      <c r="A133" s="35" t="s">
        <v>37</v>
      </c>
      <c r="B133" s="36"/>
      <c r="C133" s="37">
        <v>0</v>
      </c>
      <c r="D133" s="38">
        <v>1</v>
      </c>
      <c r="E133" s="41"/>
      <c r="F133" s="43"/>
      <c r="G133" s="41"/>
      <c r="H133" s="41"/>
      <c r="I133" s="41"/>
      <c r="J133" s="41"/>
      <c r="K133" s="41"/>
      <c r="L133" s="41"/>
      <c r="M133" s="43"/>
      <c r="N133" s="41"/>
      <c r="O133" s="41"/>
      <c r="P133" s="41"/>
      <c r="Q133" s="41"/>
      <c r="R133" s="41"/>
      <c r="S133" s="41"/>
      <c r="T133" s="43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3"/>
      <c r="AI133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33" s="42">
        <f ca="1">IF(Сентябрь[[#This Row],[УСЛУГ]]&lt;&gt;"",Сентябрь[[#This Row],[УСЛУГ]]*Сентябрь[[#This Row],[Периодичность]],"")</f>
        <v>0</v>
      </c>
    </row>
    <row r="134" spans="1:36" x14ac:dyDescent="0.25">
      <c r="A134" s="35"/>
      <c r="B134" s="36"/>
      <c r="C134" s="37">
        <v>0</v>
      </c>
      <c r="D134" s="38">
        <v>2</v>
      </c>
      <c r="E134" s="41"/>
      <c r="F134" s="43"/>
      <c r="G134" s="41"/>
      <c r="H134" s="41"/>
      <c r="I134" s="41"/>
      <c r="J134" s="41"/>
      <c r="K134" s="41"/>
      <c r="L134" s="41"/>
      <c r="M134" s="43"/>
      <c r="N134" s="41"/>
      <c r="O134" s="41"/>
      <c r="P134" s="41"/>
      <c r="Q134" s="41"/>
      <c r="R134" s="41"/>
      <c r="S134" s="41"/>
      <c r="T134" s="43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3"/>
      <c r="AI13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4" s="42" t="str">
        <f ca="1">IF(Сентябрь[[#This Row],[УСЛУГ]]&lt;&gt;"",Сентябрь[[#This Row],[УСЛУГ]]*Сентябрь[[#This Row],[Периодичность]],"")</f>
        <v/>
      </c>
    </row>
    <row r="135" spans="1:36" x14ac:dyDescent="0.25">
      <c r="A135" s="35"/>
      <c r="B135" s="36"/>
      <c r="C135" s="37">
        <v>0</v>
      </c>
      <c r="D135" s="38">
        <v>3</v>
      </c>
      <c r="E135" s="41"/>
      <c r="F135" s="43"/>
      <c r="G135" s="41"/>
      <c r="H135" s="41"/>
      <c r="I135" s="41"/>
      <c r="J135" s="41"/>
      <c r="K135" s="41"/>
      <c r="L135" s="41"/>
      <c r="M135" s="43"/>
      <c r="N135" s="41"/>
      <c r="O135" s="41"/>
      <c r="P135" s="41"/>
      <c r="Q135" s="41"/>
      <c r="R135" s="41"/>
      <c r="S135" s="41"/>
      <c r="T135" s="43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3"/>
      <c r="AI13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5" s="42" t="str">
        <f ca="1">IF(Сентябрь[[#This Row],[УСЛУГ]]&lt;&gt;"",Сентябрь[[#This Row],[УСЛУГ]]*Сентябрь[[#This Row],[Периодичность]],"")</f>
        <v/>
      </c>
    </row>
    <row r="136" spans="1:36" x14ac:dyDescent="0.25">
      <c r="A136" s="35" t="s">
        <v>38</v>
      </c>
      <c r="B136" s="36"/>
      <c r="C136" s="37">
        <v>0</v>
      </c>
      <c r="D136" s="38">
        <v>1</v>
      </c>
      <c r="E136" s="41"/>
      <c r="F136" s="43"/>
      <c r="G136" s="41"/>
      <c r="H136" s="41"/>
      <c r="I136" s="41"/>
      <c r="J136" s="41"/>
      <c r="K136" s="41"/>
      <c r="L136" s="41"/>
      <c r="M136" s="43"/>
      <c r="N136" s="41"/>
      <c r="O136" s="41"/>
      <c r="P136" s="41"/>
      <c r="Q136" s="41"/>
      <c r="R136" s="41"/>
      <c r="S136" s="41"/>
      <c r="T136" s="43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3"/>
      <c r="AI136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36" s="42">
        <f ca="1">IF(Сентябрь[[#This Row],[УСЛУГ]]&lt;&gt;"",Сентябрь[[#This Row],[УСЛУГ]]*Сентябрь[[#This Row],[Периодичность]],"")</f>
        <v>0</v>
      </c>
    </row>
    <row r="137" spans="1:36" x14ac:dyDescent="0.25">
      <c r="A137" s="35"/>
      <c r="B137" s="36"/>
      <c r="C137" s="37">
        <v>0</v>
      </c>
      <c r="D137" s="38">
        <v>2</v>
      </c>
      <c r="E137" s="41"/>
      <c r="F137" s="43"/>
      <c r="G137" s="41"/>
      <c r="H137" s="41"/>
      <c r="I137" s="41"/>
      <c r="J137" s="41"/>
      <c r="K137" s="41"/>
      <c r="L137" s="41"/>
      <c r="M137" s="43"/>
      <c r="N137" s="41"/>
      <c r="O137" s="41"/>
      <c r="P137" s="41"/>
      <c r="Q137" s="41"/>
      <c r="R137" s="41"/>
      <c r="S137" s="41"/>
      <c r="T137" s="43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3"/>
      <c r="AI13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7" s="42" t="str">
        <f ca="1">IF(Сентябрь[[#This Row],[УСЛУГ]]&lt;&gt;"",Сентябрь[[#This Row],[УСЛУГ]]*Сентябрь[[#This Row],[Периодичность]],"")</f>
        <v/>
      </c>
    </row>
    <row r="138" spans="1:36" x14ac:dyDescent="0.25">
      <c r="A138" s="35"/>
      <c r="B138" s="36"/>
      <c r="C138" s="37">
        <v>0</v>
      </c>
      <c r="D138" s="38">
        <v>3</v>
      </c>
      <c r="E138" s="41"/>
      <c r="F138" s="43"/>
      <c r="G138" s="41"/>
      <c r="H138" s="41"/>
      <c r="I138" s="41"/>
      <c r="J138" s="41"/>
      <c r="K138" s="41"/>
      <c r="L138" s="41"/>
      <c r="M138" s="43"/>
      <c r="N138" s="41"/>
      <c r="O138" s="41"/>
      <c r="P138" s="41"/>
      <c r="Q138" s="41"/>
      <c r="R138" s="41"/>
      <c r="S138" s="41"/>
      <c r="T138" s="43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3"/>
      <c r="AI13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38" s="42" t="str">
        <f ca="1">IF(Сентябрь[[#This Row],[УСЛУГ]]&lt;&gt;"",Сентябрь[[#This Row],[УСЛУГ]]*Сентябрь[[#This Row],[Периодичность]],"")</f>
        <v/>
      </c>
    </row>
    <row r="139" spans="1:36" ht="31.5" x14ac:dyDescent="0.25">
      <c r="A139" s="35" t="s">
        <v>39</v>
      </c>
      <c r="B139" s="36"/>
      <c r="C139" s="37">
        <v>0</v>
      </c>
      <c r="D139" s="38">
        <v>1</v>
      </c>
      <c r="E139" s="41"/>
      <c r="F139" s="43"/>
      <c r="G139" s="41"/>
      <c r="H139" s="41"/>
      <c r="I139" s="41"/>
      <c r="J139" s="41"/>
      <c r="K139" s="41"/>
      <c r="L139" s="41"/>
      <c r="M139" s="43"/>
      <c r="N139" s="41"/>
      <c r="O139" s="41"/>
      <c r="P139" s="41"/>
      <c r="Q139" s="41"/>
      <c r="R139" s="41"/>
      <c r="S139" s="41"/>
      <c r="T139" s="43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3"/>
      <c r="AI139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39" s="42">
        <f ca="1">IF(Сентябрь[[#This Row],[УСЛУГ]]&lt;&gt;"",Сентябрь[[#This Row],[УСЛУГ]]*Сентябрь[[#This Row],[Периодичность]],"")</f>
        <v>0</v>
      </c>
    </row>
    <row r="140" spans="1:36" x14ac:dyDescent="0.25">
      <c r="A140" s="35"/>
      <c r="B140" s="36"/>
      <c r="C140" s="37">
        <v>0</v>
      </c>
      <c r="D140" s="38">
        <v>2</v>
      </c>
      <c r="E140" s="41"/>
      <c r="F140" s="43"/>
      <c r="G140" s="41"/>
      <c r="H140" s="41"/>
      <c r="I140" s="41"/>
      <c r="J140" s="41"/>
      <c r="K140" s="41"/>
      <c r="L140" s="41"/>
      <c r="M140" s="43"/>
      <c r="N140" s="41"/>
      <c r="O140" s="41"/>
      <c r="P140" s="41"/>
      <c r="Q140" s="41"/>
      <c r="R140" s="41"/>
      <c r="S140" s="41"/>
      <c r="T140" s="43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3"/>
      <c r="AI14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0" s="42" t="str">
        <f ca="1">IF(Сентябрь[[#This Row],[УСЛУГ]]&lt;&gt;"",Сентябрь[[#This Row],[УСЛУГ]]*Сентябрь[[#This Row],[Периодичность]],"")</f>
        <v/>
      </c>
    </row>
    <row r="141" spans="1:36" x14ac:dyDescent="0.25">
      <c r="A141" s="35"/>
      <c r="B141" s="36"/>
      <c r="C141" s="37">
        <v>0</v>
      </c>
      <c r="D141" s="38">
        <v>3</v>
      </c>
      <c r="E141" s="41"/>
      <c r="F141" s="43"/>
      <c r="G141" s="41"/>
      <c r="H141" s="41"/>
      <c r="I141" s="41"/>
      <c r="J141" s="41"/>
      <c r="K141" s="41"/>
      <c r="L141" s="41"/>
      <c r="M141" s="43"/>
      <c r="N141" s="41"/>
      <c r="O141" s="41"/>
      <c r="P141" s="41"/>
      <c r="Q141" s="41"/>
      <c r="R141" s="41"/>
      <c r="S141" s="41"/>
      <c r="T141" s="43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3"/>
      <c r="AI14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1" s="42" t="str">
        <f ca="1">IF(Сентябрь[[#This Row],[УСЛУГ]]&lt;&gt;"",Сентябрь[[#This Row],[УСЛУГ]]*Сентябрь[[#This Row],[Периодичность]],"")</f>
        <v/>
      </c>
    </row>
    <row r="142" spans="1:36" ht="47.25" x14ac:dyDescent="0.25">
      <c r="A142" s="35" t="s">
        <v>149</v>
      </c>
      <c r="B142" s="36"/>
      <c r="C142" s="37">
        <v>0</v>
      </c>
      <c r="D142" s="38">
        <v>1</v>
      </c>
      <c r="E142" s="41"/>
      <c r="F142" s="43"/>
      <c r="G142" s="41"/>
      <c r="H142" s="41"/>
      <c r="I142" s="41"/>
      <c r="J142" s="41"/>
      <c r="K142" s="41"/>
      <c r="L142" s="41"/>
      <c r="M142" s="43"/>
      <c r="N142" s="41"/>
      <c r="O142" s="41"/>
      <c r="P142" s="41"/>
      <c r="Q142" s="41"/>
      <c r="R142" s="41"/>
      <c r="S142" s="41"/>
      <c r="T142" s="43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3"/>
      <c r="AI142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42" s="42">
        <f ca="1">IF(Сентябрь[[#This Row],[УСЛУГ]]&lt;&gt;"",Сентябрь[[#This Row],[УСЛУГ]]*Сентябрь[[#This Row],[Периодичность]],"")</f>
        <v>0</v>
      </c>
    </row>
    <row r="143" spans="1:36" x14ac:dyDescent="0.25">
      <c r="A143" s="35"/>
      <c r="B143" s="36"/>
      <c r="C143" s="37">
        <v>0</v>
      </c>
      <c r="D143" s="38">
        <v>2</v>
      </c>
      <c r="E143" s="41"/>
      <c r="F143" s="43"/>
      <c r="G143" s="41"/>
      <c r="H143" s="41"/>
      <c r="I143" s="41"/>
      <c r="J143" s="41"/>
      <c r="K143" s="41"/>
      <c r="L143" s="41"/>
      <c r="M143" s="43"/>
      <c r="N143" s="41"/>
      <c r="O143" s="41"/>
      <c r="P143" s="41"/>
      <c r="Q143" s="41"/>
      <c r="R143" s="41"/>
      <c r="S143" s="41"/>
      <c r="T143" s="43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3"/>
      <c r="AI14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3" s="42" t="str">
        <f ca="1">IF(Сентябрь[[#This Row],[УСЛУГ]]&lt;&gt;"",Сентябрь[[#This Row],[УСЛУГ]]*Сентябрь[[#This Row],[Периодичность]],"")</f>
        <v/>
      </c>
    </row>
    <row r="144" spans="1:36" x14ac:dyDescent="0.25">
      <c r="A144" s="35"/>
      <c r="B144" s="36"/>
      <c r="C144" s="37">
        <v>0</v>
      </c>
      <c r="D144" s="38">
        <v>3</v>
      </c>
      <c r="E144" s="41"/>
      <c r="F144" s="43"/>
      <c r="G144" s="41"/>
      <c r="H144" s="41"/>
      <c r="I144" s="41"/>
      <c r="J144" s="41"/>
      <c r="K144" s="41"/>
      <c r="L144" s="41"/>
      <c r="M144" s="43"/>
      <c r="N144" s="41"/>
      <c r="O144" s="41"/>
      <c r="P144" s="41"/>
      <c r="Q144" s="41"/>
      <c r="R144" s="41"/>
      <c r="S144" s="41"/>
      <c r="T144" s="43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3"/>
      <c r="AI14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4" s="42" t="str">
        <f ca="1">IF(Сентябрь[[#This Row],[УСЛУГ]]&lt;&gt;"",Сентябрь[[#This Row],[УСЛУГ]]*Сентябрь[[#This Row],[Периодичность]],"")</f>
        <v/>
      </c>
    </row>
    <row r="145" spans="1:36" ht="47.25" x14ac:dyDescent="0.25">
      <c r="A145" s="35" t="s">
        <v>150</v>
      </c>
      <c r="B145" s="36"/>
      <c r="C145" s="37">
        <v>0</v>
      </c>
      <c r="D145" s="38">
        <v>1</v>
      </c>
      <c r="E145" s="41"/>
      <c r="F145" s="43"/>
      <c r="G145" s="41"/>
      <c r="H145" s="41"/>
      <c r="I145" s="41"/>
      <c r="J145" s="41"/>
      <c r="K145" s="41"/>
      <c r="L145" s="41"/>
      <c r="M145" s="43"/>
      <c r="N145" s="41"/>
      <c r="O145" s="41"/>
      <c r="P145" s="41"/>
      <c r="Q145" s="41"/>
      <c r="R145" s="41"/>
      <c r="S145" s="41"/>
      <c r="T145" s="43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3"/>
      <c r="AI145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45" s="42">
        <f ca="1">IF(Сентябрь[[#This Row],[УСЛУГ]]&lt;&gt;"",Сентябрь[[#This Row],[УСЛУГ]]*Сентябрь[[#This Row],[Периодичность]],"")</f>
        <v>0</v>
      </c>
    </row>
    <row r="146" spans="1:36" x14ac:dyDescent="0.25">
      <c r="A146" s="35"/>
      <c r="B146" s="36"/>
      <c r="C146" s="37">
        <v>0</v>
      </c>
      <c r="D146" s="38">
        <v>2</v>
      </c>
      <c r="E146" s="41"/>
      <c r="F146" s="43"/>
      <c r="G146" s="41"/>
      <c r="H146" s="41"/>
      <c r="I146" s="41"/>
      <c r="J146" s="41"/>
      <c r="K146" s="41"/>
      <c r="L146" s="41"/>
      <c r="M146" s="43"/>
      <c r="N146" s="41"/>
      <c r="O146" s="41"/>
      <c r="P146" s="41"/>
      <c r="Q146" s="41"/>
      <c r="R146" s="41"/>
      <c r="S146" s="41"/>
      <c r="T146" s="43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3"/>
      <c r="AI14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6" s="42" t="str">
        <f ca="1">IF(Сентябрь[[#This Row],[УСЛУГ]]&lt;&gt;"",Сентябрь[[#This Row],[УСЛУГ]]*Сентябрь[[#This Row],[Периодичность]],"")</f>
        <v/>
      </c>
    </row>
    <row r="147" spans="1:36" x14ac:dyDescent="0.25">
      <c r="A147" s="35"/>
      <c r="B147" s="36"/>
      <c r="C147" s="37">
        <v>0</v>
      </c>
      <c r="D147" s="38">
        <v>3</v>
      </c>
      <c r="E147" s="41"/>
      <c r="F147" s="43"/>
      <c r="G147" s="41"/>
      <c r="H147" s="41"/>
      <c r="I147" s="41"/>
      <c r="J147" s="41"/>
      <c r="K147" s="41"/>
      <c r="L147" s="41"/>
      <c r="M147" s="43"/>
      <c r="N147" s="41"/>
      <c r="O147" s="41"/>
      <c r="P147" s="41"/>
      <c r="Q147" s="41"/>
      <c r="R147" s="41"/>
      <c r="S147" s="41"/>
      <c r="T147" s="43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3"/>
      <c r="AI14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7" s="42" t="str">
        <f ca="1">IF(Сентябрь[[#This Row],[УСЛУГ]]&lt;&gt;"",Сентябрь[[#This Row],[УСЛУГ]]*Сентябрь[[#This Row],[Периодичность]],"")</f>
        <v/>
      </c>
    </row>
    <row r="148" spans="1:36" ht="47.25" x14ac:dyDescent="0.25">
      <c r="A148" s="35" t="s">
        <v>151</v>
      </c>
      <c r="B148" s="36"/>
      <c r="C148" s="37">
        <v>0</v>
      </c>
      <c r="D148" s="38">
        <v>1</v>
      </c>
      <c r="E148" s="41"/>
      <c r="F148" s="43"/>
      <c r="G148" s="41"/>
      <c r="H148" s="41"/>
      <c r="I148" s="41"/>
      <c r="J148" s="41"/>
      <c r="K148" s="41"/>
      <c r="L148" s="41"/>
      <c r="M148" s="43"/>
      <c r="N148" s="41"/>
      <c r="O148" s="41"/>
      <c r="P148" s="41"/>
      <c r="Q148" s="41"/>
      <c r="R148" s="41"/>
      <c r="S148" s="41"/>
      <c r="T148" s="43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3"/>
      <c r="AI148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48" s="42">
        <f ca="1">IF(Сентябрь[[#This Row],[УСЛУГ]]&lt;&gt;"",Сентябрь[[#This Row],[УСЛУГ]]*Сентябрь[[#This Row],[Периодичность]],"")</f>
        <v>0</v>
      </c>
    </row>
    <row r="149" spans="1:36" x14ac:dyDescent="0.25">
      <c r="A149" s="35"/>
      <c r="B149" s="36"/>
      <c r="C149" s="37">
        <v>0</v>
      </c>
      <c r="D149" s="38">
        <v>2</v>
      </c>
      <c r="E149" s="41"/>
      <c r="F149" s="43"/>
      <c r="G149" s="41"/>
      <c r="H149" s="41"/>
      <c r="I149" s="41"/>
      <c r="J149" s="41"/>
      <c r="K149" s="41"/>
      <c r="L149" s="41"/>
      <c r="M149" s="43"/>
      <c r="N149" s="41"/>
      <c r="O149" s="41"/>
      <c r="P149" s="41"/>
      <c r="Q149" s="41"/>
      <c r="R149" s="41"/>
      <c r="S149" s="41"/>
      <c r="T149" s="43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3"/>
      <c r="AI14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49" s="42" t="str">
        <f ca="1">IF(Сентябрь[[#This Row],[УСЛУГ]]&lt;&gt;"",Сентябрь[[#This Row],[УСЛУГ]]*Сентябрь[[#This Row],[Периодичность]],"")</f>
        <v/>
      </c>
    </row>
    <row r="150" spans="1:36" x14ac:dyDescent="0.25">
      <c r="A150" s="35"/>
      <c r="B150" s="36"/>
      <c r="C150" s="37">
        <v>0</v>
      </c>
      <c r="D150" s="38">
        <v>3</v>
      </c>
      <c r="E150" s="41"/>
      <c r="F150" s="43"/>
      <c r="G150" s="41"/>
      <c r="H150" s="41"/>
      <c r="I150" s="41"/>
      <c r="J150" s="41"/>
      <c r="K150" s="41"/>
      <c r="L150" s="41"/>
      <c r="M150" s="43"/>
      <c r="N150" s="41"/>
      <c r="O150" s="41"/>
      <c r="P150" s="41"/>
      <c r="Q150" s="41"/>
      <c r="R150" s="41"/>
      <c r="S150" s="41"/>
      <c r="T150" s="43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3"/>
      <c r="AI15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0" s="42" t="str">
        <f ca="1">IF(Сентябрь[[#This Row],[УСЛУГ]]&lt;&gt;"",Сентябрь[[#This Row],[УСЛУГ]]*Сентябрь[[#This Row],[Периодичность]],"")</f>
        <v/>
      </c>
    </row>
    <row r="151" spans="1:36" ht="47.25" x14ac:dyDescent="0.25">
      <c r="A151" s="35" t="s">
        <v>75</v>
      </c>
      <c r="B151" s="36"/>
      <c r="C151" s="37">
        <v>0</v>
      </c>
      <c r="D151" s="38">
        <v>1</v>
      </c>
      <c r="E151" s="41"/>
      <c r="F151" s="43"/>
      <c r="G151" s="41"/>
      <c r="H151" s="41"/>
      <c r="I151" s="41"/>
      <c r="J151" s="41"/>
      <c r="K151" s="41"/>
      <c r="L151" s="41"/>
      <c r="M151" s="43"/>
      <c r="N151" s="41"/>
      <c r="O151" s="41"/>
      <c r="P151" s="41"/>
      <c r="Q151" s="41"/>
      <c r="R151" s="41"/>
      <c r="S151" s="41"/>
      <c r="T151" s="43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3"/>
      <c r="AI151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51" s="42">
        <f ca="1">IF(Сентябрь[[#This Row],[УСЛУГ]]&lt;&gt;"",Сентябрь[[#This Row],[УСЛУГ]]*Сентябрь[[#This Row],[Периодичность]],"")</f>
        <v>0</v>
      </c>
    </row>
    <row r="152" spans="1:36" x14ac:dyDescent="0.25">
      <c r="A152" s="35"/>
      <c r="B152" s="36"/>
      <c r="C152" s="37">
        <v>0</v>
      </c>
      <c r="D152" s="38">
        <v>2</v>
      </c>
      <c r="E152" s="41"/>
      <c r="F152" s="43"/>
      <c r="G152" s="41"/>
      <c r="H152" s="41"/>
      <c r="I152" s="41"/>
      <c r="J152" s="41"/>
      <c r="K152" s="41"/>
      <c r="L152" s="41"/>
      <c r="M152" s="43"/>
      <c r="N152" s="41"/>
      <c r="O152" s="41"/>
      <c r="P152" s="41"/>
      <c r="Q152" s="41"/>
      <c r="R152" s="41"/>
      <c r="S152" s="41"/>
      <c r="T152" s="43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3"/>
      <c r="AI15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2" s="42" t="str">
        <f ca="1">IF(Сентябрь[[#This Row],[УСЛУГ]]&lt;&gt;"",Сентябрь[[#This Row],[УСЛУГ]]*Сентябрь[[#This Row],[Периодичность]],"")</f>
        <v/>
      </c>
    </row>
    <row r="153" spans="1:36" x14ac:dyDescent="0.25">
      <c r="A153" s="35"/>
      <c r="B153" s="36"/>
      <c r="C153" s="37">
        <v>0</v>
      </c>
      <c r="D153" s="38">
        <v>3</v>
      </c>
      <c r="E153" s="41"/>
      <c r="F153" s="43"/>
      <c r="G153" s="41"/>
      <c r="H153" s="41"/>
      <c r="I153" s="41"/>
      <c r="J153" s="41"/>
      <c r="K153" s="41"/>
      <c r="L153" s="41"/>
      <c r="M153" s="43"/>
      <c r="N153" s="41"/>
      <c r="O153" s="41"/>
      <c r="P153" s="41"/>
      <c r="Q153" s="41"/>
      <c r="R153" s="41"/>
      <c r="S153" s="41"/>
      <c r="T153" s="43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3"/>
      <c r="AI15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3" s="42" t="str">
        <f ca="1">IF(Сентябрь[[#This Row],[УСЛУГ]]&lt;&gt;"",Сентябрь[[#This Row],[УСЛУГ]]*Сентябрь[[#This Row],[Периодичность]],"")</f>
        <v/>
      </c>
    </row>
    <row r="154" spans="1:36" ht="47.25" x14ac:dyDescent="0.25">
      <c r="A154" s="35" t="s">
        <v>74</v>
      </c>
      <c r="B154" s="36"/>
      <c r="C154" s="37">
        <v>0</v>
      </c>
      <c r="D154" s="38">
        <v>1</v>
      </c>
      <c r="E154" s="41"/>
      <c r="F154" s="43"/>
      <c r="G154" s="41"/>
      <c r="H154" s="41"/>
      <c r="I154" s="41"/>
      <c r="J154" s="41"/>
      <c r="K154" s="41"/>
      <c r="L154" s="41"/>
      <c r="M154" s="43"/>
      <c r="N154" s="41"/>
      <c r="O154" s="41"/>
      <c r="P154" s="41"/>
      <c r="Q154" s="41"/>
      <c r="R154" s="41"/>
      <c r="S154" s="41"/>
      <c r="T154" s="43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3"/>
      <c r="AI154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54" s="42">
        <f ca="1">IF(Сентябрь[[#This Row],[УСЛУГ]]&lt;&gt;"",Сентябрь[[#This Row],[УСЛУГ]]*Сентябрь[[#This Row],[Периодичность]],"")</f>
        <v>0</v>
      </c>
    </row>
    <row r="155" spans="1:36" x14ac:dyDescent="0.25">
      <c r="A155" s="35"/>
      <c r="B155" s="36"/>
      <c r="C155" s="37">
        <v>0</v>
      </c>
      <c r="D155" s="38">
        <v>2</v>
      </c>
      <c r="E155" s="41"/>
      <c r="F155" s="43"/>
      <c r="G155" s="41"/>
      <c r="H155" s="41"/>
      <c r="I155" s="41"/>
      <c r="J155" s="41"/>
      <c r="K155" s="41"/>
      <c r="L155" s="41"/>
      <c r="M155" s="43"/>
      <c r="N155" s="41"/>
      <c r="O155" s="41"/>
      <c r="P155" s="41"/>
      <c r="Q155" s="41"/>
      <c r="R155" s="41"/>
      <c r="S155" s="41"/>
      <c r="T155" s="43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3"/>
      <c r="AI15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5" s="42" t="str">
        <f ca="1">IF(Сентябрь[[#This Row],[УСЛУГ]]&lt;&gt;"",Сентябрь[[#This Row],[УСЛУГ]]*Сентябрь[[#This Row],[Периодичность]],"")</f>
        <v/>
      </c>
    </row>
    <row r="156" spans="1:36" x14ac:dyDescent="0.25">
      <c r="A156" s="35"/>
      <c r="B156" s="36"/>
      <c r="C156" s="37">
        <v>0</v>
      </c>
      <c r="D156" s="38">
        <v>3</v>
      </c>
      <c r="E156" s="41"/>
      <c r="F156" s="43"/>
      <c r="G156" s="41"/>
      <c r="H156" s="41"/>
      <c r="I156" s="41"/>
      <c r="J156" s="41"/>
      <c r="K156" s="41"/>
      <c r="L156" s="41"/>
      <c r="M156" s="43"/>
      <c r="N156" s="41"/>
      <c r="O156" s="41"/>
      <c r="P156" s="41"/>
      <c r="Q156" s="41"/>
      <c r="R156" s="41"/>
      <c r="S156" s="41"/>
      <c r="T156" s="43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3"/>
      <c r="AI156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6" s="42" t="str">
        <f ca="1">IF(Сентябрь[[#This Row],[УСЛУГ]]&lt;&gt;"",Сентябрь[[#This Row],[УСЛУГ]]*Сентябрь[[#This Row],[Периодичность]],"")</f>
        <v/>
      </c>
    </row>
    <row r="157" spans="1:36" ht="47.25" x14ac:dyDescent="0.25">
      <c r="A157" s="35" t="s">
        <v>152</v>
      </c>
      <c r="B157" s="36"/>
      <c r="C157" s="37">
        <v>0</v>
      </c>
      <c r="D157" s="38">
        <v>1</v>
      </c>
      <c r="E157" s="41"/>
      <c r="F157" s="43"/>
      <c r="G157" s="41"/>
      <c r="H157" s="41"/>
      <c r="I157" s="41"/>
      <c r="J157" s="41"/>
      <c r="K157" s="41"/>
      <c r="L157" s="41"/>
      <c r="M157" s="43"/>
      <c r="N157" s="41"/>
      <c r="O157" s="41"/>
      <c r="P157" s="41"/>
      <c r="Q157" s="41"/>
      <c r="R157" s="41"/>
      <c r="S157" s="41"/>
      <c r="T157" s="43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3"/>
      <c r="AI157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57" s="42">
        <f ca="1">IF(Сентябрь[[#This Row],[УСЛУГ]]&lt;&gt;"",Сентябрь[[#This Row],[УСЛУГ]]*Сентябрь[[#This Row],[Периодичность]],"")</f>
        <v>0</v>
      </c>
    </row>
    <row r="158" spans="1:36" x14ac:dyDescent="0.25">
      <c r="A158" s="35"/>
      <c r="B158" s="36"/>
      <c r="C158" s="37">
        <v>0</v>
      </c>
      <c r="D158" s="38">
        <v>2</v>
      </c>
      <c r="E158" s="41"/>
      <c r="F158" s="43"/>
      <c r="G158" s="41"/>
      <c r="H158" s="41"/>
      <c r="I158" s="41"/>
      <c r="J158" s="41"/>
      <c r="K158" s="41"/>
      <c r="L158" s="41"/>
      <c r="M158" s="43"/>
      <c r="N158" s="41"/>
      <c r="O158" s="41"/>
      <c r="P158" s="41"/>
      <c r="Q158" s="41"/>
      <c r="R158" s="41"/>
      <c r="S158" s="41"/>
      <c r="T158" s="43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3"/>
      <c r="AI15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8" s="42" t="str">
        <f ca="1">IF(Сентябрь[[#This Row],[УСЛУГ]]&lt;&gt;"",Сентябрь[[#This Row],[УСЛУГ]]*Сентябрь[[#This Row],[Периодичность]],"")</f>
        <v/>
      </c>
    </row>
    <row r="159" spans="1:36" x14ac:dyDescent="0.25">
      <c r="A159" s="35"/>
      <c r="B159" s="36"/>
      <c r="C159" s="37">
        <v>0</v>
      </c>
      <c r="D159" s="38">
        <v>3</v>
      </c>
      <c r="E159" s="41"/>
      <c r="F159" s="43"/>
      <c r="G159" s="41"/>
      <c r="H159" s="41"/>
      <c r="I159" s="41"/>
      <c r="J159" s="41"/>
      <c r="K159" s="41"/>
      <c r="L159" s="41"/>
      <c r="M159" s="43"/>
      <c r="N159" s="41"/>
      <c r="O159" s="41"/>
      <c r="P159" s="41"/>
      <c r="Q159" s="41"/>
      <c r="R159" s="41"/>
      <c r="S159" s="41"/>
      <c r="T159" s="43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3"/>
      <c r="AI159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59" s="42" t="str">
        <f ca="1">IF(Сентябрь[[#This Row],[УСЛУГ]]&lt;&gt;"",Сентябрь[[#This Row],[УСЛУГ]]*Сентябрь[[#This Row],[Периодичность]],"")</f>
        <v/>
      </c>
    </row>
    <row r="160" spans="1:36" ht="47.25" x14ac:dyDescent="0.25">
      <c r="A160" s="35" t="s">
        <v>153</v>
      </c>
      <c r="B160" s="36"/>
      <c r="C160" s="37">
        <v>0</v>
      </c>
      <c r="D160" s="38">
        <v>1</v>
      </c>
      <c r="E160" s="41"/>
      <c r="F160" s="43"/>
      <c r="G160" s="41"/>
      <c r="H160" s="41"/>
      <c r="I160" s="41"/>
      <c r="J160" s="41"/>
      <c r="K160" s="41"/>
      <c r="L160" s="41"/>
      <c r="M160" s="43"/>
      <c r="N160" s="41"/>
      <c r="O160" s="41"/>
      <c r="P160" s="41"/>
      <c r="Q160" s="41"/>
      <c r="R160" s="41"/>
      <c r="S160" s="41"/>
      <c r="T160" s="43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3"/>
      <c r="AI160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60" s="42">
        <f ca="1">IF(Сентябрь[[#This Row],[УСЛУГ]]&lt;&gt;"",Сентябрь[[#This Row],[УСЛУГ]]*Сентябрь[[#This Row],[Периодичность]],"")</f>
        <v>0</v>
      </c>
    </row>
    <row r="161" spans="1:36" x14ac:dyDescent="0.25">
      <c r="A161" s="35"/>
      <c r="B161" s="36"/>
      <c r="C161" s="37">
        <v>0</v>
      </c>
      <c r="D161" s="38">
        <v>2</v>
      </c>
      <c r="E161" s="41"/>
      <c r="F161" s="43"/>
      <c r="G161" s="41"/>
      <c r="H161" s="41"/>
      <c r="I161" s="41"/>
      <c r="J161" s="41"/>
      <c r="K161" s="41"/>
      <c r="L161" s="41"/>
      <c r="M161" s="43"/>
      <c r="N161" s="41"/>
      <c r="O161" s="41"/>
      <c r="P161" s="41"/>
      <c r="Q161" s="41"/>
      <c r="R161" s="41"/>
      <c r="S161" s="41"/>
      <c r="T161" s="43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3"/>
      <c r="AI16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1" s="42" t="str">
        <f ca="1">IF(Сентябрь[[#This Row],[УСЛУГ]]&lt;&gt;"",Сентябрь[[#This Row],[УСЛУГ]]*Сентябрь[[#This Row],[Периодичность]],"")</f>
        <v/>
      </c>
    </row>
    <row r="162" spans="1:36" x14ac:dyDescent="0.25">
      <c r="A162" s="35"/>
      <c r="B162" s="36"/>
      <c r="C162" s="37">
        <v>0</v>
      </c>
      <c r="D162" s="38">
        <v>3</v>
      </c>
      <c r="E162" s="41"/>
      <c r="F162" s="43"/>
      <c r="G162" s="41"/>
      <c r="H162" s="41"/>
      <c r="I162" s="41"/>
      <c r="J162" s="41"/>
      <c r="K162" s="41"/>
      <c r="L162" s="41"/>
      <c r="M162" s="43"/>
      <c r="N162" s="41"/>
      <c r="O162" s="41"/>
      <c r="P162" s="41"/>
      <c r="Q162" s="41"/>
      <c r="R162" s="41"/>
      <c r="S162" s="41"/>
      <c r="T162" s="43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3"/>
      <c r="AI162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2" s="42" t="str">
        <f ca="1">IF(Сентябрь[[#This Row],[УСЛУГ]]&lt;&gt;"",Сентябрь[[#This Row],[УСЛУГ]]*Сентябрь[[#This Row],[Периодичность]],"")</f>
        <v/>
      </c>
    </row>
    <row r="163" spans="1:36" ht="47.25" x14ac:dyDescent="0.25">
      <c r="A163" s="35" t="s">
        <v>154</v>
      </c>
      <c r="B163" s="36"/>
      <c r="C163" s="37">
        <v>0</v>
      </c>
      <c r="D163" s="38">
        <v>1</v>
      </c>
      <c r="E163" s="41"/>
      <c r="F163" s="43"/>
      <c r="G163" s="41"/>
      <c r="H163" s="41"/>
      <c r="I163" s="41"/>
      <c r="J163" s="41"/>
      <c r="K163" s="41"/>
      <c r="L163" s="41"/>
      <c r="M163" s="43"/>
      <c r="N163" s="41"/>
      <c r="O163" s="41"/>
      <c r="P163" s="41"/>
      <c r="Q163" s="41"/>
      <c r="R163" s="41"/>
      <c r="S163" s="41"/>
      <c r="T163" s="43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3"/>
      <c r="AI163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63" s="42">
        <f ca="1">IF(Сентябрь[[#This Row],[УСЛУГ]]&lt;&gt;"",Сентябрь[[#This Row],[УСЛУГ]]*Сентябрь[[#This Row],[Периодичность]],"")</f>
        <v>0</v>
      </c>
    </row>
    <row r="164" spans="1:36" x14ac:dyDescent="0.25">
      <c r="A164" s="35"/>
      <c r="B164" s="36"/>
      <c r="C164" s="37">
        <v>0</v>
      </c>
      <c r="D164" s="38">
        <v>2</v>
      </c>
      <c r="E164" s="41"/>
      <c r="F164" s="43"/>
      <c r="G164" s="41"/>
      <c r="H164" s="41"/>
      <c r="I164" s="41"/>
      <c r="J164" s="41"/>
      <c r="K164" s="41"/>
      <c r="L164" s="41"/>
      <c r="M164" s="43"/>
      <c r="N164" s="41"/>
      <c r="O164" s="41"/>
      <c r="P164" s="41"/>
      <c r="Q164" s="41"/>
      <c r="R164" s="41"/>
      <c r="S164" s="41"/>
      <c r="T164" s="43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3"/>
      <c r="AI16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4" s="42" t="str">
        <f ca="1">IF(Сентябрь[[#This Row],[УСЛУГ]]&lt;&gt;"",Сентябрь[[#This Row],[УСЛУГ]]*Сентябрь[[#This Row],[Периодичность]],"")</f>
        <v/>
      </c>
    </row>
    <row r="165" spans="1:36" x14ac:dyDescent="0.25">
      <c r="A165" s="35"/>
      <c r="B165" s="36"/>
      <c r="C165" s="37">
        <v>0</v>
      </c>
      <c r="D165" s="38">
        <v>3</v>
      </c>
      <c r="E165" s="41"/>
      <c r="F165" s="43"/>
      <c r="G165" s="41"/>
      <c r="H165" s="41"/>
      <c r="I165" s="41"/>
      <c r="J165" s="41"/>
      <c r="K165" s="41"/>
      <c r="L165" s="41"/>
      <c r="M165" s="43"/>
      <c r="N165" s="41"/>
      <c r="O165" s="41"/>
      <c r="P165" s="41"/>
      <c r="Q165" s="41"/>
      <c r="R165" s="41"/>
      <c r="S165" s="41"/>
      <c r="T165" s="43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3"/>
      <c r="AI165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5" s="42" t="str">
        <f ca="1">IF(Сентябрь[[#This Row],[УСЛУГ]]&lt;&gt;"",Сентябрь[[#This Row],[УСЛУГ]]*Сентябрь[[#This Row],[Периодичность]],"")</f>
        <v/>
      </c>
    </row>
    <row r="166" spans="1:36" ht="47.25" x14ac:dyDescent="0.25">
      <c r="A166" s="35" t="s">
        <v>73</v>
      </c>
      <c r="B166" s="36"/>
      <c r="C166" s="37">
        <v>0</v>
      </c>
      <c r="D166" s="38">
        <v>1</v>
      </c>
      <c r="E166" s="41"/>
      <c r="F166" s="43"/>
      <c r="G166" s="41"/>
      <c r="H166" s="41"/>
      <c r="I166" s="41"/>
      <c r="J166" s="41"/>
      <c r="K166" s="41"/>
      <c r="L166" s="41"/>
      <c r="M166" s="43"/>
      <c r="N166" s="41"/>
      <c r="O166" s="41"/>
      <c r="P166" s="41"/>
      <c r="Q166" s="41"/>
      <c r="R166" s="41"/>
      <c r="S166" s="41"/>
      <c r="T166" s="43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3"/>
      <c r="AI166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66" s="42">
        <f ca="1">IF(Сентябрь[[#This Row],[УСЛУГ]]&lt;&gt;"",Сентябрь[[#This Row],[УСЛУГ]]*Сентябрь[[#This Row],[Периодичность]],"")</f>
        <v>0</v>
      </c>
    </row>
    <row r="167" spans="1:36" x14ac:dyDescent="0.25">
      <c r="A167" s="35"/>
      <c r="B167" s="36"/>
      <c r="C167" s="37">
        <v>0</v>
      </c>
      <c r="D167" s="38">
        <v>2</v>
      </c>
      <c r="E167" s="41"/>
      <c r="F167" s="43"/>
      <c r="G167" s="41"/>
      <c r="H167" s="41"/>
      <c r="I167" s="41"/>
      <c r="J167" s="41"/>
      <c r="K167" s="41"/>
      <c r="L167" s="41"/>
      <c r="M167" s="43"/>
      <c r="N167" s="41"/>
      <c r="O167" s="41"/>
      <c r="P167" s="41"/>
      <c r="Q167" s="41"/>
      <c r="R167" s="41"/>
      <c r="S167" s="41"/>
      <c r="T167" s="43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3"/>
      <c r="AI167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7" s="42" t="str">
        <f ca="1">IF(Сентябрь[[#This Row],[УСЛУГ]]&lt;&gt;"",Сентябрь[[#This Row],[УСЛУГ]]*Сентябрь[[#This Row],[Периодичность]],"")</f>
        <v/>
      </c>
    </row>
    <row r="168" spans="1:36" x14ac:dyDescent="0.25">
      <c r="A168" s="35"/>
      <c r="B168" s="36"/>
      <c r="C168" s="37">
        <v>0</v>
      </c>
      <c r="D168" s="38">
        <v>3</v>
      </c>
      <c r="E168" s="41"/>
      <c r="F168" s="43"/>
      <c r="G168" s="41"/>
      <c r="H168" s="41"/>
      <c r="I168" s="41"/>
      <c r="J168" s="41"/>
      <c r="K168" s="41"/>
      <c r="L168" s="41"/>
      <c r="M168" s="43"/>
      <c r="N168" s="41"/>
      <c r="O168" s="41"/>
      <c r="P168" s="41"/>
      <c r="Q168" s="41"/>
      <c r="R168" s="41"/>
      <c r="S168" s="41"/>
      <c r="T168" s="43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3"/>
      <c r="AI168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68" s="42" t="str">
        <f ca="1">IF(Сентябрь[[#This Row],[УСЛУГ]]&lt;&gt;"",Сентябрь[[#This Row],[УСЛУГ]]*Сентябрь[[#This Row],[Периодичность]],"")</f>
        <v/>
      </c>
    </row>
    <row r="169" spans="1:36" ht="47.25" x14ac:dyDescent="0.25">
      <c r="A169" s="35" t="s">
        <v>155</v>
      </c>
      <c r="B169" s="36"/>
      <c r="C169" s="37">
        <v>0</v>
      </c>
      <c r="D169" s="38">
        <v>1</v>
      </c>
      <c r="E169" s="41"/>
      <c r="F169" s="43"/>
      <c r="G169" s="41"/>
      <c r="H169" s="41"/>
      <c r="I169" s="41"/>
      <c r="J169" s="41"/>
      <c r="K169" s="41"/>
      <c r="L169" s="41"/>
      <c r="M169" s="43"/>
      <c r="N169" s="41"/>
      <c r="O169" s="41"/>
      <c r="P169" s="41"/>
      <c r="Q169" s="41"/>
      <c r="R169" s="41"/>
      <c r="S169" s="41"/>
      <c r="T169" s="43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3"/>
      <c r="AI169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69" s="42">
        <f ca="1">IF(Сентябрь[[#This Row],[УСЛУГ]]&lt;&gt;"",Сентябрь[[#This Row],[УСЛУГ]]*Сентябрь[[#This Row],[Периодичность]],"")</f>
        <v>0</v>
      </c>
    </row>
    <row r="170" spans="1:36" x14ac:dyDescent="0.25">
      <c r="A170" s="35"/>
      <c r="B170" s="36"/>
      <c r="C170" s="37">
        <v>0</v>
      </c>
      <c r="D170" s="38">
        <v>2</v>
      </c>
      <c r="E170" s="41"/>
      <c r="F170" s="43"/>
      <c r="G170" s="41"/>
      <c r="H170" s="41"/>
      <c r="I170" s="41"/>
      <c r="J170" s="41"/>
      <c r="K170" s="41"/>
      <c r="L170" s="41"/>
      <c r="M170" s="43"/>
      <c r="N170" s="41"/>
      <c r="O170" s="41"/>
      <c r="P170" s="41"/>
      <c r="Q170" s="41"/>
      <c r="R170" s="41"/>
      <c r="S170" s="41"/>
      <c r="T170" s="43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3"/>
      <c r="AI170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70" s="42" t="str">
        <f ca="1">IF(Сентябрь[[#This Row],[УСЛУГ]]&lt;&gt;"",Сентябрь[[#This Row],[УСЛУГ]]*Сентябрь[[#This Row],[Периодичность]],"")</f>
        <v/>
      </c>
    </row>
    <row r="171" spans="1:36" x14ac:dyDescent="0.25">
      <c r="A171" s="35"/>
      <c r="B171" s="36"/>
      <c r="C171" s="37">
        <v>0</v>
      </c>
      <c r="D171" s="38">
        <v>3</v>
      </c>
      <c r="E171" s="41"/>
      <c r="F171" s="43"/>
      <c r="G171" s="41"/>
      <c r="H171" s="41"/>
      <c r="I171" s="41"/>
      <c r="J171" s="41"/>
      <c r="K171" s="41"/>
      <c r="L171" s="41"/>
      <c r="M171" s="43"/>
      <c r="N171" s="41"/>
      <c r="O171" s="41"/>
      <c r="P171" s="41"/>
      <c r="Q171" s="41"/>
      <c r="R171" s="41"/>
      <c r="S171" s="41"/>
      <c r="T171" s="43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3"/>
      <c r="AI171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71" s="42" t="str">
        <f ca="1">IF(Сентябрь[[#This Row],[УСЛУГ]]&lt;&gt;"",Сентябрь[[#This Row],[УСЛУГ]]*Сентябрь[[#This Row],[Периодичность]],"")</f>
        <v/>
      </c>
    </row>
    <row r="172" spans="1:36" ht="47.25" x14ac:dyDescent="0.25">
      <c r="A172" s="35" t="s">
        <v>72</v>
      </c>
      <c r="B172" s="36"/>
      <c r="C172" s="37">
        <v>0</v>
      </c>
      <c r="D172" s="38">
        <v>1</v>
      </c>
      <c r="E172" s="41"/>
      <c r="F172" s="43"/>
      <c r="G172" s="41"/>
      <c r="H172" s="41"/>
      <c r="I172" s="41"/>
      <c r="J172" s="41"/>
      <c r="K172" s="41"/>
      <c r="L172" s="41"/>
      <c r="M172" s="43"/>
      <c r="N172" s="41"/>
      <c r="O172" s="41"/>
      <c r="P172" s="41"/>
      <c r="Q172" s="41"/>
      <c r="R172" s="41"/>
      <c r="S172" s="41"/>
      <c r="T172" s="43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3"/>
      <c r="AI172" s="42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>0</v>
      </c>
      <c r="AJ172" s="42">
        <f ca="1">IF(Сентябрь[[#This Row],[УСЛУГ]]&lt;&gt;"",Сентябрь[[#This Row],[УСЛУГ]]*Сентябрь[[#This Row],[Периодичность]],"")</f>
        <v>0</v>
      </c>
    </row>
    <row r="173" spans="1:36" x14ac:dyDescent="0.25">
      <c r="A173" s="35"/>
      <c r="B173" s="36"/>
      <c r="C173" s="37">
        <v>0</v>
      </c>
      <c r="D173" s="38">
        <v>2</v>
      </c>
      <c r="E173" s="41"/>
      <c r="F173" s="43"/>
      <c r="G173" s="41"/>
      <c r="H173" s="41"/>
      <c r="I173" s="41"/>
      <c r="J173" s="41"/>
      <c r="K173" s="41"/>
      <c r="L173" s="41"/>
      <c r="M173" s="43"/>
      <c r="N173" s="41"/>
      <c r="O173" s="41"/>
      <c r="P173" s="41"/>
      <c r="Q173" s="41"/>
      <c r="R173" s="41"/>
      <c r="S173" s="41"/>
      <c r="T173" s="43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3"/>
      <c r="AI173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73" s="42" t="str">
        <f ca="1">IF(Сентябрь[[#This Row],[УСЛУГ]]&lt;&gt;"",Сентябрь[[#This Row],[УСЛУГ]]*Сентябрь[[#This Row],[Периодичность]],"")</f>
        <v/>
      </c>
    </row>
    <row r="174" spans="1:36" x14ac:dyDescent="0.25">
      <c r="A174" s="35"/>
      <c r="B174" s="36"/>
      <c r="C174" s="37">
        <v>0</v>
      </c>
      <c r="D174" s="38">
        <v>3</v>
      </c>
      <c r="E174" s="41"/>
      <c r="F174" s="43"/>
      <c r="G174" s="41"/>
      <c r="H174" s="41"/>
      <c r="I174" s="41"/>
      <c r="J174" s="41"/>
      <c r="K174" s="41"/>
      <c r="L174" s="41"/>
      <c r="M174" s="43"/>
      <c r="N174" s="41"/>
      <c r="O174" s="41"/>
      <c r="P174" s="41"/>
      <c r="Q174" s="41"/>
      <c r="R174" s="41"/>
      <c r="S174" s="41"/>
      <c r="T174" s="43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3"/>
      <c r="AI174" s="42" t="str">
        <f ca="1">IF(OFFSET(Сентябрь[[#This Row],[№]],1,)=2,IF(OFFSET(Сентябрь[[#This Row],[№]],2,)=3,SUM(Сентябрь[[#This Row],[1]:[30]])+SUM(OFFSET(Сентябрь[[#This Row],[1]:[30]],1,))+SUM(OFFSET(Сентябрь[[#This Row],[1]:[30]],2,)),SUM(Сентябрь[[#This Row],[1]:[30]])+SUM(OFFSET(Сентябрь[[#This Row],[1]:[30]],1,))),IF(OFFSET(Сентябрь[[#This Row],[№]],2,)=3,SUM(Сентябрь[[#This Row],[1]:[30]])+SUM(OFFSET(Сентябрь[[#This Row],[1]:[30]],2,)),""))</f>
        <v/>
      </c>
      <c r="AJ174" s="42" t="str">
        <f ca="1">IF(Сентябрь[[#This Row],[УСЛУГ]]&lt;&gt;"",Сентябрь[[#This Row],[УСЛУГ]]*Сентябрь[[#This Row],[Периодичность]],"")</f>
        <v/>
      </c>
    </row>
  </sheetData>
  <mergeCells count="20">
    <mergeCell ref="A2:AJ2"/>
    <mergeCell ref="A3:AJ3"/>
    <mergeCell ref="J4:L4"/>
    <mergeCell ref="M5:Q5"/>
    <mergeCell ref="M4:U4"/>
    <mergeCell ref="E22:AH23"/>
    <mergeCell ref="AJ19:AJ23"/>
    <mergeCell ref="A7:A11"/>
    <mergeCell ref="D7:D11"/>
    <mergeCell ref="A19:A23"/>
    <mergeCell ref="B19:C23"/>
    <mergeCell ref="D19:D23"/>
    <mergeCell ref="AI19:AI23"/>
    <mergeCell ref="B7:B11"/>
    <mergeCell ref="C7:C11"/>
    <mergeCell ref="AI7:AI11"/>
    <mergeCell ref="E19:AH20"/>
    <mergeCell ref="AJ7:AJ11"/>
    <mergeCell ref="E10:AH11"/>
    <mergeCell ref="E7:AH8"/>
  </mergeCells>
  <conditionalFormatting sqref="E9:AH9">
    <cfRule type="expression" dxfId="3" priority="4">
      <formula>WEEKDAY(E9:AH9,2)&gt;5</formula>
    </cfRule>
  </conditionalFormatting>
  <conditionalFormatting sqref="E21:AH21">
    <cfRule type="expression" dxfId="4" priority="2">
      <formula>WEEKDAY(E21:AH21,2)&gt;5</formula>
    </cfRule>
  </conditionalFormatting>
  <dataValidations count="2">
    <dataValidation type="list" allowBlank="1" showInputMessage="1" showErrorMessage="1" sqref="A25:A174">
      <formula1>INDIRECT("Услуги[Кратко]")</formula1>
    </dataValidation>
    <dataValidation type="list" allowBlank="1" showInputMessage="1" showErrorMessage="1" sqref="D25:D174">
      <formula1>INDIRECT("Посещения")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0" orientation="landscape" horizontalDpi="300" verticalDpi="300" r:id="rId1"/>
  <ignoredErrors>
    <ignoredError sqref="E16:AH17 E13:E15 B13:B17" calculatedColumn="1"/>
  </ignoredErrors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74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8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8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8" ht="18.75" x14ac:dyDescent="0.25">
      <c r="L5" s="12" t="s">
        <v>69</v>
      </c>
      <c r="M5" s="68" t="s">
        <v>137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54"/>
      <c r="B7" s="62" t="s">
        <v>115</v>
      </c>
      <c r="C7" s="62" t="s">
        <v>114</v>
      </c>
      <c r="D7" s="63" t="s">
        <v>61</v>
      </c>
      <c r="E7" s="48" t="s">
        <v>55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/>
      <c r="AJ7" s="44" t="s">
        <v>64</v>
      </c>
      <c r="AK7" s="45" t="s">
        <v>64</v>
      </c>
    </row>
    <row r="8" spans="1:38" x14ac:dyDescent="0.25">
      <c r="A8" s="54"/>
      <c r="B8" s="57"/>
      <c r="C8" s="57"/>
      <c r="D8" s="64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60"/>
      <c r="AJ8" s="44"/>
      <c r="AK8" s="46"/>
    </row>
    <row r="9" spans="1:38" x14ac:dyDescent="0.25">
      <c r="A9" s="54"/>
      <c r="B9" s="57"/>
      <c r="C9" s="57"/>
      <c r="D9" s="64"/>
      <c r="E9" s="23">
        <f>Настройки!E16</f>
        <v>45200</v>
      </c>
      <c r="F9" s="23">
        <f>Настройки!F16</f>
        <v>45201</v>
      </c>
      <c r="G9" s="23">
        <f>Настройки!G16</f>
        <v>45202</v>
      </c>
      <c r="H9" s="23">
        <f>Настройки!H16</f>
        <v>45203</v>
      </c>
      <c r="I9" s="23">
        <f>Настройки!I16</f>
        <v>45204</v>
      </c>
      <c r="J9" s="23">
        <f>Настройки!J16</f>
        <v>45205</v>
      </c>
      <c r="K9" s="23">
        <f>Настройки!K16</f>
        <v>45206</v>
      </c>
      <c r="L9" s="23">
        <f>Настройки!L16</f>
        <v>45207</v>
      </c>
      <c r="M9" s="23">
        <f>Настройки!M16</f>
        <v>45208</v>
      </c>
      <c r="N9" s="23">
        <f>Настройки!N16</f>
        <v>45209</v>
      </c>
      <c r="O9" s="23">
        <f>Настройки!O16</f>
        <v>45210</v>
      </c>
      <c r="P9" s="23">
        <f>Настройки!P16</f>
        <v>45211</v>
      </c>
      <c r="Q9" s="23">
        <f>Настройки!Q16</f>
        <v>45212</v>
      </c>
      <c r="R9" s="23">
        <f>Настройки!R16</f>
        <v>45213</v>
      </c>
      <c r="S9" s="23">
        <f>Настройки!S16</f>
        <v>45214</v>
      </c>
      <c r="T9" s="23">
        <f>Настройки!T16</f>
        <v>45215</v>
      </c>
      <c r="U9" s="23">
        <f>Настройки!U16</f>
        <v>45216</v>
      </c>
      <c r="V9" s="23">
        <f>Настройки!V16</f>
        <v>45217</v>
      </c>
      <c r="W9" s="23">
        <f>Настройки!W16</f>
        <v>45218</v>
      </c>
      <c r="X9" s="23">
        <f>Настройки!X16</f>
        <v>45219</v>
      </c>
      <c r="Y9" s="23">
        <f>Настройки!Y16</f>
        <v>45220</v>
      </c>
      <c r="Z9" s="23">
        <f>Настройки!Z16</f>
        <v>45221</v>
      </c>
      <c r="AA9" s="23">
        <f>Настройки!AA16</f>
        <v>45222</v>
      </c>
      <c r="AB9" s="23">
        <f>Настройки!AB16</f>
        <v>45223</v>
      </c>
      <c r="AC9" s="23">
        <f>Настройки!AC16</f>
        <v>45224</v>
      </c>
      <c r="AD9" s="23">
        <f>Настройки!AD16</f>
        <v>45225</v>
      </c>
      <c r="AE9" s="23">
        <f>Настройки!AE16</f>
        <v>45226</v>
      </c>
      <c r="AF9" s="23">
        <f>Настройки!AF16</f>
        <v>45227</v>
      </c>
      <c r="AG9" s="23">
        <f>Настройки!AG16</f>
        <v>45228</v>
      </c>
      <c r="AH9" s="23">
        <f>Настройки!AH16</f>
        <v>45229</v>
      </c>
      <c r="AI9" s="23">
        <f>Настройки!AI16</f>
        <v>45230</v>
      </c>
      <c r="AJ9" s="44"/>
      <c r="AK9" s="46"/>
    </row>
    <row r="10" spans="1:38" x14ac:dyDescent="0.25">
      <c r="A10" s="54"/>
      <c r="B10" s="57"/>
      <c r="C10" s="57"/>
      <c r="D10" s="64"/>
      <c r="E10" s="48" t="s">
        <v>54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44"/>
      <c r="AK10" s="46"/>
    </row>
    <row r="11" spans="1:38" x14ac:dyDescent="0.25">
      <c r="A11" s="62"/>
      <c r="B11" s="57"/>
      <c r="C11" s="57"/>
      <c r="D11" s="64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3"/>
      <c r="AJ11" s="44"/>
      <c r="AK11" s="47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SUMPRODUCT((Настройки!$E$30:$AI$30=1)*E16:AI16)</f>
        <v>0</v>
      </c>
      <c r="D13" s="5">
        <v>1</v>
      </c>
      <c r="E13" s="30">
        <f>SUMPRODUCT((Октябрь[№]=1)*Октябрь[1],Октябрь[Периодичность])</f>
        <v>0</v>
      </c>
      <c r="F13" s="30">
        <f>SUMPRODUCT((Октябрь[№]=1)*Октябрь[2],Октябрь[Периодичность])</f>
        <v>0</v>
      </c>
      <c r="G13" s="30">
        <f>SUMPRODUCT((Октябрь[№]=1)*Октябрь[3],Октябрь[Периодичность])</f>
        <v>0</v>
      </c>
      <c r="H13" s="30">
        <f>SUMPRODUCT((Октябрь[№]=1)*Октябрь[4],Октябрь[Периодичность])</f>
        <v>0</v>
      </c>
      <c r="I13" s="30">
        <f>SUMPRODUCT((Октябрь[№]=1)*Октябрь[5],Октябрь[Периодичность])</f>
        <v>0</v>
      </c>
      <c r="J13" s="30">
        <f>SUMPRODUCT((Октябрь[№]=1)*Октябрь[6],Октябрь[Периодичность])</f>
        <v>0</v>
      </c>
      <c r="K13" s="30">
        <f>SUMPRODUCT((Октябрь[№]=1)*Октябрь[7],Октябрь[Периодичность])</f>
        <v>0</v>
      </c>
      <c r="L13" s="30">
        <f>SUMPRODUCT((Октябрь[№]=1)*Октябрь[8],Октябрь[Периодичность])</f>
        <v>0</v>
      </c>
      <c r="M13" s="30">
        <f>SUMPRODUCT((Октябрь[№]=1)*Октябрь[9],Октябрь[Периодичность])</f>
        <v>0</v>
      </c>
      <c r="N13" s="30">
        <f>SUMPRODUCT((Октябрь[№]=1)*Октябрь[10],Октябрь[Периодичность])</f>
        <v>0</v>
      </c>
      <c r="O13" s="30">
        <f>SUMPRODUCT((Октябрь[№]=1)*Октябрь[11],Октябрь[Периодичность])</f>
        <v>0</v>
      </c>
      <c r="P13" s="30">
        <f>SUMPRODUCT((Октябрь[№]=1)*Октябрь[12],Октябрь[Периодичность])</f>
        <v>0</v>
      </c>
      <c r="Q13" s="30">
        <f>SUMPRODUCT((Октябрь[№]=1)*Октябрь[13],Октябрь[Периодичность])</f>
        <v>0</v>
      </c>
      <c r="R13" s="30">
        <f>SUMPRODUCT((Октябрь[№]=1)*Октябрь[14],Октябрь[Периодичность])</f>
        <v>0</v>
      </c>
      <c r="S13" s="30">
        <f>SUMPRODUCT((Октябрь[№]=1)*Октябрь[15],Октябрь[Периодичность])</f>
        <v>0</v>
      </c>
      <c r="T13" s="30">
        <f>SUMPRODUCT((Октябрь[№]=1)*Октябрь[16],Октябрь[Периодичность])</f>
        <v>0</v>
      </c>
      <c r="U13" s="30">
        <f>SUMPRODUCT((Октябрь[№]=1)*Октябрь[17],Октябрь[Периодичность])</f>
        <v>0</v>
      </c>
      <c r="V13" s="30">
        <f>SUMPRODUCT((Октябрь[№]=1)*Октябрь[18],Октябрь[Периодичность])</f>
        <v>0</v>
      </c>
      <c r="W13" s="30">
        <f>SUMPRODUCT((Октябрь[№]=1)*Октябрь[19],Октябрь[Периодичность])</f>
        <v>0</v>
      </c>
      <c r="X13" s="30">
        <f>SUMPRODUCT((Октябрь[№]=1)*Октябрь[20],Октябрь[Периодичность])</f>
        <v>0</v>
      </c>
      <c r="Y13" s="30">
        <f>SUMPRODUCT((Октябрь[№]=1)*Октябрь[21],Октябрь[Периодичность])</f>
        <v>0</v>
      </c>
      <c r="Z13" s="30">
        <f>SUMPRODUCT((Октябрь[№]=1)*Октябрь[22],Октябрь[Периодичность])</f>
        <v>0</v>
      </c>
      <c r="AA13" s="30">
        <f>SUMPRODUCT((Октябрь[№]=1)*Октябрь[23],Октябрь[Периодичность])</f>
        <v>0</v>
      </c>
      <c r="AB13" s="30">
        <f>SUMPRODUCT((Октябрь[№]=1)*Октябрь[24],Октябрь[Периодичность])</f>
        <v>0</v>
      </c>
      <c r="AC13" s="30">
        <f>SUMPRODUCT((Октябрь[№]=1)*Октябрь[25],Октябрь[Периодичность])</f>
        <v>0</v>
      </c>
      <c r="AD13" s="30">
        <f>SUMPRODUCT((Октябрь[№]=1)*Октябрь[26],Октябрь[Периодичность])</f>
        <v>0</v>
      </c>
      <c r="AE13" s="30">
        <f>SUMPRODUCT((Октябрь[№]=1)*Октябрь[27],Октябрь[Периодичность])</f>
        <v>0</v>
      </c>
      <c r="AF13" s="30">
        <f>SUMPRODUCT((Октябрь[№]=1)*Октябрь[28],Октябрь[Периодичность])</f>
        <v>0</v>
      </c>
      <c r="AG13" s="30">
        <f>SUMPRODUCT((Октябрь[№]=1)*Октябрь[29],Октябрь[Периодичность])</f>
        <v>0</v>
      </c>
      <c r="AH13" s="30">
        <f>SUMPRODUCT((Октябрь[№]=1)*Октябрь[30],Октябрь[Периодичность])</f>
        <v>0</v>
      </c>
      <c r="AI13" s="30">
        <f>SUMPRODUCT((Октябрь[№]=1)*Октябрь[31],Октябрь[Периодичность])</f>
        <v>0</v>
      </c>
      <c r="AL13" s="4"/>
    </row>
    <row r="14" spans="1:38" x14ac:dyDescent="0.25">
      <c r="B14" s="3">
        <f>SUMPRODUCT((Настройки!$E$30:$AI$30=2)*E16:AI16)</f>
        <v>0</v>
      </c>
      <c r="D14" s="5">
        <v>2</v>
      </c>
      <c r="E14" s="30">
        <f>SUMPRODUCT((Октябрь[№]=2)*Октябрь[1],Октябрь[Периодичность])</f>
        <v>0</v>
      </c>
      <c r="F14" s="30">
        <f>SUMPRODUCT((Октябрь[№]=2)*Октябрь[2],Октябрь[Периодичность])</f>
        <v>0</v>
      </c>
      <c r="G14" s="30">
        <f>SUMPRODUCT((Октябрь[№]=2)*Октябрь[3],Октябрь[Периодичность])</f>
        <v>0</v>
      </c>
      <c r="H14" s="30">
        <f>SUMPRODUCT((Октябрь[№]=2)*Октябрь[4],Октябрь[Периодичность])</f>
        <v>0</v>
      </c>
      <c r="I14" s="30">
        <f>SUMPRODUCT((Октябрь[№]=2)*Октябрь[5],Октябрь[Периодичность])</f>
        <v>0</v>
      </c>
      <c r="J14" s="30">
        <f>SUMPRODUCT((Октябрь[№]=2)*Октябрь[6],Октябрь[Периодичность])</f>
        <v>0</v>
      </c>
      <c r="K14" s="30">
        <f>SUMPRODUCT((Октябрь[№]=2)*Октябрь[7],Октябрь[Периодичность])</f>
        <v>0</v>
      </c>
      <c r="L14" s="30">
        <f>SUMPRODUCT((Октябрь[№]=2)*Октябрь[8],Октябрь[Периодичность])</f>
        <v>0</v>
      </c>
      <c r="M14" s="30">
        <f>SUMPRODUCT((Октябрь[№]=2)*Октябрь[9],Октябрь[Периодичность])</f>
        <v>0</v>
      </c>
      <c r="N14" s="30">
        <f>SUMPRODUCT((Октябрь[№]=2)*Октябрь[10],Октябрь[Периодичность])</f>
        <v>0</v>
      </c>
      <c r="O14" s="30">
        <f>SUMPRODUCT((Октябрь[№]=2)*Октябрь[11],Октябрь[Периодичность])</f>
        <v>0</v>
      </c>
      <c r="P14" s="30">
        <f>SUMPRODUCT((Октябрь[№]=2)*Октябрь[12],Октябрь[Периодичность])</f>
        <v>0</v>
      </c>
      <c r="Q14" s="30">
        <f>SUMPRODUCT((Октябрь[№]=2)*Октябрь[13],Октябрь[Периодичность])</f>
        <v>0</v>
      </c>
      <c r="R14" s="30">
        <f>SUMPRODUCT((Октябрь[№]=2)*Октябрь[14],Октябрь[Периодичность])</f>
        <v>0</v>
      </c>
      <c r="S14" s="30">
        <f>SUMPRODUCT((Октябрь[№]=2)*Октябрь[15],Октябрь[Периодичность])</f>
        <v>0</v>
      </c>
      <c r="T14" s="30">
        <f>SUMPRODUCT((Октябрь[№]=2)*Октябрь[16],Октябрь[Периодичность])</f>
        <v>0</v>
      </c>
      <c r="U14" s="30">
        <f>SUMPRODUCT((Октябрь[№]=2)*Октябрь[17],Октябрь[Периодичность])</f>
        <v>0</v>
      </c>
      <c r="V14" s="30">
        <f>SUMPRODUCT((Октябрь[№]=2)*Октябрь[18],Октябрь[Периодичность])</f>
        <v>0</v>
      </c>
      <c r="W14" s="30">
        <f>SUMPRODUCT((Октябрь[№]=2)*Октябрь[19],Октябрь[Периодичность])</f>
        <v>0</v>
      </c>
      <c r="X14" s="30">
        <f>SUMPRODUCT((Октябрь[№]=2)*Октябрь[20],Октябрь[Периодичность])</f>
        <v>0</v>
      </c>
      <c r="Y14" s="30">
        <f>SUMPRODUCT((Октябрь[№]=2)*Октябрь[21],Октябрь[Периодичность])</f>
        <v>0</v>
      </c>
      <c r="Z14" s="30">
        <f>SUMPRODUCT((Октябрь[№]=2)*Октябрь[22],Октябрь[Периодичность])</f>
        <v>0</v>
      </c>
      <c r="AA14" s="30">
        <f>SUMPRODUCT((Октябрь[№]=2)*Октябрь[23],Октябрь[Периодичность])</f>
        <v>0</v>
      </c>
      <c r="AB14" s="30">
        <f>SUMPRODUCT((Октябрь[№]=2)*Октябрь[24],Октябрь[Периодичность])</f>
        <v>0</v>
      </c>
      <c r="AC14" s="30">
        <f>SUMPRODUCT((Октябрь[№]=2)*Октябрь[25],Октябрь[Периодичность])</f>
        <v>0</v>
      </c>
      <c r="AD14" s="30">
        <f>SUMPRODUCT((Октябрь[№]=2)*Октябрь[26],Октябрь[Периодичность])</f>
        <v>0</v>
      </c>
      <c r="AE14" s="30">
        <f>SUMPRODUCT((Октябрь[№]=2)*Октябрь[27],Октябрь[Периодичность])</f>
        <v>0</v>
      </c>
      <c r="AF14" s="30">
        <f>SUMPRODUCT((Октябрь[№]=2)*Октябрь[28],Октябрь[Периодичность])</f>
        <v>0</v>
      </c>
      <c r="AG14" s="30">
        <f>SUMPRODUCT((Октябрь[№]=2)*Октябрь[29],Октябрь[Периодичность])</f>
        <v>0</v>
      </c>
      <c r="AH14" s="30">
        <f>SUMPRODUCT((Октябрь[№]=2)*Октябрь[30],Октябрь[Периодичность])</f>
        <v>0</v>
      </c>
      <c r="AI14" s="30">
        <f>SUMPRODUCT((Октябрь[№]=2)*Октябрь[31],Октябрь[Периодичность])</f>
        <v>0</v>
      </c>
      <c r="AL14" s="4"/>
    </row>
    <row r="15" spans="1:38" x14ac:dyDescent="0.25">
      <c r="B15" s="3">
        <f>SUMPRODUCT((Настройки!$E$30:$AI$30=3)*E16:AI16)</f>
        <v>0</v>
      </c>
      <c r="D15" s="5">
        <v>3</v>
      </c>
      <c r="E15" s="30">
        <f>SUMPRODUCT((Октябрь[№]=3)*Октябрь[1],Октябрь[Периодичность])</f>
        <v>0</v>
      </c>
      <c r="F15" s="30">
        <f>SUMPRODUCT((Октябрь[№]=3)*Октябрь[2],Октябрь[Периодичность])</f>
        <v>0</v>
      </c>
      <c r="G15" s="30">
        <f>SUMPRODUCT((Октябрь[№]=3)*Октябрь[3],Октябрь[Периодичность])</f>
        <v>0</v>
      </c>
      <c r="H15" s="30">
        <f>SUMPRODUCT((Октябрь[№]=3)*Октябрь[4],Октябрь[Периодичность])</f>
        <v>0</v>
      </c>
      <c r="I15" s="30">
        <f>SUMPRODUCT((Октябрь[№]=3)*Октябрь[5],Октябрь[Периодичность])</f>
        <v>0</v>
      </c>
      <c r="J15" s="30">
        <f>SUMPRODUCT((Октябрь[№]=3)*Октябрь[6],Октябрь[Периодичность])</f>
        <v>0</v>
      </c>
      <c r="K15" s="30">
        <f>SUMPRODUCT((Октябрь[№]=3)*Октябрь[7],Октябрь[Периодичность])</f>
        <v>0</v>
      </c>
      <c r="L15" s="30">
        <f>SUMPRODUCT((Октябрь[№]=3)*Октябрь[8],Октябрь[Периодичность])</f>
        <v>0</v>
      </c>
      <c r="M15" s="30">
        <f>SUMPRODUCT((Октябрь[№]=3)*Октябрь[9],Октябрь[Периодичность])</f>
        <v>0</v>
      </c>
      <c r="N15" s="30">
        <f>SUMPRODUCT((Октябрь[№]=3)*Октябрь[10],Октябрь[Периодичность])</f>
        <v>0</v>
      </c>
      <c r="O15" s="30">
        <f>SUMPRODUCT((Октябрь[№]=3)*Октябрь[11],Октябрь[Периодичность])</f>
        <v>0</v>
      </c>
      <c r="P15" s="30">
        <f>SUMPRODUCT((Октябрь[№]=3)*Октябрь[12],Октябрь[Периодичность])</f>
        <v>0</v>
      </c>
      <c r="Q15" s="30">
        <f>SUMPRODUCT((Октябрь[№]=3)*Октябрь[13],Октябрь[Периодичность])</f>
        <v>0</v>
      </c>
      <c r="R15" s="30">
        <f>SUMPRODUCT((Октябрь[№]=3)*Октябрь[14],Октябрь[Периодичность])</f>
        <v>0</v>
      </c>
      <c r="S15" s="30">
        <f>SUMPRODUCT((Октябрь[№]=3)*Октябрь[15],Октябрь[Периодичность])</f>
        <v>0</v>
      </c>
      <c r="T15" s="30">
        <f>SUMPRODUCT((Октябрь[№]=3)*Октябрь[16],Октябрь[Периодичность])</f>
        <v>0</v>
      </c>
      <c r="U15" s="30">
        <f>SUMPRODUCT((Октябрь[№]=3)*Октябрь[17],Октябрь[Периодичность])</f>
        <v>0</v>
      </c>
      <c r="V15" s="30">
        <f>SUMPRODUCT((Октябрь[№]=3)*Октябрь[18],Октябрь[Периодичность])</f>
        <v>0</v>
      </c>
      <c r="W15" s="30">
        <f>SUMPRODUCT((Октябрь[№]=3)*Октябрь[19],Октябрь[Периодичность])</f>
        <v>0</v>
      </c>
      <c r="X15" s="30">
        <f>SUMPRODUCT((Октябрь[№]=3)*Октябрь[20],Октябрь[Периодичность])</f>
        <v>0</v>
      </c>
      <c r="Y15" s="30">
        <f>SUMPRODUCT((Октябрь[№]=3)*Октябрь[21],Октябрь[Периодичность])</f>
        <v>0</v>
      </c>
      <c r="Z15" s="30">
        <f>SUMPRODUCT((Октябрь[№]=3)*Октябрь[22],Октябрь[Периодичность])</f>
        <v>0</v>
      </c>
      <c r="AA15" s="30">
        <f>SUMPRODUCT((Октябрь[№]=3)*Октябрь[23],Октябрь[Периодичность])</f>
        <v>0</v>
      </c>
      <c r="AB15" s="30">
        <f>SUMPRODUCT((Октябрь[№]=3)*Октябрь[24],Октябрь[Периодичность])</f>
        <v>0</v>
      </c>
      <c r="AC15" s="30">
        <f>SUMPRODUCT((Октябрь[№]=3)*Октябрь[25],Октябрь[Периодичность])</f>
        <v>0</v>
      </c>
      <c r="AD15" s="30">
        <f>SUMPRODUCT((Октябрь[№]=3)*Октябрь[26],Октябрь[Периодичность])</f>
        <v>0</v>
      </c>
      <c r="AE15" s="30">
        <f>SUMPRODUCT((Октябрь[№]=3)*Октябрь[27],Октябрь[Периодичность])</f>
        <v>0</v>
      </c>
      <c r="AF15" s="30">
        <f>SUMPRODUCT((Октябрь[№]=3)*Октябрь[28],Октябрь[Периодичность])</f>
        <v>0</v>
      </c>
      <c r="AG15" s="30">
        <f>SUMPRODUCT((Октябрь[№]=3)*Октябрь[29],Октябрь[Периодичность])</f>
        <v>0</v>
      </c>
      <c r="AH15" s="30">
        <f>SUMPRODUCT((Октябрь[№]=3)*Октябрь[30],Октябрь[Периодичность])</f>
        <v>0</v>
      </c>
      <c r="AI15" s="30">
        <f>SUMPRODUCT((Октябрь[№]=3)*Октябрь[31],Октябрь[Периодичность])</f>
        <v>0</v>
      </c>
      <c r="AK15" s="11"/>
    </row>
    <row r="16" spans="1:38" ht="22.5" customHeight="1" x14ac:dyDescent="0.25">
      <c r="B16" s="3">
        <f>SUMPRODUCT((Настройки!$E$30:$AI$30=4)*E16:AI16)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SUMPRODUCT((Настройки!$E$30:$AI$30=5)*E16:AI16)</f>
        <v>0</v>
      </c>
      <c r="C17" s="5">
        <f>ОктябрьИтоги[[#This Row],[№]]*60</f>
        <v>0</v>
      </c>
      <c r="D17" s="7">
        <f>SUM(ОктябрьИтоги[[#This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SUM(Октябрь[УСЛУГ])</f>
        <v>0</v>
      </c>
      <c r="AK17" s="11">
        <f ca="1">SUM(Октябрь[МИНУТ])</f>
        <v>0</v>
      </c>
    </row>
    <row r="18" spans="1:37" ht="20.25" customHeight="1" x14ac:dyDescent="0.25"/>
    <row r="19" spans="1:37" ht="22.5" customHeight="1" x14ac:dyDescent="0.25">
      <c r="A19" s="54" t="s">
        <v>52</v>
      </c>
      <c r="B19" s="54" t="s">
        <v>53</v>
      </c>
      <c r="C19" s="55"/>
      <c r="D19" s="56" t="s">
        <v>61</v>
      </c>
      <c r="E19" s="48" t="s">
        <v>55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50"/>
      <c r="AJ19" s="44" t="s">
        <v>64</v>
      </c>
      <c r="AK19" s="45" t="s">
        <v>64</v>
      </c>
    </row>
    <row r="20" spans="1:37" ht="18" customHeight="1" x14ac:dyDescent="0.25">
      <c r="A20" s="54"/>
      <c r="B20" s="54"/>
      <c r="C20" s="55"/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60"/>
      <c r="AJ20" s="44"/>
      <c r="AK20" s="46"/>
    </row>
    <row r="21" spans="1:37" ht="21.75" customHeight="1" x14ac:dyDescent="0.25">
      <c r="A21" s="54"/>
      <c r="B21" s="54"/>
      <c r="C21" s="55"/>
      <c r="D21" s="57"/>
      <c r="E21" s="26">
        <f>Настройки!E16</f>
        <v>45200</v>
      </c>
      <c r="F21" s="26">
        <f>Настройки!F16</f>
        <v>45201</v>
      </c>
      <c r="G21" s="26">
        <f>Настройки!G16</f>
        <v>45202</v>
      </c>
      <c r="H21" s="26">
        <f>Настройки!H16</f>
        <v>45203</v>
      </c>
      <c r="I21" s="26">
        <f>Настройки!I16</f>
        <v>45204</v>
      </c>
      <c r="J21" s="26">
        <f>Настройки!J16</f>
        <v>45205</v>
      </c>
      <c r="K21" s="26">
        <f>Настройки!K16</f>
        <v>45206</v>
      </c>
      <c r="L21" s="26">
        <f>Настройки!L16</f>
        <v>45207</v>
      </c>
      <c r="M21" s="26">
        <f>Настройки!M16</f>
        <v>45208</v>
      </c>
      <c r="N21" s="26">
        <f>Настройки!N16</f>
        <v>45209</v>
      </c>
      <c r="O21" s="26">
        <f>Настройки!O16</f>
        <v>45210</v>
      </c>
      <c r="P21" s="26">
        <f>Настройки!P16</f>
        <v>45211</v>
      </c>
      <c r="Q21" s="26">
        <f>Настройки!Q16</f>
        <v>45212</v>
      </c>
      <c r="R21" s="26">
        <f>Настройки!R16</f>
        <v>45213</v>
      </c>
      <c r="S21" s="26">
        <f>Настройки!S16</f>
        <v>45214</v>
      </c>
      <c r="T21" s="26">
        <f>Настройки!T16</f>
        <v>45215</v>
      </c>
      <c r="U21" s="26">
        <f>Настройки!U16</f>
        <v>45216</v>
      </c>
      <c r="V21" s="26">
        <f>Настройки!V16</f>
        <v>45217</v>
      </c>
      <c r="W21" s="26">
        <f>Настройки!W16</f>
        <v>45218</v>
      </c>
      <c r="X21" s="26">
        <f>Настройки!X16</f>
        <v>45219</v>
      </c>
      <c r="Y21" s="26">
        <f>Настройки!Y16</f>
        <v>45220</v>
      </c>
      <c r="Z21" s="26">
        <f>Настройки!Z16</f>
        <v>45221</v>
      </c>
      <c r="AA21" s="26">
        <f>Настройки!AA16</f>
        <v>45222</v>
      </c>
      <c r="AB21" s="26">
        <f>Настройки!AB16</f>
        <v>45223</v>
      </c>
      <c r="AC21" s="26">
        <f>Настройки!AC16</f>
        <v>45224</v>
      </c>
      <c r="AD21" s="26">
        <f>Настройки!AD16</f>
        <v>45225</v>
      </c>
      <c r="AE21" s="26">
        <f>Настройки!AE16</f>
        <v>45226</v>
      </c>
      <c r="AF21" s="26">
        <f>Настройки!AF16</f>
        <v>45227</v>
      </c>
      <c r="AG21" s="26">
        <f>Настройки!AG16</f>
        <v>45228</v>
      </c>
      <c r="AH21" s="26">
        <f>Настройки!AH16</f>
        <v>45229</v>
      </c>
      <c r="AI21" s="26">
        <f>Настройки!AI16</f>
        <v>45230</v>
      </c>
      <c r="AJ21" s="44"/>
      <c r="AK21" s="46"/>
    </row>
    <row r="22" spans="1:37" x14ac:dyDescent="0.25">
      <c r="A22" s="54"/>
      <c r="B22" s="54"/>
      <c r="C22" s="55"/>
      <c r="D22" s="57"/>
      <c r="E22" s="54" t="s">
        <v>54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61"/>
      <c r="AJ22" s="44"/>
      <c r="AK22" s="46"/>
    </row>
    <row r="23" spans="1:37" x14ac:dyDescent="0.25">
      <c r="A23" s="54"/>
      <c r="B23" s="54"/>
      <c r="C23" s="55"/>
      <c r="D23" s="57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61"/>
      <c r="AJ23" s="44"/>
      <c r="AK23" s="47"/>
    </row>
    <row r="24" spans="1:37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112</v>
      </c>
      <c r="AI24" s="3" t="s">
        <v>121</v>
      </c>
      <c r="AJ24" s="3" t="s">
        <v>62</v>
      </c>
      <c r="AK24" s="3" t="s">
        <v>63</v>
      </c>
    </row>
    <row r="25" spans="1:37" ht="31.5" x14ac:dyDescent="0.25">
      <c r="A25" s="16" t="s">
        <v>1</v>
      </c>
      <c r="B25" s="2"/>
      <c r="C25" s="8">
        <v>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25" s="5">
        <f ca="1">IF(Октябрь[[#This Row],[УСЛУГ]]&lt;&gt;"",Октябрь[[#This Row],[УСЛУГ]]*Октябрь[[#This Row],[Периодичность]],"")</f>
        <v>0</v>
      </c>
    </row>
    <row r="26" spans="1:37" x14ac:dyDescent="0.25">
      <c r="A26" s="16"/>
      <c r="B26" s="2"/>
      <c r="C26" s="8">
        <v>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26" s="5" t="str">
        <f ca="1">IF(Октябрь[[#This Row],[УСЛУГ]]&lt;&gt;"",Октябрь[[#This Row],[УСЛУГ]]*Октябрь[[#This Row],[Периодичность]],"")</f>
        <v/>
      </c>
    </row>
    <row r="27" spans="1:37" x14ac:dyDescent="0.25">
      <c r="A27" s="16"/>
      <c r="B27" s="2"/>
      <c r="C27" s="8">
        <v>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27" s="5" t="str">
        <f ca="1">IF(Октябрь[[#This Row],[УСЛУГ]]&lt;&gt;"",Октябрь[[#This Row],[УСЛУГ]]*Октябрь[[#This Row],[Периодичность]],"")</f>
        <v/>
      </c>
    </row>
    <row r="28" spans="1:37" ht="47.25" x14ac:dyDescent="0.25">
      <c r="A28" s="35" t="s">
        <v>2</v>
      </c>
      <c r="B28" s="36"/>
      <c r="C28" s="37">
        <v>0</v>
      </c>
      <c r="D28" s="38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28" s="29">
        <f ca="1">IF(Октябрь[[#This Row],[УСЛУГ]]&lt;&gt;"",Октябрь[[#This Row],[УСЛУГ]]*Октябрь[[#This Row],[Периодичность]],"")</f>
        <v>0</v>
      </c>
    </row>
    <row r="29" spans="1:37" ht="18.75" x14ac:dyDescent="0.25">
      <c r="A29" s="35"/>
      <c r="B29" s="36"/>
      <c r="C29" s="37">
        <v>0</v>
      </c>
      <c r="D29" s="38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29" s="29" t="str">
        <f ca="1">IF(Октябрь[[#This Row],[УСЛУГ]]&lt;&gt;"",Октябрь[[#This Row],[УСЛУГ]]*Октябрь[[#This Row],[Периодичность]],"")</f>
        <v/>
      </c>
    </row>
    <row r="30" spans="1:37" x14ac:dyDescent="0.25">
      <c r="A30" s="35"/>
      <c r="B30" s="36"/>
      <c r="C30" s="37">
        <v>0</v>
      </c>
      <c r="D30" s="38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0" s="29" t="str">
        <f ca="1">IF(Октябрь[[#This Row],[УСЛУГ]]&lt;&gt;"",Октябрь[[#This Row],[УСЛУГ]]*Октябрь[[#This Row],[Периодичность]],"")</f>
        <v/>
      </c>
    </row>
    <row r="31" spans="1:37" ht="31.5" x14ac:dyDescent="0.25">
      <c r="A31" s="35" t="s">
        <v>3</v>
      </c>
      <c r="B31" s="36"/>
      <c r="C31" s="37">
        <v>0</v>
      </c>
      <c r="D31" s="38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31" s="29">
        <f ca="1">IF(Октябрь[[#This Row],[УСЛУГ]]&lt;&gt;"",Октябрь[[#This Row],[УСЛУГ]]*Октябрь[[#This Row],[Периодичность]],"")</f>
        <v>0</v>
      </c>
    </row>
    <row r="32" spans="1:37" x14ac:dyDescent="0.25">
      <c r="A32" s="35"/>
      <c r="B32" s="36"/>
      <c r="C32" s="37">
        <v>0</v>
      </c>
      <c r="D32" s="38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2" s="29" t="str">
        <f ca="1">IF(Октябрь[[#This Row],[УСЛУГ]]&lt;&gt;"",Октябрь[[#This Row],[УСЛУГ]]*Октябрь[[#This Row],[Периодичность]],"")</f>
        <v/>
      </c>
    </row>
    <row r="33" spans="1:37" x14ac:dyDescent="0.25">
      <c r="A33" s="35"/>
      <c r="B33" s="36"/>
      <c r="C33" s="37">
        <v>0</v>
      </c>
      <c r="D33" s="38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3" s="29" t="str">
        <f ca="1">IF(Октябрь[[#This Row],[УСЛУГ]]&lt;&gt;"",Октябрь[[#This Row],[УСЛУГ]]*Октябрь[[#This Row],[Периодичность]],"")</f>
        <v/>
      </c>
    </row>
    <row r="34" spans="1:37" ht="47.25" x14ac:dyDescent="0.25">
      <c r="A34" s="35" t="s">
        <v>4</v>
      </c>
      <c r="B34" s="36"/>
      <c r="C34" s="37">
        <v>0</v>
      </c>
      <c r="D34" s="38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34" s="29">
        <f ca="1">IF(Октябрь[[#This Row],[УСЛУГ]]&lt;&gt;"",Октябрь[[#This Row],[УСЛУГ]]*Октябрь[[#This Row],[Периодичность]],"")</f>
        <v>0</v>
      </c>
    </row>
    <row r="35" spans="1:37" ht="18.75" x14ac:dyDescent="0.25">
      <c r="A35" s="35"/>
      <c r="B35" s="36"/>
      <c r="C35" s="37">
        <v>0</v>
      </c>
      <c r="D35" s="38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5" s="29" t="str">
        <f ca="1">IF(Октябрь[[#This Row],[УСЛУГ]]&lt;&gt;"",Октябрь[[#This Row],[УСЛУГ]]*Октябрь[[#This Row],[Периодичность]],"")</f>
        <v/>
      </c>
    </row>
    <row r="36" spans="1:37" ht="18.75" x14ac:dyDescent="0.25">
      <c r="A36" s="35"/>
      <c r="B36" s="36"/>
      <c r="C36" s="37">
        <v>0</v>
      </c>
      <c r="D36" s="38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6" s="29" t="str">
        <f ca="1">IF(Октябрь[[#This Row],[УСЛУГ]]&lt;&gt;"",Октябрь[[#This Row],[УСЛУГ]]*Октябрь[[#This Row],[Периодичность]],"")</f>
        <v/>
      </c>
    </row>
    <row r="37" spans="1:37" ht="18.75" x14ac:dyDescent="0.25">
      <c r="A37" s="35" t="s">
        <v>5</v>
      </c>
      <c r="B37" s="36"/>
      <c r="C37" s="37">
        <v>0</v>
      </c>
      <c r="D37" s="38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37" s="29">
        <f ca="1">IF(Октябрь[[#This Row],[УСЛУГ]]&lt;&gt;"",Октябрь[[#This Row],[УСЛУГ]]*Октябрь[[#This Row],[Периодичность]],"")</f>
        <v>0</v>
      </c>
    </row>
    <row r="38" spans="1:37" ht="18.75" x14ac:dyDescent="0.25">
      <c r="A38" s="35"/>
      <c r="B38" s="36"/>
      <c r="C38" s="37">
        <v>0</v>
      </c>
      <c r="D38" s="38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8" s="29" t="str">
        <f ca="1">IF(Октябрь[[#This Row],[УСЛУГ]]&lt;&gt;"",Октябрь[[#This Row],[УСЛУГ]]*Октябрь[[#This Row],[Периодичность]],"")</f>
        <v/>
      </c>
    </row>
    <row r="39" spans="1:37" ht="18.75" x14ac:dyDescent="0.25">
      <c r="A39" s="35"/>
      <c r="B39" s="36"/>
      <c r="C39" s="37">
        <v>0</v>
      </c>
      <c r="D39" s="38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39" s="29" t="str">
        <f ca="1">IF(Октябрь[[#This Row],[УСЛУГ]]&lt;&gt;"",Октябрь[[#This Row],[УСЛУГ]]*Октябрь[[#This Row],[Периодичность]],"")</f>
        <v/>
      </c>
    </row>
    <row r="40" spans="1:37" ht="31.5" x14ac:dyDescent="0.25">
      <c r="A40" s="35" t="s">
        <v>6</v>
      </c>
      <c r="B40" s="36"/>
      <c r="C40" s="37">
        <v>0</v>
      </c>
      <c r="D40" s="38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40" s="29">
        <f ca="1">IF(Октябрь[[#This Row],[УСЛУГ]]&lt;&gt;"",Октябрь[[#This Row],[УСЛУГ]]*Октябрь[[#This Row],[Периодичность]],"")</f>
        <v>0</v>
      </c>
    </row>
    <row r="41" spans="1:37" ht="18.75" x14ac:dyDescent="0.25">
      <c r="A41" s="35"/>
      <c r="B41" s="36"/>
      <c r="C41" s="37">
        <v>0</v>
      </c>
      <c r="D41" s="38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1" s="29" t="str">
        <f ca="1">IF(Октябрь[[#This Row],[УСЛУГ]]&lt;&gt;"",Октябрь[[#This Row],[УСЛУГ]]*Октябрь[[#This Row],[Периодичность]],"")</f>
        <v/>
      </c>
    </row>
    <row r="42" spans="1:37" ht="18.75" x14ac:dyDescent="0.25">
      <c r="A42" s="35"/>
      <c r="B42" s="36"/>
      <c r="C42" s="37">
        <v>0</v>
      </c>
      <c r="D42" s="38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2" s="29" t="str">
        <f ca="1">IF(Октябрь[[#This Row],[УСЛУГ]]&lt;&gt;"",Октябрь[[#This Row],[УСЛУГ]]*Октябрь[[#This Row],[Периодичность]],"")</f>
        <v/>
      </c>
    </row>
    <row r="43" spans="1:37" ht="47.25" x14ac:dyDescent="0.25">
      <c r="A43" s="35" t="s">
        <v>79</v>
      </c>
      <c r="B43" s="36"/>
      <c r="C43" s="37">
        <v>0</v>
      </c>
      <c r="D43" s="38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43" s="29">
        <f ca="1">IF(Октябрь[[#This Row],[УСЛУГ]]&lt;&gt;"",Октябрь[[#This Row],[УСЛУГ]]*Октябрь[[#This Row],[Периодичность]],"")</f>
        <v>0</v>
      </c>
    </row>
    <row r="44" spans="1:37" ht="18.75" x14ac:dyDescent="0.25">
      <c r="A44" s="35"/>
      <c r="B44" s="36"/>
      <c r="C44" s="37">
        <v>0</v>
      </c>
      <c r="D44" s="38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4" s="29" t="str">
        <f ca="1">IF(Октябрь[[#This Row],[УСЛУГ]]&lt;&gt;"",Октябрь[[#This Row],[УСЛУГ]]*Октябрь[[#This Row],[Периодичность]],"")</f>
        <v/>
      </c>
    </row>
    <row r="45" spans="1:37" x14ac:dyDescent="0.25">
      <c r="A45" s="35"/>
      <c r="B45" s="36"/>
      <c r="C45" s="37">
        <v>0</v>
      </c>
      <c r="D45" s="38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5" s="29" t="str">
        <f ca="1">IF(Октябрь[[#This Row],[УСЛУГ]]&lt;&gt;"",Октябрь[[#This Row],[УСЛУГ]]*Октябрь[[#This Row],[Периодичность]],"")</f>
        <v/>
      </c>
    </row>
    <row r="46" spans="1:37" ht="18.75" x14ac:dyDescent="0.25">
      <c r="A46" s="35" t="s">
        <v>8</v>
      </c>
      <c r="B46" s="36"/>
      <c r="C46" s="37">
        <v>0</v>
      </c>
      <c r="D46" s="38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46" s="29">
        <f ca="1">IF(Октябрь[[#This Row],[УСЛУГ]]&lt;&gt;"",Октябрь[[#This Row],[УСЛУГ]]*Октябрь[[#This Row],[Периодичность]],"")</f>
        <v>0</v>
      </c>
    </row>
    <row r="47" spans="1:37" ht="18.75" x14ac:dyDescent="0.25">
      <c r="A47" s="35"/>
      <c r="B47" s="36"/>
      <c r="C47" s="37">
        <v>0</v>
      </c>
      <c r="D47" s="38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7" s="29" t="str">
        <f ca="1">IF(Октябрь[[#This Row],[УСЛУГ]]&lt;&gt;"",Октябрь[[#This Row],[УСЛУГ]]*Октябрь[[#This Row],[Периодичность]],"")</f>
        <v/>
      </c>
    </row>
    <row r="48" spans="1:37" ht="18.75" x14ac:dyDescent="0.25">
      <c r="A48" s="35"/>
      <c r="B48" s="36"/>
      <c r="C48" s="37">
        <v>0</v>
      </c>
      <c r="D48" s="38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48" s="29" t="str">
        <f ca="1">IF(Октябрь[[#This Row],[УСЛУГ]]&lt;&gt;"",Октябрь[[#This Row],[УСЛУГ]]*Октябрь[[#This Row],[Периодичность]],"")</f>
        <v/>
      </c>
    </row>
    <row r="49" spans="1:37" ht="31.5" x14ac:dyDescent="0.25">
      <c r="A49" s="35" t="s">
        <v>9</v>
      </c>
      <c r="B49" s="36"/>
      <c r="C49" s="37">
        <v>0</v>
      </c>
      <c r="D49" s="38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49" s="29">
        <f ca="1">IF(Октябрь[[#This Row],[УСЛУГ]]&lt;&gt;"",Октябрь[[#This Row],[УСЛУГ]]*Октябрь[[#This Row],[Периодичность]],"")</f>
        <v>0</v>
      </c>
    </row>
    <row r="50" spans="1:37" x14ac:dyDescent="0.25">
      <c r="A50" s="35"/>
      <c r="B50" s="36"/>
      <c r="C50" s="37">
        <v>0</v>
      </c>
      <c r="D50" s="38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0" s="29" t="str">
        <f ca="1">IF(Октябрь[[#This Row],[УСЛУГ]]&lt;&gt;"",Октябрь[[#This Row],[УСЛУГ]]*Октябрь[[#This Row],[Периодичность]],"")</f>
        <v/>
      </c>
    </row>
    <row r="51" spans="1:37" ht="18.75" x14ac:dyDescent="0.25">
      <c r="A51" s="35"/>
      <c r="B51" s="36"/>
      <c r="C51" s="37">
        <v>0</v>
      </c>
      <c r="D51" s="38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1" s="29" t="str">
        <f ca="1">IF(Октябрь[[#This Row],[УСЛУГ]]&lt;&gt;"",Октябрь[[#This Row],[УСЛУГ]]*Октябрь[[#This Row],[Периодичность]],"")</f>
        <v/>
      </c>
    </row>
    <row r="52" spans="1:37" ht="47.25" x14ac:dyDescent="0.25">
      <c r="A52" s="35" t="s">
        <v>140</v>
      </c>
      <c r="B52" s="36"/>
      <c r="C52" s="37">
        <v>0</v>
      </c>
      <c r="D52" s="38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52" s="29">
        <f ca="1">IF(Октябрь[[#This Row],[УСЛУГ]]&lt;&gt;"",Октябрь[[#This Row],[УСЛУГ]]*Октябрь[[#This Row],[Периодичность]],"")</f>
        <v>0</v>
      </c>
    </row>
    <row r="53" spans="1:37" ht="18.75" x14ac:dyDescent="0.25">
      <c r="A53" s="35"/>
      <c r="B53" s="36"/>
      <c r="C53" s="37">
        <v>0</v>
      </c>
      <c r="D53" s="38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3" s="29" t="str">
        <f ca="1">IF(Октябрь[[#This Row],[УСЛУГ]]&lt;&gt;"",Октябрь[[#This Row],[УСЛУГ]]*Октябрь[[#This Row],[Периодичность]],"")</f>
        <v/>
      </c>
    </row>
    <row r="54" spans="1:37" ht="18.75" x14ac:dyDescent="0.25">
      <c r="A54" s="35"/>
      <c r="B54" s="36"/>
      <c r="C54" s="37">
        <v>0</v>
      </c>
      <c r="D54" s="38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4" s="29" t="str">
        <f ca="1">IF(Октябрь[[#This Row],[УСЛУГ]]&lt;&gt;"",Октябрь[[#This Row],[УСЛУГ]]*Октябрь[[#This Row],[Периодичность]],"")</f>
        <v/>
      </c>
    </row>
    <row r="55" spans="1:37" ht="47.25" x14ac:dyDescent="0.25">
      <c r="A55" s="35" t="s">
        <v>78</v>
      </c>
      <c r="B55" s="36"/>
      <c r="C55" s="37">
        <v>0</v>
      </c>
      <c r="D55" s="38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55" s="29">
        <f ca="1">IF(Октябрь[[#This Row],[УСЛУГ]]&lt;&gt;"",Октябрь[[#This Row],[УСЛУГ]]*Октябрь[[#This Row],[Периодичность]],"")</f>
        <v>0</v>
      </c>
    </row>
    <row r="56" spans="1:37" ht="18.75" x14ac:dyDescent="0.25">
      <c r="A56" s="35"/>
      <c r="B56" s="36"/>
      <c r="C56" s="37">
        <v>0</v>
      </c>
      <c r="D56" s="38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6" s="29" t="str">
        <f ca="1">IF(Октябрь[[#This Row],[УСЛУГ]]&lt;&gt;"",Октябрь[[#This Row],[УСЛУГ]]*Октябрь[[#This Row],[Периодичность]],"")</f>
        <v/>
      </c>
    </row>
    <row r="57" spans="1:37" ht="18.75" x14ac:dyDescent="0.25">
      <c r="A57" s="35"/>
      <c r="B57" s="36"/>
      <c r="C57" s="37">
        <v>0</v>
      </c>
      <c r="D57" s="38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7" s="29" t="str">
        <f ca="1">IF(Октябрь[[#This Row],[УСЛУГ]]&lt;&gt;"",Октябрь[[#This Row],[УСЛУГ]]*Октябрь[[#This Row],[Периодичность]],"")</f>
        <v/>
      </c>
    </row>
    <row r="58" spans="1:37" ht="47.25" x14ac:dyDescent="0.25">
      <c r="A58" s="35" t="s">
        <v>141</v>
      </c>
      <c r="B58" s="36"/>
      <c r="C58" s="37">
        <v>0</v>
      </c>
      <c r="D58" s="38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58" s="29">
        <f ca="1">IF(Октябрь[[#This Row],[УСЛУГ]]&lt;&gt;"",Октябрь[[#This Row],[УСЛУГ]]*Октябрь[[#This Row],[Периодичность]],"")</f>
        <v>0</v>
      </c>
    </row>
    <row r="59" spans="1:37" ht="18.75" x14ac:dyDescent="0.25">
      <c r="A59" s="35"/>
      <c r="B59" s="36"/>
      <c r="C59" s="37">
        <v>0</v>
      </c>
      <c r="D59" s="38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59" s="29" t="str">
        <f ca="1">IF(Октябрь[[#This Row],[УСЛУГ]]&lt;&gt;"",Октябрь[[#This Row],[УСЛУГ]]*Октябрь[[#This Row],[Периодичность]],"")</f>
        <v/>
      </c>
    </row>
    <row r="60" spans="1:37" ht="18.75" x14ac:dyDescent="0.25">
      <c r="A60" s="35"/>
      <c r="B60" s="36"/>
      <c r="C60" s="37">
        <v>0</v>
      </c>
      <c r="D60" s="38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0" s="29" t="str">
        <f ca="1">IF(Октябрь[[#This Row],[УСЛУГ]]&lt;&gt;"",Октябрь[[#This Row],[УСЛУГ]]*Октябрь[[#This Row],[Периодичность]],"")</f>
        <v/>
      </c>
    </row>
    <row r="61" spans="1:37" ht="31.5" x14ac:dyDescent="0.25">
      <c r="A61" s="35" t="s">
        <v>13</v>
      </c>
      <c r="B61" s="36"/>
      <c r="C61" s="37">
        <v>0</v>
      </c>
      <c r="D61" s="38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61" s="29">
        <f ca="1">IF(Октябрь[[#This Row],[УСЛУГ]]&lt;&gt;"",Октябрь[[#This Row],[УСЛУГ]]*Октябрь[[#This Row],[Периодичность]],"")</f>
        <v>0</v>
      </c>
    </row>
    <row r="62" spans="1:37" ht="18.75" x14ac:dyDescent="0.25">
      <c r="A62" s="35"/>
      <c r="B62" s="36"/>
      <c r="C62" s="37">
        <v>0</v>
      </c>
      <c r="D62" s="38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2" s="29" t="str">
        <f ca="1">IF(Октябрь[[#This Row],[УСЛУГ]]&lt;&gt;"",Октябрь[[#This Row],[УСЛУГ]]*Октябрь[[#This Row],[Периодичность]],"")</f>
        <v/>
      </c>
    </row>
    <row r="63" spans="1:37" ht="18.75" x14ac:dyDescent="0.25">
      <c r="A63" s="35"/>
      <c r="B63" s="36"/>
      <c r="C63" s="37">
        <v>0</v>
      </c>
      <c r="D63" s="38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3" s="29" t="str">
        <f ca="1">IF(Октябрь[[#This Row],[УСЛУГ]]&lt;&gt;"",Октябрь[[#This Row],[УСЛУГ]]*Октябрь[[#This Row],[Периодичность]],"")</f>
        <v/>
      </c>
    </row>
    <row r="64" spans="1:37" ht="31.5" x14ac:dyDescent="0.25">
      <c r="A64" s="35" t="s">
        <v>14</v>
      </c>
      <c r="B64" s="36"/>
      <c r="C64" s="37">
        <v>0</v>
      </c>
      <c r="D64" s="38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64" s="29">
        <f ca="1">IF(Октябрь[[#This Row],[УСЛУГ]]&lt;&gt;"",Октябрь[[#This Row],[УСЛУГ]]*Октябрь[[#This Row],[Периодичность]],"")</f>
        <v>0</v>
      </c>
    </row>
    <row r="65" spans="1:37" ht="18.75" x14ac:dyDescent="0.25">
      <c r="A65" s="35"/>
      <c r="B65" s="36"/>
      <c r="C65" s="37">
        <v>0</v>
      </c>
      <c r="D65" s="38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5" s="29" t="str">
        <f ca="1">IF(Октябрь[[#This Row],[УСЛУГ]]&lt;&gt;"",Октябрь[[#This Row],[УСЛУГ]]*Октябрь[[#This Row],[Периодичность]],"")</f>
        <v/>
      </c>
    </row>
    <row r="66" spans="1:37" x14ac:dyDescent="0.25">
      <c r="A66" s="35"/>
      <c r="B66" s="36"/>
      <c r="C66" s="37">
        <v>0</v>
      </c>
      <c r="D66" s="38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6" s="29" t="str">
        <f ca="1">IF(Октябрь[[#This Row],[УСЛУГ]]&lt;&gt;"",Октябрь[[#This Row],[УСЛУГ]]*Октябрь[[#This Row],[Периодичность]],"")</f>
        <v/>
      </c>
    </row>
    <row r="67" spans="1:37" ht="31.5" x14ac:dyDescent="0.25">
      <c r="A67" s="35" t="s">
        <v>15</v>
      </c>
      <c r="B67" s="36"/>
      <c r="C67" s="37">
        <v>0</v>
      </c>
      <c r="D67" s="38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67" s="29">
        <f ca="1">IF(Октябрь[[#This Row],[УСЛУГ]]&lt;&gt;"",Октябрь[[#This Row],[УСЛУГ]]*Октябрь[[#This Row],[Периодичность]],"")</f>
        <v>0</v>
      </c>
    </row>
    <row r="68" spans="1:37" ht="18.75" x14ac:dyDescent="0.25">
      <c r="A68" s="35"/>
      <c r="B68" s="36"/>
      <c r="C68" s="37">
        <v>0</v>
      </c>
      <c r="D68" s="38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8" s="29" t="str">
        <f ca="1">IF(Октябрь[[#This Row],[УСЛУГ]]&lt;&gt;"",Октябрь[[#This Row],[УСЛУГ]]*Октябрь[[#This Row],[Периодичность]],"")</f>
        <v/>
      </c>
    </row>
    <row r="69" spans="1:37" ht="18.75" x14ac:dyDescent="0.25">
      <c r="A69" s="35"/>
      <c r="B69" s="36"/>
      <c r="C69" s="37">
        <v>0</v>
      </c>
      <c r="D69" s="38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69" s="29" t="str">
        <f ca="1">IF(Октябрь[[#This Row],[УСЛУГ]]&lt;&gt;"",Октябрь[[#This Row],[УСЛУГ]]*Октябрь[[#This Row],[Периодичность]],"")</f>
        <v/>
      </c>
    </row>
    <row r="70" spans="1:37" ht="18.75" x14ac:dyDescent="0.25">
      <c r="A70" s="35" t="s">
        <v>16</v>
      </c>
      <c r="B70" s="36"/>
      <c r="C70" s="37">
        <v>0</v>
      </c>
      <c r="D70" s="38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70" s="29">
        <f ca="1">IF(Октябрь[[#This Row],[УСЛУГ]]&lt;&gt;"",Октябрь[[#This Row],[УСЛУГ]]*Октябрь[[#This Row],[Периодичность]],"")</f>
        <v>0</v>
      </c>
    </row>
    <row r="71" spans="1:37" ht="18.75" x14ac:dyDescent="0.25">
      <c r="A71" s="35"/>
      <c r="B71" s="36"/>
      <c r="C71" s="37">
        <v>0</v>
      </c>
      <c r="D71" s="38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1" s="29" t="str">
        <f ca="1">IF(Октябрь[[#This Row],[УСЛУГ]]&lt;&gt;"",Октябрь[[#This Row],[УСЛУГ]]*Октябрь[[#This Row],[Периодичность]],"")</f>
        <v/>
      </c>
    </row>
    <row r="72" spans="1:37" ht="18.75" x14ac:dyDescent="0.25">
      <c r="A72" s="35"/>
      <c r="B72" s="36"/>
      <c r="C72" s="37">
        <v>0</v>
      </c>
      <c r="D72" s="38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2" s="29" t="str">
        <f ca="1">IF(Октябрь[[#This Row],[УСЛУГ]]&lt;&gt;"",Октябрь[[#This Row],[УСЛУГ]]*Октябрь[[#This Row],[Периодичность]],"")</f>
        <v/>
      </c>
    </row>
    <row r="73" spans="1:37" ht="47.25" x14ac:dyDescent="0.25">
      <c r="A73" s="35" t="s">
        <v>142</v>
      </c>
      <c r="B73" s="36"/>
      <c r="C73" s="37">
        <v>0</v>
      </c>
      <c r="D73" s="38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73" s="29">
        <f ca="1">IF(Октябрь[[#This Row],[УСЛУГ]]&lt;&gt;"",Октябрь[[#This Row],[УСЛУГ]]*Октябрь[[#This Row],[Периодичность]],"")</f>
        <v>0</v>
      </c>
    </row>
    <row r="74" spans="1:37" ht="18.75" x14ac:dyDescent="0.25">
      <c r="A74" s="35"/>
      <c r="B74" s="36"/>
      <c r="C74" s="37">
        <v>0</v>
      </c>
      <c r="D74" s="38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4" s="29" t="str">
        <f ca="1">IF(Октябрь[[#This Row],[УСЛУГ]]&lt;&gt;"",Октябрь[[#This Row],[УСЛУГ]]*Октябрь[[#This Row],[Периодичность]],"")</f>
        <v/>
      </c>
    </row>
    <row r="75" spans="1:37" ht="18.75" x14ac:dyDescent="0.25">
      <c r="A75" s="35"/>
      <c r="B75" s="36"/>
      <c r="C75" s="37">
        <v>0</v>
      </c>
      <c r="D75" s="38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5" s="29" t="str">
        <f ca="1">IF(Октябрь[[#This Row],[УСЛУГ]]&lt;&gt;"",Октябрь[[#This Row],[УСЛУГ]]*Октябрь[[#This Row],[Периодичность]],"")</f>
        <v/>
      </c>
    </row>
    <row r="76" spans="1:37" ht="47.25" x14ac:dyDescent="0.25">
      <c r="A76" s="35" t="s">
        <v>143</v>
      </c>
      <c r="B76" s="36"/>
      <c r="C76" s="37">
        <v>0</v>
      </c>
      <c r="D76" s="38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76" s="29">
        <f ca="1">IF(Октябрь[[#This Row],[УСЛУГ]]&lt;&gt;"",Октябрь[[#This Row],[УСЛУГ]]*Октябрь[[#This Row],[Периодичность]],"")</f>
        <v>0</v>
      </c>
    </row>
    <row r="77" spans="1:37" ht="18.75" x14ac:dyDescent="0.25">
      <c r="A77" s="35"/>
      <c r="B77" s="36"/>
      <c r="C77" s="37">
        <v>0</v>
      </c>
      <c r="D77" s="38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7" s="29" t="str">
        <f ca="1">IF(Октябрь[[#This Row],[УСЛУГ]]&lt;&gt;"",Октябрь[[#This Row],[УСЛУГ]]*Октябрь[[#This Row],[Периодичность]],"")</f>
        <v/>
      </c>
    </row>
    <row r="78" spans="1:37" x14ac:dyDescent="0.25">
      <c r="A78" s="35"/>
      <c r="B78" s="36"/>
      <c r="C78" s="37">
        <v>0</v>
      </c>
      <c r="D78" s="38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78" s="29" t="str">
        <f ca="1">IF(Октябрь[[#This Row],[УСЛУГ]]&lt;&gt;"",Октябрь[[#This Row],[УСЛУГ]]*Октябрь[[#This Row],[Периодичность]],"")</f>
        <v/>
      </c>
    </row>
    <row r="79" spans="1:37" x14ac:dyDescent="0.25">
      <c r="A79" s="35" t="s">
        <v>19</v>
      </c>
      <c r="B79" s="36"/>
      <c r="C79" s="37">
        <v>0</v>
      </c>
      <c r="D79" s="38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79" s="29">
        <f ca="1">IF(Октябрь[[#This Row],[УСЛУГ]]&lt;&gt;"",Октябрь[[#This Row],[УСЛУГ]]*Октябрь[[#This Row],[Периодичность]],"")</f>
        <v>0</v>
      </c>
    </row>
    <row r="80" spans="1:37" ht="18.75" x14ac:dyDescent="0.25">
      <c r="A80" s="35"/>
      <c r="B80" s="36"/>
      <c r="C80" s="37">
        <v>0</v>
      </c>
      <c r="D80" s="38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0" s="29" t="str">
        <f ca="1">IF(Октябрь[[#This Row],[УСЛУГ]]&lt;&gt;"",Октябрь[[#This Row],[УСЛУГ]]*Октябрь[[#This Row],[Периодичность]],"")</f>
        <v/>
      </c>
    </row>
    <row r="81" spans="1:37" x14ac:dyDescent="0.25">
      <c r="A81" s="35"/>
      <c r="B81" s="36"/>
      <c r="C81" s="37">
        <v>0</v>
      </c>
      <c r="D81" s="38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1" s="29" t="str">
        <f ca="1">IF(Октябрь[[#This Row],[УСЛУГ]]&lt;&gt;"",Октябрь[[#This Row],[УСЛУГ]]*Октябрь[[#This Row],[Периодичность]],"")</f>
        <v/>
      </c>
    </row>
    <row r="82" spans="1:37" ht="31.5" x14ac:dyDescent="0.25">
      <c r="A82" s="35" t="s">
        <v>20</v>
      </c>
      <c r="B82" s="36"/>
      <c r="C82" s="37">
        <v>0</v>
      </c>
      <c r="D82" s="38">
        <v>1</v>
      </c>
      <c r="E82" s="39"/>
      <c r="F82" s="40"/>
      <c r="G82" s="41"/>
      <c r="H82" s="41"/>
      <c r="I82" s="41"/>
      <c r="J82" s="41"/>
      <c r="K82" s="41"/>
      <c r="L82" s="39"/>
      <c r="M82" s="40"/>
      <c r="N82" s="41"/>
      <c r="O82" s="41"/>
      <c r="P82" s="41"/>
      <c r="Q82" s="41"/>
      <c r="R82" s="41"/>
      <c r="S82" s="39"/>
      <c r="T82" s="40"/>
      <c r="U82" s="41"/>
      <c r="V82" s="41"/>
      <c r="W82" s="41"/>
      <c r="X82" s="41"/>
      <c r="Y82" s="41"/>
      <c r="Z82" s="39"/>
      <c r="AA82" s="39"/>
      <c r="AB82" s="41"/>
      <c r="AC82" s="41"/>
      <c r="AD82" s="41"/>
      <c r="AE82" s="41"/>
      <c r="AF82" s="41"/>
      <c r="AG82" s="39"/>
      <c r="AH82" s="39"/>
      <c r="AI82" s="41"/>
      <c r="AJ82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82" s="42">
        <f ca="1">IF(Октябрь[[#This Row],[УСЛУГ]]&lt;&gt;"",Октябрь[[#This Row],[УСЛУГ]]*Октябрь[[#This Row],[Периодичность]],"")</f>
        <v>0</v>
      </c>
    </row>
    <row r="83" spans="1:37" x14ac:dyDescent="0.25">
      <c r="A83" s="35"/>
      <c r="B83" s="36"/>
      <c r="C83" s="37">
        <v>0</v>
      </c>
      <c r="D83" s="38">
        <v>2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3" s="42" t="str">
        <f ca="1">IF(Октябрь[[#This Row],[УСЛУГ]]&lt;&gt;"",Октябрь[[#This Row],[УСЛУГ]]*Октябрь[[#This Row],[Периодичность]],"")</f>
        <v/>
      </c>
    </row>
    <row r="84" spans="1:37" x14ac:dyDescent="0.25">
      <c r="A84" s="35"/>
      <c r="B84" s="36"/>
      <c r="C84" s="37">
        <v>0</v>
      </c>
      <c r="D84" s="38">
        <v>3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4" s="42" t="str">
        <f ca="1">IF(Октябрь[[#This Row],[УСЛУГ]]&lt;&gt;"",Октябрь[[#This Row],[УСЛУГ]]*Октябрь[[#This Row],[Периодичность]],"")</f>
        <v/>
      </c>
    </row>
    <row r="85" spans="1:37" ht="47.25" x14ac:dyDescent="0.25">
      <c r="A85" s="35" t="s">
        <v>144</v>
      </c>
      <c r="B85" s="36"/>
      <c r="C85" s="37">
        <v>0</v>
      </c>
      <c r="D85" s="38">
        <v>1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85" s="42">
        <f ca="1">IF(Октябрь[[#This Row],[УСЛУГ]]&lt;&gt;"",Октябрь[[#This Row],[УСЛУГ]]*Октябрь[[#This Row],[Периодичность]],"")</f>
        <v>0</v>
      </c>
    </row>
    <row r="86" spans="1:37" x14ac:dyDescent="0.25">
      <c r="A86" s="35"/>
      <c r="B86" s="36"/>
      <c r="C86" s="37">
        <v>0</v>
      </c>
      <c r="D86" s="38">
        <v>2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6" s="42" t="str">
        <f ca="1">IF(Октябрь[[#This Row],[УСЛУГ]]&lt;&gt;"",Октябрь[[#This Row],[УСЛУГ]]*Октябрь[[#This Row],[Периодичность]],"")</f>
        <v/>
      </c>
    </row>
    <row r="87" spans="1:37" x14ac:dyDescent="0.25">
      <c r="A87" s="35"/>
      <c r="B87" s="36"/>
      <c r="C87" s="37">
        <v>0</v>
      </c>
      <c r="D87" s="38">
        <v>3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7" s="42" t="str">
        <f ca="1">IF(Октябрь[[#This Row],[УСЛУГ]]&lt;&gt;"",Октябрь[[#This Row],[УСЛУГ]]*Октябрь[[#This Row],[Периодичность]],"")</f>
        <v/>
      </c>
    </row>
    <row r="88" spans="1:37" ht="47.25" x14ac:dyDescent="0.25">
      <c r="A88" s="35" t="s">
        <v>145</v>
      </c>
      <c r="B88" s="36"/>
      <c r="C88" s="37">
        <v>0</v>
      </c>
      <c r="D88" s="38">
        <v>1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88" s="42">
        <f ca="1">IF(Октябрь[[#This Row],[УСЛУГ]]&lt;&gt;"",Октябрь[[#This Row],[УСЛУГ]]*Октябрь[[#This Row],[Периодичность]],"")</f>
        <v>0</v>
      </c>
    </row>
    <row r="89" spans="1:37" x14ac:dyDescent="0.25">
      <c r="A89" s="35"/>
      <c r="B89" s="36"/>
      <c r="C89" s="37">
        <v>0</v>
      </c>
      <c r="D89" s="38">
        <v>2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89" s="42" t="str">
        <f ca="1">IF(Октябрь[[#This Row],[УСЛУГ]]&lt;&gt;"",Октябрь[[#This Row],[УСЛУГ]]*Октябрь[[#This Row],[Периодичность]],"")</f>
        <v/>
      </c>
    </row>
    <row r="90" spans="1:37" x14ac:dyDescent="0.25">
      <c r="A90" s="35"/>
      <c r="B90" s="36"/>
      <c r="C90" s="37">
        <v>0</v>
      </c>
      <c r="D90" s="38">
        <v>3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0" s="42" t="str">
        <f ca="1">IF(Октябрь[[#This Row],[УСЛУГ]]&lt;&gt;"",Октябрь[[#This Row],[УСЛУГ]]*Октябрь[[#This Row],[Периодичность]],"")</f>
        <v/>
      </c>
    </row>
    <row r="91" spans="1:37" ht="31.5" x14ac:dyDescent="0.25">
      <c r="A91" s="35" t="s">
        <v>23</v>
      </c>
      <c r="B91" s="36"/>
      <c r="C91" s="37">
        <v>0</v>
      </c>
      <c r="D91" s="38">
        <v>1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91" s="42">
        <f ca="1">IF(Октябрь[[#This Row],[УСЛУГ]]&lt;&gt;"",Октябрь[[#This Row],[УСЛУГ]]*Октябрь[[#This Row],[Периодичность]],"")</f>
        <v>0</v>
      </c>
    </row>
    <row r="92" spans="1:37" x14ac:dyDescent="0.25">
      <c r="A92" s="35"/>
      <c r="B92" s="36"/>
      <c r="C92" s="37">
        <v>0</v>
      </c>
      <c r="D92" s="38">
        <v>2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2" s="42" t="str">
        <f ca="1">IF(Октябрь[[#This Row],[УСЛУГ]]&lt;&gt;"",Октябрь[[#This Row],[УСЛУГ]]*Октябрь[[#This Row],[Периодичность]],"")</f>
        <v/>
      </c>
    </row>
    <row r="93" spans="1:37" x14ac:dyDescent="0.25">
      <c r="A93" s="35"/>
      <c r="B93" s="36"/>
      <c r="C93" s="37">
        <v>0</v>
      </c>
      <c r="D93" s="38">
        <v>3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3" s="42" t="str">
        <f ca="1">IF(Октябрь[[#This Row],[УСЛУГ]]&lt;&gt;"",Октябрь[[#This Row],[УСЛУГ]]*Октябрь[[#This Row],[Периодичность]],"")</f>
        <v/>
      </c>
    </row>
    <row r="94" spans="1:37" ht="31.5" x14ac:dyDescent="0.25">
      <c r="A94" s="35" t="s">
        <v>24</v>
      </c>
      <c r="B94" s="36"/>
      <c r="C94" s="37">
        <v>0</v>
      </c>
      <c r="D94" s="38">
        <v>1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94" s="42">
        <f ca="1">IF(Октябрь[[#This Row],[УСЛУГ]]&lt;&gt;"",Октябрь[[#This Row],[УСЛУГ]]*Октябрь[[#This Row],[Периодичность]],"")</f>
        <v>0</v>
      </c>
    </row>
    <row r="95" spans="1:37" x14ac:dyDescent="0.25">
      <c r="A95" s="35"/>
      <c r="B95" s="36"/>
      <c r="C95" s="37">
        <v>0</v>
      </c>
      <c r="D95" s="38">
        <v>2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5" s="42" t="str">
        <f ca="1">IF(Октябрь[[#This Row],[УСЛУГ]]&lt;&gt;"",Октябрь[[#This Row],[УСЛУГ]]*Октябрь[[#This Row],[Периодичность]],"")</f>
        <v/>
      </c>
    </row>
    <row r="96" spans="1:37" x14ac:dyDescent="0.25">
      <c r="A96" s="35"/>
      <c r="B96" s="36"/>
      <c r="C96" s="37">
        <v>0</v>
      </c>
      <c r="D96" s="38">
        <v>3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6" s="42" t="str">
        <f ca="1">IF(Октябрь[[#This Row],[УСЛУГ]]&lt;&gt;"",Октябрь[[#This Row],[УСЛУГ]]*Октябрь[[#This Row],[Периодичность]],"")</f>
        <v/>
      </c>
    </row>
    <row r="97" spans="1:37" ht="31.5" x14ac:dyDescent="0.25">
      <c r="A97" s="35" t="s">
        <v>25</v>
      </c>
      <c r="B97" s="36"/>
      <c r="C97" s="37">
        <v>0</v>
      </c>
      <c r="D97" s="38">
        <v>1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97" s="42">
        <f ca="1">IF(Октябрь[[#This Row],[УСЛУГ]]&lt;&gt;"",Октябрь[[#This Row],[УСЛУГ]]*Октябрь[[#This Row],[Периодичность]],"")</f>
        <v>0</v>
      </c>
    </row>
    <row r="98" spans="1:37" x14ac:dyDescent="0.25">
      <c r="A98" s="35"/>
      <c r="B98" s="36"/>
      <c r="C98" s="37">
        <v>0</v>
      </c>
      <c r="D98" s="38">
        <v>2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8" s="42" t="str">
        <f ca="1">IF(Октябрь[[#This Row],[УСЛУГ]]&lt;&gt;"",Октябрь[[#This Row],[УСЛУГ]]*Октябрь[[#This Row],[Периодичность]],"")</f>
        <v/>
      </c>
    </row>
    <row r="99" spans="1:37" x14ac:dyDescent="0.25">
      <c r="A99" s="35"/>
      <c r="B99" s="36"/>
      <c r="C99" s="37">
        <v>0</v>
      </c>
      <c r="D99" s="38">
        <v>3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99" s="42" t="str">
        <f ca="1">IF(Октябрь[[#This Row],[УСЛУГ]]&lt;&gt;"",Октябрь[[#This Row],[УСЛУГ]]*Октябрь[[#This Row],[Периодичность]],"")</f>
        <v/>
      </c>
    </row>
    <row r="100" spans="1:37" ht="47.25" x14ac:dyDescent="0.25">
      <c r="A100" s="35" t="s">
        <v>26</v>
      </c>
      <c r="B100" s="36"/>
      <c r="C100" s="37">
        <v>0</v>
      </c>
      <c r="D100" s="38">
        <v>1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00" s="42">
        <f ca="1">IF(Октябрь[[#This Row],[УСЛУГ]]&lt;&gt;"",Октябрь[[#This Row],[УСЛУГ]]*Октябрь[[#This Row],[Периодичность]],"")</f>
        <v>0</v>
      </c>
    </row>
    <row r="101" spans="1:37" x14ac:dyDescent="0.25">
      <c r="A101" s="35"/>
      <c r="B101" s="36"/>
      <c r="C101" s="37">
        <v>0</v>
      </c>
      <c r="D101" s="38">
        <v>2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1" s="42" t="str">
        <f ca="1">IF(Октябрь[[#This Row],[УСЛУГ]]&lt;&gt;"",Октябрь[[#This Row],[УСЛУГ]]*Октябрь[[#This Row],[Периодичность]],"")</f>
        <v/>
      </c>
    </row>
    <row r="102" spans="1:37" x14ac:dyDescent="0.25">
      <c r="A102" s="35"/>
      <c r="B102" s="36"/>
      <c r="C102" s="37">
        <v>0</v>
      </c>
      <c r="D102" s="38">
        <v>3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2" s="42" t="str">
        <f ca="1">IF(Октябрь[[#This Row],[УСЛУГ]]&lt;&gt;"",Октябрь[[#This Row],[УСЛУГ]]*Октябрь[[#This Row],[Периодичность]],"")</f>
        <v/>
      </c>
    </row>
    <row r="103" spans="1:37" ht="31.5" x14ac:dyDescent="0.25">
      <c r="A103" s="35" t="s">
        <v>27</v>
      </c>
      <c r="B103" s="36"/>
      <c r="C103" s="37">
        <v>0</v>
      </c>
      <c r="D103" s="38">
        <v>1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03" s="42">
        <f ca="1">IF(Октябрь[[#This Row],[УСЛУГ]]&lt;&gt;"",Октябрь[[#This Row],[УСЛУГ]]*Октябрь[[#This Row],[Периодичность]],"")</f>
        <v>0</v>
      </c>
    </row>
    <row r="104" spans="1:37" x14ac:dyDescent="0.25">
      <c r="A104" s="35"/>
      <c r="B104" s="36"/>
      <c r="C104" s="37">
        <v>0</v>
      </c>
      <c r="D104" s="38">
        <v>2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4" s="42" t="str">
        <f ca="1">IF(Октябрь[[#This Row],[УСЛУГ]]&lt;&gt;"",Октябрь[[#This Row],[УСЛУГ]]*Октябрь[[#This Row],[Периодичность]],"")</f>
        <v/>
      </c>
    </row>
    <row r="105" spans="1:37" x14ac:dyDescent="0.25">
      <c r="A105" s="35"/>
      <c r="B105" s="36"/>
      <c r="C105" s="37">
        <v>0</v>
      </c>
      <c r="D105" s="38">
        <v>3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5" s="42" t="str">
        <f ca="1">IF(Октябрь[[#This Row],[УСЛУГ]]&lt;&gt;"",Октябрь[[#This Row],[УСЛУГ]]*Октябрь[[#This Row],[Периодичность]],"")</f>
        <v/>
      </c>
    </row>
    <row r="106" spans="1:37" ht="47.25" x14ac:dyDescent="0.25">
      <c r="A106" s="35" t="s">
        <v>28</v>
      </c>
      <c r="B106" s="36"/>
      <c r="C106" s="37">
        <v>0</v>
      </c>
      <c r="D106" s="38">
        <v>1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06" s="42">
        <f ca="1">IF(Октябрь[[#This Row],[УСЛУГ]]&lt;&gt;"",Октябрь[[#This Row],[УСЛУГ]]*Октябрь[[#This Row],[Периодичность]],"")</f>
        <v>0</v>
      </c>
    </row>
    <row r="107" spans="1:37" x14ac:dyDescent="0.25">
      <c r="A107" s="35"/>
      <c r="B107" s="36"/>
      <c r="C107" s="37">
        <v>0</v>
      </c>
      <c r="D107" s="38">
        <v>2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7" s="42" t="str">
        <f ca="1">IF(Октябрь[[#This Row],[УСЛУГ]]&lt;&gt;"",Октябрь[[#This Row],[УСЛУГ]]*Октябрь[[#This Row],[Периодичность]],"")</f>
        <v/>
      </c>
    </row>
    <row r="108" spans="1:37" x14ac:dyDescent="0.25">
      <c r="A108" s="35"/>
      <c r="B108" s="36"/>
      <c r="C108" s="37">
        <v>0</v>
      </c>
      <c r="D108" s="38">
        <v>3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08" s="42" t="str">
        <f ca="1">IF(Октябрь[[#This Row],[УСЛУГ]]&lt;&gt;"",Октябрь[[#This Row],[УСЛУГ]]*Октябрь[[#This Row],[Периодичность]],"")</f>
        <v/>
      </c>
    </row>
    <row r="109" spans="1:37" ht="31.5" x14ac:dyDescent="0.25">
      <c r="A109" s="35" t="s">
        <v>29</v>
      </c>
      <c r="B109" s="36"/>
      <c r="C109" s="37">
        <v>0</v>
      </c>
      <c r="D109" s="38">
        <v>1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09" s="42">
        <f ca="1">IF(Октябрь[[#This Row],[УСЛУГ]]&lt;&gt;"",Октябрь[[#This Row],[УСЛУГ]]*Октябрь[[#This Row],[Периодичность]],"")</f>
        <v>0</v>
      </c>
    </row>
    <row r="110" spans="1:37" x14ac:dyDescent="0.25">
      <c r="A110" s="35"/>
      <c r="B110" s="36"/>
      <c r="C110" s="37">
        <v>0</v>
      </c>
      <c r="D110" s="38">
        <v>2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0" s="42" t="str">
        <f ca="1">IF(Октябрь[[#This Row],[УСЛУГ]]&lt;&gt;"",Октябрь[[#This Row],[УСЛУГ]]*Октябрь[[#This Row],[Периодичность]],"")</f>
        <v/>
      </c>
    </row>
    <row r="111" spans="1:37" x14ac:dyDescent="0.25">
      <c r="A111" s="35"/>
      <c r="B111" s="36"/>
      <c r="C111" s="37">
        <v>0</v>
      </c>
      <c r="D111" s="38">
        <v>3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1" s="42" t="str">
        <f ca="1">IF(Октябрь[[#This Row],[УСЛУГ]]&lt;&gt;"",Октябрь[[#This Row],[УСЛУГ]]*Октябрь[[#This Row],[Периодичность]],"")</f>
        <v/>
      </c>
    </row>
    <row r="112" spans="1:37" ht="47.25" x14ac:dyDescent="0.25">
      <c r="A112" s="35" t="s">
        <v>30</v>
      </c>
      <c r="B112" s="36"/>
      <c r="C112" s="37">
        <v>0</v>
      </c>
      <c r="D112" s="38">
        <v>1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12" s="42">
        <f ca="1">IF(Октябрь[[#This Row],[УСЛУГ]]&lt;&gt;"",Октябрь[[#This Row],[УСЛУГ]]*Октябрь[[#This Row],[Периодичность]],"")</f>
        <v>0</v>
      </c>
    </row>
    <row r="113" spans="1:37" x14ac:dyDescent="0.25">
      <c r="A113" s="35"/>
      <c r="B113" s="36"/>
      <c r="C113" s="37">
        <v>0</v>
      </c>
      <c r="D113" s="38">
        <v>2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3" s="42" t="str">
        <f ca="1">IF(Октябрь[[#This Row],[УСЛУГ]]&lt;&gt;"",Октябрь[[#This Row],[УСЛУГ]]*Октябрь[[#This Row],[Периодичность]],"")</f>
        <v/>
      </c>
    </row>
    <row r="114" spans="1:37" x14ac:dyDescent="0.25">
      <c r="A114" s="35"/>
      <c r="B114" s="36"/>
      <c r="C114" s="37">
        <v>0</v>
      </c>
      <c r="D114" s="38">
        <v>3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4" s="42" t="str">
        <f ca="1">IF(Октябрь[[#This Row],[УСЛУГ]]&lt;&gt;"",Октябрь[[#This Row],[УСЛУГ]]*Октябрь[[#This Row],[Периодичность]],"")</f>
        <v/>
      </c>
    </row>
    <row r="115" spans="1:37" ht="47.25" x14ac:dyDescent="0.25">
      <c r="A115" s="35" t="s">
        <v>77</v>
      </c>
      <c r="B115" s="36"/>
      <c r="C115" s="37">
        <v>0</v>
      </c>
      <c r="D115" s="38">
        <v>1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15" s="42">
        <f ca="1">IF(Октябрь[[#This Row],[УСЛУГ]]&lt;&gt;"",Октябрь[[#This Row],[УСЛУГ]]*Октябрь[[#This Row],[Периодичность]],"")</f>
        <v>0</v>
      </c>
    </row>
    <row r="116" spans="1:37" x14ac:dyDescent="0.25">
      <c r="A116" s="35"/>
      <c r="B116" s="36"/>
      <c r="C116" s="37">
        <v>0</v>
      </c>
      <c r="D116" s="38">
        <v>2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6" s="42" t="str">
        <f ca="1">IF(Октябрь[[#This Row],[УСЛУГ]]&lt;&gt;"",Октябрь[[#This Row],[УСЛУГ]]*Октябрь[[#This Row],[Периодичность]],"")</f>
        <v/>
      </c>
    </row>
    <row r="117" spans="1:37" x14ac:dyDescent="0.25">
      <c r="A117" s="35"/>
      <c r="B117" s="36"/>
      <c r="C117" s="37">
        <v>0</v>
      </c>
      <c r="D117" s="38">
        <v>3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7" s="42" t="str">
        <f ca="1">IF(Октябрь[[#This Row],[УСЛУГ]]&lt;&gt;"",Октябрь[[#This Row],[УСЛУГ]]*Октябрь[[#This Row],[Периодичность]],"")</f>
        <v/>
      </c>
    </row>
    <row r="118" spans="1:37" ht="63" x14ac:dyDescent="0.25">
      <c r="A118" s="35" t="s">
        <v>146</v>
      </c>
      <c r="B118" s="36"/>
      <c r="C118" s="37">
        <v>0</v>
      </c>
      <c r="D118" s="38">
        <v>1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18" s="42">
        <f ca="1">IF(Октябрь[[#This Row],[УСЛУГ]]&lt;&gt;"",Октябрь[[#This Row],[УСЛУГ]]*Октябрь[[#This Row],[Периодичность]],"")</f>
        <v>0</v>
      </c>
    </row>
    <row r="119" spans="1:37" x14ac:dyDescent="0.25">
      <c r="A119" s="35"/>
      <c r="B119" s="36"/>
      <c r="C119" s="37">
        <v>0</v>
      </c>
      <c r="D119" s="38">
        <v>2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19" s="42" t="str">
        <f ca="1">IF(Октябрь[[#This Row],[УСЛУГ]]&lt;&gt;"",Октябрь[[#This Row],[УСЛУГ]]*Октябрь[[#This Row],[Периодичность]],"")</f>
        <v/>
      </c>
    </row>
    <row r="120" spans="1:37" x14ac:dyDescent="0.25">
      <c r="A120" s="35"/>
      <c r="B120" s="36"/>
      <c r="C120" s="37">
        <v>0</v>
      </c>
      <c r="D120" s="38">
        <v>3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0" s="42" t="str">
        <f ca="1">IF(Октябрь[[#This Row],[УСЛУГ]]&lt;&gt;"",Октябрь[[#This Row],[УСЛУГ]]*Октябрь[[#This Row],[Периодичность]],"")</f>
        <v/>
      </c>
    </row>
    <row r="121" spans="1:37" ht="47.25" x14ac:dyDescent="0.25">
      <c r="A121" s="35" t="s">
        <v>76</v>
      </c>
      <c r="B121" s="36"/>
      <c r="C121" s="37">
        <v>0</v>
      </c>
      <c r="D121" s="38">
        <v>1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21" s="42">
        <f ca="1">IF(Октябрь[[#This Row],[УСЛУГ]]&lt;&gt;"",Октябрь[[#This Row],[УСЛУГ]]*Октябрь[[#This Row],[Периодичность]],"")</f>
        <v>0</v>
      </c>
    </row>
    <row r="122" spans="1:37" x14ac:dyDescent="0.25">
      <c r="A122" s="35"/>
      <c r="B122" s="36"/>
      <c r="C122" s="37">
        <v>0</v>
      </c>
      <c r="D122" s="38">
        <v>2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2" s="42" t="str">
        <f ca="1">IF(Октябрь[[#This Row],[УСЛУГ]]&lt;&gt;"",Октябрь[[#This Row],[УСЛУГ]]*Октябрь[[#This Row],[Периодичность]],"")</f>
        <v/>
      </c>
    </row>
    <row r="123" spans="1:37" x14ac:dyDescent="0.25">
      <c r="A123" s="35"/>
      <c r="B123" s="36"/>
      <c r="C123" s="37">
        <v>0</v>
      </c>
      <c r="D123" s="38">
        <v>3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3" s="42" t="str">
        <f ca="1">IF(Октябрь[[#This Row],[УСЛУГ]]&lt;&gt;"",Октябрь[[#This Row],[УСЛУГ]]*Октябрь[[#This Row],[Периодичность]],"")</f>
        <v/>
      </c>
    </row>
    <row r="124" spans="1:37" ht="47.25" x14ac:dyDescent="0.25">
      <c r="A124" s="35" t="s">
        <v>147</v>
      </c>
      <c r="B124" s="36"/>
      <c r="C124" s="37">
        <v>0</v>
      </c>
      <c r="D124" s="38">
        <v>1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24" s="42">
        <f ca="1">IF(Октябрь[[#This Row],[УСЛУГ]]&lt;&gt;"",Октябрь[[#This Row],[УСЛУГ]]*Октябрь[[#This Row],[Периодичность]],"")</f>
        <v>0</v>
      </c>
    </row>
    <row r="125" spans="1:37" x14ac:dyDescent="0.25">
      <c r="A125" s="35"/>
      <c r="B125" s="36"/>
      <c r="C125" s="37">
        <v>0</v>
      </c>
      <c r="D125" s="38">
        <v>2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5" s="42" t="str">
        <f ca="1">IF(Октябрь[[#This Row],[УСЛУГ]]&lt;&gt;"",Октябрь[[#This Row],[УСЛУГ]]*Октябрь[[#This Row],[Периодичность]],"")</f>
        <v/>
      </c>
    </row>
    <row r="126" spans="1:37" x14ac:dyDescent="0.25">
      <c r="A126" s="35"/>
      <c r="B126" s="36"/>
      <c r="C126" s="37">
        <v>0</v>
      </c>
      <c r="D126" s="38">
        <v>3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6" s="42" t="str">
        <f ca="1">IF(Октябрь[[#This Row],[УСЛУГ]]&lt;&gt;"",Октябрь[[#This Row],[УСЛУГ]]*Октябрь[[#This Row],[Периодичность]],"")</f>
        <v/>
      </c>
    </row>
    <row r="127" spans="1:37" ht="47.25" x14ac:dyDescent="0.25">
      <c r="A127" s="35" t="s">
        <v>148</v>
      </c>
      <c r="B127" s="36"/>
      <c r="C127" s="37">
        <v>0</v>
      </c>
      <c r="D127" s="38">
        <v>1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27" s="42">
        <f ca="1">IF(Октябрь[[#This Row],[УСЛУГ]]&lt;&gt;"",Октябрь[[#This Row],[УСЛУГ]]*Октябрь[[#This Row],[Периодичность]],"")</f>
        <v>0</v>
      </c>
    </row>
    <row r="128" spans="1:37" x14ac:dyDescent="0.25">
      <c r="A128" s="35"/>
      <c r="B128" s="36"/>
      <c r="C128" s="37">
        <v>0</v>
      </c>
      <c r="D128" s="38">
        <v>2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8" s="42" t="str">
        <f ca="1">IF(Октябрь[[#This Row],[УСЛУГ]]&lt;&gt;"",Октябрь[[#This Row],[УСЛУГ]]*Октябрь[[#This Row],[Периодичность]],"")</f>
        <v/>
      </c>
    </row>
    <row r="129" spans="1:37" x14ac:dyDescent="0.25">
      <c r="A129" s="35"/>
      <c r="B129" s="36"/>
      <c r="C129" s="37">
        <v>0</v>
      </c>
      <c r="D129" s="38">
        <v>3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29" s="42" t="str">
        <f ca="1">IF(Октябрь[[#This Row],[УСЛУГ]]&lt;&gt;"",Октябрь[[#This Row],[УСЛУГ]]*Октябрь[[#This Row],[Периодичность]],"")</f>
        <v/>
      </c>
    </row>
    <row r="130" spans="1:37" ht="31.5" x14ac:dyDescent="0.25">
      <c r="A130" s="35" t="s">
        <v>36</v>
      </c>
      <c r="B130" s="36"/>
      <c r="C130" s="37">
        <v>0</v>
      </c>
      <c r="D130" s="38">
        <v>1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30" s="42">
        <f ca="1">IF(Октябрь[[#This Row],[УСЛУГ]]&lt;&gt;"",Октябрь[[#This Row],[УСЛУГ]]*Октябрь[[#This Row],[Периодичность]],"")</f>
        <v>0</v>
      </c>
    </row>
    <row r="131" spans="1:37" x14ac:dyDescent="0.25">
      <c r="A131" s="35"/>
      <c r="B131" s="36"/>
      <c r="C131" s="37">
        <v>0</v>
      </c>
      <c r="D131" s="38">
        <v>2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1" s="42" t="str">
        <f ca="1">IF(Октябрь[[#This Row],[УСЛУГ]]&lt;&gt;"",Октябрь[[#This Row],[УСЛУГ]]*Октябрь[[#This Row],[Периодичность]],"")</f>
        <v/>
      </c>
    </row>
    <row r="132" spans="1:37" x14ac:dyDescent="0.25">
      <c r="A132" s="35"/>
      <c r="B132" s="36"/>
      <c r="C132" s="37">
        <v>0</v>
      </c>
      <c r="D132" s="38">
        <v>3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2" s="42" t="str">
        <f ca="1">IF(Октябрь[[#This Row],[УСЛУГ]]&lt;&gt;"",Октябрь[[#This Row],[УСЛУГ]]*Октябрь[[#This Row],[Периодичность]],"")</f>
        <v/>
      </c>
    </row>
    <row r="133" spans="1:37" ht="31.5" x14ac:dyDescent="0.25">
      <c r="A133" s="35" t="s">
        <v>37</v>
      </c>
      <c r="B133" s="36"/>
      <c r="C133" s="37">
        <v>0</v>
      </c>
      <c r="D133" s="38">
        <v>1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33" s="42">
        <f ca="1">IF(Октябрь[[#This Row],[УСЛУГ]]&lt;&gt;"",Октябрь[[#This Row],[УСЛУГ]]*Октябрь[[#This Row],[Периодичность]],"")</f>
        <v>0</v>
      </c>
    </row>
    <row r="134" spans="1:37" x14ac:dyDescent="0.25">
      <c r="A134" s="35"/>
      <c r="B134" s="36"/>
      <c r="C134" s="37">
        <v>0</v>
      </c>
      <c r="D134" s="38">
        <v>2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4" s="42" t="str">
        <f ca="1">IF(Октябрь[[#This Row],[УСЛУГ]]&lt;&gt;"",Октябрь[[#This Row],[УСЛУГ]]*Октябрь[[#This Row],[Периодичность]],"")</f>
        <v/>
      </c>
    </row>
    <row r="135" spans="1:37" x14ac:dyDescent="0.25">
      <c r="A135" s="35"/>
      <c r="B135" s="36"/>
      <c r="C135" s="37">
        <v>0</v>
      </c>
      <c r="D135" s="38">
        <v>3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5" s="42" t="str">
        <f ca="1">IF(Октябрь[[#This Row],[УСЛУГ]]&lt;&gt;"",Октябрь[[#This Row],[УСЛУГ]]*Октябрь[[#This Row],[Периодичность]],"")</f>
        <v/>
      </c>
    </row>
    <row r="136" spans="1:37" x14ac:dyDescent="0.25">
      <c r="A136" s="35" t="s">
        <v>38</v>
      </c>
      <c r="B136" s="36"/>
      <c r="C136" s="37">
        <v>0</v>
      </c>
      <c r="D136" s="38">
        <v>1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36" s="42">
        <f ca="1">IF(Октябрь[[#This Row],[УСЛУГ]]&lt;&gt;"",Октябрь[[#This Row],[УСЛУГ]]*Октябрь[[#This Row],[Периодичность]],"")</f>
        <v>0</v>
      </c>
    </row>
    <row r="137" spans="1:37" x14ac:dyDescent="0.25">
      <c r="A137" s="35"/>
      <c r="B137" s="36"/>
      <c r="C137" s="37">
        <v>0</v>
      </c>
      <c r="D137" s="38">
        <v>2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7" s="42" t="str">
        <f ca="1">IF(Октябрь[[#This Row],[УСЛУГ]]&lt;&gt;"",Октябрь[[#This Row],[УСЛУГ]]*Октябрь[[#This Row],[Периодичность]],"")</f>
        <v/>
      </c>
    </row>
    <row r="138" spans="1:37" x14ac:dyDescent="0.25">
      <c r="A138" s="35"/>
      <c r="B138" s="36"/>
      <c r="C138" s="37">
        <v>0</v>
      </c>
      <c r="D138" s="38">
        <v>3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38" s="42" t="str">
        <f ca="1">IF(Октябрь[[#This Row],[УСЛУГ]]&lt;&gt;"",Октябрь[[#This Row],[УСЛУГ]]*Октябрь[[#This Row],[Периодичность]],"")</f>
        <v/>
      </c>
    </row>
    <row r="139" spans="1:37" ht="31.5" x14ac:dyDescent="0.25">
      <c r="A139" s="35" t="s">
        <v>39</v>
      </c>
      <c r="B139" s="36"/>
      <c r="C139" s="37">
        <v>0</v>
      </c>
      <c r="D139" s="38">
        <v>1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39" s="42">
        <f ca="1">IF(Октябрь[[#This Row],[УСЛУГ]]&lt;&gt;"",Октябрь[[#This Row],[УСЛУГ]]*Октябрь[[#This Row],[Периодичность]],"")</f>
        <v>0</v>
      </c>
    </row>
    <row r="140" spans="1:37" x14ac:dyDescent="0.25">
      <c r="A140" s="35"/>
      <c r="B140" s="36"/>
      <c r="C140" s="37">
        <v>0</v>
      </c>
      <c r="D140" s="38">
        <v>2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0" s="42" t="str">
        <f ca="1">IF(Октябрь[[#This Row],[УСЛУГ]]&lt;&gt;"",Октябрь[[#This Row],[УСЛУГ]]*Октябрь[[#This Row],[Периодичность]],"")</f>
        <v/>
      </c>
    </row>
    <row r="141" spans="1:37" x14ac:dyDescent="0.25">
      <c r="A141" s="35"/>
      <c r="B141" s="36"/>
      <c r="C141" s="37">
        <v>0</v>
      </c>
      <c r="D141" s="38">
        <v>3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1" s="42" t="str">
        <f ca="1">IF(Октябрь[[#This Row],[УСЛУГ]]&lt;&gt;"",Октябрь[[#This Row],[УСЛУГ]]*Октябрь[[#This Row],[Периодичность]],"")</f>
        <v/>
      </c>
    </row>
    <row r="142" spans="1:37" ht="47.25" x14ac:dyDescent="0.25">
      <c r="A142" s="35" t="s">
        <v>149</v>
      </c>
      <c r="B142" s="36"/>
      <c r="C142" s="37">
        <v>0</v>
      </c>
      <c r="D142" s="38">
        <v>1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42" s="42">
        <f ca="1">IF(Октябрь[[#This Row],[УСЛУГ]]&lt;&gt;"",Октябрь[[#This Row],[УСЛУГ]]*Октябрь[[#This Row],[Периодичность]],"")</f>
        <v>0</v>
      </c>
    </row>
    <row r="143" spans="1:37" x14ac:dyDescent="0.25">
      <c r="A143" s="35"/>
      <c r="B143" s="36"/>
      <c r="C143" s="37">
        <v>0</v>
      </c>
      <c r="D143" s="38">
        <v>2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3" s="42" t="str">
        <f ca="1">IF(Октябрь[[#This Row],[УСЛУГ]]&lt;&gt;"",Октябрь[[#This Row],[УСЛУГ]]*Октябрь[[#This Row],[Периодичность]],"")</f>
        <v/>
      </c>
    </row>
    <row r="144" spans="1:37" x14ac:dyDescent="0.25">
      <c r="A144" s="35"/>
      <c r="B144" s="36"/>
      <c r="C144" s="37">
        <v>0</v>
      </c>
      <c r="D144" s="38">
        <v>3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4" s="42" t="str">
        <f ca="1">IF(Октябрь[[#This Row],[УСЛУГ]]&lt;&gt;"",Октябрь[[#This Row],[УСЛУГ]]*Октябрь[[#This Row],[Периодичность]],"")</f>
        <v/>
      </c>
    </row>
    <row r="145" spans="1:37" ht="47.25" x14ac:dyDescent="0.25">
      <c r="A145" s="35" t="s">
        <v>150</v>
      </c>
      <c r="B145" s="36"/>
      <c r="C145" s="37">
        <v>0</v>
      </c>
      <c r="D145" s="38">
        <v>1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45" s="42">
        <f ca="1">IF(Октябрь[[#This Row],[УСЛУГ]]&lt;&gt;"",Октябрь[[#This Row],[УСЛУГ]]*Октябрь[[#This Row],[Периодичность]],"")</f>
        <v>0</v>
      </c>
    </row>
    <row r="146" spans="1:37" x14ac:dyDescent="0.25">
      <c r="A146" s="35"/>
      <c r="B146" s="36"/>
      <c r="C146" s="37">
        <v>0</v>
      </c>
      <c r="D146" s="38">
        <v>2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6" s="42" t="str">
        <f ca="1">IF(Октябрь[[#This Row],[УСЛУГ]]&lt;&gt;"",Октябрь[[#This Row],[УСЛУГ]]*Октябрь[[#This Row],[Периодичность]],"")</f>
        <v/>
      </c>
    </row>
    <row r="147" spans="1:37" x14ac:dyDescent="0.25">
      <c r="A147" s="35"/>
      <c r="B147" s="36"/>
      <c r="C147" s="37">
        <v>0</v>
      </c>
      <c r="D147" s="38">
        <v>3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7" s="42" t="str">
        <f ca="1">IF(Октябрь[[#This Row],[УСЛУГ]]&lt;&gt;"",Октябрь[[#This Row],[УСЛУГ]]*Октябрь[[#This Row],[Периодичность]],"")</f>
        <v/>
      </c>
    </row>
    <row r="148" spans="1:37" ht="47.25" x14ac:dyDescent="0.25">
      <c r="A148" s="35" t="s">
        <v>151</v>
      </c>
      <c r="B148" s="36"/>
      <c r="C148" s="37">
        <v>0</v>
      </c>
      <c r="D148" s="38">
        <v>1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48" s="42">
        <f ca="1">IF(Октябрь[[#This Row],[УСЛУГ]]&lt;&gt;"",Октябрь[[#This Row],[УСЛУГ]]*Октябрь[[#This Row],[Периодичность]],"")</f>
        <v>0</v>
      </c>
    </row>
    <row r="149" spans="1:37" x14ac:dyDescent="0.25">
      <c r="A149" s="35"/>
      <c r="B149" s="36"/>
      <c r="C149" s="37">
        <v>0</v>
      </c>
      <c r="D149" s="38">
        <v>2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49" s="42" t="str">
        <f ca="1">IF(Октябрь[[#This Row],[УСЛУГ]]&lt;&gt;"",Октябрь[[#This Row],[УСЛУГ]]*Октябрь[[#This Row],[Периодичность]],"")</f>
        <v/>
      </c>
    </row>
    <row r="150" spans="1:37" x14ac:dyDescent="0.25">
      <c r="A150" s="35"/>
      <c r="B150" s="36"/>
      <c r="C150" s="37">
        <v>0</v>
      </c>
      <c r="D150" s="38">
        <v>3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0" s="42" t="str">
        <f ca="1">IF(Октябрь[[#This Row],[УСЛУГ]]&lt;&gt;"",Октябрь[[#This Row],[УСЛУГ]]*Октябрь[[#This Row],[Периодичность]],"")</f>
        <v/>
      </c>
    </row>
    <row r="151" spans="1:37" ht="47.25" x14ac:dyDescent="0.25">
      <c r="A151" s="35" t="s">
        <v>75</v>
      </c>
      <c r="B151" s="36"/>
      <c r="C151" s="37">
        <v>0</v>
      </c>
      <c r="D151" s="38">
        <v>1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51" s="42">
        <f ca="1">IF(Октябрь[[#This Row],[УСЛУГ]]&lt;&gt;"",Октябрь[[#This Row],[УСЛУГ]]*Октябрь[[#This Row],[Периодичность]],"")</f>
        <v>0</v>
      </c>
    </row>
    <row r="152" spans="1:37" x14ac:dyDescent="0.25">
      <c r="A152" s="35"/>
      <c r="B152" s="36"/>
      <c r="C152" s="37">
        <v>0</v>
      </c>
      <c r="D152" s="38">
        <v>2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2" s="42" t="str">
        <f ca="1">IF(Октябрь[[#This Row],[УСЛУГ]]&lt;&gt;"",Октябрь[[#This Row],[УСЛУГ]]*Октябрь[[#This Row],[Периодичность]],"")</f>
        <v/>
      </c>
    </row>
    <row r="153" spans="1:37" x14ac:dyDescent="0.25">
      <c r="A153" s="35"/>
      <c r="B153" s="36"/>
      <c r="C153" s="37">
        <v>0</v>
      </c>
      <c r="D153" s="38">
        <v>3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3" s="42" t="str">
        <f ca="1">IF(Октябрь[[#This Row],[УСЛУГ]]&lt;&gt;"",Октябрь[[#This Row],[УСЛУГ]]*Октябрь[[#This Row],[Периодичность]],"")</f>
        <v/>
      </c>
    </row>
    <row r="154" spans="1:37" ht="47.25" x14ac:dyDescent="0.25">
      <c r="A154" s="35" t="s">
        <v>74</v>
      </c>
      <c r="B154" s="36"/>
      <c r="C154" s="37">
        <v>0</v>
      </c>
      <c r="D154" s="38">
        <v>1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54" s="42">
        <f ca="1">IF(Октябрь[[#This Row],[УСЛУГ]]&lt;&gt;"",Октябрь[[#This Row],[УСЛУГ]]*Октябрь[[#This Row],[Периодичность]],"")</f>
        <v>0</v>
      </c>
    </row>
    <row r="155" spans="1:37" x14ac:dyDescent="0.25">
      <c r="A155" s="35"/>
      <c r="B155" s="36"/>
      <c r="C155" s="37">
        <v>0</v>
      </c>
      <c r="D155" s="38">
        <v>2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5" s="42" t="str">
        <f ca="1">IF(Октябрь[[#This Row],[УСЛУГ]]&lt;&gt;"",Октябрь[[#This Row],[УСЛУГ]]*Октябрь[[#This Row],[Периодичность]],"")</f>
        <v/>
      </c>
    </row>
    <row r="156" spans="1:37" x14ac:dyDescent="0.25">
      <c r="A156" s="35"/>
      <c r="B156" s="36"/>
      <c r="C156" s="37">
        <v>0</v>
      </c>
      <c r="D156" s="38">
        <v>3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6" s="42" t="str">
        <f ca="1">IF(Октябрь[[#This Row],[УСЛУГ]]&lt;&gt;"",Октябрь[[#This Row],[УСЛУГ]]*Октябрь[[#This Row],[Периодичность]],"")</f>
        <v/>
      </c>
    </row>
    <row r="157" spans="1:37" ht="47.25" x14ac:dyDescent="0.25">
      <c r="A157" s="35" t="s">
        <v>152</v>
      </c>
      <c r="B157" s="36"/>
      <c r="C157" s="37">
        <v>0</v>
      </c>
      <c r="D157" s="38">
        <v>1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57" s="42">
        <f ca="1">IF(Октябрь[[#This Row],[УСЛУГ]]&lt;&gt;"",Октябрь[[#This Row],[УСЛУГ]]*Октябрь[[#This Row],[Периодичность]],"")</f>
        <v>0</v>
      </c>
    </row>
    <row r="158" spans="1:37" x14ac:dyDescent="0.25">
      <c r="A158" s="35"/>
      <c r="B158" s="36"/>
      <c r="C158" s="37">
        <v>0</v>
      </c>
      <c r="D158" s="38">
        <v>2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8" s="42" t="str">
        <f ca="1">IF(Октябрь[[#This Row],[УСЛУГ]]&lt;&gt;"",Октябрь[[#This Row],[УСЛУГ]]*Октябрь[[#This Row],[Периодичность]],"")</f>
        <v/>
      </c>
    </row>
    <row r="159" spans="1:37" x14ac:dyDescent="0.25">
      <c r="A159" s="35"/>
      <c r="B159" s="36"/>
      <c r="C159" s="37">
        <v>0</v>
      </c>
      <c r="D159" s="38">
        <v>3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59" s="42" t="str">
        <f ca="1">IF(Октябрь[[#This Row],[УСЛУГ]]&lt;&gt;"",Октябрь[[#This Row],[УСЛУГ]]*Октябрь[[#This Row],[Периодичность]],"")</f>
        <v/>
      </c>
    </row>
    <row r="160" spans="1:37" ht="47.25" x14ac:dyDescent="0.25">
      <c r="A160" s="35" t="s">
        <v>153</v>
      </c>
      <c r="B160" s="36"/>
      <c r="C160" s="37">
        <v>0</v>
      </c>
      <c r="D160" s="38">
        <v>1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60" s="42">
        <f ca="1">IF(Октябрь[[#This Row],[УСЛУГ]]&lt;&gt;"",Октябрь[[#This Row],[УСЛУГ]]*Октябрь[[#This Row],[Периодичность]],"")</f>
        <v>0</v>
      </c>
    </row>
    <row r="161" spans="1:37" x14ac:dyDescent="0.25">
      <c r="A161" s="35"/>
      <c r="B161" s="36"/>
      <c r="C161" s="37">
        <v>0</v>
      </c>
      <c r="D161" s="38">
        <v>2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1" s="42" t="str">
        <f ca="1">IF(Октябрь[[#This Row],[УСЛУГ]]&lt;&gt;"",Октябрь[[#This Row],[УСЛУГ]]*Октябрь[[#This Row],[Периодичность]],"")</f>
        <v/>
      </c>
    </row>
    <row r="162" spans="1:37" x14ac:dyDescent="0.25">
      <c r="A162" s="35"/>
      <c r="B162" s="36"/>
      <c r="C162" s="37">
        <v>0</v>
      </c>
      <c r="D162" s="38">
        <v>3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2" s="42" t="str">
        <f ca="1">IF(Октябрь[[#This Row],[УСЛУГ]]&lt;&gt;"",Октябрь[[#This Row],[УСЛУГ]]*Октябрь[[#This Row],[Периодичность]],"")</f>
        <v/>
      </c>
    </row>
    <row r="163" spans="1:37" ht="47.25" x14ac:dyDescent="0.25">
      <c r="A163" s="35" t="s">
        <v>154</v>
      </c>
      <c r="B163" s="36"/>
      <c r="C163" s="37">
        <v>0</v>
      </c>
      <c r="D163" s="38">
        <v>1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63" s="42">
        <f ca="1">IF(Октябрь[[#This Row],[УСЛУГ]]&lt;&gt;"",Октябрь[[#This Row],[УСЛУГ]]*Октябрь[[#This Row],[Периодичность]],"")</f>
        <v>0</v>
      </c>
    </row>
    <row r="164" spans="1:37" x14ac:dyDescent="0.25">
      <c r="A164" s="35"/>
      <c r="B164" s="36"/>
      <c r="C164" s="37">
        <v>0</v>
      </c>
      <c r="D164" s="38">
        <v>2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4" s="42" t="str">
        <f ca="1">IF(Октябрь[[#This Row],[УСЛУГ]]&lt;&gt;"",Октябрь[[#This Row],[УСЛУГ]]*Октябрь[[#This Row],[Периодичность]],"")</f>
        <v/>
      </c>
    </row>
    <row r="165" spans="1:37" x14ac:dyDescent="0.25">
      <c r="A165" s="35"/>
      <c r="B165" s="36"/>
      <c r="C165" s="37">
        <v>0</v>
      </c>
      <c r="D165" s="38">
        <v>3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5" s="42" t="str">
        <f ca="1">IF(Октябрь[[#This Row],[УСЛУГ]]&lt;&gt;"",Октябрь[[#This Row],[УСЛУГ]]*Октябрь[[#This Row],[Периодичность]],"")</f>
        <v/>
      </c>
    </row>
    <row r="166" spans="1:37" ht="47.25" x14ac:dyDescent="0.25">
      <c r="A166" s="35" t="s">
        <v>73</v>
      </c>
      <c r="B166" s="36"/>
      <c r="C166" s="37">
        <v>0</v>
      </c>
      <c r="D166" s="38">
        <v>1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66" s="42">
        <f ca="1">IF(Октябрь[[#This Row],[УСЛУГ]]&lt;&gt;"",Октябрь[[#This Row],[УСЛУГ]]*Октябрь[[#This Row],[Периодичность]],"")</f>
        <v>0</v>
      </c>
    </row>
    <row r="167" spans="1:37" x14ac:dyDescent="0.25">
      <c r="A167" s="35"/>
      <c r="B167" s="36"/>
      <c r="C167" s="37">
        <v>0</v>
      </c>
      <c r="D167" s="38">
        <v>2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7" s="42" t="str">
        <f ca="1">IF(Октябрь[[#This Row],[УСЛУГ]]&lt;&gt;"",Октябрь[[#This Row],[УСЛУГ]]*Октябрь[[#This Row],[Периодичность]],"")</f>
        <v/>
      </c>
    </row>
    <row r="168" spans="1:37" x14ac:dyDescent="0.25">
      <c r="A168" s="35"/>
      <c r="B168" s="36"/>
      <c r="C168" s="37">
        <v>0</v>
      </c>
      <c r="D168" s="38">
        <v>3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68" s="42" t="str">
        <f ca="1">IF(Октябрь[[#This Row],[УСЛУГ]]&lt;&gt;"",Октябрь[[#This Row],[УСЛУГ]]*Октябрь[[#This Row],[Периодичность]],"")</f>
        <v/>
      </c>
    </row>
    <row r="169" spans="1:37" ht="47.25" x14ac:dyDescent="0.25">
      <c r="A169" s="35" t="s">
        <v>155</v>
      </c>
      <c r="B169" s="36"/>
      <c r="C169" s="37">
        <v>0</v>
      </c>
      <c r="D169" s="38">
        <v>1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69" s="42">
        <f ca="1">IF(Октябрь[[#This Row],[УСЛУГ]]&lt;&gt;"",Октябрь[[#This Row],[УСЛУГ]]*Октябрь[[#This Row],[Периодичность]],"")</f>
        <v>0</v>
      </c>
    </row>
    <row r="170" spans="1:37" x14ac:dyDescent="0.25">
      <c r="A170" s="35"/>
      <c r="B170" s="36"/>
      <c r="C170" s="37">
        <v>0</v>
      </c>
      <c r="D170" s="38">
        <v>2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70" s="42" t="str">
        <f ca="1">IF(Октябрь[[#This Row],[УСЛУГ]]&lt;&gt;"",Октябрь[[#This Row],[УСЛУГ]]*Октябрь[[#This Row],[Периодичность]],"")</f>
        <v/>
      </c>
    </row>
    <row r="171" spans="1:37" x14ac:dyDescent="0.25">
      <c r="A171" s="35"/>
      <c r="B171" s="36"/>
      <c r="C171" s="37">
        <v>0</v>
      </c>
      <c r="D171" s="38">
        <v>3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71" s="42" t="str">
        <f ca="1">IF(Октябрь[[#This Row],[УСЛУГ]]&lt;&gt;"",Октябрь[[#This Row],[УСЛУГ]]*Октябрь[[#This Row],[Периодичность]],"")</f>
        <v/>
      </c>
    </row>
    <row r="172" spans="1:37" ht="47.25" x14ac:dyDescent="0.25">
      <c r="A172" s="35" t="s">
        <v>72</v>
      </c>
      <c r="B172" s="36"/>
      <c r="C172" s="37">
        <v>0</v>
      </c>
      <c r="D172" s="38">
        <v>1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>0</v>
      </c>
      <c r="AK172" s="42">
        <f ca="1">IF(Октябрь[[#This Row],[УСЛУГ]]&lt;&gt;"",Октябрь[[#This Row],[УСЛУГ]]*Октябрь[[#This Row],[Периодичность]],"")</f>
        <v>0</v>
      </c>
    </row>
    <row r="173" spans="1:37" x14ac:dyDescent="0.25">
      <c r="A173" s="35"/>
      <c r="B173" s="36"/>
      <c r="C173" s="37">
        <v>0</v>
      </c>
      <c r="D173" s="38">
        <v>2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73" s="42" t="str">
        <f ca="1">IF(Октябрь[[#This Row],[УСЛУГ]]&lt;&gt;"",Октябрь[[#This Row],[УСЛУГ]]*Октябрь[[#This Row],[Периодичность]],"")</f>
        <v/>
      </c>
    </row>
    <row r="174" spans="1:37" x14ac:dyDescent="0.25">
      <c r="A174" s="35"/>
      <c r="B174" s="36"/>
      <c r="C174" s="37">
        <v>0</v>
      </c>
      <c r="D174" s="38">
        <v>3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IF(OFFSET(Октябрь[[#This Row],[№]],1,)=2,IF(OFFSET(Октябрь[[#This Row],[№]],2,)=3,SUM(Октябрь[[#This Row],[1]:[31]])+SUM(OFFSET(Октябрь[[#This Row],[1]:[31]],1,))+SUM(OFFSET(Октябрь[[#This Row],[1]:[31]],2,)),SUM(Октябрь[[#This Row],[1]:[31]])+SUM(OFFSET(Октябрь[[#This Row],[1]:[31]],1,))),IF(OFFSET(Октябрь[[#This Row],[№]],2,)=3,SUM(Октябрь[[#This Row],[1]:[31]])+SUM(OFFSET(Октябрь[[#This Row],[1]:[31]],2,)),""))</f>
        <v/>
      </c>
      <c r="AK174" s="42" t="str">
        <f ca="1">IF(Октябрь[[#This Row],[УСЛУГ]]&lt;&gt;"",Октябрь[[#This Row],[УСЛУГ]]*Октябрь[[#This Row],[Периодичность]],"")</f>
        <v/>
      </c>
    </row>
  </sheetData>
  <mergeCells count="20">
    <mergeCell ref="AJ7:AJ11"/>
    <mergeCell ref="AK7:AK11"/>
    <mergeCell ref="E10:AI11"/>
    <mergeCell ref="A19:A23"/>
    <mergeCell ref="B19:C23"/>
    <mergeCell ref="D19:D23"/>
    <mergeCell ref="E19:AI20"/>
    <mergeCell ref="AJ19:AJ23"/>
    <mergeCell ref="AK19:AK23"/>
    <mergeCell ref="E22:AI23"/>
    <mergeCell ref="A7:A11"/>
    <mergeCell ref="B7:B11"/>
    <mergeCell ref="C7:C11"/>
    <mergeCell ref="D7:D11"/>
    <mergeCell ref="E7:AI8"/>
    <mergeCell ref="A2:AJ2"/>
    <mergeCell ref="A3:AJ3"/>
    <mergeCell ref="J4:L4"/>
    <mergeCell ref="M4:U4"/>
    <mergeCell ref="M5:Q5"/>
  </mergeCells>
  <conditionalFormatting sqref="E9:AI9">
    <cfRule type="expression" dxfId="299" priority="2">
      <formula>WEEKDAY(E9:AI9,2)&gt;5</formula>
    </cfRule>
  </conditionalFormatting>
  <conditionalFormatting sqref="E21:AI21">
    <cfRule type="expression" dxfId="298" priority="1">
      <formula>WEEKDAY(E21:AI21,2)&gt;5</formula>
    </cfRule>
  </conditionalFormatting>
  <dataValidations count="2">
    <dataValidation type="list" allowBlank="1" showInputMessage="1" showErrorMessage="1" sqref="D25:D174">
      <formula1>INDIRECT("Посещения")</formula1>
    </dataValidation>
    <dataValidation type="list" allowBlank="1" showInputMessage="1" showErrorMessage="1" sqref="A25:A174">
      <formula1>INDIRECT("Услуги[Кратко]")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Height="0" orientation="landscape" horizontalDpi="300" verticalDpi="300" r:id="rId1"/>
  <ignoredErrors>
    <ignoredError sqref="E13:E17 AI13:AK17 B13:B17" calculatedColumn="1"/>
  </ignoredErrors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74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7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7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7" ht="18.75" x14ac:dyDescent="0.25">
      <c r="C5" s="17"/>
      <c r="L5" s="12" t="s">
        <v>69</v>
      </c>
      <c r="M5" s="68" t="s">
        <v>138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7" ht="18.75" x14ac:dyDescent="0.25">
      <c r="C6" s="17"/>
      <c r="L6" s="12"/>
      <c r="M6" s="22"/>
      <c r="N6" s="32"/>
      <c r="O6" s="32"/>
      <c r="P6" s="32"/>
      <c r="Q6" s="32"/>
      <c r="R6" s="22"/>
      <c r="S6" s="32"/>
      <c r="T6" s="14"/>
      <c r="U6" s="14"/>
    </row>
    <row r="7" spans="1:37" ht="26.25" customHeight="1" x14ac:dyDescent="0.25">
      <c r="A7" s="54"/>
      <c r="B7" s="62" t="s">
        <v>115</v>
      </c>
      <c r="C7" s="62" t="s">
        <v>114</v>
      </c>
      <c r="D7" s="63" t="s">
        <v>61</v>
      </c>
      <c r="E7" s="48" t="s">
        <v>55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50"/>
      <c r="AI7" s="44" t="s">
        <v>64</v>
      </c>
      <c r="AJ7" s="44" t="s">
        <v>64</v>
      </c>
      <c r="AK7" s="4"/>
    </row>
    <row r="8" spans="1:37" ht="15.75" customHeight="1" x14ac:dyDescent="0.25">
      <c r="A8" s="54"/>
      <c r="B8" s="57"/>
      <c r="C8" s="57"/>
      <c r="D8" s="64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  <c r="AI8" s="44"/>
      <c r="AJ8" s="44"/>
      <c r="AK8" s="4"/>
    </row>
    <row r="9" spans="1:37" x14ac:dyDescent="0.25">
      <c r="A9" s="54"/>
      <c r="B9" s="57"/>
      <c r="C9" s="57"/>
      <c r="D9" s="64"/>
      <c r="E9" s="23">
        <f>Настройки!E17</f>
        <v>45231</v>
      </c>
      <c r="F9" s="23">
        <f>Настройки!F17</f>
        <v>45232</v>
      </c>
      <c r="G9" s="23">
        <f>Настройки!G17</f>
        <v>45233</v>
      </c>
      <c r="H9" s="23">
        <f>Настройки!H17</f>
        <v>45234</v>
      </c>
      <c r="I9" s="23">
        <f>Настройки!I17</f>
        <v>45235</v>
      </c>
      <c r="J9" s="23">
        <f>Настройки!J17</f>
        <v>45236</v>
      </c>
      <c r="K9" s="23">
        <f>Настройки!K17</f>
        <v>45237</v>
      </c>
      <c r="L9" s="23">
        <f>Настройки!L17</f>
        <v>45238</v>
      </c>
      <c r="M9" s="23">
        <f>Настройки!M17</f>
        <v>45239</v>
      </c>
      <c r="N9" s="23">
        <f>Настройки!N17</f>
        <v>45240</v>
      </c>
      <c r="O9" s="23">
        <f>Настройки!O17</f>
        <v>45241</v>
      </c>
      <c r="P9" s="23">
        <f>Настройки!P17</f>
        <v>45242</v>
      </c>
      <c r="Q9" s="23">
        <f>Настройки!Q17</f>
        <v>45243</v>
      </c>
      <c r="R9" s="23">
        <f>Настройки!R17</f>
        <v>45244</v>
      </c>
      <c r="S9" s="23">
        <f>Настройки!S17</f>
        <v>45245</v>
      </c>
      <c r="T9" s="23">
        <f>Настройки!T17</f>
        <v>45246</v>
      </c>
      <c r="U9" s="23">
        <f>Настройки!U17</f>
        <v>45247</v>
      </c>
      <c r="V9" s="23">
        <f>Настройки!V17</f>
        <v>45248</v>
      </c>
      <c r="W9" s="23">
        <f>Настройки!W17</f>
        <v>45249</v>
      </c>
      <c r="X9" s="23">
        <f>Настройки!X17</f>
        <v>45250</v>
      </c>
      <c r="Y9" s="23">
        <f>Настройки!Y17</f>
        <v>45251</v>
      </c>
      <c r="Z9" s="23">
        <f>Настройки!Z17</f>
        <v>45252</v>
      </c>
      <c r="AA9" s="23">
        <f>Настройки!AA17</f>
        <v>45253</v>
      </c>
      <c r="AB9" s="23">
        <f>Настройки!AB17</f>
        <v>45254</v>
      </c>
      <c r="AC9" s="23">
        <f>Настройки!AC17</f>
        <v>45255</v>
      </c>
      <c r="AD9" s="23">
        <f>Настройки!AD17</f>
        <v>45256</v>
      </c>
      <c r="AE9" s="23">
        <f>Настройки!AE17</f>
        <v>45257</v>
      </c>
      <c r="AF9" s="23">
        <f>Настройки!AF17</f>
        <v>45258</v>
      </c>
      <c r="AG9" s="23">
        <f>Настройки!AG17</f>
        <v>45259</v>
      </c>
      <c r="AH9" s="23">
        <f>Настройки!AH17</f>
        <v>45260</v>
      </c>
      <c r="AI9" s="44"/>
      <c r="AJ9" s="44"/>
      <c r="AK9" s="4"/>
    </row>
    <row r="10" spans="1:37" ht="15.75" customHeight="1" x14ac:dyDescent="0.25">
      <c r="A10" s="54"/>
      <c r="B10" s="57"/>
      <c r="C10" s="57"/>
      <c r="D10" s="64"/>
      <c r="E10" s="48" t="s">
        <v>54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74"/>
      <c r="AI10" s="44"/>
      <c r="AJ10" s="44"/>
      <c r="AK10" s="4"/>
    </row>
    <row r="11" spans="1:37" x14ac:dyDescent="0.25">
      <c r="A11" s="62"/>
      <c r="B11" s="57"/>
      <c r="C11" s="57"/>
      <c r="D11" s="64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3"/>
      <c r="AI11" s="44"/>
      <c r="AJ11" s="44"/>
    </row>
    <row r="12" spans="1:37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15" t="s">
        <v>83</v>
      </c>
      <c r="F12" s="15" t="s">
        <v>84</v>
      </c>
      <c r="G12" s="15" t="s">
        <v>85</v>
      </c>
      <c r="H12" s="15" t="s">
        <v>86</v>
      </c>
      <c r="I12" s="15" t="s">
        <v>87</v>
      </c>
      <c r="J12" s="15" t="s">
        <v>88</v>
      </c>
      <c r="K12" s="15" t="s">
        <v>89</v>
      </c>
      <c r="L12" s="15" t="s">
        <v>90</v>
      </c>
      <c r="M12" s="15" t="s">
        <v>91</v>
      </c>
      <c r="N12" s="15" t="s">
        <v>92</v>
      </c>
      <c r="O12" s="15" t="s">
        <v>93</v>
      </c>
      <c r="P12" s="15" t="s">
        <v>94</v>
      </c>
      <c r="Q12" s="15" t="s">
        <v>95</v>
      </c>
      <c r="R12" s="15" t="s">
        <v>96</v>
      </c>
      <c r="S12" s="15" t="s">
        <v>97</v>
      </c>
      <c r="T12" s="15" t="s">
        <v>98</v>
      </c>
      <c r="U12" s="15" t="s">
        <v>99</v>
      </c>
      <c r="V12" s="15" t="s">
        <v>100</v>
      </c>
      <c r="W12" s="15" t="s">
        <v>101</v>
      </c>
      <c r="X12" s="15" t="s">
        <v>102</v>
      </c>
      <c r="Y12" s="15" t="s">
        <v>103</v>
      </c>
      <c r="Z12" s="15" t="s">
        <v>104</v>
      </c>
      <c r="AA12" s="15" t="s">
        <v>105</v>
      </c>
      <c r="AB12" s="15" t="s">
        <v>106</v>
      </c>
      <c r="AC12" s="15" t="s">
        <v>107</v>
      </c>
      <c r="AD12" s="15" t="s">
        <v>108</v>
      </c>
      <c r="AE12" s="15" t="s">
        <v>109</v>
      </c>
      <c r="AF12" s="15" t="s">
        <v>110</v>
      </c>
      <c r="AG12" s="15" t="s">
        <v>111</v>
      </c>
      <c r="AH12" s="15" t="s">
        <v>112</v>
      </c>
      <c r="AI12" s="3" t="s">
        <v>62</v>
      </c>
      <c r="AJ12" s="3" t="s">
        <v>63</v>
      </c>
    </row>
    <row r="13" spans="1:37" ht="22.5" customHeight="1" x14ac:dyDescent="0.25">
      <c r="A13" s="5" t="s">
        <v>56</v>
      </c>
      <c r="B13" s="3">
        <f>SUMPRODUCT((Настройки!$E$31:$AH$31=1)*E16:AH16)</f>
        <v>0</v>
      </c>
      <c r="C13" s="15"/>
      <c r="D13" s="5">
        <v>1</v>
      </c>
      <c r="E13" s="3">
        <f>SUMPRODUCT((Ноябрь[№]=1)*Ноябрь[1],Ноябрь[Периодичность])</f>
        <v>0</v>
      </c>
      <c r="F13" s="30">
        <f>SUMPRODUCT((Ноябрь[№]=1)*Ноябрь[2],Ноябрь[Периодичность])</f>
        <v>0</v>
      </c>
      <c r="G13" s="30">
        <f>SUMPRODUCT((Ноябрь[№]=1)*Ноябрь[3],Ноябрь[Периодичность])</f>
        <v>0</v>
      </c>
      <c r="H13" s="30">
        <f>SUMPRODUCT((Ноябрь[№]=1)*Ноябрь[4],Ноябрь[Периодичность])</f>
        <v>0</v>
      </c>
      <c r="I13" s="30">
        <f>SUMPRODUCT((Ноябрь[№]=1)*Ноябрь[5],Ноябрь[Периодичность])</f>
        <v>0</v>
      </c>
      <c r="J13" s="30">
        <f>SUMPRODUCT((Ноябрь[№]=1)*Ноябрь[6],Ноябрь[Периодичность])</f>
        <v>0</v>
      </c>
      <c r="K13" s="30">
        <f>SUMPRODUCT((Ноябрь[№]=1)*Ноябрь[7],Ноябрь[Периодичность])</f>
        <v>0</v>
      </c>
      <c r="L13" s="30">
        <f>SUMPRODUCT((Ноябрь[№]=1)*Ноябрь[8],Ноябрь[Периодичность])</f>
        <v>0</v>
      </c>
      <c r="M13" s="30">
        <f>SUMPRODUCT((Ноябрь[№]=1)*Ноябрь[9],Ноябрь[Периодичность])</f>
        <v>0</v>
      </c>
      <c r="N13" s="30">
        <f>SUMPRODUCT((Ноябрь[№]=1)*Ноябрь[10],Ноябрь[Периодичность])</f>
        <v>0</v>
      </c>
      <c r="O13" s="30">
        <f>SUMPRODUCT((Ноябрь[№]=1)*Ноябрь[11],Ноябрь[Периодичность])</f>
        <v>0</v>
      </c>
      <c r="P13" s="30">
        <f>SUMPRODUCT((Ноябрь[№]=1)*Ноябрь[12],Ноябрь[Периодичность])</f>
        <v>0</v>
      </c>
      <c r="Q13" s="30">
        <f>SUMPRODUCT((Ноябрь[№]=1)*Ноябрь[13],Ноябрь[Периодичность])</f>
        <v>0</v>
      </c>
      <c r="R13" s="30">
        <f>SUMPRODUCT((Ноябрь[№]=1)*Ноябрь[14],Ноябрь[Периодичность])</f>
        <v>0</v>
      </c>
      <c r="S13" s="30">
        <f>SUMPRODUCT((Ноябрь[№]=1)*Ноябрь[15],Ноябрь[Периодичность])</f>
        <v>0</v>
      </c>
      <c r="T13" s="30">
        <f>SUMPRODUCT((Ноябрь[№]=1)*Ноябрь[16],Ноябрь[Периодичность])</f>
        <v>0</v>
      </c>
      <c r="U13" s="30">
        <f>SUMPRODUCT((Ноябрь[№]=1)*Ноябрь[17],Ноябрь[Периодичность])</f>
        <v>0</v>
      </c>
      <c r="V13" s="30">
        <f>SUMPRODUCT((Ноябрь[№]=1)*Ноябрь[18],Ноябрь[Периодичность])</f>
        <v>0</v>
      </c>
      <c r="W13" s="30">
        <f>SUMPRODUCT((Ноябрь[№]=1)*Ноябрь[19],Ноябрь[Периодичность])</f>
        <v>0</v>
      </c>
      <c r="X13" s="30">
        <f>SUMPRODUCT((Ноябрь[№]=1)*Ноябрь[20],Ноябрь[Периодичность])</f>
        <v>0</v>
      </c>
      <c r="Y13" s="30">
        <f>SUMPRODUCT((Ноябрь[№]=1)*Ноябрь[21],Ноябрь[Периодичность])</f>
        <v>0</v>
      </c>
      <c r="Z13" s="30">
        <f>SUMPRODUCT((Ноябрь[№]=1)*Ноябрь[22],Ноябрь[Периодичность])</f>
        <v>0</v>
      </c>
      <c r="AA13" s="30">
        <f>SUMPRODUCT((Ноябрь[№]=1)*Ноябрь[23],Ноябрь[Периодичность])</f>
        <v>0</v>
      </c>
      <c r="AB13" s="30">
        <f>SUMPRODUCT((Ноябрь[№]=1)*Ноябрь[24],Ноябрь[Периодичность])</f>
        <v>0</v>
      </c>
      <c r="AC13" s="30">
        <f>SUMPRODUCT((Ноябрь[№]=1)*Ноябрь[25],Ноябрь[Периодичность])</f>
        <v>0</v>
      </c>
      <c r="AD13" s="30">
        <f>SUMPRODUCT((Ноябрь[№]=1)*Ноябрь[26],Ноябрь[Периодичность])</f>
        <v>0</v>
      </c>
      <c r="AE13" s="30">
        <f>SUMPRODUCT((Ноябрь[№]=1)*Ноябрь[27],Ноябрь[Периодичность])</f>
        <v>0</v>
      </c>
      <c r="AF13" s="30">
        <f>SUMPRODUCT((Ноябрь[№]=1)*Ноябрь[28],Ноябрь[Периодичность])</f>
        <v>0</v>
      </c>
      <c r="AG13" s="30">
        <f>SUMPRODUCT((Ноябрь[№]=1)*Ноябрь[29],Ноябрь[Периодичность])</f>
        <v>0</v>
      </c>
      <c r="AH13" s="30">
        <f>SUMPRODUCT((Ноябрь[№]=1)*Ноябрь[30],Ноябрь[Периодичность])</f>
        <v>0</v>
      </c>
    </row>
    <row r="14" spans="1:37" ht="20.25" customHeight="1" x14ac:dyDescent="0.25">
      <c r="B14" s="3">
        <f>SUMPRODUCT((Настройки!$E$31:$AH$31=2)*E16:AH16)</f>
        <v>0</v>
      </c>
      <c r="D14" s="5">
        <v>2</v>
      </c>
      <c r="E14" s="3">
        <f>SUMPRODUCT((Ноябрь[№]=2)*Ноябрь[1],Ноябрь[Периодичность])</f>
        <v>0</v>
      </c>
      <c r="F14" s="30">
        <f>SUMPRODUCT((Ноябрь[№]=2)*Ноябрь[2],Ноябрь[Периодичность])</f>
        <v>0</v>
      </c>
      <c r="G14" s="30">
        <f>SUMPRODUCT((Ноябрь[№]=2)*Ноябрь[3],Ноябрь[Периодичность])</f>
        <v>0</v>
      </c>
      <c r="H14" s="30">
        <f>SUMPRODUCT((Ноябрь[№]=2)*Ноябрь[4],Ноябрь[Периодичность])</f>
        <v>0</v>
      </c>
      <c r="I14" s="30">
        <f>SUMPRODUCT((Ноябрь[№]=2)*Ноябрь[5],Ноябрь[Периодичность])</f>
        <v>0</v>
      </c>
      <c r="J14" s="30">
        <f>SUMPRODUCT((Ноябрь[№]=2)*Ноябрь[6],Ноябрь[Периодичность])</f>
        <v>0</v>
      </c>
      <c r="K14" s="30">
        <f>SUMPRODUCT((Ноябрь[№]=2)*Ноябрь[7],Ноябрь[Периодичность])</f>
        <v>0</v>
      </c>
      <c r="L14" s="30">
        <f>SUMPRODUCT((Ноябрь[№]=2)*Ноябрь[8],Ноябрь[Периодичность])</f>
        <v>0</v>
      </c>
      <c r="M14" s="30">
        <f>SUMPRODUCT((Ноябрь[№]=2)*Ноябрь[9],Ноябрь[Периодичность])</f>
        <v>0</v>
      </c>
      <c r="N14" s="30">
        <f>SUMPRODUCT((Ноябрь[№]=2)*Ноябрь[10],Ноябрь[Периодичность])</f>
        <v>0</v>
      </c>
      <c r="O14" s="30">
        <f>SUMPRODUCT((Ноябрь[№]=2)*Ноябрь[11],Ноябрь[Периодичность])</f>
        <v>0</v>
      </c>
      <c r="P14" s="30">
        <f>SUMPRODUCT((Ноябрь[№]=2)*Ноябрь[12],Ноябрь[Периодичность])</f>
        <v>0</v>
      </c>
      <c r="Q14" s="30">
        <f>SUMPRODUCT((Ноябрь[№]=2)*Ноябрь[13],Ноябрь[Периодичность])</f>
        <v>0</v>
      </c>
      <c r="R14" s="30">
        <f>SUMPRODUCT((Ноябрь[№]=2)*Ноябрь[14],Ноябрь[Периодичность])</f>
        <v>0</v>
      </c>
      <c r="S14" s="30">
        <f>SUMPRODUCT((Ноябрь[№]=2)*Ноябрь[15],Ноябрь[Периодичность])</f>
        <v>0</v>
      </c>
      <c r="T14" s="30">
        <f>SUMPRODUCT((Ноябрь[№]=2)*Ноябрь[16],Ноябрь[Периодичность])</f>
        <v>0</v>
      </c>
      <c r="U14" s="30">
        <f>SUMPRODUCT((Ноябрь[№]=2)*Ноябрь[17],Ноябрь[Периодичность])</f>
        <v>0</v>
      </c>
      <c r="V14" s="30">
        <f>SUMPRODUCT((Ноябрь[№]=2)*Ноябрь[18],Ноябрь[Периодичность])</f>
        <v>0</v>
      </c>
      <c r="W14" s="30">
        <f>SUMPRODUCT((Ноябрь[№]=2)*Ноябрь[19],Ноябрь[Периодичность])</f>
        <v>0</v>
      </c>
      <c r="X14" s="30">
        <f>SUMPRODUCT((Ноябрь[№]=2)*Ноябрь[20],Ноябрь[Периодичность])</f>
        <v>0</v>
      </c>
      <c r="Y14" s="30">
        <f>SUMPRODUCT((Ноябрь[№]=2)*Ноябрь[21],Ноябрь[Периодичность])</f>
        <v>0</v>
      </c>
      <c r="Z14" s="30">
        <f>SUMPRODUCT((Ноябрь[№]=2)*Ноябрь[22],Ноябрь[Периодичность])</f>
        <v>0</v>
      </c>
      <c r="AA14" s="30">
        <f>SUMPRODUCT((Ноябрь[№]=2)*Ноябрь[23],Ноябрь[Периодичность])</f>
        <v>0</v>
      </c>
      <c r="AB14" s="30">
        <f>SUMPRODUCT((Ноябрь[№]=2)*Ноябрь[24],Ноябрь[Периодичность])</f>
        <v>0</v>
      </c>
      <c r="AC14" s="30">
        <f>SUMPRODUCT((Ноябрь[№]=2)*Ноябрь[25],Ноябрь[Периодичность])</f>
        <v>0</v>
      </c>
      <c r="AD14" s="30">
        <f>SUMPRODUCT((Ноябрь[№]=2)*Ноябрь[26],Ноябрь[Периодичность])</f>
        <v>0</v>
      </c>
      <c r="AE14" s="30">
        <f>SUMPRODUCT((Ноябрь[№]=2)*Ноябрь[27],Ноябрь[Периодичность])</f>
        <v>0</v>
      </c>
      <c r="AF14" s="30">
        <f>SUMPRODUCT((Ноябрь[№]=2)*Ноябрь[28],Ноябрь[Периодичность])</f>
        <v>0</v>
      </c>
      <c r="AG14" s="30">
        <f>SUMPRODUCT((Ноябрь[№]=2)*Ноябрь[29],Ноябрь[Периодичность])</f>
        <v>0</v>
      </c>
      <c r="AH14" s="30">
        <f>SUMPRODUCT((Ноябрь[№]=2)*Ноябрь[30],Ноябрь[Периодичность])</f>
        <v>0</v>
      </c>
    </row>
    <row r="15" spans="1:37" ht="22.5" customHeight="1" x14ac:dyDescent="0.25">
      <c r="B15" s="3">
        <f>SUMPRODUCT((Настройки!$E$31:$AH$31=3)*E16:AH16)</f>
        <v>0</v>
      </c>
      <c r="D15" s="5">
        <v>3</v>
      </c>
      <c r="E15" s="3">
        <f>SUMPRODUCT((Ноябрь[№]=3)*Ноябрь[1],Ноябрь[Периодичность])</f>
        <v>0</v>
      </c>
      <c r="F15" s="30">
        <f>SUMPRODUCT((Ноябрь[№]=3)*Ноябрь[2],Ноябрь[Периодичность])</f>
        <v>0</v>
      </c>
      <c r="G15" s="30">
        <f>SUMPRODUCT((Ноябрь[№]=3)*Ноябрь[3],Ноябрь[Периодичность])</f>
        <v>0</v>
      </c>
      <c r="H15" s="30">
        <f>SUMPRODUCT((Ноябрь[№]=3)*Ноябрь[4],Ноябрь[Периодичность])</f>
        <v>0</v>
      </c>
      <c r="I15" s="30">
        <f>SUMPRODUCT((Ноябрь[№]=3)*Ноябрь[5],Ноябрь[Периодичность])</f>
        <v>0</v>
      </c>
      <c r="J15" s="30">
        <f>SUMPRODUCT((Ноябрь[№]=3)*Ноябрь[6],Ноябрь[Периодичность])</f>
        <v>0</v>
      </c>
      <c r="K15" s="30">
        <f>SUMPRODUCT((Ноябрь[№]=3)*Ноябрь[7],Ноябрь[Периодичность])</f>
        <v>0</v>
      </c>
      <c r="L15" s="30">
        <f>SUMPRODUCT((Ноябрь[№]=3)*Ноябрь[8],Ноябрь[Периодичность])</f>
        <v>0</v>
      </c>
      <c r="M15" s="30">
        <f>SUMPRODUCT((Ноябрь[№]=3)*Ноябрь[9],Ноябрь[Периодичность])</f>
        <v>0</v>
      </c>
      <c r="N15" s="30">
        <f>SUMPRODUCT((Ноябрь[№]=3)*Ноябрь[10],Ноябрь[Периодичность])</f>
        <v>0</v>
      </c>
      <c r="O15" s="30">
        <f>SUMPRODUCT((Ноябрь[№]=3)*Ноябрь[11],Ноябрь[Периодичность])</f>
        <v>0</v>
      </c>
      <c r="P15" s="30">
        <f>SUMPRODUCT((Ноябрь[№]=3)*Ноябрь[12],Ноябрь[Периодичность])</f>
        <v>0</v>
      </c>
      <c r="Q15" s="30">
        <f>SUMPRODUCT((Ноябрь[№]=3)*Ноябрь[13],Ноябрь[Периодичность])</f>
        <v>0</v>
      </c>
      <c r="R15" s="30">
        <f>SUMPRODUCT((Ноябрь[№]=3)*Ноябрь[14],Ноябрь[Периодичность])</f>
        <v>0</v>
      </c>
      <c r="S15" s="30">
        <f>SUMPRODUCT((Ноябрь[№]=3)*Ноябрь[15],Ноябрь[Периодичность])</f>
        <v>0</v>
      </c>
      <c r="T15" s="30">
        <f>SUMPRODUCT((Ноябрь[№]=3)*Ноябрь[16],Ноябрь[Периодичность])</f>
        <v>0</v>
      </c>
      <c r="U15" s="30">
        <f>SUMPRODUCT((Ноябрь[№]=3)*Ноябрь[17],Ноябрь[Периодичность])</f>
        <v>0</v>
      </c>
      <c r="V15" s="30">
        <f>SUMPRODUCT((Ноябрь[№]=3)*Ноябрь[18],Ноябрь[Периодичность])</f>
        <v>0</v>
      </c>
      <c r="W15" s="30">
        <f>SUMPRODUCT((Ноябрь[№]=3)*Ноябрь[19],Ноябрь[Периодичность])</f>
        <v>0</v>
      </c>
      <c r="X15" s="30">
        <f>SUMPRODUCT((Ноябрь[№]=3)*Ноябрь[20],Ноябрь[Периодичность])</f>
        <v>0</v>
      </c>
      <c r="Y15" s="30">
        <f>SUMPRODUCT((Ноябрь[№]=3)*Ноябрь[21],Ноябрь[Периодичность])</f>
        <v>0</v>
      </c>
      <c r="Z15" s="30">
        <f>SUMPRODUCT((Ноябрь[№]=3)*Ноябрь[22],Ноябрь[Периодичность])</f>
        <v>0</v>
      </c>
      <c r="AA15" s="30">
        <f>SUMPRODUCT((Ноябрь[№]=3)*Ноябрь[23],Ноябрь[Периодичность])</f>
        <v>0</v>
      </c>
      <c r="AB15" s="30">
        <f>SUMPRODUCT((Ноябрь[№]=3)*Ноябрь[24],Ноябрь[Периодичность])</f>
        <v>0</v>
      </c>
      <c r="AC15" s="30">
        <f>SUMPRODUCT((Ноябрь[№]=3)*Ноябрь[25],Ноябрь[Периодичность])</f>
        <v>0</v>
      </c>
      <c r="AD15" s="30">
        <f>SUMPRODUCT((Ноябрь[№]=3)*Ноябрь[26],Ноябрь[Периодичность])</f>
        <v>0</v>
      </c>
      <c r="AE15" s="30">
        <f>SUMPRODUCT((Ноябрь[№]=3)*Ноябрь[27],Ноябрь[Периодичность])</f>
        <v>0</v>
      </c>
      <c r="AF15" s="30">
        <f>SUMPRODUCT((Ноябрь[№]=3)*Ноябрь[28],Ноябрь[Периодичность])</f>
        <v>0</v>
      </c>
      <c r="AG15" s="30">
        <f>SUMPRODUCT((Ноябрь[№]=3)*Ноябрь[29],Ноябрь[Периодичность])</f>
        <v>0</v>
      </c>
      <c r="AH15" s="30">
        <f>SUMPRODUCT((Ноябрь[№]=3)*Ноябрь[30],Ноябрь[Периодичность])</f>
        <v>0</v>
      </c>
      <c r="AJ15" s="11"/>
    </row>
    <row r="16" spans="1:37" ht="18" customHeight="1" x14ac:dyDescent="0.25">
      <c r="B16" s="3">
        <f>SUMPRODUCT((Настройки!$E$31:$AH$31=4)*E16:AH16)</f>
        <v>0</v>
      </c>
      <c r="D16" s="5"/>
      <c r="E16" s="3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SUMPRODUCT((Настройки!$E$31:$AH$31=5)*E16:AH16)</f>
        <v>0</v>
      </c>
      <c r="C17" s="5">
        <f>НоябрьИтоги[[#This Row],[№]]*60</f>
        <v>0</v>
      </c>
      <c r="D17" s="7">
        <f>SUM(НоябрьИтоги[[#This Row],[1]:[30]])</f>
        <v>0</v>
      </c>
      <c r="E17" s="6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5">
        <f ca="1">SUM(Ноябрь[УСЛУГ])</f>
        <v>0</v>
      </c>
      <c r="AJ17" s="21">
        <f ca="1">SUM(Ноябрь[МИНУТ])</f>
        <v>0</v>
      </c>
    </row>
    <row r="19" spans="1:36" x14ac:dyDescent="0.25">
      <c r="A19" s="54" t="s">
        <v>52</v>
      </c>
      <c r="B19" s="54" t="s">
        <v>53</v>
      </c>
      <c r="C19" s="55"/>
      <c r="D19" s="56" t="s">
        <v>61</v>
      </c>
      <c r="E19" s="48" t="s">
        <v>55</v>
      </c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50"/>
      <c r="AI19" s="44" t="s">
        <v>64</v>
      </c>
      <c r="AJ19" s="44" t="s">
        <v>64</v>
      </c>
    </row>
    <row r="20" spans="1:36" ht="15.75" customHeight="1" x14ac:dyDescent="0.25">
      <c r="A20" s="54"/>
      <c r="B20" s="54"/>
      <c r="C20" s="55"/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  <c r="AI20" s="44"/>
      <c r="AJ20" s="44"/>
    </row>
    <row r="21" spans="1:36" x14ac:dyDescent="0.25">
      <c r="A21" s="54"/>
      <c r="B21" s="54"/>
      <c r="C21" s="55"/>
      <c r="D21" s="57"/>
      <c r="E21" s="27">
        <f>Настройки!E17</f>
        <v>45231</v>
      </c>
      <c r="F21" s="27">
        <f>Настройки!F17</f>
        <v>45232</v>
      </c>
      <c r="G21" s="27">
        <f>Настройки!G17</f>
        <v>45233</v>
      </c>
      <c r="H21" s="27">
        <f>Настройки!H17</f>
        <v>45234</v>
      </c>
      <c r="I21" s="27">
        <f>Настройки!I17</f>
        <v>45235</v>
      </c>
      <c r="J21" s="27">
        <f>Настройки!J17</f>
        <v>45236</v>
      </c>
      <c r="K21" s="27">
        <f>Настройки!K17</f>
        <v>45237</v>
      </c>
      <c r="L21" s="27">
        <f>Настройки!L17</f>
        <v>45238</v>
      </c>
      <c r="M21" s="27">
        <f>Настройки!M17</f>
        <v>45239</v>
      </c>
      <c r="N21" s="27">
        <f>Настройки!N17</f>
        <v>45240</v>
      </c>
      <c r="O21" s="27">
        <f>Настройки!O17</f>
        <v>45241</v>
      </c>
      <c r="P21" s="27">
        <f>Настройки!P17</f>
        <v>45242</v>
      </c>
      <c r="Q21" s="27">
        <f>Настройки!Q17</f>
        <v>45243</v>
      </c>
      <c r="R21" s="27">
        <f>Настройки!R17</f>
        <v>45244</v>
      </c>
      <c r="S21" s="27">
        <f>Настройки!S17</f>
        <v>45245</v>
      </c>
      <c r="T21" s="27">
        <f>Настройки!T17</f>
        <v>45246</v>
      </c>
      <c r="U21" s="27">
        <f>Настройки!U17</f>
        <v>45247</v>
      </c>
      <c r="V21" s="27">
        <f>Настройки!V17</f>
        <v>45248</v>
      </c>
      <c r="W21" s="27">
        <f>Настройки!W17</f>
        <v>45249</v>
      </c>
      <c r="X21" s="27">
        <f>Настройки!X17</f>
        <v>45250</v>
      </c>
      <c r="Y21" s="27">
        <f>Настройки!Y17</f>
        <v>45251</v>
      </c>
      <c r="Z21" s="27">
        <f>Настройки!Z17</f>
        <v>45252</v>
      </c>
      <c r="AA21" s="27">
        <f>Настройки!AA17</f>
        <v>45253</v>
      </c>
      <c r="AB21" s="27">
        <f>Настройки!AB17</f>
        <v>45254</v>
      </c>
      <c r="AC21" s="27">
        <f>Настройки!AC17</f>
        <v>45255</v>
      </c>
      <c r="AD21" s="27">
        <f>Настройки!AD17</f>
        <v>45256</v>
      </c>
      <c r="AE21" s="27">
        <f>Настройки!AE17</f>
        <v>45257</v>
      </c>
      <c r="AF21" s="27">
        <f>Настройки!AF17</f>
        <v>45258</v>
      </c>
      <c r="AG21" s="27">
        <f>Настройки!AG17</f>
        <v>45259</v>
      </c>
      <c r="AH21" s="27">
        <f>Настройки!AH17</f>
        <v>45260</v>
      </c>
      <c r="AI21" s="44"/>
      <c r="AJ21" s="44"/>
    </row>
    <row r="22" spans="1:36" x14ac:dyDescent="0.25">
      <c r="A22" s="54"/>
      <c r="B22" s="54"/>
      <c r="C22" s="55"/>
      <c r="D22" s="57"/>
      <c r="E22" s="49" t="s">
        <v>54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74"/>
      <c r="AI22" s="44"/>
      <c r="AJ22" s="44"/>
    </row>
    <row r="23" spans="1:36" x14ac:dyDescent="0.25">
      <c r="A23" s="54"/>
      <c r="B23" s="54"/>
      <c r="C23" s="55"/>
      <c r="D23" s="5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76"/>
      <c r="AI23" s="44"/>
      <c r="AJ23" s="44"/>
    </row>
    <row r="24" spans="1:36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112</v>
      </c>
      <c r="AI24" s="3" t="s">
        <v>62</v>
      </c>
      <c r="AJ24" s="3" t="s">
        <v>63</v>
      </c>
    </row>
    <row r="25" spans="1:36" ht="31.5" x14ac:dyDescent="0.25">
      <c r="A25" s="16" t="s">
        <v>1</v>
      </c>
      <c r="B25" s="2"/>
      <c r="C25" s="8">
        <v>0</v>
      </c>
      <c r="D25" s="11">
        <v>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25" s="5">
        <f ca="1">IF(Ноябрь[[#This Row],[УСЛУГ]]&lt;&gt;"",Ноябрь[[#This Row],[УСЛУГ]]*Ноябрь[[#This Row],[Периодичность]],"")</f>
        <v>0</v>
      </c>
    </row>
    <row r="26" spans="1:36" x14ac:dyDescent="0.25">
      <c r="A26" s="16"/>
      <c r="B26" s="2"/>
      <c r="C26" s="8">
        <v>0</v>
      </c>
      <c r="D26" s="11">
        <v>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26" s="5" t="str">
        <f ca="1">IF(Ноябрь[[#This Row],[УСЛУГ]]&lt;&gt;"",Ноябрь[[#This Row],[УСЛУГ]]*Ноябрь[[#This Row],[Периодичность]],"")</f>
        <v/>
      </c>
    </row>
    <row r="27" spans="1:36" x14ac:dyDescent="0.25">
      <c r="A27" s="16"/>
      <c r="B27" s="2"/>
      <c r="C27" s="8">
        <v>0</v>
      </c>
      <c r="D27" s="11">
        <v>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27" s="5" t="str">
        <f ca="1">IF(Ноябрь[[#This Row],[УСЛУГ]]&lt;&gt;"",Ноябрь[[#This Row],[УСЛУГ]]*Ноябрь[[#This Row],[Периодичность]],"")</f>
        <v/>
      </c>
    </row>
    <row r="28" spans="1:36" ht="47.25" x14ac:dyDescent="0.25">
      <c r="A28" s="35" t="s">
        <v>2</v>
      </c>
      <c r="B28" s="36"/>
      <c r="C28" s="37">
        <v>0</v>
      </c>
      <c r="D28" s="38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28" s="5">
        <f ca="1">IF(Ноябрь[[#This Row],[УСЛУГ]]&lt;&gt;"",Ноябрь[[#This Row],[УСЛУГ]]*Ноябрь[[#This Row],[Периодичность]],"")</f>
        <v>0</v>
      </c>
    </row>
    <row r="29" spans="1:36" x14ac:dyDescent="0.25">
      <c r="A29" s="35"/>
      <c r="B29" s="36"/>
      <c r="C29" s="37">
        <v>0</v>
      </c>
      <c r="D29" s="38">
        <v>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29" s="5" t="str">
        <f ca="1">IF(Ноябрь[[#This Row],[УСЛУГ]]&lt;&gt;"",Ноябрь[[#This Row],[УСЛУГ]]*Ноябрь[[#This Row],[Периодичность]],"")</f>
        <v/>
      </c>
    </row>
    <row r="30" spans="1:36" x14ac:dyDescent="0.25">
      <c r="A30" s="35"/>
      <c r="B30" s="36"/>
      <c r="C30" s="37">
        <v>0</v>
      </c>
      <c r="D30" s="38">
        <v>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0" s="5" t="str">
        <f ca="1">IF(Ноябрь[[#This Row],[УСЛУГ]]&lt;&gt;"",Ноябрь[[#This Row],[УСЛУГ]]*Ноябрь[[#This Row],[Периодичность]],"")</f>
        <v/>
      </c>
    </row>
    <row r="31" spans="1:36" ht="31.5" x14ac:dyDescent="0.25">
      <c r="A31" s="35" t="s">
        <v>3</v>
      </c>
      <c r="B31" s="36"/>
      <c r="C31" s="37">
        <v>0</v>
      </c>
      <c r="D31" s="38">
        <v>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31" s="5">
        <f ca="1">IF(Ноябрь[[#This Row],[УСЛУГ]]&lt;&gt;"",Ноябрь[[#This Row],[УСЛУГ]]*Ноябрь[[#This Row],[Периодичность]],"")</f>
        <v>0</v>
      </c>
    </row>
    <row r="32" spans="1:36" x14ac:dyDescent="0.25">
      <c r="A32" s="35"/>
      <c r="B32" s="36"/>
      <c r="C32" s="37">
        <v>0</v>
      </c>
      <c r="D32" s="38">
        <v>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2" s="5" t="str">
        <f ca="1">IF(Ноябрь[[#This Row],[УСЛУГ]]&lt;&gt;"",Ноябрь[[#This Row],[УСЛУГ]]*Ноябрь[[#This Row],[Периодичность]],"")</f>
        <v/>
      </c>
    </row>
    <row r="33" spans="1:36" x14ac:dyDescent="0.25">
      <c r="A33" s="35"/>
      <c r="B33" s="36"/>
      <c r="C33" s="37">
        <v>0</v>
      </c>
      <c r="D33" s="38">
        <v>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3" s="5" t="str">
        <f ca="1">IF(Ноябрь[[#This Row],[УСЛУГ]]&lt;&gt;"",Ноябрь[[#This Row],[УСЛУГ]]*Ноябрь[[#This Row],[Периодичность]],"")</f>
        <v/>
      </c>
    </row>
    <row r="34" spans="1:36" ht="47.25" x14ac:dyDescent="0.25">
      <c r="A34" s="35" t="s">
        <v>4</v>
      </c>
      <c r="B34" s="36"/>
      <c r="C34" s="37">
        <v>0</v>
      </c>
      <c r="D34" s="38">
        <v>1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34" s="5">
        <f ca="1">IF(Ноябрь[[#This Row],[УСЛУГ]]&lt;&gt;"",Ноябрь[[#This Row],[УСЛУГ]]*Ноябрь[[#This Row],[Периодичность]],"")</f>
        <v>0</v>
      </c>
    </row>
    <row r="35" spans="1:36" x14ac:dyDescent="0.25">
      <c r="A35" s="35"/>
      <c r="B35" s="36"/>
      <c r="C35" s="37">
        <v>0</v>
      </c>
      <c r="D35" s="38">
        <v>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5" s="5" t="str">
        <f ca="1">IF(Ноябрь[[#This Row],[УСЛУГ]]&lt;&gt;"",Ноябрь[[#This Row],[УСЛУГ]]*Ноябрь[[#This Row],[Периодичность]],"")</f>
        <v/>
      </c>
    </row>
    <row r="36" spans="1:36" x14ac:dyDescent="0.25">
      <c r="A36" s="35"/>
      <c r="B36" s="36"/>
      <c r="C36" s="37">
        <v>0</v>
      </c>
      <c r="D36" s="38">
        <v>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6" s="5" t="str">
        <f ca="1">IF(Ноябрь[[#This Row],[УСЛУГ]]&lt;&gt;"",Ноябрь[[#This Row],[УСЛУГ]]*Ноябрь[[#This Row],[Периодичность]],"")</f>
        <v/>
      </c>
    </row>
    <row r="37" spans="1:36" x14ac:dyDescent="0.25">
      <c r="A37" s="35" t="s">
        <v>5</v>
      </c>
      <c r="B37" s="36"/>
      <c r="C37" s="37">
        <v>0</v>
      </c>
      <c r="D37" s="38">
        <v>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37" s="5">
        <f ca="1">IF(Ноябрь[[#This Row],[УСЛУГ]]&lt;&gt;"",Ноябрь[[#This Row],[УСЛУГ]]*Ноябрь[[#This Row],[Периодичность]],"")</f>
        <v>0</v>
      </c>
    </row>
    <row r="38" spans="1:36" x14ac:dyDescent="0.25">
      <c r="A38" s="35"/>
      <c r="B38" s="36"/>
      <c r="C38" s="37">
        <v>0</v>
      </c>
      <c r="D38" s="38">
        <v>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8" s="5" t="str">
        <f ca="1">IF(Ноябрь[[#This Row],[УСЛУГ]]&lt;&gt;"",Ноябрь[[#This Row],[УСЛУГ]]*Ноябрь[[#This Row],[Периодичность]],"")</f>
        <v/>
      </c>
    </row>
    <row r="39" spans="1:36" x14ac:dyDescent="0.25">
      <c r="A39" s="35"/>
      <c r="B39" s="36"/>
      <c r="C39" s="37">
        <v>0</v>
      </c>
      <c r="D39" s="38">
        <v>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39" s="5" t="str">
        <f ca="1">IF(Ноябрь[[#This Row],[УСЛУГ]]&lt;&gt;"",Ноябрь[[#This Row],[УСЛУГ]]*Ноябрь[[#This Row],[Периодичность]],"")</f>
        <v/>
      </c>
    </row>
    <row r="40" spans="1:36" ht="31.5" x14ac:dyDescent="0.25">
      <c r="A40" s="35" t="s">
        <v>6</v>
      </c>
      <c r="B40" s="36"/>
      <c r="C40" s="37">
        <v>0</v>
      </c>
      <c r="D40" s="38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40" s="5">
        <f ca="1">IF(Ноябрь[[#This Row],[УСЛУГ]]&lt;&gt;"",Ноябрь[[#This Row],[УСЛУГ]]*Ноябрь[[#This Row],[Периодичность]],"")</f>
        <v>0</v>
      </c>
    </row>
    <row r="41" spans="1:36" x14ac:dyDescent="0.25">
      <c r="A41" s="35"/>
      <c r="B41" s="36"/>
      <c r="C41" s="37">
        <v>0</v>
      </c>
      <c r="D41" s="38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1" s="5" t="str">
        <f ca="1">IF(Ноябрь[[#This Row],[УСЛУГ]]&lt;&gt;"",Ноябрь[[#This Row],[УСЛУГ]]*Ноябрь[[#This Row],[Периодичность]],"")</f>
        <v/>
      </c>
    </row>
    <row r="42" spans="1:36" x14ac:dyDescent="0.25">
      <c r="A42" s="35"/>
      <c r="B42" s="36"/>
      <c r="C42" s="37">
        <v>0</v>
      </c>
      <c r="D42" s="38">
        <v>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2" s="5" t="str">
        <f ca="1">IF(Ноябрь[[#This Row],[УСЛУГ]]&lt;&gt;"",Ноябрь[[#This Row],[УСЛУГ]]*Ноябрь[[#This Row],[Периодичность]],"")</f>
        <v/>
      </c>
    </row>
    <row r="43" spans="1:36" ht="47.25" x14ac:dyDescent="0.25">
      <c r="A43" s="35" t="s">
        <v>79</v>
      </c>
      <c r="B43" s="36"/>
      <c r="C43" s="37">
        <v>0</v>
      </c>
      <c r="D43" s="38">
        <v>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43" s="5">
        <f ca="1">IF(Ноябрь[[#This Row],[УСЛУГ]]&lt;&gt;"",Ноябрь[[#This Row],[УСЛУГ]]*Ноябрь[[#This Row],[Периодичность]],"")</f>
        <v>0</v>
      </c>
    </row>
    <row r="44" spans="1:36" x14ac:dyDescent="0.25">
      <c r="A44" s="35"/>
      <c r="B44" s="36"/>
      <c r="C44" s="37">
        <v>0</v>
      </c>
      <c r="D44" s="38">
        <v>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4" s="5" t="str">
        <f ca="1">IF(Ноябрь[[#This Row],[УСЛУГ]]&lt;&gt;"",Ноябрь[[#This Row],[УСЛУГ]]*Ноябрь[[#This Row],[Периодичность]],"")</f>
        <v/>
      </c>
    </row>
    <row r="45" spans="1:36" x14ac:dyDescent="0.25">
      <c r="A45" s="35"/>
      <c r="B45" s="36"/>
      <c r="C45" s="37">
        <v>0</v>
      </c>
      <c r="D45" s="38">
        <v>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5" s="5" t="str">
        <f ca="1">IF(Ноябрь[[#This Row],[УСЛУГ]]&lt;&gt;"",Ноябрь[[#This Row],[УСЛУГ]]*Ноябрь[[#This Row],[Периодичность]],"")</f>
        <v/>
      </c>
    </row>
    <row r="46" spans="1:36" x14ac:dyDescent="0.25">
      <c r="A46" s="35" t="s">
        <v>8</v>
      </c>
      <c r="B46" s="36"/>
      <c r="C46" s="37">
        <v>0</v>
      </c>
      <c r="D46" s="38">
        <v>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46" s="5">
        <f ca="1">IF(Ноябрь[[#This Row],[УСЛУГ]]&lt;&gt;"",Ноябрь[[#This Row],[УСЛУГ]]*Ноябрь[[#This Row],[Периодичность]],"")</f>
        <v>0</v>
      </c>
    </row>
    <row r="47" spans="1:36" x14ac:dyDescent="0.25">
      <c r="A47" s="35"/>
      <c r="B47" s="36"/>
      <c r="C47" s="37">
        <v>0</v>
      </c>
      <c r="D47" s="38">
        <v>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7" s="5" t="str">
        <f ca="1">IF(Ноябрь[[#This Row],[УСЛУГ]]&lt;&gt;"",Ноябрь[[#This Row],[УСЛУГ]]*Ноябрь[[#This Row],[Периодичность]],"")</f>
        <v/>
      </c>
    </row>
    <row r="48" spans="1:36" x14ac:dyDescent="0.25">
      <c r="A48" s="35"/>
      <c r="B48" s="36"/>
      <c r="C48" s="37">
        <v>0</v>
      </c>
      <c r="D48" s="38">
        <v>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48" s="5" t="str">
        <f ca="1">IF(Ноябрь[[#This Row],[УСЛУГ]]&lt;&gt;"",Ноябрь[[#This Row],[УСЛУГ]]*Ноябрь[[#This Row],[Периодичность]],"")</f>
        <v/>
      </c>
    </row>
    <row r="49" spans="1:36" ht="31.5" x14ac:dyDescent="0.25">
      <c r="A49" s="35" t="s">
        <v>9</v>
      </c>
      <c r="B49" s="36"/>
      <c r="C49" s="37">
        <v>0</v>
      </c>
      <c r="D49" s="38">
        <v>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49" s="5">
        <f ca="1">IF(Ноябрь[[#This Row],[УСЛУГ]]&lt;&gt;"",Ноябрь[[#This Row],[УСЛУГ]]*Ноябрь[[#This Row],[Периодичность]],"")</f>
        <v>0</v>
      </c>
    </row>
    <row r="50" spans="1:36" x14ac:dyDescent="0.25">
      <c r="A50" s="35"/>
      <c r="B50" s="36"/>
      <c r="C50" s="37">
        <v>0</v>
      </c>
      <c r="D50" s="38">
        <v>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0" s="5" t="str">
        <f ca="1">IF(Ноябрь[[#This Row],[УСЛУГ]]&lt;&gt;"",Ноябрь[[#This Row],[УСЛУГ]]*Ноябрь[[#This Row],[Периодичность]],"")</f>
        <v/>
      </c>
    </row>
    <row r="51" spans="1:36" x14ac:dyDescent="0.25">
      <c r="A51" s="35"/>
      <c r="B51" s="36"/>
      <c r="C51" s="37">
        <v>0</v>
      </c>
      <c r="D51" s="38">
        <v>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1" s="5" t="str">
        <f ca="1">IF(Ноябрь[[#This Row],[УСЛУГ]]&lt;&gt;"",Ноябрь[[#This Row],[УСЛУГ]]*Ноябрь[[#This Row],[Периодичность]],"")</f>
        <v/>
      </c>
    </row>
    <row r="52" spans="1:36" ht="47.25" x14ac:dyDescent="0.25">
      <c r="A52" s="35" t="s">
        <v>140</v>
      </c>
      <c r="B52" s="36"/>
      <c r="C52" s="37">
        <v>0</v>
      </c>
      <c r="D52" s="38">
        <v>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52" s="5">
        <f ca="1">IF(Ноябрь[[#This Row],[УСЛУГ]]&lt;&gt;"",Ноябрь[[#This Row],[УСЛУГ]]*Ноябрь[[#This Row],[Периодичность]],"")</f>
        <v>0</v>
      </c>
    </row>
    <row r="53" spans="1:36" x14ac:dyDescent="0.25">
      <c r="A53" s="35"/>
      <c r="B53" s="36"/>
      <c r="C53" s="37">
        <v>0</v>
      </c>
      <c r="D53" s="38">
        <v>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3" s="5" t="str">
        <f ca="1">IF(Ноябрь[[#This Row],[УСЛУГ]]&lt;&gt;"",Ноябрь[[#This Row],[УСЛУГ]]*Ноябрь[[#This Row],[Периодичность]],"")</f>
        <v/>
      </c>
    </row>
    <row r="54" spans="1:36" x14ac:dyDescent="0.25">
      <c r="A54" s="35"/>
      <c r="B54" s="36"/>
      <c r="C54" s="37">
        <v>0</v>
      </c>
      <c r="D54" s="38">
        <v>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4" s="5" t="str">
        <f ca="1">IF(Ноябрь[[#This Row],[УСЛУГ]]&lt;&gt;"",Ноябрь[[#This Row],[УСЛУГ]]*Ноябрь[[#This Row],[Периодичность]],"")</f>
        <v/>
      </c>
    </row>
    <row r="55" spans="1:36" ht="47.25" x14ac:dyDescent="0.25">
      <c r="A55" s="35" t="s">
        <v>78</v>
      </c>
      <c r="B55" s="36"/>
      <c r="C55" s="37">
        <v>0</v>
      </c>
      <c r="D55" s="38">
        <v>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55" s="5">
        <f ca="1">IF(Ноябрь[[#This Row],[УСЛУГ]]&lt;&gt;"",Ноябрь[[#This Row],[УСЛУГ]]*Ноябрь[[#This Row],[Периодичность]],"")</f>
        <v>0</v>
      </c>
    </row>
    <row r="56" spans="1:36" x14ac:dyDescent="0.25">
      <c r="A56" s="35"/>
      <c r="B56" s="36"/>
      <c r="C56" s="37">
        <v>0</v>
      </c>
      <c r="D56" s="38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6" s="5" t="str">
        <f ca="1">IF(Ноябрь[[#This Row],[УСЛУГ]]&lt;&gt;"",Ноябрь[[#This Row],[УСЛУГ]]*Ноябрь[[#This Row],[Периодичность]],"")</f>
        <v/>
      </c>
    </row>
    <row r="57" spans="1:36" x14ac:dyDescent="0.25">
      <c r="A57" s="35"/>
      <c r="B57" s="36"/>
      <c r="C57" s="37">
        <v>0</v>
      </c>
      <c r="D57" s="38">
        <v>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7" s="5" t="str">
        <f ca="1">IF(Ноябрь[[#This Row],[УСЛУГ]]&lt;&gt;"",Ноябрь[[#This Row],[УСЛУГ]]*Ноябрь[[#This Row],[Периодичность]],"")</f>
        <v/>
      </c>
    </row>
    <row r="58" spans="1:36" ht="47.25" x14ac:dyDescent="0.25">
      <c r="A58" s="35" t="s">
        <v>141</v>
      </c>
      <c r="B58" s="36"/>
      <c r="C58" s="37">
        <v>0</v>
      </c>
      <c r="D58" s="38">
        <v>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58" s="5">
        <f ca="1">IF(Ноябрь[[#This Row],[УСЛУГ]]&lt;&gt;"",Ноябрь[[#This Row],[УСЛУГ]]*Ноябрь[[#This Row],[Периодичность]],"")</f>
        <v>0</v>
      </c>
    </row>
    <row r="59" spans="1:36" x14ac:dyDescent="0.25">
      <c r="A59" s="35"/>
      <c r="B59" s="36"/>
      <c r="C59" s="37">
        <v>0</v>
      </c>
      <c r="D59" s="38">
        <v>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59" s="5" t="str">
        <f ca="1">IF(Ноябрь[[#This Row],[УСЛУГ]]&lt;&gt;"",Ноябрь[[#This Row],[УСЛУГ]]*Ноябрь[[#This Row],[Периодичность]],"")</f>
        <v/>
      </c>
    </row>
    <row r="60" spans="1:36" x14ac:dyDescent="0.25">
      <c r="A60" s="35"/>
      <c r="B60" s="36"/>
      <c r="C60" s="37">
        <v>0</v>
      </c>
      <c r="D60" s="38">
        <v>3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0" s="5" t="str">
        <f ca="1">IF(Ноябрь[[#This Row],[УСЛУГ]]&lt;&gt;"",Ноябрь[[#This Row],[УСЛУГ]]*Ноябрь[[#This Row],[Периодичность]],"")</f>
        <v/>
      </c>
    </row>
    <row r="61" spans="1:36" ht="31.5" x14ac:dyDescent="0.25">
      <c r="A61" s="35" t="s">
        <v>13</v>
      </c>
      <c r="B61" s="36"/>
      <c r="C61" s="37">
        <v>0</v>
      </c>
      <c r="D61" s="38">
        <v>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61" s="5">
        <f ca="1">IF(Ноябрь[[#This Row],[УСЛУГ]]&lt;&gt;"",Ноябрь[[#This Row],[УСЛУГ]]*Ноябрь[[#This Row],[Периодичность]],"")</f>
        <v>0</v>
      </c>
    </row>
    <row r="62" spans="1:36" x14ac:dyDescent="0.25">
      <c r="A62" s="35"/>
      <c r="B62" s="36"/>
      <c r="C62" s="37">
        <v>0</v>
      </c>
      <c r="D62" s="38">
        <v>2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2" s="5" t="str">
        <f ca="1">IF(Ноябрь[[#This Row],[УСЛУГ]]&lt;&gt;"",Ноябрь[[#This Row],[УСЛУГ]]*Ноябрь[[#This Row],[Периодичность]],"")</f>
        <v/>
      </c>
    </row>
    <row r="63" spans="1:36" x14ac:dyDescent="0.25">
      <c r="A63" s="35"/>
      <c r="B63" s="36"/>
      <c r="C63" s="37">
        <v>0</v>
      </c>
      <c r="D63" s="38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3" s="5" t="str">
        <f ca="1">IF(Ноябрь[[#This Row],[УСЛУГ]]&lt;&gt;"",Ноябрь[[#This Row],[УСЛУГ]]*Ноябрь[[#This Row],[Периодичность]],"")</f>
        <v/>
      </c>
    </row>
    <row r="64" spans="1:36" ht="31.5" x14ac:dyDescent="0.25">
      <c r="A64" s="35" t="s">
        <v>14</v>
      </c>
      <c r="B64" s="36"/>
      <c r="C64" s="37">
        <v>0</v>
      </c>
      <c r="D64" s="38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64" s="5">
        <f ca="1">IF(Ноябрь[[#This Row],[УСЛУГ]]&lt;&gt;"",Ноябрь[[#This Row],[УСЛУГ]]*Ноябрь[[#This Row],[Периодичность]],"")</f>
        <v>0</v>
      </c>
    </row>
    <row r="65" spans="1:36" x14ac:dyDescent="0.25">
      <c r="A65" s="35"/>
      <c r="B65" s="36"/>
      <c r="C65" s="37">
        <v>0</v>
      </c>
      <c r="D65" s="38">
        <v>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5" s="5" t="str">
        <f ca="1">IF(Ноябрь[[#This Row],[УСЛУГ]]&lt;&gt;"",Ноябрь[[#This Row],[УСЛУГ]]*Ноябрь[[#This Row],[Периодичность]],"")</f>
        <v/>
      </c>
    </row>
    <row r="66" spans="1:36" x14ac:dyDescent="0.25">
      <c r="A66" s="35"/>
      <c r="B66" s="36"/>
      <c r="C66" s="37">
        <v>0</v>
      </c>
      <c r="D66" s="38">
        <v>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6" s="5" t="str">
        <f ca="1">IF(Ноябрь[[#This Row],[УСЛУГ]]&lt;&gt;"",Ноябрь[[#This Row],[УСЛУГ]]*Ноябрь[[#This Row],[Периодичность]],"")</f>
        <v/>
      </c>
    </row>
    <row r="67" spans="1:36" ht="31.5" x14ac:dyDescent="0.25">
      <c r="A67" s="35" t="s">
        <v>15</v>
      </c>
      <c r="B67" s="36"/>
      <c r="C67" s="37">
        <v>0</v>
      </c>
      <c r="D67" s="38">
        <v>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67" s="5">
        <f ca="1">IF(Ноябрь[[#This Row],[УСЛУГ]]&lt;&gt;"",Ноябрь[[#This Row],[УСЛУГ]]*Ноябрь[[#This Row],[Периодичность]],"")</f>
        <v>0</v>
      </c>
    </row>
    <row r="68" spans="1:36" x14ac:dyDescent="0.25">
      <c r="A68" s="35"/>
      <c r="B68" s="36"/>
      <c r="C68" s="37">
        <v>0</v>
      </c>
      <c r="D68" s="38">
        <v>2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8" s="5" t="str">
        <f ca="1">IF(Ноябрь[[#This Row],[УСЛУГ]]&lt;&gt;"",Ноябрь[[#This Row],[УСЛУГ]]*Ноябрь[[#This Row],[Периодичность]],"")</f>
        <v/>
      </c>
    </row>
    <row r="69" spans="1:36" x14ac:dyDescent="0.25">
      <c r="A69" s="35"/>
      <c r="B69" s="36"/>
      <c r="C69" s="37">
        <v>0</v>
      </c>
      <c r="D69" s="38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69" s="5" t="str">
        <f ca="1">IF(Ноябрь[[#This Row],[УСЛУГ]]&lt;&gt;"",Ноябрь[[#This Row],[УСЛУГ]]*Ноябрь[[#This Row],[Периодичность]],"")</f>
        <v/>
      </c>
    </row>
    <row r="70" spans="1:36" x14ac:dyDescent="0.25">
      <c r="A70" s="35" t="s">
        <v>16</v>
      </c>
      <c r="B70" s="36"/>
      <c r="C70" s="37">
        <v>0</v>
      </c>
      <c r="D70" s="38">
        <v>1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70" s="5">
        <f ca="1">IF(Ноябрь[[#This Row],[УСЛУГ]]&lt;&gt;"",Ноябрь[[#This Row],[УСЛУГ]]*Ноябрь[[#This Row],[Периодичность]],"")</f>
        <v>0</v>
      </c>
    </row>
    <row r="71" spans="1:36" x14ac:dyDescent="0.25">
      <c r="A71" s="35"/>
      <c r="B71" s="36"/>
      <c r="C71" s="37">
        <v>0</v>
      </c>
      <c r="D71" s="38">
        <v>2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1" s="5" t="str">
        <f ca="1">IF(Ноябрь[[#This Row],[УСЛУГ]]&lt;&gt;"",Ноябрь[[#This Row],[УСЛУГ]]*Ноябрь[[#This Row],[Периодичность]],"")</f>
        <v/>
      </c>
    </row>
    <row r="72" spans="1:36" x14ac:dyDescent="0.25">
      <c r="A72" s="35"/>
      <c r="B72" s="36"/>
      <c r="C72" s="37">
        <v>0</v>
      </c>
      <c r="D72" s="38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2" s="5" t="str">
        <f ca="1">IF(Ноябрь[[#This Row],[УСЛУГ]]&lt;&gt;"",Ноябрь[[#This Row],[УСЛУГ]]*Ноябрь[[#This Row],[Периодичность]],"")</f>
        <v/>
      </c>
    </row>
    <row r="73" spans="1:36" ht="47.25" x14ac:dyDescent="0.25">
      <c r="A73" s="35" t="s">
        <v>142</v>
      </c>
      <c r="B73" s="36"/>
      <c r="C73" s="37">
        <v>0</v>
      </c>
      <c r="D73" s="38">
        <v>1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73" s="5">
        <f ca="1">IF(Ноябрь[[#This Row],[УСЛУГ]]&lt;&gt;"",Ноябрь[[#This Row],[УСЛУГ]]*Ноябрь[[#This Row],[Периодичность]],"")</f>
        <v>0</v>
      </c>
    </row>
    <row r="74" spans="1:36" x14ac:dyDescent="0.25">
      <c r="A74" s="35"/>
      <c r="B74" s="36"/>
      <c r="C74" s="37">
        <v>0</v>
      </c>
      <c r="D74" s="38">
        <v>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4" s="5" t="str">
        <f ca="1">IF(Ноябрь[[#This Row],[УСЛУГ]]&lt;&gt;"",Ноябрь[[#This Row],[УСЛУГ]]*Ноябрь[[#This Row],[Периодичность]],"")</f>
        <v/>
      </c>
    </row>
    <row r="75" spans="1:36" x14ac:dyDescent="0.25">
      <c r="A75" s="35"/>
      <c r="B75" s="36"/>
      <c r="C75" s="37">
        <v>0</v>
      </c>
      <c r="D75" s="38">
        <v>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5" s="5" t="str">
        <f ca="1">IF(Ноябрь[[#This Row],[УСЛУГ]]&lt;&gt;"",Ноябрь[[#This Row],[УСЛУГ]]*Ноябрь[[#This Row],[Периодичность]],"")</f>
        <v/>
      </c>
    </row>
    <row r="76" spans="1:36" ht="47.25" x14ac:dyDescent="0.25">
      <c r="A76" s="35" t="s">
        <v>143</v>
      </c>
      <c r="B76" s="36"/>
      <c r="C76" s="37">
        <v>0</v>
      </c>
      <c r="D76" s="38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76" s="5">
        <f ca="1">IF(Ноябрь[[#This Row],[УСЛУГ]]&lt;&gt;"",Ноябрь[[#This Row],[УСЛУГ]]*Ноябрь[[#This Row],[Периодичность]],"")</f>
        <v>0</v>
      </c>
    </row>
    <row r="77" spans="1:36" x14ac:dyDescent="0.25">
      <c r="A77" s="35"/>
      <c r="B77" s="36"/>
      <c r="C77" s="37">
        <v>0</v>
      </c>
      <c r="D77" s="38">
        <v>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7" s="5" t="str">
        <f ca="1">IF(Ноябрь[[#This Row],[УСЛУГ]]&lt;&gt;"",Ноябрь[[#This Row],[УСЛУГ]]*Ноябрь[[#This Row],[Периодичность]],"")</f>
        <v/>
      </c>
    </row>
    <row r="78" spans="1:36" x14ac:dyDescent="0.25">
      <c r="A78" s="35"/>
      <c r="B78" s="36"/>
      <c r="C78" s="37">
        <v>0</v>
      </c>
      <c r="D78" s="38">
        <v>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78" s="5" t="str">
        <f ca="1">IF(Ноябрь[[#This Row],[УСЛУГ]]&lt;&gt;"",Ноябрь[[#This Row],[УСЛУГ]]*Ноябрь[[#This Row],[Периодичность]],"")</f>
        <v/>
      </c>
    </row>
    <row r="79" spans="1:36" x14ac:dyDescent="0.25">
      <c r="A79" s="35" t="s">
        <v>19</v>
      </c>
      <c r="B79" s="36"/>
      <c r="C79" s="37">
        <v>0</v>
      </c>
      <c r="D79" s="38">
        <v>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79" s="5">
        <f ca="1">IF(Ноябрь[[#This Row],[УСЛУГ]]&lt;&gt;"",Ноябрь[[#This Row],[УСЛУГ]]*Ноябрь[[#This Row],[Периодичность]],"")</f>
        <v>0</v>
      </c>
    </row>
    <row r="80" spans="1:36" x14ac:dyDescent="0.25">
      <c r="A80" s="35"/>
      <c r="B80" s="36"/>
      <c r="C80" s="37">
        <v>0</v>
      </c>
      <c r="D80" s="38">
        <v>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0" s="5" t="str">
        <f ca="1">IF(Ноябрь[[#This Row],[УСЛУГ]]&lt;&gt;"",Ноябрь[[#This Row],[УСЛУГ]]*Ноябрь[[#This Row],[Периодичность]],"")</f>
        <v/>
      </c>
    </row>
    <row r="81" spans="1:36" x14ac:dyDescent="0.25">
      <c r="A81" s="35"/>
      <c r="B81" s="36"/>
      <c r="C81" s="37">
        <v>0</v>
      </c>
      <c r="D81" s="38">
        <v>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1" s="5" t="str">
        <f ca="1">IF(Ноябрь[[#This Row],[УСЛУГ]]&lt;&gt;"",Ноябрь[[#This Row],[УСЛУГ]]*Ноябрь[[#This Row],[Периодичность]],"")</f>
        <v/>
      </c>
    </row>
    <row r="82" spans="1:36" ht="31.5" x14ac:dyDescent="0.25">
      <c r="A82" s="35" t="s">
        <v>20</v>
      </c>
      <c r="B82" s="36"/>
      <c r="C82" s="37">
        <v>0</v>
      </c>
      <c r="D82" s="38">
        <v>1</v>
      </c>
      <c r="E82" s="41"/>
      <c r="F82" s="43"/>
      <c r="G82" s="41"/>
      <c r="H82" s="41"/>
      <c r="I82" s="41"/>
      <c r="J82" s="41"/>
      <c r="K82" s="41"/>
      <c r="L82" s="41"/>
      <c r="M82" s="43"/>
      <c r="N82" s="41"/>
      <c r="O82" s="41"/>
      <c r="P82" s="41"/>
      <c r="Q82" s="41"/>
      <c r="R82" s="41"/>
      <c r="S82" s="41"/>
      <c r="T82" s="43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3"/>
      <c r="AI82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82" s="42">
        <f ca="1">IF(Ноябрь[[#This Row],[УСЛУГ]]&lt;&gt;"",Ноябрь[[#This Row],[УСЛУГ]]*Ноябрь[[#This Row],[Периодичность]],"")</f>
        <v>0</v>
      </c>
    </row>
    <row r="83" spans="1:36" x14ac:dyDescent="0.25">
      <c r="A83" s="35"/>
      <c r="B83" s="36"/>
      <c r="C83" s="37">
        <v>0</v>
      </c>
      <c r="D83" s="38">
        <v>2</v>
      </c>
      <c r="E83" s="41"/>
      <c r="F83" s="43"/>
      <c r="G83" s="41"/>
      <c r="H83" s="41"/>
      <c r="I83" s="41"/>
      <c r="J83" s="41"/>
      <c r="K83" s="41"/>
      <c r="L83" s="41"/>
      <c r="M83" s="43"/>
      <c r="N83" s="41"/>
      <c r="O83" s="41"/>
      <c r="P83" s="41"/>
      <c r="Q83" s="41"/>
      <c r="R83" s="41"/>
      <c r="S83" s="41"/>
      <c r="T83" s="43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3"/>
      <c r="AI8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3" s="42" t="str">
        <f ca="1">IF(Ноябрь[[#This Row],[УСЛУГ]]&lt;&gt;"",Ноябрь[[#This Row],[УСЛУГ]]*Ноябрь[[#This Row],[Периодичность]],"")</f>
        <v/>
      </c>
    </row>
    <row r="84" spans="1:36" x14ac:dyDescent="0.25">
      <c r="A84" s="35"/>
      <c r="B84" s="36"/>
      <c r="C84" s="37">
        <v>0</v>
      </c>
      <c r="D84" s="38">
        <v>3</v>
      </c>
      <c r="E84" s="41"/>
      <c r="F84" s="43"/>
      <c r="G84" s="41"/>
      <c r="H84" s="41"/>
      <c r="I84" s="41"/>
      <c r="J84" s="41"/>
      <c r="K84" s="41"/>
      <c r="L84" s="41"/>
      <c r="M84" s="43"/>
      <c r="N84" s="41"/>
      <c r="O84" s="41"/>
      <c r="P84" s="41"/>
      <c r="Q84" s="41"/>
      <c r="R84" s="41"/>
      <c r="S84" s="41"/>
      <c r="T84" s="43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3"/>
      <c r="AI8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4" s="42" t="str">
        <f ca="1">IF(Ноябрь[[#This Row],[УСЛУГ]]&lt;&gt;"",Ноябрь[[#This Row],[УСЛУГ]]*Ноябрь[[#This Row],[Периодичность]],"")</f>
        <v/>
      </c>
    </row>
    <row r="85" spans="1:36" ht="47.25" x14ac:dyDescent="0.25">
      <c r="A85" s="35" t="s">
        <v>144</v>
      </c>
      <c r="B85" s="36"/>
      <c r="C85" s="37">
        <v>0</v>
      </c>
      <c r="D85" s="38">
        <v>1</v>
      </c>
      <c r="E85" s="41"/>
      <c r="F85" s="43"/>
      <c r="G85" s="41"/>
      <c r="H85" s="41"/>
      <c r="I85" s="41"/>
      <c r="J85" s="41"/>
      <c r="K85" s="41"/>
      <c r="L85" s="41"/>
      <c r="M85" s="43"/>
      <c r="N85" s="41"/>
      <c r="O85" s="41"/>
      <c r="P85" s="41"/>
      <c r="Q85" s="41"/>
      <c r="R85" s="41"/>
      <c r="S85" s="41"/>
      <c r="T85" s="43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3"/>
      <c r="AI85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85" s="42">
        <f ca="1">IF(Ноябрь[[#This Row],[УСЛУГ]]&lt;&gt;"",Ноябрь[[#This Row],[УСЛУГ]]*Ноябрь[[#This Row],[Периодичность]],"")</f>
        <v>0</v>
      </c>
    </row>
    <row r="86" spans="1:36" x14ac:dyDescent="0.25">
      <c r="A86" s="35"/>
      <c r="B86" s="36"/>
      <c r="C86" s="37">
        <v>0</v>
      </c>
      <c r="D86" s="38">
        <v>2</v>
      </c>
      <c r="E86" s="41"/>
      <c r="F86" s="43"/>
      <c r="G86" s="41"/>
      <c r="H86" s="41"/>
      <c r="I86" s="41"/>
      <c r="J86" s="41"/>
      <c r="K86" s="41"/>
      <c r="L86" s="41"/>
      <c r="M86" s="43"/>
      <c r="N86" s="41"/>
      <c r="O86" s="41"/>
      <c r="P86" s="41"/>
      <c r="Q86" s="41"/>
      <c r="R86" s="41"/>
      <c r="S86" s="41"/>
      <c r="T86" s="43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3"/>
      <c r="AI8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6" s="42" t="str">
        <f ca="1">IF(Ноябрь[[#This Row],[УСЛУГ]]&lt;&gt;"",Ноябрь[[#This Row],[УСЛУГ]]*Ноябрь[[#This Row],[Периодичность]],"")</f>
        <v/>
      </c>
    </row>
    <row r="87" spans="1:36" x14ac:dyDescent="0.25">
      <c r="A87" s="35"/>
      <c r="B87" s="36"/>
      <c r="C87" s="37">
        <v>0</v>
      </c>
      <c r="D87" s="38">
        <v>3</v>
      </c>
      <c r="E87" s="41"/>
      <c r="F87" s="43"/>
      <c r="G87" s="41"/>
      <c r="H87" s="41"/>
      <c r="I87" s="41"/>
      <c r="J87" s="41"/>
      <c r="K87" s="41"/>
      <c r="L87" s="41"/>
      <c r="M87" s="43"/>
      <c r="N87" s="41"/>
      <c r="O87" s="41"/>
      <c r="P87" s="41"/>
      <c r="Q87" s="41"/>
      <c r="R87" s="41"/>
      <c r="S87" s="41"/>
      <c r="T87" s="43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3"/>
      <c r="AI8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7" s="42" t="str">
        <f ca="1">IF(Ноябрь[[#This Row],[УСЛУГ]]&lt;&gt;"",Ноябрь[[#This Row],[УСЛУГ]]*Ноябрь[[#This Row],[Периодичность]],"")</f>
        <v/>
      </c>
    </row>
    <row r="88" spans="1:36" ht="47.25" x14ac:dyDescent="0.25">
      <c r="A88" s="35" t="s">
        <v>145</v>
      </c>
      <c r="B88" s="36"/>
      <c r="C88" s="37">
        <v>0</v>
      </c>
      <c r="D88" s="38">
        <v>1</v>
      </c>
      <c r="E88" s="41"/>
      <c r="F88" s="43"/>
      <c r="G88" s="41"/>
      <c r="H88" s="41"/>
      <c r="I88" s="41"/>
      <c r="J88" s="41"/>
      <c r="K88" s="41"/>
      <c r="L88" s="41"/>
      <c r="M88" s="43"/>
      <c r="N88" s="41"/>
      <c r="O88" s="41"/>
      <c r="P88" s="41"/>
      <c r="Q88" s="41"/>
      <c r="R88" s="41"/>
      <c r="S88" s="41"/>
      <c r="T88" s="43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3"/>
      <c r="AI88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88" s="42">
        <f ca="1">IF(Ноябрь[[#This Row],[УСЛУГ]]&lt;&gt;"",Ноябрь[[#This Row],[УСЛУГ]]*Ноябрь[[#This Row],[Периодичность]],"")</f>
        <v>0</v>
      </c>
    </row>
    <row r="89" spans="1:36" x14ac:dyDescent="0.25">
      <c r="A89" s="35"/>
      <c r="B89" s="36"/>
      <c r="C89" s="37">
        <v>0</v>
      </c>
      <c r="D89" s="38">
        <v>2</v>
      </c>
      <c r="E89" s="41"/>
      <c r="F89" s="43"/>
      <c r="G89" s="41"/>
      <c r="H89" s="41"/>
      <c r="I89" s="41"/>
      <c r="J89" s="41"/>
      <c r="K89" s="41"/>
      <c r="L89" s="41"/>
      <c r="M89" s="43"/>
      <c r="N89" s="41"/>
      <c r="O89" s="41"/>
      <c r="P89" s="41"/>
      <c r="Q89" s="41"/>
      <c r="R89" s="41"/>
      <c r="S89" s="41"/>
      <c r="T89" s="43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3"/>
      <c r="AI8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89" s="42" t="str">
        <f ca="1">IF(Ноябрь[[#This Row],[УСЛУГ]]&lt;&gt;"",Ноябрь[[#This Row],[УСЛУГ]]*Ноябрь[[#This Row],[Периодичность]],"")</f>
        <v/>
      </c>
    </row>
    <row r="90" spans="1:36" x14ac:dyDescent="0.25">
      <c r="A90" s="35"/>
      <c r="B90" s="36"/>
      <c r="C90" s="37">
        <v>0</v>
      </c>
      <c r="D90" s="38">
        <v>3</v>
      </c>
      <c r="E90" s="41"/>
      <c r="F90" s="43"/>
      <c r="G90" s="41"/>
      <c r="H90" s="41"/>
      <c r="I90" s="41"/>
      <c r="J90" s="41"/>
      <c r="K90" s="41"/>
      <c r="L90" s="41"/>
      <c r="M90" s="43"/>
      <c r="N90" s="41"/>
      <c r="O90" s="41"/>
      <c r="P90" s="41"/>
      <c r="Q90" s="41"/>
      <c r="R90" s="41"/>
      <c r="S90" s="41"/>
      <c r="T90" s="43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3"/>
      <c r="AI9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0" s="42" t="str">
        <f ca="1">IF(Ноябрь[[#This Row],[УСЛУГ]]&lt;&gt;"",Ноябрь[[#This Row],[УСЛУГ]]*Ноябрь[[#This Row],[Периодичность]],"")</f>
        <v/>
      </c>
    </row>
    <row r="91" spans="1:36" ht="31.5" x14ac:dyDescent="0.25">
      <c r="A91" s="35" t="s">
        <v>23</v>
      </c>
      <c r="B91" s="36"/>
      <c r="C91" s="37">
        <v>0</v>
      </c>
      <c r="D91" s="38">
        <v>1</v>
      </c>
      <c r="E91" s="41"/>
      <c r="F91" s="43"/>
      <c r="G91" s="41"/>
      <c r="H91" s="41"/>
      <c r="I91" s="41"/>
      <c r="J91" s="41"/>
      <c r="K91" s="41"/>
      <c r="L91" s="41"/>
      <c r="M91" s="43"/>
      <c r="N91" s="41"/>
      <c r="O91" s="41"/>
      <c r="P91" s="41"/>
      <c r="Q91" s="41"/>
      <c r="R91" s="41"/>
      <c r="S91" s="41"/>
      <c r="T91" s="43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3"/>
      <c r="AI91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91" s="42">
        <f ca="1">IF(Ноябрь[[#This Row],[УСЛУГ]]&lt;&gt;"",Ноябрь[[#This Row],[УСЛУГ]]*Ноябрь[[#This Row],[Периодичность]],"")</f>
        <v>0</v>
      </c>
    </row>
    <row r="92" spans="1:36" x14ac:dyDescent="0.25">
      <c r="A92" s="35"/>
      <c r="B92" s="36"/>
      <c r="C92" s="37">
        <v>0</v>
      </c>
      <c r="D92" s="38">
        <v>2</v>
      </c>
      <c r="E92" s="41"/>
      <c r="F92" s="43"/>
      <c r="G92" s="41"/>
      <c r="H92" s="41"/>
      <c r="I92" s="41"/>
      <c r="J92" s="41"/>
      <c r="K92" s="41"/>
      <c r="L92" s="41"/>
      <c r="M92" s="43"/>
      <c r="N92" s="41"/>
      <c r="O92" s="41"/>
      <c r="P92" s="41"/>
      <c r="Q92" s="41"/>
      <c r="R92" s="41"/>
      <c r="S92" s="41"/>
      <c r="T92" s="43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3"/>
      <c r="AI9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2" s="42" t="str">
        <f ca="1">IF(Ноябрь[[#This Row],[УСЛУГ]]&lt;&gt;"",Ноябрь[[#This Row],[УСЛУГ]]*Ноябрь[[#This Row],[Периодичность]],"")</f>
        <v/>
      </c>
    </row>
    <row r="93" spans="1:36" x14ac:dyDescent="0.25">
      <c r="A93" s="35"/>
      <c r="B93" s="36"/>
      <c r="C93" s="37">
        <v>0</v>
      </c>
      <c r="D93" s="38">
        <v>3</v>
      </c>
      <c r="E93" s="41"/>
      <c r="F93" s="43"/>
      <c r="G93" s="41"/>
      <c r="H93" s="41"/>
      <c r="I93" s="41"/>
      <c r="J93" s="41"/>
      <c r="K93" s="41"/>
      <c r="L93" s="41"/>
      <c r="M93" s="43"/>
      <c r="N93" s="41"/>
      <c r="O93" s="41"/>
      <c r="P93" s="41"/>
      <c r="Q93" s="41"/>
      <c r="R93" s="41"/>
      <c r="S93" s="41"/>
      <c r="T93" s="43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3"/>
      <c r="AI9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3" s="42" t="str">
        <f ca="1">IF(Ноябрь[[#This Row],[УСЛУГ]]&lt;&gt;"",Ноябрь[[#This Row],[УСЛУГ]]*Ноябрь[[#This Row],[Периодичность]],"")</f>
        <v/>
      </c>
    </row>
    <row r="94" spans="1:36" ht="31.5" x14ac:dyDescent="0.25">
      <c r="A94" s="35" t="s">
        <v>24</v>
      </c>
      <c r="B94" s="36"/>
      <c r="C94" s="37">
        <v>0</v>
      </c>
      <c r="D94" s="38">
        <v>1</v>
      </c>
      <c r="E94" s="41"/>
      <c r="F94" s="43"/>
      <c r="G94" s="41"/>
      <c r="H94" s="41"/>
      <c r="I94" s="41"/>
      <c r="J94" s="41"/>
      <c r="K94" s="41"/>
      <c r="L94" s="41"/>
      <c r="M94" s="43"/>
      <c r="N94" s="41"/>
      <c r="O94" s="41"/>
      <c r="P94" s="41"/>
      <c r="Q94" s="41"/>
      <c r="R94" s="41"/>
      <c r="S94" s="41"/>
      <c r="T94" s="43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3"/>
      <c r="AI94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94" s="42">
        <f ca="1">IF(Ноябрь[[#This Row],[УСЛУГ]]&lt;&gt;"",Ноябрь[[#This Row],[УСЛУГ]]*Ноябрь[[#This Row],[Периодичность]],"")</f>
        <v>0</v>
      </c>
    </row>
    <row r="95" spans="1:36" x14ac:dyDescent="0.25">
      <c r="A95" s="35"/>
      <c r="B95" s="36"/>
      <c r="C95" s="37">
        <v>0</v>
      </c>
      <c r="D95" s="38">
        <v>2</v>
      </c>
      <c r="E95" s="41"/>
      <c r="F95" s="43"/>
      <c r="G95" s="41"/>
      <c r="H95" s="41"/>
      <c r="I95" s="41"/>
      <c r="J95" s="41"/>
      <c r="K95" s="41"/>
      <c r="L95" s="41"/>
      <c r="M95" s="43"/>
      <c r="N95" s="41"/>
      <c r="O95" s="41"/>
      <c r="P95" s="41"/>
      <c r="Q95" s="41"/>
      <c r="R95" s="41"/>
      <c r="S95" s="41"/>
      <c r="T95" s="43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3"/>
      <c r="AI9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5" s="42" t="str">
        <f ca="1">IF(Ноябрь[[#This Row],[УСЛУГ]]&lt;&gt;"",Ноябрь[[#This Row],[УСЛУГ]]*Ноябрь[[#This Row],[Периодичность]],"")</f>
        <v/>
      </c>
    </row>
    <row r="96" spans="1:36" x14ac:dyDescent="0.25">
      <c r="A96" s="35"/>
      <c r="B96" s="36"/>
      <c r="C96" s="37">
        <v>0</v>
      </c>
      <c r="D96" s="38">
        <v>3</v>
      </c>
      <c r="E96" s="41"/>
      <c r="F96" s="43"/>
      <c r="G96" s="41"/>
      <c r="H96" s="41"/>
      <c r="I96" s="41"/>
      <c r="J96" s="41"/>
      <c r="K96" s="41"/>
      <c r="L96" s="41"/>
      <c r="M96" s="43"/>
      <c r="N96" s="41"/>
      <c r="O96" s="41"/>
      <c r="P96" s="41"/>
      <c r="Q96" s="41"/>
      <c r="R96" s="41"/>
      <c r="S96" s="41"/>
      <c r="T96" s="43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3"/>
      <c r="AI9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6" s="42" t="str">
        <f ca="1">IF(Ноябрь[[#This Row],[УСЛУГ]]&lt;&gt;"",Ноябрь[[#This Row],[УСЛУГ]]*Ноябрь[[#This Row],[Периодичность]],"")</f>
        <v/>
      </c>
    </row>
    <row r="97" spans="1:36" ht="31.5" x14ac:dyDescent="0.25">
      <c r="A97" s="35" t="s">
        <v>25</v>
      </c>
      <c r="B97" s="36"/>
      <c r="C97" s="37">
        <v>0</v>
      </c>
      <c r="D97" s="38">
        <v>1</v>
      </c>
      <c r="E97" s="41"/>
      <c r="F97" s="43"/>
      <c r="G97" s="41"/>
      <c r="H97" s="41"/>
      <c r="I97" s="41"/>
      <c r="J97" s="41"/>
      <c r="K97" s="41"/>
      <c r="L97" s="41"/>
      <c r="M97" s="43"/>
      <c r="N97" s="41"/>
      <c r="O97" s="41"/>
      <c r="P97" s="41"/>
      <c r="Q97" s="41"/>
      <c r="R97" s="41"/>
      <c r="S97" s="41"/>
      <c r="T97" s="43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3"/>
      <c r="AI97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97" s="42">
        <f ca="1">IF(Ноябрь[[#This Row],[УСЛУГ]]&lt;&gt;"",Ноябрь[[#This Row],[УСЛУГ]]*Ноябрь[[#This Row],[Периодичность]],"")</f>
        <v>0</v>
      </c>
    </row>
    <row r="98" spans="1:36" x14ac:dyDescent="0.25">
      <c r="A98" s="35"/>
      <c r="B98" s="36"/>
      <c r="C98" s="37">
        <v>0</v>
      </c>
      <c r="D98" s="38">
        <v>2</v>
      </c>
      <c r="E98" s="41"/>
      <c r="F98" s="43"/>
      <c r="G98" s="41"/>
      <c r="H98" s="41"/>
      <c r="I98" s="41"/>
      <c r="J98" s="41"/>
      <c r="K98" s="41"/>
      <c r="L98" s="41"/>
      <c r="M98" s="43"/>
      <c r="N98" s="41"/>
      <c r="O98" s="41"/>
      <c r="P98" s="41"/>
      <c r="Q98" s="41"/>
      <c r="R98" s="41"/>
      <c r="S98" s="41"/>
      <c r="T98" s="43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3"/>
      <c r="AI9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8" s="42" t="str">
        <f ca="1">IF(Ноябрь[[#This Row],[УСЛУГ]]&lt;&gt;"",Ноябрь[[#This Row],[УСЛУГ]]*Ноябрь[[#This Row],[Периодичность]],"")</f>
        <v/>
      </c>
    </row>
    <row r="99" spans="1:36" x14ac:dyDescent="0.25">
      <c r="A99" s="35"/>
      <c r="B99" s="36"/>
      <c r="C99" s="37">
        <v>0</v>
      </c>
      <c r="D99" s="38">
        <v>3</v>
      </c>
      <c r="E99" s="41"/>
      <c r="F99" s="43"/>
      <c r="G99" s="41"/>
      <c r="H99" s="41"/>
      <c r="I99" s="41"/>
      <c r="J99" s="41"/>
      <c r="K99" s="41"/>
      <c r="L99" s="41"/>
      <c r="M99" s="43"/>
      <c r="N99" s="41"/>
      <c r="O99" s="41"/>
      <c r="P99" s="41"/>
      <c r="Q99" s="41"/>
      <c r="R99" s="41"/>
      <c r="S99" s="41"/>
      <c r="T99" s="43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3"/>
      <c r="AI9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99" s="42" t="str">
        <f ca="1">IF(Ноябрь[[#This Row],[УСЛУГ]]&lt;&gt;"",Ноябрь[[#This Row],[УСЛУГ]]*Ноябрь[[#This Row],[Периодичность]],"")</f>
        <v/>
      </c>
    </row>
    <row r="100" spans="1:36" ht="47.25" x14ac:dyDescent="0.25">
      <c r="A100" s="35" t="s">
        <v>26</v>
      </c>
      <c r="B100" s="36"/>
      <c r="C100" s="37">
        <v>0</v>
      </c>
      <c r="D100" s="38">
        <v>1</v>
      </c>
      <c r="E100" s="41"/>
      <c r="F100" s="43"/>
      <c r="G100" s="41"/>
      <c r="H100" s="41"/>
      <c r="I100" s="41"/>
      <c r="J100" s="41"/>
      <c r="K100" s="41"/>
      <c r="L100" s="41"/>
      <c r="M100" s="43"/>
      <c r="N100" s="41"/>
      <c r="O100" s="41"/>
      <c r="P100" s="41"/>
      <c r="Q100" s="41"/>
      <c r="R100" s="41"/>
      <c r="S100" s="41"/>
      <c r="T100" s="43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3"/>
      <c r="AI100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00" s="42">
        <f ca="1">IF(Ноябрь[[#This Row],[УСЛУГ]]&lt;&gt;"",Ноябрь[[#This Row],[УСЛУГ]]*Ноябрь[[#This Row],[Периодичность]],"")</f>
        <v>0</v>
      </c>
    </row>
    <row r="101" spans="1:36" x14ac:dyDescent="0.25">
      <c r="A101" s="35"/>
      <c r="B101" s="36"/>
      <c r="C101" s="37">
        <v>0</v>
      </c>
      <c r="D101" s="38">
        <v>2</v>
      </c>
      <c r="E101" s="41"/>
      <c r="F101" s="43"/>
      <c r="G101" s="41"/>
      <c r="H101" s="41"/>
      <c r="I101" s="41"/>
      <c r="J101" s="41"/>
      <c r="K101" s="41"/>
      <c r="L101" s="41"/>
      <c r="M101" s="43"/>
      <c r="N101" s="41"/>
      <c r="O101" s="41"/>
      <c r="P101" s="41"/>
      <c r="Q101" s="41"/>
      <c r="R101" s="41"/>
      <c r="S101" s="41"/>
      <c r="T101" s="43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3"/>
      <c r="AI10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1" s="42" t="str">
        <f ca="1">IF(Ноябрь[[#This Row],[УСЛУГ]]&lt;&gt;"",Ноябрь[[#This Row],[УСЛУГ]]*Ноябрь[[#This Row],[Периодичность]],"")</f>
        <v/>
      </c>
    </row>
    <row r="102" spans="1:36" x14ac:dyDescent="0.25">
      <c r="A102" s="35"/>
      <c r="B102" s="36"/>
      <c r="C102" s="37">
        <v>0</v>
      </c>
      <c r="D102" s="38">
        <v>3</v>
      </c>
      <c r="E102" s="41"/>
      <c r="F102" s="43"/>
      <c r="G102" s="41"/>
      <c r="H102" s="41"/>
      <c r="I102" s="41"/>
      <c r="J102" s="41"/>
      <c r="K102" s="41"/>
      <c r="L102" s="41"/>
      <c r="M102" s="43"/>
      <c r="N102" s="41"/>
      <c r="O102" s="41"/>
      <c r="P102" s="41"/>
      <c r="Q102" s="41"/>
      <c r="R102" s="41"/>
      <c r="S102" s="41"/>
      <c r="T102" s="43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3"/>
      <c r="AI10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2" s="42" t="str">
        <f ca="1">IF(Ноябрь[[#This Row],[УСЛУГ]]&lt;&gt;"",Ноябрь[[#This Row],[УСЛУГ]]*Ноябрь[[#This Row],[Периодичность]],"")</f>
        <v/>
      </c>
    </row>
    <row r="103" spans="1:36" ht="31.5" x14ac:dyDescent="0.25">
      <c r="A103" s="35" t="s">
        <v>27</v>
      </c>
      <c r="B103" s="36"/>
      <c r="C103" s="37">
        <v>0</v>
      </c>
      <c r="D103" s="38">
        <v>1</v>
      </c>
      <c r="E103" s="41"/>
      <c r="F103" s="43"/>
      <c r="G103" s="41"/>
      <c r="H103" s="41"/>
      <c r="I103" s="41"/>
      <c r="J103" s="41"/>
      <c r="K103" s="41"/>
      <c r="L103" s="41"/>
      <c r="M103" s="43"/>
      <c r="N103" s="41"/>
      <c r="O103" s="41"/>
      <c r="P103" s="41"/>
      <c r="Q103" s="41"/>
      <c r="R103" s="41"/>
      <c r="S103" s="41"/>
      <c r="T103" s="43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3"/>
      <c r="AI103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03" s="42">
        <f ca="1">IF(Ноябрь[[#This Row],[УСЛУГ]]&lt;&gt;"",Ноябрь[[#This Row],[УСЛУГ]]*Ноябрь[[#This Row],[Периодичность]],"")</f>
        <v>0</v>
      </c>
    </row>
    <row r="104" spans="1:36" x14ac:dyDescent="0.25">
      <c r="A104" s="35"/>
      <c r="B104" s="36"/>
      <c r="C104" s="37">
        <v>0</v>
      </c>
      <c r="D104" s="38">
        <v>2</v>
      </c>
      <c r="E104" s="41"/>
      <c r="F104" s="43"/>
      <c r="G104" s="41"/>
      <c r="H104" s="41"/>
      <c r="I104" s="41"/>
      <c r="J104" s="41"/>
      <c r="K104" s="41"/>
      <c r="L104" s="41"/>
      <c r="M104" s="43"/>
      <c r="N104" s="41"/>
      <c r="O104" s="41"/>
      <c r="P104" s="41"/>
      <c r="Q104" s="41"/>
      <c r="R104" s="41"/>
      <c r="S104" s="41"/>
      <c r="T104" s="43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3"/>
      <c r="AI10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4" s="42" t="str">
        <f ca="1">IF(Ноябрь[[#This Row],[УСЛУГ]]&lt;&gt;"",Ноябрь[[#This Row],[УСЛУГ]]*Ноябрь[[#This Row],[Периодичность]],"")</f>
        <v/>
      </c>
    </row>
    <row r="105" spans="1:36" x14ac:dyDescent="0.25">
      <c r="A105" s="35"/>
      <c r="B105" s="36"/>
      <c r="C105" s="37">
        <v>0</v>
      </c>
      <c r="D105" s="38">
        <v>3</v>
      </c>
      <c r="E105" s="41"/>
      <c r="F105" s="43"/>
      <c r="G105" s="41"/>
      <c r="H105" s="41"/>
      <c r="I105" s="41"/>
      <c r="J105" s="41"/>
      <c r="K105" s="41"/>
      <c r="L105" s="41"/>
      <c r="M105" s="43"/>
      <c r="N105" s="41"/>
      <c r="O105" s="41"/>
      <c r="P105" s="41"/>
      <c r="Q105" s="41"/>
      <c r="R105" s="41"/>
      <c r="S105" s="41"/>
      <c r="T105" s="43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3"/>
      <c r="AI10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5" s="42" t="str">
        <f ca="1">IF(Ноябрь[[#This Row],[УСЛУГ]]&lt;&gt;"",Ноябрь[[#This Row],[УСЛУГ]]*Ноябрь[[#This Row],[Периодичность]],"")</f>
        <v/>
      </c>
    </row>
    <row r="106" spans="1:36" ht="47.25" x14ac:dyDescent="0.25">
      <c r="A106" s="35" t="s">
        <v>28</v>
      </c>
      <c r="B106" s="36"/>
      <c r="C106" s="37">
        <v>0</v>
      </c>
      <c r="D106" s="38">
        <v>1</v>
      </c>
      <c r="E106" s="41"/>
      <c r="F106" s="43"/>
      <c r="G106" s="41"/>
      <c r="H106" s="41"/>
      <c r="I106" s="41"/>
      <c r="J106" s="41"/>
      <c r="K106" s="41"/>
      <c r="L106" s="41"/>
      <c r="M106" s="43"/>
      <c r="N106" s="41"/>
      <c r="O106" s="41"/>
      <c r="P106" s="41"/>
      <c r="Q106" s="41"/>
      <c r="R106" s="41"/>
      <c r="S106" s="41"/>
      <c r="T106" s="43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3"/>
      <c r="AI106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06" s="42">
        <f ca="1">IF(Ноябрь[[#This Row],[УСЛУГ]]&lt;&gt;"",Ноябрь[[#This Row],[УСЛУГ]]*Ноябрь[[#This Row],[Периодичность]],"")</f>
        <v>0</v>
      </c>
    </row>
    <row r="107" spans="1:36" x14ac:dyDescent="0.25">
      <c r="A107" s="35"/>
      <c r="B107" s="36"/>
      <c r="C107" s="37">
        <v>0</v>
      </c>
      <c r="D107" s="38">
        <v>2</v>
      </c>
      <c r="E107" s="41"/>
      <c r="F107" s="43"/>
      <c r="G107" s="41"/>
      <c r="H107" s="41"/>
      <c r="I107" s="41"/>
      <c r="J107" s="41"/>
      <c r="K107" s="41"/>
      <c r="L107" s="41"/>
      <c r="M107" s="43"/>
      <c r="N107" s="41"/>
      <c r="O107" s="41"/>
      <c r="P107" s="41"/>
      <c r="Q107" s="41"/>
      <c r="R107" s="41"/>
      <c r="S107" s="41"/>
      <c r="T107" s="43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3"/>
      <c r="AI10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7" s="42" t="str">
        <f ca="1">IF(Ноябрь[[#This Row],[УСЛУГ]]&lt;&gt;"",Ноябрь[[#This Row],[УСЛУГ]]*Ноябрь[[#This Row],[Периодичность]],"")</f>
        <v/>
      </c>
    </row>
    <row r="108" spans="1:36" x14ac:dyDescent="0.25">
      <c r="A108" s="35"/>
      <c r="B108" s="36"/>
      <c r="C108" s="37">
        <v>0</v>
      </c>
      <c r="D108" s="38">
        <v>3</v>
      </c>
      <c r="E108" s="41"/>
      <c r="F108" s="43"/>
      <c r="G108" s="41"/>
      <c r="H108" s="41"/>
      <c r="I108" s="41"/>
      <c r="J108" s="41"/>
      <c r="K108" s="41"/>
      <c r="L108" s="41"/>
      <c r="M108" s="43"/>
      <c r="N108" s="41"/>
      <c r="O108" s="41"/>
      <c r="P108" s="41"/>
      <c r="Q108" s="41"/>
      <c r="R108" s="41"/>
      <c r="S108" s="41"/>
      <c r="T108" s="43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3"/>
      <c r="AI10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08" s="42" t="str">
        <f ca="1">IF(Ноябрь[[#This Row],[УСЛУГ]]&lt;&gt;"",Ноябрь[[#This Row],[УСЛУГ]]*Ноябрь[[#This Row],[Периодичность]],"")</f>
        <v/>
      </c>
    </row>
    <row r="109" spans="1:36" ht="31.5" x14ac:dyDescent="0.25">
      <c r="A109" s="35" t="s">
        <v>29</v>
      </c>
      <c r="B109" s="36"/>
      <c r="C109" s="37">
        <v>0</v>
      </c>
      <c r="D109" s="38">
        <v>1</v>
      </c>
      <c r="E109" s="41"/>
      <c r="F109" s="43"/>
      <c r="G109" s="41"/>
      <c r="H109" s="41"/>
      <c r="I109" s="41"/>
      <c r="J109" s="41"/>
      <c r="K109" s="41"/>
      <c r="L109" s="41"/>
      <c r="M109" s="43"/>
      <c r="N109" s="41"/>
      <c r="O109" s="41"/>
      <c r="P109" s="41"/>
      <c r="Q109" s="41"/>
      <c r="R109" s="41"/>
      <c r="S109" s="41"/>
      <c r="T109" s="43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3"/>
      <c r="AI109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09" s="42">
        <f ca="1">IF(Ноябрь[[#This Row],[УСЛУГ]]&lt;&gt;"",Ноябрь[[#This Row],[УСЛУГ]]*Ноябрь[[#This Row],[Периодичность]],"")</f>
        <v>0</v>
      </c>
    </row>
    <row r="110" spans="1:36" x14ac:dyDescent="0.25">
      <c r="A110" s="35"/>
      <c r="B110" s="36"/>
      <c r="C110" s="37">
        <v>0</v>
      </c>
      <c r="D110" s="38">
        <v>2</v>
      </c>
      <c r="E110" s="41"/>
      <c r="F110" s="43"/>
      <c r="G110" s="41"/>
      <c r="H110" s="41"/>
      <c r="I110" s="41"/>
      <c r="J110" s="41"/>
      <c r="K110" s="41"/>
      <c r="L110" s="41"/>
      <c r="M110" s="43"/>
      <c r="N110" s="41"/>
      <c r="O110" s="41"/>
      <c r="P110" s="41"/>
      <c r="Q110" s="41"/>
      <c r="R110" s="41"/>
      <c r="S110" s="41"/>
      <c r="T110" s="43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3"/>
      <c r="AI11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0" s="42" t="str">
        <f ca="1">IF(Ноябрь[[#This Row],[УСЛУГ]]&lt;&gt;"",Ноябрь[[#This Row],[УСЛУГ]]*Ноябрь[[#This Row],[Периодичность]],"")</f>
        <v/>
      </c>
    </row>
    <row r="111" spans="1:36" x14ac:dyDescent="0.25">
      <c r="A111" s="35"/>
      <c r="B111" s="36"/>
      <c r="C111" s="37">
        <v>0</v>
      </c>
      <c r="D111" s="38">
        <v>3</v>
      </c>
      <c r="E111" s="41"/>
      <c r="F111" s="43"/>
      <c r="G111" s="41"/>
      <c r="H111" s="41"/>
      <c r="I111" s="41"/>
      <c r="J111" s="41"/>
      <c r="K111" s="41"/>
      <c r="L111" s="41"/>
      <c r="M111" s="43"/>
      <c r="N111" s="41"/>
      <c r="O111" s="41"/>
      <c r="P111" s="41"/>
      <c r="Q111" s="41"/>
      <c r="R111" s="41"/>
      <c r="S111" s="41"/>
      <c r="T111" s="43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3"/>
      <c r="AI11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1" s="42" t="str">
        <f ca="1">IF(Ноябрь[[#This Row],[УСЛУГ]]&lt;&gt;"",Ноябрь[[#This Row],[УСЛУГ]]*Ноябрь[[#This Row],[Периодичность]],"")</f>
        <v/>
      </c>
    </row>
    <row r="112" spans="1:36" ht="47.25" x14ac:dyDescent="0.25">
      <c r="A112" s="35" t="s">
        <v>30</v>
      </c>
      <c r="B112" s="36"/>
      <c r="C112" s="37">
        <v>0</v>
      </c>
      <c r="D112" s="38">
        <v>1</v>
      </c>
      <c r="E112" s="41"/>
      <c r="F112" s="43"/>
      <c r="G112" s="41"/>
      <c r="H112" s="41"/>
      <c r="I112" s="41"/>
      <c r="J112" s="41"/>
      <c r="K112" s="41"/>
      <c r="L112" s="41"/>
      <c r="M112" s="43"/>
      <c r="N112" s="41"/>
      <c r="O112" s="41"/>
      <c r="P112" s="41"/>
      <c r="Q112" s="41"/>
      <c r="R112" s="41"/>
      <c r="S112" s="41"/>
      <c r="T112" s="43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3"/>
      <c r="AI112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12" s="42">
        <f ca="1">IF(Ноябрь[[#This Row],[УСЛУГ]]&lt;&gt;"",Ноябрь[[#This Row],[УСЛУГ]]*Ноябрь[[#This Row],[Периодичность]],"")</f>
        <v>0</v>
      </c>
    </row>
    <row r="113" spans="1:36" x14ac:dyDescent="0.25">
      <c r="A113" s="35"/>
      <c r="B113" s="36"/>
      <c r="C113" s="37">
        <v>0</v>
      </c>
      <c r="D113" s="38">
        <v>2</v>
      </c>
      <c r="E113" s="41"/>
      <c r="F113" s="43"/>
      <c r="G113" s="41"/>
      <c r="H113" s="41"/>
      <c r="I113" s="41"/>
      <c r="J113" s="41"/>
      <c r="K113" s="41"/>
      <c r="L113" s="41"/>
      <c r="M113" s="43"/>
      <c r="N113" s="41"/>
      <c r="O113" s="41"/>
      <c r="P113" s="41"/>
      <c r="Q113" s="41"/>
      <c r="R113" s="41"/>
      <c r="S113" s="41"/>
      <c r="T113" s="43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3"/>
      <c r="AI11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3" s="42" t="str">
        <f ca="1">IF(Ноябрь[[#This Row],[УСЛУГ]]&lt;&gt;"",Ноябрь[[#This Row],[УСЛУГ]]*Ноябрь[[#This Row],[Периодичность]],"")</f>
        <v/>
      </c>
    </row>
    <row r="114" spans="1:36" x14ac:dyDescent="0.25">
      <c r="A114" s="35"/>
      <c r="B114" s="36"/>
      <c r="C114" s="37">
        <v>0</v>
      </c>
      <c r="D114" s="38">
        <v>3</v>
      </c>
      <c r="E114" s="41"/>
      <c r="F114" s="43"/>
      <c r="G114" s="41"/>
      <c r="H114" s="41"/>
      <c r="I114" s="41"/>
      <c r="J114" s="41"/>
      <c r="K114" s="41"/>
      <c r="L114" s="41"/>
      <c r="M114" s="43"/>
      <c r="N114" s="41"/>
      <c r="O114" s="41"/>
      <c r="P114" s="41"/>
      <c r="Q114" s="41"/>
      <c r="R114" s="41"/>
      <c r="S114" s="41"/>
      <c r="T114" s="43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3"/>
      <c r="AI11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4" s="42" t="str">
        <f ca="1">IF(Ноябрь[[#This Row],[УСЛУГ]]&lt;&gt;"",Ноябрь[[#This Row],[УСЛУГ]]*Ноябрь[[#This Row],[Периодичность]],"")</f>
        <v/>
      </c>
    </row>
    <row r="115" spans="1:36" ht="47.25" x14ac:dyDescent="0.25">
      <c r="A115" s="35" t="s">
        <v>77</v>
      </c>
      <c r="B115" s="36"/>
      <c r="C115" s="37">
        <v>0</v>
      </c>
      <c r="D115" s="38">
        <v>1</v>
      </c>
      <c r="E115" s="41"/>
      <c r="F115" s="43"/>
      <c r="G115" s="41"/>
      <c r="H115" s="41"/>
      <c r="I115" s="41"/>
      <c r="J115" s="41"/>
      <c r="K115" s="41"/>
      <c r="L115" s="41"/>
      <c r="M115" s="43"/>
      <c r="N115" s="41"/>
      <c r="O115" s="41"/>
      <c r="P115" s="41"/>
      <c r="Q115" s="41"/>
      <c r="R115" s="41"/>
      <c r="S115" s="41"/>
      <c r="T115" s="43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3"/>
      <c r="AI115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15" s="42">
        <f ca="1">IF(Ноябрь[[#This Row],[УСЛУГ]]&lt;&gt;"",Ноябрь[[#This Row],[УСЛУГ]]*Ноябрь[[#This Row],[Периодичность]],"")</f>
        <v>0</v>
      </c>
    </row>
    <row r="116" spans="1:36" x14ac:dyDescent="0.25">
      <c r="A116" s="35"/>
      <c r="B116" s="36"/>
      <c r="C116" s="37">
        <v>0</v>
      </c>
      <c r="D116" s="38">
        <v>2</v>
      </c>
      <c r="E116" s="41"/>
      <c r="F116" s="43"/>
      <c r="G116" s="41"/>
      <c r="H116" s="41"/>
      <c r="I116" s="41"/>
      <c r="J116" s="41"/>
      <c r="K116" s="41"/>
      <c r="L116" s="41"/>
      <c r="M116" s="43"/>
      <c r="N116" s="41"/>
      <c r="O116" s="41"/>
      <c r="P116" s="41"/>
      <c r="Q116" s="41"/>
      <c r="R116" s="41"/>
      <c r="S116" s="41"/>
      <c r="T116" s="43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3"/>
      <c r="AI11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6" s="42" t="str">
        <f ca="1">IF(Ноябрь[[#This Row],[УСЛУГ]]&lt;&gt;"",Ноябрь[[#This Row],[УСЛУГ]]*Ноябрь[[#This Row],[Периодичность]],"")</f>
        <v/>
      </c>
    </row>
    <row r="117" spans="1:36" x14ac:dyDescent="0.25">
      <c r="A117" s="35"/>
      <c r="B117" s="36"/>
      <c r="C117" s="37">
        <v>0</v>
      </c>
      <c r="D117" s="38">
        <v>3</v>
      </c>
      <c r="E117" s="41"/>
      <c r="F117" s="43"/>
      <c r="G117" s="41"/>
      <c r="H117" s="41"/>
      <c r="I117" s="41"/>
      <c r="J117" s="41"/>
      <c r="K117" s="41"/>
      <c r="L117" s="41"/>
      <c r="M117" s="43"/>
      <c r="N117" s="41"/>
      <c r="O117" s="41"/>
      <c r="P117" s="41"/>
      <c r="Q117" s="41"/>
      <c r="R117" s="41"/>
      <c r="S117" s="41"/>
      <c r="T117" s="43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3"/>
      <c r="AI11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7" s="42" t="str">
        <f ca="1">IF(Ноябрь[[#This Row],[УСЛУГ]]&lt;&gt;"",Ноябрь[[#This Row],[УСЛУГ]]*Ноябрь[[#This Row],[Периодичность]],"")</f>
        <v/>
      </c>
    </row>
    <row r="118" spans="1:36" ht="63" x14ac:dyDescent="0.25">
      <c r="A118" s="35" t="s">
        <v>146</v>
      </c>
      <c r="B118" s="36"/>
      <c r="C118" s="37">
        <v>0</v>
      </c>
      <c r="D118" s="38">
        <v>1</v>
      </c>
      <c r="E118" s="41"/>
      <c r="F118" s="43"/>
      <c r="G118" s="41"/>
      <c r="H118" s="41"/>
      <c r="I118" s="41"/>
      <c r="J118" s="41"/>
      <c r="K118" s="41"/>
      <c r="L118" s="41"/>
      <c r="M118" s="43"/>
      <c r="N118" s="41"/>
      <c r="O118" s="41"/>
      <c r="P118" s="41"/>
      <c r="Q118" s="41"/>
      <c r="R118" s="41"/>
      <c r="S118" s="41"/>
      <c r="T118" s="43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3"/>
      <c r="AI118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18" s="42">
        <f ca="1">IF(Ноябрь[[#This Row],[УСЛУГ]]&lt;&gt;"",Ноябрь[[#This Row],[УСЛУГ]]*Ноябрь[[#This Row],[Периодичность]],"")</f>
        <v>0</v>
      </c>
    </row>
    <row r="119" spans="1:36" x14ac:dyDescent="0.25">
      <c r="A119" s="35"/>
      <c r="B119" s="36"/>
      <c r="C119" s="37">
        <v>0</v>
      </c>
      <c r="D119" s="38">
        <v>2</v>
      </c>
      <c r="E119" s="41"/>
      <c r="F119" s="43"/>
      <c r="G119" s="41"/>
      <c r="H119" s="41"/>
      <c r="I119" s="41"/>
      <c r="J119" s="41"/>
      <c r="K119" s="41"/>
      <c r="L119" s="41"/>
      <c r="M119" s="43"/>
      <c r="N119" s="41"/>
      <c r="O119" s="41"/>
      <c r="P119" s="41"/>
      <c r="Q119" s="41"/>
      <c r="R119" s="41"/>
      <c r="S119" s="41"/>
      <c r="T119" s="43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3"/>
      <c r="AI11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19" s="42" t="str">
        <f ca="1">IF(Ноябрь[[#This Row],[УСЛУГ]]&lt;&gt;"",Ноябрь[[#This Row],[УСЛУГ]]*Ноябрь[[#This Row],[Периодичность]],"")</f>
        <v/>
      </c>
    </row>
    <row r="120" spans="1:36" x14ac:dyDescent="0.25">
      <c r="A120" s="35"/>
      <c r="B120" s="36"/>
      <c r="C120" s="37">
        <v>0</v>
      </c>
      <c r="D120" s="38">
        <v>3</v>
      </c>
      <c r="E120" s="41"/>
      <c r="F120" s="43"/>
      <c r="G120" s="41"/>
      <c r="H120" s="41"/>
      <c r="I120" s="41"/>
      <c r="J120" s="41"/>
      <c r="K120" s="41"/>
      <c r="L120" s="41"/>
      <c r="M120" s="43"/>
      <c r="N120" s="41"/>
      <c r="O120" s="41"/>
      <c r="P120" s="41"/>
      <c r="Q120" s="41"/>
      <c r="R120" s="41"/>
      <c r="S120" s="41"/>
      <c r="T120" s="43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3"/>
      <c r="AI12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0" s="42" t="str">
        <f ca="1">IF(Ноябрь[[#This Row],[УСЛУГ]]&lt;&gt;"",Ноябрь[[#This Row],[УСЛУГ]]*Ноябрь[[#This Row],[Периодичность]],"")</f>
        <v/>
      </c>
    </row>
    <row r="121" spans="1:36" ht="47.25" x14ac:dyDescent="0.25">
      <c r="A121" s="35" t="s">
        <v>76</v>
      </c>
      <c r="B121" s="36"/>
      <c r="C121" s="37">
        <v>0</v>
      </c>
      <c r="D121" s="38">
        <v>1</v>
      </c>
      <c r="E121" s="41"/>
      <c r="F121" s="43"/>
      <c r="G121" s="41"/>
      <c r="H121" s="41"/>
      <c r="I121" s="41"/>
      <c r="J121" s="41"/>
      <c r="K121" s="41"/>
      <c r="L121" s="41"/>
      <c r="M121" s="43"/>
      <c r="N121" s="41"/>
      <c r="O121" s="41"/>
      <c r="P121" s="41"/>
      <c r="Q121" s="41"/>
      <c r="R121" s="41"/>
      <c r="S121" s="41"/>
      <c r="T121" s="43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3"/>
      <c r="AI121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21" s="42">
        <f ca="1">IF(Ноябрь[[#This Row],[УСЛУГ]]&lt;&gt;"",Ноябрь[[#This Row],[УСЛУГ]]*Ноябрь[[#This Row],[Периодичность]],"")</f>
        <v>0</v>
      </c>
    </row>
    <row r="122" spans="1:36" x14ac:dyDescent="0.25">
      <c r="A122" s="35"/>
      <c r="B122" s="36"/>
      <c r="C122" s="37">
        <v>0</v>
      </c>
      <c r="D122" s="38">
        <v>2</v>
      </c>
      <c r="E122" s="41"/>
      <c r="F122" s="43"/>
      <c r="G122" s="41"/>
      <c r="H122" s="41"/>
      <c r="I122" s="41"/>
      <c r="J122" s="41"/>
      <c r="K122" s="41"/>
      <c r="L122" s="41"/>
      <c r="M122" s="43"/>
      <c r="N122" s="41"/>
      <c r="O122" s="41"/>
      <c r="P122" s="41"/>
      <c r="Q122" s="41"/>
      <c r="R122" s="41"/>
      <c r="S122" s="41"/>
      <c r="T122" s="43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3"/>
      <c r="AI12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2" s="42" t="str">
        <f ca="1">IF(Ноябрь[[#This Row],[УСЛУГ]]&lt;&gt;"",Ноябрь[[#This Row],[УСЛУГ]]*Ноябрь[[#This Row],[Периодичность]],"")</f>
        <v/>
      </c>
    </row>
    <row r="123" spans="1:36" x14ac:dyDescent="0.25">
      <c r="A123" s="35"/>
      <c r="B123" s="36"/>
      <c r="C123" s="37">
        <v>0</v>
      </c>
      <c r="D123" s="38">
        <v>3</v>
      </c>
      <c r="E123" s="41"/>
      <c r="F123" s="43"/>
      <c r="G123" s="41"/>
      <c r="H123" s="41"/>
      <c r="I123" s="41"/>
      <c r="J123" s="41"/>
      <c r="K123" s="41"/>
      <c r="L123" s="41"/>
      <c r="M123" s="43"/>
      <c r="N123" s="41"/>
      <c r="O123" s="41"/>
      <c r="P123" s="41"/>
      <c r="Q123" s="41"/>
      <c r="R123" s="41"/>
      <c r="S123" s="41"/>
      <c r="T123" s="43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3"/>
      <c r="AI12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3" s="42" t="str">
        <f ca="1">IF(Ноябрь[[#This Row],[УСЛУГ]]&lt;&gt;"",Ноябрь[[#This Row],[УСЛУГ]]*Ноябрь[[#This Row],[Периодичность]],"")</f>
        <v/>
      </c>
    </row>
    <row r="124" spans="1:36" ht="47.25" x14ac:dyDescent="0.25">
      <c r="A124" s="35" t="s">
        <v>147</v>
      </c>
      <c r="B124" s="36"/>
      <c r="C124" s="37">
        <v>0</v>
      </c>
      <c r="D124" s="38">
        <v>1</v>
      </c>
      <c r="E124" s="41"/>
      <c r="F124" s="43"/>
      <c r="G124" s="41"/>
      <c r="H124" s="41"/>
      <c r="I124" s="41"/>
      <c r="J124" s="41"/>
      <c r="K124" s="41"/>
      <c r="L124" s="41"/>
      <c r="M124" s="43"/>
      <c r="N124" s="41"/>
      <c r="O124" s="41"/>
      <c r="P124" s="41"/>
      <c r="Q124" s="41"/>
      <c r="R124" s="41"/>
      <c r="S124" s="41"/>
      <c r="T124" s="43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3"/>
      <c r="AI124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24" s="42">
        <f ca="1">IF(Ноябрь[[#This Row],[УСЛУГ]]&lt;&gt;"",Ноябрь[[#This Row],[УСЛУГ]]*Ноябрь[[#This Row],[Периодичность]],"")</f>
        <v>0</v>
      </c>
    </row>
    <row r="125" spans="1:36" x14ac:dyDescent="0.25">
      <c r="A125" s="35"/>
      <c r="B125" s="36"/>
      <c r="C125" s="37">
        <v>0</v>
      </c>
      <c r="D125" s="38">
        <v>2</v>
      </c>
      <c r="E125" s="41"/>
      <c r="F125" s="43"/>
      <c r="G125" s="41"/>
      <c r="H125" s="41"/>
      <c r="I125" s="41"/>
      <c r="J125" s="41"/>
      <c r="K125" s="41"/>
      <c r="L125" s="41"/>
      <c r="M125" s="43"/>
      <c r="N125" s="41"/>
      <c r="O125" s="41"/>
      <c r="P125" s="41"/>
      <c r="Q125" s="41"/>
      <c r="R125" s="41"/>
      <c r="S125" s="41"/>
      <c r="T125" s="43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3"/>
      <c r="AI12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5" s="42" t="str">
        <f ca="1">IF(Ноябрь[[#This Row],[УСЛУГ]]&lt;&gt;"",Ноябрь[[#This Row],[УСЛУГ]]*Ноябрь[[#This Row],[Периодичность]],"")</f>
        <v/>
      </c>
    </row>
    <row r="126" spans="1:36" x14ac:dyDescent="0.25">
      <c r="A126" s="35"/>
      <c r="B126" s="36"/>
      <c r="C126" s="37">
        <v>0</v>
      </c>
      <c r="D126" s="38">
        <v>3</v>
      </c>
      <c r="E126" s="41"/>
      <c r="F126" s="43"/>
      <c r="G126" s="41"/>
      <c r="H126" s="41"/>
      <c r="I126" s="41"/>
      <c r="J126" s="41"/>
      <c r="K126" s="41"/>
      <c r="L126" s="41"/>
      <c r="M126" s="43"/>
      <c r="N126" s="41"/>
      <c r="O126" s="41"/>
      <c r="P126" s="41"/>
      <c r="Q126" s="41"/>
      <c r="R126" s="41"/>
      <c r="S126" s="41"/>
      <c r="T126" s="43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3"/>
      <c r="AI12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6" s="42" t="str">
        <f ca="1">IF(Ноябрь[[#This Row],[УСЛУГ]]&lt;&gt;"",Ноябрь[[#This Row],[УСЛУГ]]*Ноябрь[[#This Row],[Периодичность]],"")</f>
        <v/>
      </c>
    </row>
    <row r="127" spans="1:36" ht="47.25" x14ac:dyDescent="0.25">
      <c r="A127" s="35" t="s">
        <v>148</v>
      </c>
      <c r="B127" s="36"/>
      <c r="C127" s="37">
        <v>0</v>
      </c>
      <c r="D127" s="38">
        <v>1</v>
      </c>
      <c r="E127" s="41"/>
      <c r="F127" s="43"/>
      <c r="G127" s="41"/>
      <c r="H127" s="41"/>
      <c r="I127" s="41"/>
      <c r="J127" s="41"/>
      <c r="K127" s="41"/>
      <c r="L127" s="41"/>
      <c r="M127" s="43"/>
      <c r="N127" s="41"/>
      <c r="O127" s="41"/>
      <c r="P127" s="41"/>
      <c r="Q127" s="41"/>
      <c r="R127" s="41"/>
      <c r="S127" s="41"/>
      <c r="T127" s="43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3"/>
      <c r="AI127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27" s="42">
        <f ca="1">IF(Ноябрь[[#This Row],[УСЛУГ]]&lt;&gt;"",Ноябрь[[#This Row],[УСЛУГ]]*Ноябрь[[#This Row],[Периодичность]],"")</f>
        <v>0</v>
      </c>
    </row>
    <row r="128" spans="1:36" x14ac:dyDescent="0.25">
      <c r="A128" s="35"/>
      <c r="B128" s="36"/>
      <c r="C128" s="37">
        <v>0</v>
      </c>
      <c r="D128" s="38">
        <v>2</v>
      </c>
      <c r="E128" s="41"/>
      <c r="F128" s="43"/>
      <c r="G128" s="41"/>
      <c r="H128" s="41"/>
      <c r="I128" s="41"/>
      <c r="J128" s="41"/>
      <c r="K128" s="41"/>
      <c r="L128" s="41"/>
      <c r="M128" s="43"/>
      <c r="N128" s="41"/>
      <c r="O128" s="41"/>
      <c r="P128" s="41"/>
      <c r="Q128" s="41"/>
      <c r="R128" s="41"/>
      <c r="S128" s="41"/>
      <c r="T128" s="43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3"/>
      <c r="AI12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8" s="42" t="str">
        <f ca="1">IF(Ноябрь[[#This Row],[УСЛУГ]]&lt;&gt;"",Ноябрь[[#This Row],[УСЛУГ]]*Ноябрь[[#This Row],[Периодичность]],"")</f>
        <v/>
      </c>
    </row>
    <row r="129" spans="1:36" x14ac:dyDescent="0.25">
      <c r="A129" s="35"/>
      <c r="B129" s="36"/>
      <c r="C129" s="37">
        <v>0</v>
      </c>
      <c r="D129" s="38">
        <v>3</v>
      </c>
      <c r="E129" s="41"/>
      <c r="F129" s="43"/>
      <c r="G129" s="41"/>
      <c r="H129" s="41"/>
      <c r="I129" s="41"/>
      <c r="J129" s="41"/>
      <c r="K129" s="41"/>
      <c r="L129" s="41"/>
      <c r="M129" s="43"/>
      <c r="N129" s="41"/>
      <c r="O129" s="41"/>
      <c r="P129" s="41"/>
      <c r="Q129" s="41"/>
      <c r="R129" s="41"/>
      <c r="S129" s="41"/>
      <c r="T129" s="43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3"/>
      <c r="AI12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29" s="42" t="str">
        <f ca="1">IF(Ноябрь[[#This Row],[УСЛУГ]]&lt;&gt;"",Ноябрь[[#This Row],[УСЛУГ]]*Ноябрь[[#This Row],[Периодичность]],"")</f>
        <v/>
      </c>
    </row>
    <row r="130" spans="1:36" ht="31.5" x14ac:dyDescent="0.25">
      <c r="A130" s="35" t="s">
        <v>36</v>
      </c>
      <c r="B130" s="36"/>
      <c r="C130" s="37">
        <v>0</v>
      </c>
      <c r="D130" s="38">
        <v>1</v>
      </c>
      <c r="E130" s="41"/>
      <c r="F130" s="43"/>
      <c r="G130" s="41"/>
      <c r="H130" s="41"/>
      <c r="I130" s="41"/>
      <c r="J130" s="41"/>
      <c r="K130" s="41"/>
      <c r="L130" s="41"/>
      <c r="M130" s="43"/>
      <c r="N130" s="41"/>
      <c r="O130" s="41"/>
      <c r="P130" s="41"/>
      <c r="Q130" s="41"/>
      <c r="R130" s="41"/>
      <c r="S130" s="41"/>
      <c r="T130" s="43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3"/>
      <c r="AI130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30" s="42">
        <f ca="1">IF(Ноябрь[[#This Row],[УСЛУГ]]&lt;&gt;"",Ноябрь[[#This Row],[УСЛУГ]]*Ноябрь[[#This Row],[Периодичность]],"")</f>
        <v>0</v>
      </c>
    </row>
    <row r="131" spans="1:36" x14ac:dyDescent="0.25">
      <c r="A131" s="35"/>
      <c r="B131" s="36"/>
      <c r="C131" s="37">
        <v>0</v>
      </c>
      <c r="D131" s="38">
        <v>2</v>
      </c>
      <c r="E131" s="41"/>
      <c r="F131" s="43"/>
      <c r="G131" s="41"/>
      <c r="H131" s="41"/>
      <c r="I131" s="41"/>
      <c r="J131" s="41"/>
      <c r="K131" s="41"/>
      <c r="L131" s="41"/>
      <c r="M131" s="43"/>
      <c r="N131" s="41"/>
      <c r="O131" s="41"/>
      <c r="P131" s="41"/>
      <c r="Q131" s="41"/>
      <c r="R131" s="41"/>
      <c r="S131" s="41"/>
      <c r="T131" s="43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3"/>
      <c r="AI13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1" s="42" t="str">
        <f ca="1">IF(Ноябрь[[#This Row],[УСЛУГ]]&lt;&gt;"",Ноябрь[[#This Row],[УСЛУГ]]*Ноябрь[[#This Row],[Периодичность]],"")</f>
        <v/>
      </c>
    </row>
    <row r="132" spans="1:36" x14ac:dyDescent="0.25">
      <c r="A132" s="35"/>
      <c r="B132" s="36"/>
      <c r="C132" s="37">
        <v>0</v>
      </c>
      <c r="D132" s="38">
        <v>3</v>
      </c>
      <c r="E132" s="41"/>
      <c r="F132" s="43"/>
      <c r="G132" s="41"/>
      <c r="H132" s="41"/>
      <c r="I132" s="41"/>
      <c r="J132" s="41"/>
      <c r="K132" s="41"/>
      <c r="L132" s="41"/>
      <c r="M132" s="43"/>
      <c r="N132" s="41"/>
      <c r="O132" s="41"/>
      <c r="P132" s="41"/>
      <c r="Q132" s="41"/>
      <c r="R132" s="41"/>
      <c r="S132" s="41"/>
      <c r="T132" s="43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3"/>
      <c r="AI13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2" s="42" t="str">
        <f ca="1">IF(Ноябрь[[#This Row],[УСЛУГ]]&lt;&gt;"",Ноябрь[[#This Row],[УСЛУГ]]*Ноябрь[[#This Row],[Периодичность]],"")</f>
        <v/>
      </c>
    </row>
    <row r="133" spans="1:36" ht="31.5" x14ac:dyDescent="0.25">
      <c r="A133" s="35" t="s">
        <v>37</v>
      </c>
      <c r="B133" s="36"/>
      <c r="C133" s="37">
        <v>0</v>
      </c>
      <c r="D133" s="38">
        <v>1</v>
      </c>
      <c r="E133" s="41"/>
      <c r="F133" s="43"/>
      <c r="G133" s="41"/>
      <c r="H133" s="41"/>
      <c r="I133" s="41"/>
      <c r="J133" s="41"/>
      <c r="K133" s="41"/>
      <c r="L133" s="41"/>
      <c r="M133" s="43"/>
      <c r="N133" s="41"/>
      <c r="O133" s="41"/>
      <c r="P133" s="41"/>
      <c r="Q133" s="41"/>
      <c r="R133" s="41"/>
      <c r="S133" s="41"/>
      <c r="T133" s="43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3"/>
      <c r="AI133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33" s="42">
        <f ca="1">IF(Ноябрь[[#This Row],[УСЛУГ]]&lt;&gt;"",Ноябрь[[#This Row],[УСЛУГ]]*Ноябрь[[#This Row],[Периодичность]],"")</f>
        <v>0</v>
      </c>
    </row>
    <row r="134" spans="1:36" x14ac:dyDescent="0.25">
      <c r="A134" s="35"/>
      <c r="B134" s="36"/>
      <c r="C134" s="37">
        <v>0</v>
      </c>
      <c r="D134" s="38">
        <v>2</v>
      </c>
      <c r="E134" s="41"/>
      <c r="F134" s="43"/>
      <c r="G134" s="41"/>
      <c r="H134" s="41"/>
      <c r="I134" s="41"/>
      <c r="J134" s="41"/>
      <c r="K134" s="41"/>
      <c r="L134" s="41"/>
      <c r="M134" s="43"/>
      <c r="N134" s="41"/>
      <c r="O134" s="41"/>
      <c r="P134" s="41"/>
      <c r="Q134" s="41"/>
      <c r="R134" s="41"/>
      <c r="S134" s="41"/>
      <c r="T134" s="43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3"/>
      <c r="AI13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4" s="42" t="str">
        <f ca="1">IF(Ноябрь[[#This Row],[УСЛУГ]]&lt;&gt;"",Ноябрь[[#This Row],[УСЛУГ]]*Ноябрь[[#This Row],[Периодичность]],"")</f>
        <v/>
      </c>
    </row>
    <row r="135" spans="1:36" x14ac:dyDescent="0.25">
      <c r="A135" s="35"/>
      <c r="B135" s="36"/>
      <c r="C135" s="37">
        <v>0</v>
      </c>
      <c r="D135" s="38">
        <v>3</v>
      </c>
      <c r="E135" s="41"/>
      <c r="F135" s="43"/>
      <c r="G135" s="41"/>
      <c r="H135" s="41"/>
      <c r="I135" s="41"/>
      <c r="J135" s="41"/>
      <c r="K135" s="41"/>
      <c r="L135" s="41"/>
      <c r="M135" s="43"/>
      <c r="N135" s="41"/>
      <c r="O135" s="41"/>
      <c r="P135" s="41"/>
      <c r="Q135" s="41"/>
      <c r="R135" s="41"/>
      <c r="S135" s="41"/>
      <c r="T135" s="43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3"/>
      <c r="AI13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5" s="42" t="str">
        <f ca="1">IF(Ноябрь[[#This Row],[УСЛУГ]]&lt;&gt;"",Ноябрь[[#This Row],[УСЛУГ]]*Ноябрь[[#This Row],[Периодичность]],"")</f>
        <v/>
      </c>
    </row>
    <row r="136" spans="1:36" x14ac:dyDescent="0.25">
      <c r="A136" s="35" t="s">
        <v>38</v>
      </c>
      <c r="B136" s="36"/>
      <c r="C136" s="37">
        <v>0</v>
      </c>
      <c r="D136" s="38">
        <v>1</v>
      </c>
      <c r="E136" s="41"/>
      <c r="F136" s="43"/>
      <c r="G136" s="41"/>
      <c r="H136" s="41"/>
      <c r="I136" s="41"/>
      <c r="J136" s="41"/>
      <c r="K136" s="41"/>
      <c r="L136" s="41"/>
      <c r="M136" s="43"/>
      <c r="N136" s="41"/>
      <c r="O136" s="41"/>
      <c r="P136" s="41"/>
      <c r="Q136" s="41"/>
      <c r="R136" s="41"/>
      <c r="S136" s="41"/>
      <c r="T136" s="43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3"/>
      <c r="AI136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36" s="42">
        <f ca="1">IF(Ноябрь[[#This Row],[УСЛУГ]]&lt;&gt;"",Ноябрь[[#This Row],[УСЛУГ]]*Ноябрь[[#This Row],[Периодичность]],"")</f>
        <v>0</v>
      </c>
    </row>
    <row r="137" spans="1:36" x14ac:dyDescent="0.25">
      <c r="A137" s="35"/>
      <c r="B137" s="36"/>
      <c r="C137" s="37">
        <v>0</v>
      </c>
      <c r="D137" s="38">
        <v>2</v>
      </c>
      <c r="E137" s="41"/>
      <c r="F137" s="43"/>
      <c r="G137" s="41"/>
      <c r="H137" s="41"/>
      <c r="I137" s="41"/>
      <c r="J137" s="41"/>
      <c r="K137" s="41"/>
      <c r="L137" s="41"/>
      <c r="M137" s="43"/>
      <c r="N137" s="41"/>
      <c r="O137" s="41"/>
      <c r="P137" s="41"/>
      <c r="Q137" s="41"/>
      <c r="R137" s="41"/>
      <c r="S137" s="41"/>
      <c r="T137" s="43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3"/>
      <c r="AI13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7" s="42" t="str">
        <f ca="1">IF(Ноябрь[[#This Row],[УСЛУГ]]&lt;&gt;"",Ноябрь[[#This Row],[УСЛУГ]]*Ноябрь[[#This Row],[Периодичность]],"")</f>
        <v/>
      </c>
    </row>
    <row r="138" spans="1:36" x14ac:dyDescent="0.25">
      <c r="A138" s="35"/>
      <c r="B138" s="36"/>
      <c r="C138" s="37">
        <v>0</v>
      </c>
      <c r="D138" s="38">
        <v>3</v>
      </c>
      <c r="E138" s="41"/>
      <c r="F138" s="43"/>
      <c r="G138" s="41"/>
      <c r="H138" s="41"/>
      <c r="I138" s="41"/>
      <c r="J138" s="41"/>
      <c r="K138" s="41"/>
      <c r="L138" s="41"/>
      <c r="M138" s="43"/>
      <c r="N138" s="41"/>
      <c r="O138" s="41"/>
      <c r="P138" s="41"/>
      <c r="Q138" s="41"/>
      <c r="R138" s="41"/>
      <c r="S138" s="41"/>
      <c r="T138" s="43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3"/>
      <c r="AI13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38" s="42" t="str">
        <f ca="1">IF(Ноябрь[[#This Row],[УСЛУГ]]&lt;&gt;"",Ноябрь[[#This Row],[УСЛУГ]]*Ноябрь[[#This Row],[Периодичность]],"")</f>
        <v/>
      </c>
    </row>
    <row r="139" spans="1:36" ht="31.5" x14ac:dyDescent="0.25">
      <c r="A139" s="35" t="s">
        <v>39</v>
      </c>
      <c r="B139" s="36"/>
      <c r="C139" s="37">
        <v>0</v>
      </c>
      <c r="D139" s="38">
        <v>1</v>
      </c>
      <c r="E139" s="41"/>
      <c r="F139" s="43"/>
      <c r="G139" s="41"/>
      <c r="H139" s="41"/>
      <c r="I139" s="41"/>
      <c r="J139" s="41"/>
      <c r="K139" s="41"/>
      <c r="L139" s="41"/>
      <c r="M139" s="43"/>
      <c r="N139" s="41"/>
      <c r="O139" s="41"/>
      <c r="P139" s="41"/>
      <c r="Q139" s="41"/>
      <c r="R139" s="41"/>
      <c r="S139" s="41"/>
      <c r="T139" s="43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3"/>
      <c r="AI139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39" s="42">
        <f ca="1">IF(Ноябрь[[#This Row],[УСЛУГ]]&lt;&gt;"",Ноябрь[[#This Row],[УСЛУГ]]*Ноябрь[[#This Row],[Периодичность]],"")</f>
        <v>0</v>
      </c>
    </row>
    <row r="140" spans="1:36" x14ac:dyDescent="0.25">
      <c r="A140" s="35"/>
      <c r="B140" s="36"/>
      <c r="C140" s="37">
        <v>0</v>
      </c>
      <c r="D140" s="38">
        <v>2</v>
      </c>
      <c r="E140" s="41"/>
      <c r="F140" s="43"/>
      <c r="G140" s="41"/>
      <c r="H140" s="41"/>
      <c r="I140" s="41"/>
      <c r="J140" s="41"/>
      <c r="K140" s="41"/>
      <c r="L140" s="41"/>
      <c r="M140" s="43"/>
      <c r="N140" s="41"/>
      <c r="O140" s="41"/>
      <c r="P140" s="41"/>
      <c r="Q140" s="41"/>
      <c r="R140" s="41"/>
      <c r="S140" s="41"/>
      <c r="T140" s="43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3"/>
      <c r="AI14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0" s="42" t="str">
        <f ca="1">IF(Ноябрь[[#This Row],[УСЛУГ]]&lt;&gt;"",Ноябрь[[#This Row],[УСЛУГ]]*Ноябрь[[#This Row],[Периодичность]],"")</f>
        <v/>
      </c>
    </row>
    <row r="141" spans="1:36" x14ac:dyDescent="0.25">
      <c r="A141" s="35"/>
      <c r="B141" s="36"/>
      <c r="C141" s="37">
        <v>0</v>
      </c>
      <c r="D141" s="38">
        <v>3</v>
      </c>
      <c r="E141" s="41"/>
      <c r="F141" s="43"/>
      <c r="G141" s="41"/>
      <c r="H141" s="41"/>
      <c r="I141" s="41"/>
      <c r="J141" s="41"/>
      <c r="K141" s="41"/>
      <c r="L141" s="41"/>
      <c r="M141" s="43"/>
      <c r="N141" s="41"/>
      <c r="O141" s="41"/>
      <c r="P141" s="41"/>
      <c r="Q141" s="41"/>
      <c r="R141" s="41"/>
      <c r="S141" s="41"/>
      <c r="T141" s="43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3"/>
      <c r="AI14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1" s="42" t="str">
        <f ca="1">IF(Ноябрь[[#This Row],[УСЛУГ]]&lt;&gt;"",Ноябрь[[#This Row],[УСЛУГ]]*Ноябрь[[#This Row],[Периодичность]],"")</f>
        <v/>
      </c>
    </row>
    <row r="142" spans="1:36" ht="47.25" x14ac:dyDescent="0.25">
      <c r="A142" s="35" t="s">
        <v>149</v>
      </c>
      <c r="B142" s="36"/>
      <c r="C142" s="37">
        <v>0</v>
      </c>
      <c r="D142" s="38">
        <v>1</v>
      </c>
      <c r="E142" s="41"/>
      <c r="F142" s="43"/>
      <c r="G142" s="41"/>
      <c r="H142" s="41"/>
      <c r="I142" s="41"/>
      <c r="J142" s="41"/>
      <c r="K142" s="41"/>
      <c r="L142" s="41"/>
      <c r="M142" s="43"/>
      <c r="N142" s="41"/>
      <c r="O142" s="41"/>
      <c r="P142" s="41"/>
      <c r="Q142" s="41"/>
      <c r="R142" s="41"/>
      <c r="S142" s="41"/>
      <c r="T142" s="43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3"/>
      <c r="AI142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42" s="42">
        <f ca="1">IF(Ноябрь[[#This Row],[УСЛУГ]]&lt;&gt;"",Ноябрь[[#This Row],[УСЛУГ]]*Ноябрь[[#This Row],[Периодичность]],"")</f>
        <v>0</v>
      </c>
    </row>
    <row r="143" spans="1:36" x14ac:dyDescent="0.25">
      <c r="A143" s="35"/>
      <c r="B143" s="36"/>
      <c r="C143" s="37">
        <v>0</v>
      </c>
      <c r="D143" s="38">
        <v>2</v>
      </c>
      <c r="E143" s="41"/>
      <c r="F143" s="43"/>
      <c r="G143" s="41"/>
      <c r="H143" s="41"/>
      <c r="I143" s="41"/>
      <c r="J143" s="41"/>
      <c r="K143" s="41"/>
      <c r="L143" s="41"/>
      <c r="M143" s="43"/>
      <c r="N143" s="41"/>
      <c r="O143" s="41"/>
      <c r="P143" s="41"/>
      <c r="Q143" s="41"/>
      <c r="R143" s="41"/>
      <c r="S143" s="41"/>
      <c r="T143" s="43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3"/>
      <c r="AI14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3" s="42" t="str">
        <f ca="1">IF(Ноябрь[[#This Row],[УСЛУГ]]&lt;&gt;"",Ноябрь[[#This Row],[УСЛУГ]]*Ноябрь[[#This Row],[Периодичность]],"")</f>
        <v/>
      </c>
    </row>
    <row r="144" spans="1:36" x14ac:dyDescent="0.25">
      <c r="A144" s="35"/>
      <c r="B144" s="36"/>
      <c r="C144" s="37">
        <v>0</v>
      </c>
      <c r="D144" s="38">
        <v>3</v>
      </c>
      <c r="E144" s="41"/>
      <c r="F144" s="43"/>
      <c r="G144" s="41"/>
      <c r="H144" s="41"/>
      <c r="I144" s="41"/>
      <c r="J144" s="41"/>
      <c r="K144" s="41"/>
      <c r="L144" s="41"/>
      <c r="M144" s="43"/>
      <c r="N144" s="41"/>
      <c r="O144" s="41"/>
      <c r="P144" s="41"/>
      <c r="Q144" s="41"/>
      <c r="R144" s="41"/>
      <c r="S144" s="41"/>
      <c r="T144" s="43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3"/>
      <c r="AI14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4" s="42" t="str">
        <f ca="1">IF(Ноябрь[[#This Row],[УСЛУГ]]&lt;&gt;"",Ноябрь[[#This Row],[УСЛУГ]]*Ноябрь[[#This Row],[Периодичность]],"")</f>
        <v/>
      </c>
    </row>
    <row r="145" spans="1:36" ht="47.25" x14ac:dyDescent="0.25">
      <c r="A145" s="35" t="s">
        <v>150</v>
      </c>
      <c r="B145" s="36"/>
      <c r="C145" s="37">
        <v>0</v>
      </c>
      <c r="D145" s="38">
        <v>1</v>
      </c>
      <c r="E145" s="41"/>
      <c r="F145" s="43"/>
      <c r="G145" s="41"/>
      <c r="H145" s="41"/>
      <c r="I145" s="41"/>
      <c r="J145" s="41"/>
      <c r="K145" s="41"/>
      <c r="L145" s="41"/>
      <c r="M145" s="43"/>
      <c r="N145" s="41"/>
      <c r="O145" s="41"/>
      <c r="P145" s="41"/>
      <c r="Q145" s="41"/>
      <c r="R145" s="41"/>
      <c r="S145" s="41"/>
      <c r="T145" s="43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3"/>
      <c r="AI145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45" s="42">
        <f ca="1">IF(Ноябрь[[#This Row],[УСЛУГ]]&lt;&gt;"",Ноябрь[[#This Row],[УСЛУГ]]*Ноябрь[[#This Row],[Периодичность]],"")</f>
        <v>0</v>
      </c>
    </row>
    <row r="146" spans="1:36" x14ac:dyDescent="0.25">
      <c r="A146" s="35"/>
      <c r="B146" s="36"/>
      <c r="C146" s="37">
        <v>0</v>
      </c>
      <c r="D146" s="38">
        <v>2</v>
      </c>
      <c r="E146" s="41"/>
      <c r="F146" s="43"/>
      <c r="G146" s="41"/>
      <c r="H146" s="41"/>
      <c r="I146" s="41"/>
      <c r="J146" s="41"/>
      <c r="K146" s="41"/>
      <c r="L146" s="41"/>
      <c r="M146" s="43"/>
      <c r="N146" s="41"/>
      <c r="O146" s="41"/>
      <c r="P146" s="41"/>
      <c r="Q146" s="41"/>
      <c r="R146" s="41"/>
      <c r="S146" s="41"/>
      <c r="T146" s="43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3"/>
      <c r="AI14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6" s="42" t="str">
        <f ca="1">IF(Ноябрь[[#This Row],[УСЛУГ]]&lt;&gt;"",Ноябрь[[#This Row],[УСЛУГ]]*Ноябрь[[#This Row],[Периодичность]],"")</f>
        <v/>
      </c>
    </row>
    <row r="147" spans="1:36" x14ac:dyDescent="0.25">
      <c r="A147" s="35"/>
      <c r="B147" s="36"/>
      <c r="C147" s="37">
        <v>0</v>
      </c>
      <c r="D147" s="38">
        <v>3</v>
      </c>
      <c r="E147" s="41"/>
      <c r="F147" s="43"/>
      <c r="G147" s="41"/>
      <c r="H147" s="41"/>
      <c r="I147" s="41"/>
      <c r="J147" s="41"/>
      <c r="K147" s="41"/>
      <c r="L147" s="41"/>
      <c r="M147" s="43"/>
      <c r="N147" s="41"/>
      <c r="O147" s="41"/>
      <c r="P147" s="41"/>
      <c r="Q147" s="41"/>
      <c r="R147" s="41"/>
      <c r="S147" s="41"/>
      <c r="T147" s="43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3"/>
      <c r="AI14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7" s="42" t="str">
        <f ca="1">IF(Ноябрь[[#This Row],[УСЛУГ]]&lt;&gt;"",Ноябрь[[#This Row],[УСЛУГ]]*Ноябрь[[#This Row],[Периодичность]],"")</f>
        <v/>
      </c>
    </row>
    <row r="148" spans="1:36" ht="47.25" x14ac:dyDescent="0.25">
      <c r="A148" s="35" t="s">
        <v>151</v>
      </c>
      <c r="B148" s="36"/>
      <c r="C148" s="37">
        <v>0</v>
      </c>
      <c r="D148" s="38">
        <v>1</v>
      </c>
      <c r="E148" s="41"/>
      <c r="F148" s="43"/>
      <c r="G148" s="41"/>
      <c r="H148" s="41"/>
      <c r="I148" s="41"/>
      <c r="J148" s="41"/>
      <c r="K148" s="41"/>
      <c r="L148" s="41"/>
      <c r="M148" s="43"/>
      <c r="N148" s="41"/>
      <c r="O148" s="41"/>
      <c r="P148" s="41"/>
      <c r="Q148" s="41"/>
      <c r="R148" s="41"/>
      <c r="S148" s="41"/>
      <c r="T148" s="43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3"/>
      <c r="AI148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48" s="42">
        <f ca="1">IF(Ноябрь[[#This Row],[УСЛУГ]]&lt;&gt;"",Ноябрь[[#This Row],[УСЛУГ]]*Ноябрь[[#This Row],[Периодичность]],"")</f>
        <v>0</v>
      </c>
    </row>
    <row r="149" spans="1:36" x14ac:dyDescent="0.25">
      <c r="A149" s="35"/>
      <c r="B149" s="36"/>
      <c r="C149" s="37">
        <v>0</v>
      </c>
      <c r="D149" s="38">
        <v>2</v>
      </c>
      <c r="E149" s="41"/>
      <c r="F149" s="43"/>
      <c r="G149" s="41"/>
      <c r="H149" s="41"/>
      <c r="I149" s="41"/>
      <c r="J149" s="41"/>
      <c r="K149" s="41"/>
      <c r="L149" s="41"/>
      <c r="M149" s="43"/>
      <c r="N149" s="41"/>
      <c r="O149" s="41"/>
      <c r="P149" s="41"/>
      <c r="Q149" s="41"/>
      <c r="R149" s="41"/>
      <c r="S149" s="41"/>
      <c r="T149" s="43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3"/>
      <c r="AI14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49" s="42" t="str">
        <f ca="1">IF(Ноябрь[[#This Row],[УСЛУГ]]&lt;&gt;"",Ноябрь[[#This Row],[УСЛУГ]]*Ноябрь[[#This Row],[Периодичность]],"")</f>
        <v/>
      </c>
    </row>
    <row r="150" spans="1:36" x14ac:dyDescent="0.25">
      <c r="A150" s="35"/>
      <c r="B150" s="36"/>
      <c r="C150" s="37">
        <v>0</v>
      </c>
      <c r="D150" s="38">
        <v>3</v>
      </c>
      <c r="E150" s="41"/>
      <c r="F150" s="43"/>
      <c r="G150" s="41"/>
      <c r="H150" s="41"/>
      <c r="I150" s="41"/>
      <c r="J150" s="41"/>
      <c r="K150" s="41"/>
      <c r="L150" s="41"/>
      <c r="M150" s="43"/>
      <c r="N150" s="41"/>
      <c r="O150" s="41"/>
      <c r="P150" s="41"/>
      <c r="Q150" s="41"/>
      <c r="R150" s="41"/>
      <c r="S150" s="41"/>
      <c r="T150" s="43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3"/>
      <c r="AI15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0" s="42" t="str">
        <f ca="1">IF(Ноябрь[[#This Row],[УСЛУГ]]&lt;&gt;"",Ноябрь[[#This Row],[УСЛУГ]]*Ноябрь[[#This Row],[Периодичность]],"")</f>
        <v/>
      </c>
    </row>
    <row r="151" spans="1:36" ht="47.25" x14ac:dyDescent="0.25">
      <c r="A151" s="35" t="s">
        <v>75</v>
      </c>
      <c r="B151" s="36"/>
      <c r="C151" s="37">
        <v>0</v>
      </c>
      <c r="D151" s="38">
        <v>1</v>
      </c>
      <c r="E151" s="41"/>
      <c r="F151" s="43"/>
      <c r="G151" s="41"/>
      <c r="H151" s="41"/>
      <c r="I151" s="41"/>
      <c r="J151" s="41"/>
      <c r="K151" s="41"/>
      <c r="L151" s="41"/>
      <c r="M151" s="43"/>
      <c r="N151" s="41"/>
      <c r="O151" s="41"/>
      <c r="P151" s="41"/>
      <c r="Q151" s="41"/>
      <c r="R151" s="41"/>
      <c r="S151" s="41"/>
      <c r="T151" s="43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3"/>
      <c r="AI151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51" s="42">
        <f ca="1">IF(Ноябрь[[#This Row],[УСЛУГ]]&lt;&gt;"",Ноябрь[[#This Row],[УСЛУГ]]*Ноябрь[[#This Row],[Периодичность]],"")</f>
        <v>0</v>
      </c>
    </row>
    <row r="152" spans="1:36" x14ac:dyDescent="0.25">
      <c r="A152" s="35"/>
      <c r="B152" s="36"/>
      <c r="C152" s="37">
        <v>0</v>
      </c>
      <c r="D152" s="38">
        <v>2</v>
      </c>
      <c r="E152" s="41"/>
      <c r="F152" s="43"/>
      <c r="G152" s="41"/>
      <c r="H152" s="41"/>
      <c r="I152" s="41"/>
      <c r="J152" s="41"/>
      <c r="K152" s="41"/>
      <c r="L152" s="41"/>
      <c r="M152" s="43"/>
      <c r="N152" s="41"/>
      <c r="O152" s="41"/>
      <c r="P152" s="41"/>
      <c r="Q152" s="41"/>
      <c r="R152" s="41"/>
      <c r="S152" s="41"/>
      <c r="T152" s="43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3"/>
      <c r="AI15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2" s="42" t="str">
        <f ca="1">IF(Ноябрь[[#This Row],[УСЛУГ]]&lt;&gt;"",Ноябрь[[#This Row],[УСЛУГ]]*Ноябрь[[#This Row],[Периодичность]],"")</f>
        <v/>
      </c>
    </row>
    <row r="153" spans="1:36" x14ac:dyDescent="0.25">
      <c r="A153" s="35"/>
      <c r="B153" s="36"/>
      <c r="C153" s="37">
        <v>0</v>
      </c>
      <c r="D153" s="38">
        <v>3</v>
      </c>
      <c r="E153" s="41"/>
      <c r="F153" s="43"/>
      <c r="G153" s="41"/>
      <c r="H153" s="41"/>
      <c r="I153" s="41"/>
      <c r="J153" s="41"/>
      <c r="K153" s="41"/>
      <c r="L153" s="41"/>
      <c r="M153" s="43"/>
      <c r="N153" s="41"/>
      <c r="O153" s="41"/>
      <c r="P153" s="41"/>
      <c r="Q153" s="41"/>
      <c r="R153" s="41"/>
      <c r="S153" s="41"/>
      <c r="T153" s="43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3"/>
      <c r="AI15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3" s="42" t="str">
        <f ca="1">IF(Ноябрь[[#This Row],[УСЛУГ]]&lt;&gt;"",Ноябрь[[#This Row],[УСЛУГ]]*Ноябрь[[#This Row],[Периодичность]],"")</f>
        <v/>
      </c>
    </row>
    <row r="154" spans="1:36" ht="47.25" x14ac:dyDescent="0.25">
      <c r="A154" s="35" t="s">
        <v>74</v>
      </c>
      <c r="B154" s="36"/>
      <c r="C154" s="37">
        <v>0</v>
      </c>
      <c r="D154" s="38">
        <v>1</v>
      </c>
      <c r="E154" s="41"/>
      <c r="F154" s="43"/>
      <c r="G154" s="41"/>
      <c r="H154" s="41"/>
      <c r="I154" s="41"/>
      <c r="J154" s="41"/>
      <c r="K154" s="41"/>
      <c r="L154" s="41"/>
      <c r="M154" s="43"/>
      <c r="N154" s="41"/>
      <c r="O154" s="41"/>
      <c r="P154" s="41"/>
      <c r="Q154" s="41"/>
      <c r="R154" s="41"/>
      <c r="S154" s="41"/>
      <c r="T154" s="43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3"/>
      <c r="AI154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54" s="42">
        <f ca="1">IF(Ноябрь[[#This Row],[УСЛУГ]]&lt;&gt;"",Ноябрь[[#This Row],[УСЛУГ]]*Ноябрь[[#This Row],[Периодичность]],"")</f>
        <v>0</v>
      </c>
    </row>
    <row r="155" spans="1:36" x14ac:dyDescent="0.25">
      <c r="A155" s="35"/>
      <c r="B155" s="36"/>
      <c r="C155" s="37">
        <v>0</v>
      </c>
      <c r="D155" s="38">
        <v>2</v>
      </c>
      <c r="E155" s="41"/>
      <c r="F155" s="43"/>
      <c r="G155" s="41"/>
      <c r="H155" s="41"/>
      <c r="I155" s="41"/>
      <c r="J155" s="41"/>
      <c r="K155" s="41"/>
      <c r="L155" s="41"/>
      <c r="M155" s="43"/>
      <c r="N155" s="41"/>
      <c r="O155" s="41"/>
      <c r="P155" s="41"/>
      <c r="Q155" s="41"/>
      <c r="R155" s="41"/>
      <c r="S155" s="41"/>
      <c r="T155" s="43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3"/>
      <c r="AI15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5" s="42" t="str">
        <f ca="1">IF(Ноябрь[[#This Row],[УСЛУГ]]&lt;&gt;"",Ноябрь[[#This Row],[УСЛУГ]]*Ноябрь[[#This Row],[Периодичность]],"")</f>
        <v/>
      </c>
    </row>
    <row r="156" spans="1:36" x14ac:dyDescent="0.25">
      <c r="A156" s="35"/>
      <c r="B156" s="36"/>
      <c r="C156" s="37">
        <v>0</v>
      </c>
      <c r="D156" s="38">
        <v>3</v>
      </c>
      <c r="E156" s="41"/>
      <c r="F156" s="43"/>
      <c r="G156" s="41"/>
      <c r="H156" s="41"/>
      <c r="I156" s="41"/>
      <c r="J156" s="41"/>
      <c r="K156" s="41"/>
      <c r="L156" s="41"/>
      <c r="M156" s="43"/>
      <c r="N156" s="41"/>
      <c r="O156" s="41"/>
      <c r="P156" s="41"/>
      <c r="Q156" s="41"/>
      <c r="R156" s="41"/>
      <c r="S156" s="41"/>
      <c r="T156" s="43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3"/>
      <c r="AI156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6" s="42" t="str">
        <f ca="1">IF(Ноябрь[[#This Row],[УСЛУГ]]&lt;&gt;"",Ноябрь[[#This Row],[УСЛУГ]]*Ноябрь[[#This Row],[Периодичность]],"")</f>
        <v/>
      </c>
    </row>
    <row r="157" spans="1:36" ht="47.25" x14ac:dyDescent="0.25">
      <c r="A157" s="35" t="s">
        <v>152</v>
      </c>
      <c r="B157" s="36"/>
      <c r="C157" s="37">
        <v>0</v>
      </c>
      <c r="D157" s="38">
        <v>1</v>
      </c>
      <c r="E157" s="41"/>
      <c r="F157" s="43"/>
      <c r="G157" s="41"/>
      <c r="H157" s="41"/>
      <c r="I157" s="41"/>
      <c r="J157" s="41"/>
      <c r="K157" s="41"/>
      <c r="L157" s="41"/>
      <c r="M157" s="43"/>
      <c r="N157" s="41"/>
      <c r="O157" s="41"/>
      <c r="P157" s="41"/>
      <c r="Q157" s="41"/>
      <c r="R157" s="41"/>
      <c r="S157" s="41"/>
      <c r="T157" s="43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3"/>
      <c r="AI157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57" s="42">
        <f ca="1">IF(Ноябрь[[#This Row],[УСЛУГ]]&lt;&gt;"",Ноябрь[[#This Row],[УСЛУГ]]*Ноябрь[[#This Row],[Периодичность]],"")</f>
        <v>0</v>
      </c>
    </row>
    <row r="158" spans="1:36" x14ac:dyDescent="0.25">
      <c r="A158" s="35"/>
      <c r="B158" s="36"/>
      <c r="C158" s="37">
        <v>0</v>
      </c>
      <c r="D158" s="38">
        <v>2</v>
      </c>
      <c r="E158" s="41"/>
      <c r="F158" s="43"/>
      <c r="G158" s="41"/>
      <c r="H158" s="41"/>
      <c r="I158" s="41"/>
      <c r="J158" s="41"/>
      <c r="K158" s="41"/>
      <c r="L158" s="41"/>
      <c r="M158" s="43"/>
      <c r="N158" s="41"/>
      <c r="O158" s="41"/>
      <c r="P158" s="41"/>
      <c r="Q158" s="41"/>
      <c r="R158" s="41"/>
      <c r="S158" s="41"/>
      <c r="T158" s="43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3"/>
      <c r="AI15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8" s="42" t="str">
        <f ca="1">IF(Ноябрь[[#This Row],[УСЛУГ]]&lt;&gt;"",Ноябрь[[#This Row],[УСЛУГ]]*Ноябрь[[#This Row],[Периодичность]],"")</f>
        <v/>
      </c>
    </row>
    <row r="159" spans="1:36" x14ac:dyDescent="0.25">
      <c r="A159" s="35"/>
      <c r="B159" s="36"/>
      <c r="C159" s="37">
        <v>0</v>
      </c>
      <c r="D159" s="38">
        <v>3</v>
      </c>
      <c r="E159" s="41"/>
      <c r="F159" s="43"/>
      <c r="G159" s="41"/>
      <c r="H159" s="41"/>
      <c r="I159" s="41"/>
      <c r="J159" s="41"/>
      <c r="K159" s="41"/>
      <c r="L159" s="41"/>
      <c r="M159" s="43"/>
      <c r="N159" s="41"/>
      <c r="O159" s="41"/>
      <c r="P159" s="41"/>
      <c r="Q159" s="41"/>
      <c r="R159" s="41"/>
      <c r="S159" s="41"/>
      <c r="T159" s="43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3"/>
      <c r="AI159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59" s="42" t="str">
        <f ca="1">IF(Ноябрь[[#This Row],[УСЛУГ]]&lt;&gt;"",Ноябрь[[#This Row],[УСЛУГ]]*Ноябрь[[#This Row],[Периодичность]],"")</f>
        <v/>
      </c>
    </row>
    <row r="160" spans="1:36" ht="47.25" x14ac:dyDescent="0.25">
      <c r="A160" s="35" t="s">
        <v>153</v>
      </c>
      <c r="B160" s="36"/>
      <c r="C160" s="37">
        <v>0</v>
      </c>
      <c r="D160" s="38">
        <v>1</v>
      </c>
      <c r="E160" s="41"/>
      <c r="F160" s="43"/>
      <c r="G160" s="41"/>
      <c r="H160" s="41"/>
      <c r="I160" s="41"/>
      <c r="J160" s="41"/>
      <c r="K160" s="41"/>
      <c r="L160" s="41"/>
      <c r="M160" s="43"/>
      <c r="N160" s="41"/>
      <c r="O160" s="41"/>
      <c r="P160" s="41"/>
      <c r="Q160" s="41"/>
      <c r="R160" s="41"/>
      <c r="S160" s="41"/>
      <c r="T160" s="43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3"/>
      <c r="AI160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60" s="42">
        <f ca="1">IF(Ноябрь[[#This Row],[УСЛУГ]]&lt;&gt;"",Ноябрь[[#This Row],[УСЛУГ]]*Ноябрь[[#This Row],[Периодичность]],"")</f>
        <v>0</v>
      </c>
    </row>
    <row r="161" spans="1:36" x14ac:dyDescent="0.25">
      <c r="A161" s="35"/>
      <c r="B161" s="36"/>
      <c r="C161" s="37">
        <v>0</v>
      </c>
      <c r="D161" s="38">
        <v>2</v>
      </c>
      <c r="E161" s="41"/>
      <c r="F161" s="43"/>
      <c r="G161" s="41"/>
      <c r="H161" s="41"/>
      <c r="I161" s="41"/>
      <c r="J161" s="41"/>
      <c r="K161" s="41"/>
      <c r="L161" s="41"/>
      <c r="M161" s="43"/>
      <c r="N161" s="41"/>
      <c r="O161" s="41"/>
      <c r="P161" s="41"/>
      <c r="Q161" s="41"/>
      <c r="R161" s="41"/>
      <c r="S161" s="41"/>
      <c r="T161" s="43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3"/>
      <c r="AI16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1" s="42" t="str">
        <f ca="1">IF(Ноябрь[[#This Row],[УСЛУГ]]&lt;&gt;"",Ноябрь[[#This Row],[УСЛУГ]]*Ноябрь[[#This Row],[Периодичность]],"")</f>
        <v/>
      </c>
    </row>
    <row r="162" spans="1:36" x14ac:dyDescent="0.25">
      <c r="A162" s="35"/>
      <c r="B162" s="36"/>
      <c r="C162" s="37">
        <v>0</v>
      </c>
      <c r="D162" s="38">
        <v>3</v>
      </c>
      <c r="E162" s="41"/>
      <c r="F162" s="43"/>
      <c r="G162" s="41"/>
      <c r="H162" s="41"/>
      <c r="I162" s="41"/>
      <c r="J162" s="41"/>
      <c r="K162" s="41"/>
      <c r="L162" s="41"/>
      <c r="M162" s="43"/>
      <c r="N162" s="41"/>
      <c r="O162" s="41"/>
      <c r="P162" s="41"/>
      <c r="Q162" s="41"/>
      <c r="R162" s="41"/>
      <c r="S162" s="41"/>
      <c r="T162" s="43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3"/>
      <c r="AI162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2" s="42" t="str">
        <f ca="1">IF(Ноябрь[[#This Row],[УСЛУГ]]&lt;&gt;"",Ноябрь[[#This Row],[УСЛУГ]]*Ноябрь[[#This Row],[Периодичность]],"")</f>
        <v/>
      </c>
    </row>
    <row r="163" spans="1:36" ht="47.25" x14ac:dyDescent="0.25">
      <c r="A163" s="35" t="s">
        <v>154</v>
      </c>
      <c r="B163" s="36"/>
      <c r="C163" s="37">
        <v>0</v>
      </c>
      <c r="D163" s="38">
        <v>1</v>
      </c>
      <c r="E163" s="41"/>
      <c r="F163" s="43"/>
      <c r="G163" s="41"/>
      <c r="H163" s="41"/>
      <c r="I163" s="41"/>
      <c r="J163" s="41"/>
      <c r="K163" s="41"/>
      <c r="L163" s="41"/>
      <c r="M163" s="43"/>
      <c r="N163" s="41"/>
      <c r="O163" s="41"/>
      <c r="P163" s="41"/>
      <c r="Q163" s="41"/>
      <c r="R163" s="41"/>
      <c r="S163" s="41"/>
      <c r="T163" s="43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3"/>
      <c r="AI163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63" s="42">
        <f ca="1">IF(Ноябрь[[#This Row],[УСЛУГ]]&lt;&gt;"",Ноябрь[[#This Row],[УСЛУГ]]*Ноябрь[[#This Row],[Периодичность]],"")</f>
        <v>0</v>
      </c>
    </row>
    <row r="164" spans="1:36" x14ac:dyDescent="0.25">
      <c r="A164" s="35"/>
      <c r="B164" s="36"/>
      <c r="C164" s="37">
        <v>0</v>
      </c>
      <c r="D164" s="38">
        <v>2</v>
      </c>
      <c r="E164" s="41"/>
      <c r="F164" s="43"/>
      <c r="G164" s="41"/>
      <c r="H164" s="41"/>
      <c r="I164" s="41"/>
      <c r="J164" s="41"/>
      <c r="K164" s="41"/>
      <c r="L164" s="41"/>
      <c r="M164" s="43"/>
      <c r="N164" s="41"/>
      <c r="O164" s="41"/>
      <c r="P164" s="41"/>
      <c r="Q164" s="41"/>
      <c r="R164" s="41"/>
      <c r="S164" s="41"/>
      <c r="T164" s="43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3"/>
      <c r="AI16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4" s="42" t="str">
        <f ca="1">IF(Ноябрь[[#This Row],[УСЛУГ]]&lt;&gt;"",Ноябрь[[#This Row],[УСЛУГ]]*Ноябрь[[#This Row],[Периодичность]],"")</f>
        <v/>
      </c>
    </row>
    <row r="165" spans="1:36" x14ac:dyDescent="0.25">
      <c r="A165" s="35"/>
      <c r="B165" s="36"/>
      <c r="C165" s="37">
        <v>0</v>
      </c>
      <c r="D165" s="38">
        <v>3</v>
      </c>
      <c r="E165" s="41"/>
      <c r="F165" s="43"/>
      <c r="G165" s="41"/>
      <c r="H165" s="41"/>
      <c r="I165" s="41"/>
      <c r="J165" s="41"/>
      <c r="K165" s="41"/>
      <c r="L165" s="41"/>
      <c r="M165" s="43"/>
      <c r="N165" s="41"/>
      <c r="O165" s="41"/>
      <c r="P165" s="41"/>
      <c r="Q165" s="41"/>
      <c r="R165" s="41"/>
      <c r="S165" s="41"/>
      <c r="T165" s="43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3"/>
      <c r="AI165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5" s="42" t="str">
        <f ca="1">IF(Ноябрь[[#This Row],[УСЛУГ]]&lt;&gt;"",Ноябрь[[#This Row],[УСЛУГ]]*Ноябрь[[#This Row],[Периодичность]],"")</f>
        <v/>
      </c>
    </row>
    <row r="166" spans="1:36" ht="47.25" x14ac:dyDescent="0.25">
      <c r="A166" s="35" t="s">
        <v>73</v>
      </c>
      <c r="B166" s="36"/>
      <c r="C166" s="37">
        <v>0</v>
      </c>
      <c r="D166" s="38">
        <v>1</v>
      </c>
      <c r="E166" s="41"/>
      <c r="F166" s="43"/>
      <c r="G166" s="41"/>
      <c r="H166" s="41"/>
      <c r="I166" s="41"/>
      <c r="J166" s="41"/>
      <c r="K166" s="41"/>
      <c r="L166" s="41"/>
      <c r="M166" s="43"/>
      <c r="N166" s="41"/>
      <c r="O166" s="41"/>
      <c r="P166" s="41"/>
      <c r="Q166" s="41"/>
      <c r="R166" s="41"/>
      <c r="S166" s="41"/>
      <c r="T166" s="43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3"/>
      <c r="AI166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66" s="42">
        <f ca="1">IF(Ноябрь[[#This Row],[УСЛУГ]]&lt;&gt;"",Ноябрь[[#This Row],[УСЛУГ]]*Ноябрь[[#This Row],[Периодичность]],"")</f>
        <v>0</v>
      </c>
    </row>
    <row r="167" spans="1:36" x14ac:dyDescent="0.25">
      <c r="A167" s="35"/>
      <c r="B167" s="36"/>
      <c r="C167" s="37">
        <v>0</v>
      </c>
      <c r="D167" s="38">
        <v>2</v>
      </c>
      <c r="E167" s="41"/>
      <c r="F167" s="43"/>
      <c r="G167" s="41"/>
      <c r="H167" s="41"/>
      <c r="I167" s="41"/>
      <c r="J167" s="41"/>
      <c r="K167" s="41"/>
      <c r="L167" s="41"/>
      <c r="M167" s="43"/>
      <c r="N167" s="41"/>
      <c r="O167" s="41"/>
      <c r="P167" s="41"/>
      <c r="Q167" s="41"/>
      <c r="R167" s="41"/>
      <c r="S167" s="41"/>
      <c r="T167" s="43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3"/>
      <c r="AI167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7" s="42" t="str">
        <f ca="1">IF(Ноябрь[[#This Row],[УСЛУГ]]&lt;&gt;"",Ноябрь[[#This Row],[УСЛУГ]]*Ноябрь[[#This Row],[Периодичность]],"")</f>
        <v/>
      </c>
    </row>
    <row r="168" spans="1:36" x14ac:dyDescent="0.25">
      <c r="A168" s="35"/>
      <c r="B168" s="36"/>
      <c r="C168" s="37">
        <v>0</v>
      </c>
      <c r="D168" s="38">
        <v>3</v>
      </c>
      <c r="E168" s="41"/>
      <c r="F168" s="43"/>
      <c r="G168" s="41"/>
      <c r="H168" s="41"/>
      <c r="I168" s="41"/>
      <c r="J168" s="41"/>
      <c r="K168" s="41"/>
      <c r="L168" s="41"/>
      <c r="M168" s="43"/>
      <c r="N168" s="41"/>
      <c r="O168" s="41"/>
      <c r="P168" s="41"/>
      <c r="Q168" s="41"/>
      <c r="R168" s="41"/>
      <c r="S168" s="41"/>
      <c r="T168" s="43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3"/>
      <c r="AI168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68" s="42" t="str">
        <f ca="1">IF(Ноябрь[[#This Row],[УСЛУГ]]&lt;&gt;"",Ноябрь[[#This Row],[УСЛУГ]]*Ноябрь[[#This Row],[Периодичность]],"")</f>
        <v/>
      </c>
    </row>
    <row r="169" spans="1:36" ht="47.25" x14ac:dyDescent="0.25">
      <c r="A169" s="35" t="s">
        <v>155</v>
      </c>
      <c r="B169" s="36"/>
      <c r="C169" s="37">
        <v>0</v>
      </c>
      <c r="D169" s="38">
        <v>1</v>
      </c>
      <c r="E169" s="41"/>
      <c r="F169" s="43"/>
      <c r="G169" s="41"/>
      <c r="H169" s="41"/>
      <c r="I169" s="41"/>
      <c r="J169" s="41"/>
      <c r="K169" s="41"/>
      <c r="L169" s="41"/>
      <c r="M169" s="43"/>
      <c r="N169" s="41"/>
      <c r="O169" s="41"/>
      <c r="P169" s="41"/>
      <c r="Q169" s="41"/>
      <c r="R169" s="41"/>
      <c r="S169" s="41"/>
      <c r="T169" s="43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3"/>
      <c r="AI169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69" s="42">
        <f ca="1">IF(Ноябрь[[#This Row],[УСЛУГ]]&lt;&gt;"",Ноябрь[[#This Row],[УСЛУГ]]*Ноябрь[[#This Row],[Периодичность]],"")</f>
        <v>0</v>
      </c>
    </row>
    <row r="170" spans="1:36" x14ac:dyDescent="0.25">
      <c r="A170" s="35"/>
      <c r="B170" s="36"/>
      <c r="C170" s="37">
        <v>0</v>
      </c>
      <c r="D170" s="38">
        <v>2</v>
      </c>
      <c r="E170" s="41"/>
      <c r="F170" s="43"/>
      <c r="G170" s="41"/>
      <c r="H170" s="41"/>
      <c r="I170" s="41"/>
      <c r="J170" s="41"/>
      <c r="K170" s="41"/>
      <c r="L170" s="41"/>
      <c r="M170" s="43"/>
      <c r="N170" s="41"/>
      <c r="O170" s="41"/>
      <c r="P170" s="41"/>
      <c r="Q170" s="41"/>
      <c r="R170" s="41"/>
      <c r="S170" s="41"/>
      <c r="T170" s="43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3"/>
      <c r="AI170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70" s="42" t="str">
        <f ca="1">IF(Ноябрь[[#This Row],[УСЛУГ]]&lt;&gt;"",Ноябрь[[#This Row],[УСЛУГ]]*Ноябрь[[#This Row],[Периодичность]],"")</f>
        <v/>
      </c>
    </row>
    <row r="171" spans="1:36" x14ac:dyDescent="0.25">
      <c r="A171" s="35"/>
      <c r="B171" s="36"/>
      <c r="C171" s="37">
        <v>0</v>
      </c>
      <c r="D171" s="38">
        <v>3</v>
      </c>
      <c r="E171" s="41"/>
      <c r="F171" s="43"/>
      <c r="G171" s="41"/>
      <c r="H171" s="41"/>
      <c r="I171" s="41"/>
      <c r="J171" s="41"/>
      <c r="K171" s="41"/>
      <c r="L171" s="41"/>
      <c r="M171" s="43"/>
      <c r="N171" s="41"/>
      <c r="O171" s="41"/>
      <c r="P171" s="41"/>
      <c r="Q171" s="41"/>
      <c r="R171" s="41"/>
      <c r="S171" s="41"/>
      <c r="T171" s="43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3"/>
      <c r="AI171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71" s="42" t="str">
        <f ca="1">IF(Ноябрь[[#This Row],[УСЛУГ]]&lt;&gt;"",Ноябрь[[#This Row],[УСЛУГ]]*Ноябрь[[#This Row],[Периодичность]],"")</f>
        <v/>
      </c>
    </row>
    <row r="172" spans="1:36" ht="47.25" x14ac:dyDescent="0.25">
      <c r="A172" s="35" t="s">
        <v>72</v>
      </c>
      <c r="B172" s="36"/>
      <c r="C172" s="37">
        <v>0</v>
      </c>
      <c r="D172" s="38">
        <v>1</v>
      </c>
      <c r="E172" s="41"/>
      <c r="F172" s="43"/>
      <c r="G172" s="41"/>
      <c r="H172" s="41"/>
      <c r="I172" s="41"/>
      <c r="J172" s="41"/>
      <c r="K172" s="41"/>
      <c r="L172" s="41"/>
      <c r="M172" s="43"/>
      <c r="N172" s="41"/>
      <c r="O172" s="41"/>
      <c r="P172" s="41"/>
      <c r="Q172" s="41"/>
      <c r="R172" s="41"/>
      <c r="S172" s="41"/>
      <c r="T172" s="43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3"/>
      <c r="AI172" s="42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>0</v>
      </c>
      <c r="AJ172" s="42">
        <f ca="1">IF(Ноябрь[[#This Row],[УСЛУГ]]&lt;&gt;"",Ноябрь[[#This Row],[УСЛУГ]]*Ноябрь[[#This Row],[Периодичность]],"")</f>
        <v>0</v>
      </c>
    </row>
    <row r="173" spans="1:36" x14ac:dyDescent="0.25">
      <c r="A173" s="35"/>
      <c r="B173" s="36"/>
      <c r="C173" s="37">
        <v>0</v>
      </c>
      <c r="D173" s="38">
        <v>2</v>
      </c>
      <c r="E173" s="41"/>
      <c r="F173" s="43"/>
      <c r="G173" s="41"/>
      <c r="H173" s="41"/>
      <c r="I173" s="41"/>
      <c r="J173" s="41"/>
      <c r="K173" s="41"/>
      <c r="L173" s="41"/>
      <c r="M173" s="43"/>
      <c r="N173" s="41"/>
      <c r="O173" s="41"/>
      <c r="P173" s="41"/>
      <c r="Q173" s="41"/>
      <c r="R173" s="41"/>
      <c r="S173" s="41"/>
      <c r="T173" s="43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3"/>
      <c r="AI173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73" s="42" t="str">
        <f ca="1">IF(Ноябрь[[#This Row],[УСЛУГ]]&lt;&gt;"",Ноябрь[[#This Row],[УСЛУГ]]*Ноябрь[[#This Row],[Периодичность]],"")</f>
        <v/>
      </c>
    </row>
    <row r="174" spans="1:36" x14ac:dyDescent="0.25">
      <c r="A174" s="35"/>
      <c r="B174" s="36"/>
      <c r="C174" s="37">
        <v>0</v>
      </c>
      <c r="D174" s="38">
        <v>3</v>
      </c>
      <c r="E174" s="41"/>
      <c r="F174" s="43"/>
      <c r="G174" s="41"/>
      <c r="H174" s="41"/>
      <c r="I174" s="41"/>
      <c r="J174" s="41"/>
      <c r="K174" s="41"/>
      <c r="L174" s="41"/>
      <c r="M174" s="43"/>
      <c r="N174" s="41"/>
      <c r="O174" s="41"/>
      <c r="P174" s="41"/>
      <c r="Q174" s="41"/>
      <c r="R174" s="41"/>
      <c r="S174" s="41"/>
      <c r="T174" s="43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3"/>
      <c r="AI174" s="42" t="str">
        <f ca="1">IF(OFFSET(Ноябрь[[#This Row],[№]],1,)=2,IF(OFFSET(Ноябрь[[#This Row],[№]],2,)=3,SUM(Ноябрь[[#This Row],[1]:[30]])+SUM(OFFSET(Ноябрь[[#This Row],[1]:[30]],1,))+SUM(OFFSET(Ноябрь[[#This Row],[1]:[30]],2,)),SUM(Ноябрь[[#This Row],[1]:[30]])+SUM(OFFSET(Ноябрь[[#This Row],[1]:[30]],1,))),IF(OFFSET(Ноябрь[[#This Row],[№]],2,)=3,SUM(Ноябрь[[#This Row],[1]:[30]])+SUM(OFFSET(Ноябрь[[#This Row],[1]:[30]],2,)),""))</f>
        <v/>
      </c>
      <c r="AJ174" s="42" t="str">
        <f ca="1">IF(Ноябрь[[#This Row],[УСЛУГ]]&lt;&gt;"",Ноябрь[[#This Row],[УСЛУГ]]*Ноябрь[[#This Row],[Периодичность]],"")</f>
        <v/>
      </c>
    </row>
  </sheetData>
  <mergeCells count="20">
    <mergeCell ref="AI7:AI11"/>
    <mergeCell ref="AJ7:AJ11"/>
    <mergeCell ref="E10:AH11"/>
    <mergeCell ref="A19:A23"/>
    <mergeCell ref="B19:C23"/>
    <mergeCell ref="D19:D23"/>
    <mergeCell ref="E19:AH20"/>
    <mergeCell ref="AI19:AI23"/>
    <mergeCell ref="AJ19:AJ23"/>
    <mergeCell ref="E22:AH23"/>
    <mergeCell ref="A7:A11"/>
    <mergeCell ref="B7:B11"/>
    <mergeCell ref="C7:C11"/>
    <mergeCell ref="D7:D11"/>
    <mergeCell ref="E7:AH8"/>
    <mergeCell ref="A2:AJ2"/>
    <mergeCell ref="A3:AJ3"/>
    <mergeCell ref="J4:L4"/>
    <mergeCell ref="M4:U4"/>
    <mergeCell ref="M5:Q5"/>
  </mergeCells>
  <conditionalFormatting sqref="E9:AH9">
    <cfRule type="expression" dxfId="200" priority="2">
      <formula>WEEKDAY(E9:AH9,2)&gt;5</formula>
    </cfRule>
  </conditionalFormatting>
  <conditionalFormatting sqref="E21:AH21">
    <cfRule type="expression" dxfId="199" priority="1">
      <formula>WEEKDAY(E21:AH21,2)&gt;5</formula>
    </cfRule>
  </conditionalFormatting>
  <dataValidations count="2">
    <dataValidation type="list" allowBlank="1" showInputMessage="1" showErrorMessage="1" sqref="A25:A174">
      <formula1>INDIRECT("Услуги[Кратко]")</formula1>
    </dataValidation>
    <dataValidation type="list" allowBlank="1" showInputMessage="1" showErrorMessage="1" sqref="D25:D174">
      <formula1>INDIRECT("Посещения")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0" orientation="landscape" horizontalDpi="300" verticalDpi="300" r:id="rId1"/>
  <ignoredErrors>
    <ignoredError sqref="E13:E17 AI17:AJ17 B13:B17" calculatedColumn="1"/>
  </ignoredErrors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74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8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8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8" ht="18.75" x14ac:dyDescent="0.25">
      <c r="L5" s="12" t="s">
        <v>69</v>
      </c>
      <c r="M5" s="68" t="s">
        <v>139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54"/>
      <c r="B7" s="62" t="s">
        <v>115</v>
      </c>
      <c r="C7" s="62" t="s">
        <v>114</v>
      </c>
      <c r="D7" s="63" t="s">
        <v>61</v>
      </c>
      <c r="E7" s="48" t="s">
        <v>55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/>
      <c r="AJ7" s="44" t="s">
        <v>64</v>
      </c>
      <c r="AK7" s="45" t="s">
        <v>64</v>
      </c>
    </row>
    <row r="8" spans="1:38" x14ac:dyDescent="0.25">
      <c r="A8" s="54"/>
      <c r="B8" s="57"/>
      <c r="C8" s="57"/>
      <c r="D8" s="64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60"/>
      <c r="AJ8" s="44"/>
      <c r="AK8" s="46"/>
    </row>
    <row r="9" spans="1:38" x14ac:dyDescent="0.25">
      <c r="A9" s="54"/>
      <c r="B9" s="57"/>
      <c r="C9" s="57"/>
      <c r="D9" s="64"/>
      <c r="E9" s="23">
        <f>Настройки!E18</f>
        <v>45261</v>
      </c>
      <c r="F9" s="23">
        <f>Настройки!F18</f>
        <v>45262</v>
      </c>
      <c r="G9" s="23">
        <f>Настройки!G18</f>
        <v>45263</v>
      </c>
      <c r="H9" s="23">
        <f>Настройки!H18</f>
        <v>45264</v>
      </c>
      <c r="I9" s="23">
        <f>Настройки!I18</f>
        <v>45265</v>
      </c>
      <c r="J9" s="23">
        <f>Настройки!J18</f>
        <v>45266</v>
      </c>
      <c r="K9" s="23">
        <f>Настройки!K18</f>
        <v>45267</v>
      </c>
      <c r="L9" s="23">
        <f>Настройки!L18</f>
        <v>45268</v>
      </c>
      <c r="M9" s="23">
        <f>Настройки!M18</f>
        <v>45269</v>
      </c>
      <c r="N9" s="23">
        <f>Настройки!N18</f>
        <v>45270</v>
      </c>
      <c r="O9" s="23">
        <f>Настройки!O18</f>
        <v>45271</v>
      </c>
      <c r="P9" s="23">
        <f>Настройки!P18</f>
        <v>45272</v>
      </c>
      <c r="Q9" s="23">
        <f>Настройки!Q18</f>
        <v>45273</v>
      </c>
      <c r="R9" s="23">
        <f>Настройки!R18</f>
        <v>45274</v>
      </c>
      <c r="S9" s="23">
        <f>Настройки!S18</f>
        <v>45275</v>
      </c>
      <c r="T9" s="23">
        <f>Настройки!T18</f>
        <v>45276</v>
      </c>
      <c r="U9" s="23">
        <f>Настройки!U18</f>
        <v>45277</v>
      </c>
      <c r="V9" s="23">
        <f>Настройки!V18</f>
        <v>45278</v>
      </c>
      <c r="W9" s="23">
        <f>Настройки!W18</f>
        <v>45279</v>
      </c>
      <c r="X9" s="23">
        <f>Настройки!X18</f>
        <v>45280</v>
      </c>
      <c r="Y9" s="23">
        <f>Настройки!Y18</f>
        <v>45281</v>
      </c>
      <c r="Z9" s="23">
        <f>Настройки!Z18</f>
        <v>45282</v>
      </c>
      <c r="AA9" s="23">
        <f>Настройки!AA18</f>
        <v>45283</v>
      </c>
      <c r="AB9" s="23">
        <f>Настройки!AB18</f>
        <v>45284</v>
      </c>
      <c r="AC9" s="23">
        <f>Настройки!AC18</f>
        <v>45285</v>
      </c>
      <c r="AD9" s="23">
        <f>Настройки!AD18</f>
        <v>45286</v>
      </c>
      <c r="AE9" s="23">
        <f>Настройки!AE18</f>
        <v>45287</v>
      </c>
      <c r="AF9" s="23">
        <f>Настройки!AF18</f>
        <v>45288</v>
      </c>
      <c r="AG9" s="23">
        <f>Настройки!AG18</f>
        <v>45289</v>
      </c>
      <c r="AH9" s="23">
        <f>Настройки!AH18</f>
        <v>45290</v>
      </c>
      <c r="AI9" s="23">
        <f>Настройки!AI18</f>
        <v>45291</v>
      </c>
      <c r="AJ9" s="44"/>
      <c r="AK9" s="46"/>
    </row>
    <row r="10" spans="1:38" x14ac:dyDescent="0.25">
      <c r="A10" s="54"/>
      <c r="B10" s="57"/>
      <c r="C10" s="57"/>
      <c r="D10" s="64"/>
      <c r="E10" s="48" t="s">
        <v>54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44"/>
      <c r="AK10" s="46"/>
    </row>
    <row r="11" spans="1:38" x14ac:dyDescent="0.25">
      <c r="A11" s="62"/>
      <c r="B11" s="57"/>
      <c r="C11" s="57"/>
      <c r="D11" s="64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3"/>
      <c r="AJ11" s="44"/>
      <c r="AK11" s="47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SUMPRODUCT((Настройки!$E$32:$AI$32=1)*E16:AI16)</f>
        <v>0</v>
      </c>
      <c r="D13" s="5">
        <v>1</v>
      </c>
      <c r="E13" s="30">
        <f>SUMPRODUCT((Декабрь[№]=1)*Декабрь[1],Декабрь[Периодичность])</f>
        <v>0</v>
      </c>
      <c r="F13" s="30">
        <f>SUMPRODUCT((Декабрь[№]=1)*Декабрь[2],Декабрь[Периодичность])</f>
        <v>0</v>
      </c>
      <c r="G13" s="30">
        <f>SUMPRODUCT((Декабрь[№]=1)*Декабрь[3],Декабрь[Периодичность])</f>
        <v>0</v>
      </c>
      <c r="H13" s="30">
        <f>SUMPRODUCT((Декабрь[№]=1)*Декабрь[4],Декабрь[Периодичность])</f>
        <v>0</v>
      </c>
      <c r="I13" s="30">
        <f>SUMPRODUCT((Декабрь[№]=1)*Декабрь[5],Декабрь[Периодичность])</f>
        <v>0</v>
      </c>
      <c r="J13" s="30">
        <f>SUMPRODUCT((Декабрь[№]=1)*Декабрь[6],Декабрь[Периодичность])</f>
        <v>0</v>
      </c>
      <c r="K13" s="30">
        <f>SUMPRODUCT((Декабрь[№]=1)*Декабрь[7],Декабрь[Периодичность])</f>
        <v>0</v>
      </c>
      <c r="L13" s="30">
        <f>SUMPRODUCT((Декабрь[№]=1)*Декабрь[8],Декабрь[Периодичность])</f>
        <v>0</v>
      </c>
      <c r="M13" s="30">
        <f>SUMPRODUCT((Декабрь[№]=1)*Декабрь[9],Декабрь[Периодичность])</f>
        <v>0</v>
      </c>
      <c r="N13" s="30">
        <f>SUMPRODUCT((Декабрь[№]=1)*Декабрь[10],Декабрь[Периодичность])</f>
        <v>0</v>
      </c>
      <c r="O13" s="30">
        <f>SUMPRODUCT((Декабрь[№]=1)*Декабрь[11],Декабрь[Периодичность])</f>
        <v>0</v>
      </c>
      <c r="P13" s="30">
        <f>SUMPRODUCT((Декабрь[№]=1)*Декабрь[12],Декабрь[Периодичность])</f>
        <v>0</v>
      </c>
      <c r="Q13" s="30">
        <f>SUMPRODUCT((Декабрь[№]=1)*Декабрь[13],Декабрь[Периодичность])</f>
        <v>0</v>
      </c>
      <c r="R13" s="30">
        <f>SUMPRODUCT((Декабрь[№]=1)*Декабрь[14],Декабрь[Периодичность])</f>
        <v>0</v>
      </c>
      <c r="S13" s="30">
        <f>SUMPRODUCT((Декабрь[№]=1)*Декабрь[15],Декабрь[Периодичность])</f>
        <v>0</v>
      </c>
      <c r="T13" s="30">
        <f>SUMPRODUCT((Декабрь[№]=1)*Декабрь[16],Декабрь[Периодичность])</f>
        <v>0</v>
      </c>
      <c r="U13" s="30">
        <f>SUMPRODUCT((Декабрь[№]=1)*Декабрь[17],Декабрь[Периодичность])</f>
        <v>0</v>
      </c>
      <c r="V13" s="30">
        <f>SUMPRODUCT((Декабрь[№]=1)*Декабрь[18],Декабрь[Периодичность])</f>
        <v>0</v>
      </c>
      <c r="W13" s="30">
        <f>SUMPRODUCT((Декабрь[№]=1)*Декабрь[19],Декабрь[Периодичность])</f>
        <v>0</v>
      </c>
      <c r="X13" s="30">
        <f>SUMPRODUCT((Декабрь[№]=1)*Декабрь[20],Декабрь[Периодичность])</f>
        <v>0</v>
      </c>
      <c r="Y13" s="30">
        <f>SUMPRODUCT((Декабрь[№]=1)*Декабрь[21],Декабрь[Периодичность])</f>
        <v>0</v>
      </c>
      <c r="Z13" s="30">
        <f>SUMPRODUCT((Декабрь[№]=1)*Декабрь[22],Декабрь[Периодичность])</f>
        <v>0</v>
      </c>
      <c r="AA13" s="30">
        <f>SUMPRODUCT((Декабрь[№]=1)*Декабрь[23],Декабрь[Периодичность])</f>
        <v>0</v>
      </c>
      <c r="AB13" s="30">
        <f>SUMPRODUCT((Декабрь[№]=1)*Декабрь[24],Декабрь[Периодичность])</f>
        <v>0</v>
      </c>
      <c r="AC13" s="30">
        <f>SUMPRODUCT((Декабрь[№]=1)*Декабрь[25],Декабрь[Периодичность])</f>
        <v>0</v>
      </c>
      <c r="AD13" s="30">
        <f>SUMPRODUCT((Декабрь[№]=1)*Декабрь[26],Декабрь[Периодичность])</f>
        <v>0</v>
      </c>
      <c r="AE13" s="30">
        <f>SUMPRODUCT((Декабрь[№]=1)*Декабрь[27],Декабрь[Периодичность])</f>
        <v>0</v>
      </c>
      <c r="AF13" s="30">
        <f>SUMPRODUCT((Декабрь[№]=1)*Декабрь[28],Декабрь[Периодичность])</f>
        <v>0</v>
      </c>
      <c r="AG13" s="30">
        <f>SUMPRODUCT((Декабрь[№]=1)*Декабрь[29],Декабрь[Периодичность])</f>
        <v>0</v>
      </c>
      <c r="AH13" s="30">
        <f>SUMPRODUCT((Декабрь[№]=1)*Декабрь[30],Декабрь[Периодичность])</f>
        <v>0</v>
      </c>
      <c r="AI13" s="30">
        <f>SUMPRODUCT((Декабрь[№]=1)*Декабрь[31],Декабрь[Периодичность])</f>
        <v>0</v>
      </c>
      <c r="AL13" s="4"/>
    </row>
    <row r="14" spans="1:38" x14ac:dyDescent="0.25">
      <c r="B14" s="3">
        <f>SUMPRODUCT((Настройки!$E$32:$AI$32=2)*E16:AI16)</f>
        <v>0</v>
      </c>
      <c r="D14" s="5">
        <v>2</v>
      </c>
      <c r="E14" s="30">
        <f>SUMPRODUCT((Декабрь[№]=2)*Декабрь[1],Декабрь[Периодичность])</f>
        <v>0</v>
      </c>
      <c r="F14" s="30">
        <f>SUMPRODUCT((Декабрь[№]=2)*Декабрь[2],Декабрь[Периодичность])</f>
        <v>0</v>
      </c>
      <c r="G14" s="30">
        <f>SUMPRODUCT((Декабрь[№]=2)*Декабрь[3],Декабрь[Периодичность])</f>
        <v>0</v>
      </c>
      <c r="H14" s="30">
        <f>SUMPRODUCT((Декабрь[№]=2)*Декабрь[4],Декабрь[Периодичность])</f>
        <v>0</v>
      </c>
      <c r="I14" s="30">
        <f>SUMPRODUCT((Декабрь[№]=2)*Декабрь[5],Декабрь[Периодичность])</f>
        <v>0</v>
      </c>
      <c r="J14" s="30">
        <f>SUMPRODUCT((Декабрь[№]=2)*Декабрь[6],Декабрь[Периодичность])</f>
        <v>0</v>
      </c>
      <c r="K14" s="30">
        <f>SUMPRODUCT((Декабрь[№]=2)*Декабрь[7],Декабрь[Периодичность])</f>
        <v>0</v>
      </c>
      <c r="L14" s="30">
        <f>SUMPRODUCT((Декабрь[№]=2)*Декабрь[8],Декабрь[Периодичность])</f>
        <v>0</v>
      </c>
      <c r="M14" s="30">
        <f>SUMPRODUCT((Декабрь[№]=2)*Декабрь[9],Декабрь[Периодичность])</f>
        <v>0</v>
      </c>
      <c r="N14" s="30">
        <f>SUMPRODUCT((Декабрь[№]=2)*Декабрь[10],Декабрь[Периодичность])</f>
        <v>0</v>
      </c>
      <c r="O14" s="30">
        <f>SUMPRODUCT((Декабрь[№]=2)*Декабрь[11],Декабрь[Периодичность])</f>
        <v>0</v>
      </c>
      <c r="P14" s="30">
        <f>SUMPRODUCT((Декабрь[№]=2)*Декабрь[12],Декабрь[Периодичность])</f>
        <v>0</v>
      </c>
      <c r="Q14" s="30">
        <f>SUMPRODUCT((Декабрь[№]=2)*Декабрь[13],Декабрь[Периодичность])</f>
        <v>0</v>
      </c>
      <c r="R14" s="30">
        <f>SUMPRODUCT((Декабрь[№]=2)*Декабрь[14],Декабрь[Периодичность])</f>
        <v>0</v>
      </c>
      <c r="S14" s="30">
        <f>SUMPRODUCT((Декабрь[№]=2)*Декабрь[15],Декабрь[Периодичность])</f>
        <v>0</v>
      </c>
      <c r="T14" s="30">
        <f>SUMPRODUCT((Декабрь[№]=2)*Декабрь[16],Декабрь[Периодичность])</f>
        <v>0</v>
      </c>
      <c r="U14" s="30">
        <f>SUMPRODUCT((Декабрь[№]=2)*Декабрь[17],Декабрь[Периодичность])</f>
        <v>0</v>
      </c>
      <c r="V14" s="30">
        <f>SUMPRODUCT((Декабрь[№]=2)*Декабрь[18],Декабрь[Периодичность])</f>
        <v>0</v>
      </c>
      <c r="W14" s="30">
        <f>SUMPRODUCT((Декабрь[№]=2)*Декабрь[19],Декабрь[Периодичность])</f>
        <v>0</v>
      </c>
      <c r="X14" s="30">
        <f>SUMPRODUCT((Декабрь[№]=2)*Декабрь[20],Декабрь[Периодичность])</f>
        <v>0</v>
      </c>
      <c r="Y14" s="30">
        <f>SUMPRODUCT((Декабрь[№]=2)*Декабрь[21],Декабрь[Периодичность])</f>
        <v>0</v>
      </c>
      <c r="Z14" s="30">
        <f>SUMPRODUCT((Декабрь[№]=2)*Декабрь[22],Декабрь[Периодичность])</f>
        <v>0</v>
      </c>
      <c r="AA14" s="30">
        <f>SUMPRODUCT((Декабрь[№]=2)*Декабрь[23],Декабрь[Периодичность])</f>
        <v>0</v>
      </c>
      <c r="AB14" s="30">
        <f>SUMPRODUCT((Декабрь[№]=2)*Декабрь[24],Декабрь[Периодичность])</f>
        <v>0</v>
      </c>
      <c r="AC14" s="30">
        <f>SUMPRODUCT((Декабрь[№]=2)*Декабрь[25],Декабрь[Периодичность])</f>
        <v>0</v>
      </c>
      <c r="AD14" s="30">
        <f>SUMPRODUCT((Декабрь[№]=2)*Декабрь[26],Декабрь[Периодичность])</f>
        <v>0</v>
      </c>
      <c r="AE14" s="30">
        <f>SUMPRODUCT((Декабрь[№]=2)*Декабрь[27],Декабрь[Периодичность])</f>
        <v>0</v>
      </c>
      <c r="AF14" s="30">
        <f>SUMPRODUCT((Декабрь[№]=2)*Декабрь[28],Декабрь[Периодичность])</f>
        <v>0</v>
      </c>
      <c r="AG14" s="30">
        <f>SUMPRODUCT((Декабрь[№]=2)*Декабрь[29],Декабрь[Периодичность])</f>
        <v>0</v>
      </c>
      <c r="AH14" s="30">
        <f>SUMPRODUCT((Декабрь[№]=2)*Декабрь[30],Декабрь[Периодичность])</f>
        <v>0</v>
      </c>
      <c r="AI14" s="30">
        <f>SUMPRODUCT((Декабрь[№]=2)*Декабрь[31],Декабрь[Периодичность])</f>
        <v>0</v>
      </c>
      <c r="AL14" s="4"/>
    </row>
    <row r="15" spans="1:38" x14ac:dyDescent="0.25">
      <c r="B15" s="3">
        <f>SUMPRODUCT((Настройки!$E$32:$AI$32=3)*E16:AI16)</f>
        <v>0</v>
      </c>
      <c r="D15" s="5">
        <v>3</v>
      </c>
      <c r="E15" s="30">
        <f>SUMPRODUCT((Декабрь[№]=3)*Декабрь[1],Декабрь[Периодичность])</f>
        <v>0</v>
      </c>
      <c r="F15" s="30">
        <f>SUMPRODUCT((Декабрь[№]=3)*Декабрь[2],Декабрь[Периодичность])</f>
        <v>0</v>
      </c>
      <c r="G15" s="30">
        <f>SUMPRODUCT((Декабрь[№]=3)*Декабрь[3],Декабрь[Периодичность])</f>
        <v>0</v>
      </c>
      <c r="H15" s="30">
        <f>SUMPRODUCT((Декабрь[№]=3)*Декабрь[4],Декабрь[Периодичность])</f>
        <v>0</v>
      </c>
      <c r="I15" s="30">
        <f>SUMPRODUCT((Декабрь[№]=3)*Декабрь[5],Декабрь[Периодичность])</f>
        <v>0</v>
      </c>
      <c r="J15" s="30">
        <f>SUMPRODUCT((Декабрь[№]=3)*Декабрь[6],Декабрь[Периодичность])</f>
        <v>0</v>
      </c>
      <c r="K15" s="30">
        <f>SUMPRODUCT((Декабрь[№]=3)*Декабрь[7],Декабрь[Периодичность])</f>
        <v>0</v>
      </c>
      <c r="L15" s="30">
        <f>SUMPRODUCT((Декабрь[№]=3)*Декабрь[8],Декабрь[Периодичность])</f>
        <v>0</v>
      </c>
      <c r="M15" s="30">
        <f>SUMPRODUCT((Декабрь[№]=3)*Декабрь[9],Декабрь[Периодичность])</f>
        <v>0</v>
      </c>
      <c r="N15" s="30">
        <f>SUMPRODUCT((Декабрь[№]=3)*Декабрь[10],Декабрь[Периодичность])</f>
        <v>0</v>
      </c>
      <c r="O15" s="30">
        <f>SUMPRODUCT((Декабрь[№]=3)*Декабрь[11],Декабрь[Периодичность])</f>
        <v>0</v>
      </c>
      <c r="P15" s="30">
        <f>SUMPRODUCT((Декабрь[№]=3)*Декабрь[12],Декабрь[Периодичность])</f>
        <v>0</v>
      </c>
      <c r="Q15" s="30">
        <f>SUMPRODUCT((Декабрь[№]=3)*Декабрь[13],Декабрь[Периодичность])</f>
        <v>0</v>
      </c>
      <c r="R15" s="30">
        <f>SUMPRODUCT((Декабрь[№]=3)*Декабрь[14],Декабрь[Периодичность])</f>
        <v>0</v>
      </c>
      <c r="S15" s="30">
        <f>SUMPRODUCT((Декабрь[№]=3)*Декабрь[15],Декабрь[Периодичность])</f>
        <v>0</v>
      </c>
      <c r="T15" s="30">
        <f>SUMPRODUCT((Декабрь[№]=3)*Декабрь[16],Декабрь[Периодичность])</f>
        <v>0</v>
      </c>
      <c r="U15" s="30">
        <f>SUMPRODUCT((Декабрь[№]=3)*Декабрь[17],Декабрь[Периодичность])</f>
        <v>0</v>
      </c>
      <c r="V15" s="30">
        <f>SUMPRODUCT((Декабрь[№]=3)*Декабрь[18],Декабрь[Периодичность])</f>
        <v>0</v>
      </c>
      <c r="W15" s="30">
        <f>SUMPRODUCT((Декабрь[№]=3)*Декабрь[19],Декабрь[Периодичность])</f>
        <v>0</v>
      </c>
      <c r="X15" s="30">
        <f>SUMPRODUCT((Декабрь[№]=3)*Декабрь[20],Декабрь[Периодичность])</f>
        <v>0</v>
      </c>
      <c r="Y15" s="30">
        <f>SUMPRODUCT((Декабрь[№]=3)*Декабрь[21],Декабрь[Периодичность])</f>
        <v>0</v>
      </c>
      <c r="Z15" s="30">
        <f>SUMPRODUCT((Декабрь[№]=3)*Декабрь[22],Декабрь[Периодичность])</f>
        <v>0</v>
      </c>
      <c r="AA15" s="30">
        <f>SUMPRODUCT((Декабрь[№]=3)*Декабрь[23],Декабрь[Периодичность])</f>
        <v>0</v>
      </c>
      <c r="AB15" s="30">
        <f>SUMPRODUCT((Декабрь[№]=3)*Декабрь[24],Декабрь[Периодичность])</f>
        <v>0</v>
      </c>
      <c r="AC15" s="30">
        <f>SUMPRODUCT((Декабрь[№]=3)*Декабрь[25],Декабрь[Периодичность])</f>
        <v>0</v>
      </c>
      <c r="AD15" s="30">
        <f>SUMPRODUCT((Декабрь[№]=3)*Декабрь[26],Декабрь[Периодичность])</f>
        <v>0</v>
      </c>
      <c r="AE15" s="30">
        <f>SUMPRODUCT((Декабрь[№]=3)*Декабрь[27],Декабрь[Периодичность])</f>
        <v>0</v>
      </c>
      <c r="AF15" s="30">
        <f>SUMPRODUCT((Декабрь[№]=3)*Декабрь[28],Декабрь[Периодичность])</f>
        <v>0</v>
      </c>
      <c r="AG15" s="30">
        <f>SUMPRODUCT((Декабрь[№]=3)*Декабрь[29],Декабрь[Периодичность])</f>
        <v>0</v>
      </c>
      <c r="AH15" s="30">
        <f>SUMPRODUCT((Декабрь[№]=3)*Декабрь[30],Декабрь[Периодичность])</f>
        <v>0</v>
      </c>
      <c r="AI15" s="30">
        <f>SUMPRODUCT((Декабрь[№]=3)*Декабрь[31],Декабрь[Периодичность])</f>
        <v>0</v>
      </c>
      <c r="AK15" s="11"/>
    </row>
    <row r="16" spans="1:38" ht="22.5" customHeight="1" x14ac:dyDescent="0.25">
      <c r="B16" s="3">
        <f>SUMPRODUCT((Настройки!$E$32:$AI$32=4)*E16:AI16)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SUMPRODUCT((Настройки!$E$32:$AI$32=5)*E16:AI16)</f>
        <v>0</v>
      </c>
      <c r="C17" s="5">
        <f>ДекабрьИтоги[[#This Row],[№]]*60</f>
        <v>0</v>
      </c>
      <c r="D17" s="7">
        <f>SUM(ДекабрьИтоги[[#This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SUM(Декабрь[УСЛУГ])</f>
        <v>0</v>
      </c>
      <c r="AK17" s="11">
        <f ca="1">SUM(Декабрь[МИНУТ])</f>
        <v>0</v>
      </c>
    </row>
    <row r="18" spans="1:37" ht="20.25" customHeight="1" x14ac:dyDescent="0.25"/>
    <row r="19" spans="1:37" ht="22.5" customHeight="1" x14ac:dyDescent="0.25">
      <c r="A19" s="54" t="s">
        <v>52</v>
      </c>
      <c r="B19" s="54" t="s">
        <v>53</v>
      </c>
      <c r="C19" s="55"/>
      <c r="D19" s="56" t="s">
        <v>61</v>
      </c>
      <c r="E19" s="48" t="s">
        <v>55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50"/>
      <c r="AJ19" s="44" t="s">
        <v>64</v>
      </c>
      <c r="AK19" s="45" t="s">
        <v>64</v>
      </c>
    </row>
    <row r="20" spans="1:37" ht="18" customHeight="1" x14ac:dyDescent="0.25">
      <c r="A20" s="54"/>
      <c r="B20" s="54"/>
      <c r="C20" s="55"/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60"/>
      <c r="AJ20" s="44"/>
      <c r="AK20" s="46"/>
    </row>
    <row r="21" spans="1:37" ht="21.75" customHeight="1" x14ac:dyDescent="0.25">
      <c r="A21" s="54"/>
      <c r="B21" s="54"/>
      <c r="C21" s="55"/>
      <c r="D21" s="57"/>
      <c r="E21" s="26">
        <f>Настройки!E18</f>
        <v>45261</v>
      </c>
      <c r="F21" s="26">
        <f>Настройки!F18</f>
        <v>45262</v>
      </c>
      <c r="G21" s="26">
        <f>Настройки!G18</f>
        <v>45263</v>
      </c>
      <c r="H21" s="26">
        <f>Настройки!H18</f>
        <v>45264</v>
      </c>
      <c r="I21" s="26">
        <f>Настройки!I18</f>
        <v>45265</v>
      </c>
      <c r="J21" s="26">
        <f>Настройки!J18</f>
        <v>45266</v>
      </c>
      <c r="K21" s="26">
        <f>Настройки!K18</f>
        <v>45267</v>
      </c>
      <c r="L21" s="26">
        <f>Настройки!L18</f>
        <v>45268</v>
      </c>
      <c r="M21" s="26">
        <f>Настройки!M18</f>
        <v>45269</v>
      </c>
      <c r="N21" s="26">
        <f>Настройки!N18</f>
        <v>45270</v>
      </c>
      <c r="O21" s="26">
        <f>Настройки!O18</f>
        <v>45271</v>
      </c>
      <c r="P21" s="26">
        <f>Настройки!P18</f>
        <v>45272</v>
      </c>
      <c r="Q21" s="26">
        <f>Настройки!Q18</f>
        <v>45273</v>
      </c>
      <c r="R21" s="26">
        <f>Настройки!R18</f>
        <v>45274</v>
      </c>
      <c r="S21" s="26">
        <f>Настройки!S18</f>
        <v>45275</v>
      </c>
      <c r="T21" s="26">
        <f>Настройки!T18</f>
        <v>45276</v>
      </c>
      <c r="U21" s="26">
        <f>Настройки!U18</f>
        <v>45277</v>
      </c>
      <c r="V21" s="26">
        <f>Настройки!V18</f>
        <v>45278</v>
      </c>
      <c r="W21" s="26">
        <f>Настройки!W18</f>
        <v>45279</v>
      </c>
      <c r="X21" s="26">
        <f>Настройки!X18</f>
        <v>45280</v>
      </c>
      <c r="Y21" s="26">
        <f>Настройки!Y18</f>
        <v>45281</v>
      </c>
      <c r="Z21" s="26">
        <f>Настройки!Z18</f>
        <v>45282</v>
      </c>
      <c r="AA21" s="26">
        <f>Настройки!AA18</f>
        <v>45283</v>
      </c>
      <c r="AB21" s="26">
        <f>Настройки!AB18</f>
        <v>45284</v>
      </c>
      <c r="AC21" s="26">
        <f>Настройки!AC18</f>
        <v>45285</v>
      </c>
      <c r="AD21" s="26">
        <f>Настройки!AD18</f>
        <v>45286</v>
      </c>
      <c r="AE21" s="26">
        <f>Настройки!AE18</f>
        <v>45287</v>
      </c>
      <c r="AF21" s="26">
        <f>Настройки!AF18</f>
        <v>45288</v>
      </c>
      <c r="AG21" s="26">
        <f>Настройки!AG18</f>
        <v>45289</v>
      </c>
      <c r="AH21" s="26">
        <f>Настройки!AH18</f>
        <v>45290</v>
      </c>
      <c r="AI21" s="26">
        <f>Настройки!AI18</f>
        <v>45291</v>
      </c>
      <c r="AJ21" s="44"/>
      <c r="AK21" s="46"/>
    </row>
    <row r="22" spans="1:37" x14ac:dyDescent="0.25">
      <c r="A22" s="54"/>
      <c r="B22" s="54"/>
      <c r="C22" s="55"/>
      <c r="D22" s="57"/>
      <c r="E22" s="54" t="s">
        <v>54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61"/>
      <c r="AJ22" s="44"/>
      <c r="AK22" s="46"/>
    </row>
    <row r="23" spans="1:37" x14ac:dyDescent="0.25">
      <c r="A23" s="54"/>
      <c r="B23" s="54"/>
      <c r="C23" s="55"/>
      <c r="D23" s="57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61"/>
      <c r="AJ23" s="44"/>
      <c r="AK23" s="47"/>
    </row>
    <row r="24" spans="1:37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112</v>
      </c>
      <c r="AI24" s="3" t="s">
        <v>121</v>
      </c>
      <c r="AJ24" s="3" t="s">
        <v>62</v>
      </c>
      <c r="AK24" s="3" t="s">
        <v>63</v>
      </c>
    </row>
    <row r="25" spans="1:37" ht="31.5" x14ac:dyDescent="0.25">
      <c r="A25" s="16" t="s">
        <v>1</v>
      </c>
      <c r="B25" s="2"/>
      <c r="C25" s="8">
        <v>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25" s="5">
        <f ca="1">IF(Декабрь[[#This Row],[УСЛУГ]]&lt;&gt;"",Декабрь[[#This Row],[УСЛУГ]]*Декабрь[[#This Row],[Периодичность]],"")</f>
        <v>0</v>
      </c>
    </row>
    <row r="26" spans="1:37" x14ac:dyDescent="0.25">
      <c r="A26" s="16"/>
      <c r="B26" s="2"/>
      <c r="C26" s="8">
        <v>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26" s="5" t="str">
        <f ca="1">IF(Декабрь[[#This Row],[УСЛУГ]]&lt;&gt;"",Декабрь[[#This Row],[УСЛУГ]]*Декабрь[[#This Row],[Периодичность]],"")</f>
        <v/>
      </c>
    </row>
    <row r="27" spans="1:37" x14ac:dyDescent="0.25">
      <c r="A27" s="16"/>
      <c r="B27" s="2"/>
      <c r="C27" s="8">
        <v>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27" s="5" t="str">
        <f ca="1">IF(Декабрь[[#This Row],[УСЛУГ]]&lt;&gt;"",Декабрь[[#This Row],[УСЛУГ]]*Декабрь[[#This Row],[Периодичность]],"")</f>
        <v/>
      </c>
    </row>
    <row r="28" spans="1:37" ht="47.25" x14ac:dyDescent="0.25">
      <c r="A28" s="35" t="s">
        <v>2</v>
      </c>
      <c r="B28" s="36"/>
      <c r="C28" s="37">
        <v>0</v>
      </c>
      <c r="D28" s="38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28" s="29">
        <f ca="1">IF(Декабрь[[#This Row],[УСЛУГ]]&lt;&gt;"",Декабрь[[#This Row],[УСЛУГ]]*Декабрь[[#This Row],[Периодичность]],"")</f>
        <v>0</v>
      </c>
    </row>
    <row r="29" spans="1:37" ht="18.75" x14ac:dyDescent="0.25">
      <c r="A29" s="35"/>
      <c r="B29" s="36"/>
      <c r="C29" s="37">
        <v>0</v>
      </c>
      <c r="D29" s="38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29" s="29" t="str">
        <f ca="1">IF(Декабрь[[#This Row],[УСЛУГ]]&lt;&gt;"",Декабрь[[#This Row],[УСЛУГ]]*Декабрь[[#This Row],[Периодичность]],"")</f>
        <v/>
      </c>
    </row>
    <row r="30" spans="1:37" x14ac:dyDescent="0.25">
      <c r="A30" s="35"/>
      <c r="B30" s="36"/>
      <c r="C30" s="37">
        <v>0</v>
      </c>
      <c r="D30" s="38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0" s="29" t="str">
        <f ca="1">IF(Декабрь[[#This Row],[УСЛУГ]]&lt;&gt;"",Декабрь[[#This Row],[УСЛУГ]]*Декабрь[[#This Row],[Периодичность]],"")</f>
        <v/>
      </c>
    </row>
    <row r="31" spans="1:37" ht="31.5" x14ac:dyDescent="0.25">
      <c r="A31" s="35" t="s">
        <v>3</v>
      </c>
      <c r="B31" s="36"/>
      <c r="C31" s="37">
        <v>0</v>
      </c>
      <c r="D31" s="38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31" s="29">
        <f ca="1">IF(Декабрь[[#This Row],[УСЛУГ]]&lt;&gt;"",Декабрь[[#This Row],[УСЛУГ]]*Декабрь[[#This Row],[Периодичность]],"")</f>
        <v>0</v>
      </c>
    </row>
    <row r="32" spans="1:37" x14ac:dyDescent="0.25">
      <c r="A32" s="35"/>
      <c r="B32" s="36"/>
      <c r="C32" s="37">
        <v>0</v>
      </c>
      <c r="D32" s="38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2" s="29" t="str">
        <f ca="1">IF(Декабрь[[#This Row],[УСЛУГ]]&lt;&gt;"",Декабрь[[#This Row],[УСЛУГ]]*Декабрь[[#This Row],[Периодичность]],"")</f>
        <v/>
      </c>
    </row>
    <row r="33" spans="1:37" x14ac:dyDescent="0.25">
      <c r="A33" s="35"/>
      <c r="B33" s="36"/>
      <c r="C33" s="37">
        <v>0</v>
      </c>
      <c r="D33" s="38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3" s="29" t="str">
        <f ca="1">IF(Декабрь[[#This Row],[УСЛУГ]]&lt;&gt;"",Декабрь[[#This Row],[УСЛУГ]]*Декабрь[[#This Row],[Периодичность]],"")</f>
        <v/>
      </c>
    </row>
    <row r="34" spans="1:37" ht="47.25" x14ac:dyDescent="0.25">
      <c r="A34" s="35" t="s">
        <v>4</v>
      </c>
      <c r="B34" s="36"/>
      <c r="C34" s="37">
        <v>0</v>
      </c>
      <c r="D34" s="38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34" s="29">
        <f ca="1">IF(Декабрь[[#This Row],[УСЛУГ]]&lt;&gt;"",Декабрь[[#This Row],[УСЛУГ]]*Декабрь[[#This Row],[Периодичность]],"")</f>
        <v>0</v>
      </c>
    </row>
    <row r="35" spans="1:37" ht="18.75" x14ac:dyDescent="0.25">
      <c r="A35" s="35"/>
      <c r="B35" s="36"/>
      <c r="C35" s="37">
        <v>0</v>
      </c>
      <c r="D35" s="38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5" s="29" t="str">
        <f ca="1">IF(Декабрь[[#This Row],[УСЛУГ]]&lt;&gt;"",Декабрь[[#This Row],[УСЛУГ]]*Декабрь[[#This Row],[Периодичность]],"")</f>
        <v/>
      </c>
    </row>
    <row r="36" spans="1:37" ht="18.75" x14ac:dyDescent="0.25">
      <c r="A36" s="35"/>
      <c r="B36" s="36"/>
      <c r="C36" s="37">
        <v>0</v>
      </c>
      <c r="D36" s="38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6" s="29" t="str">
        <f ca="1">IF(Декабрь[[#This Row],[УСЛУГ]]&lt;&gt;"",Декабрь[[#This Row],[УСЛУГ]]*Декабрь[[#This Row],[Периодичность]],"")</f>
        <v/>
      </c>
    </row>
    <row r="37" spans="1:37" ht="18.75" x14ac:dyDescent="0.25">
      <c r="A37" s="35" t="s">
        <v>5</v>
      </c>
      <c r="B37" s="36"/>
      <c r="C37" s="37">
        <v>0</v>
      </c>
      <c r="D37" s="38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37" s="29">
        <f ca="1">IF(Декабрь[[#This Row],[УСЛУГ]]&lt;&gt;"",Декабрь[[#This Row],[УСЛУГ]]*Декабрь[[#This Row],[Периодичность]],"")</f>
        <v>0</v>
      </c>
    </row>
    <row r="38" spans="1:37" ht="18.75" x14ac:dyDescent="0.25">
      <c r="A38" s="35"/>
      <c r="B38" s="36"/>
      <c r="C38" s="37">
        <v>0</v>
      </c>
      <c r="D38" s="38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8" s="29" t="str">
        <f ca="1">IF(Декабрь[[#This Row],[УСЛУГ]]&lt;&gt;"",Декабрь[[#This Row],[УСЛУГ]]*Декабрь[[#This Row],[Периодичность]],"")</f>
        <v/>
      </c>
    </row>
    <row r="39" spans="1:37" ht="18.75" x14ac:dyDescent="0.25">
      <c r="A39" s="35"/>
      <c r="B39" s="36"/>
      <c r="C39" s="37">
        <v>0</v>
      </c>
      <c r="D39" s="38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39" s="29" t="str">
        <f ca="1">IF(Декабрь[[#This Row],[УСЛУГ]]&lt;&gt;"",Декабрь[[#This Row],[УСЛУГ]]*Декабрь[[#This Row],[Периодичность]],"")</f>
        <v/>
      </c>
    </row>
    <row r="40" spans="1:37" ht="31.5" x14ac:dyDescent="0.25">
      <c r="A40" s="35" t="s">
        <v>6</v>
      </c>
      <c r="B40" s="36"/>
      <c r="C40" s="37">
        <v>0</v>
      </c>
      <c r="D40" s="38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40" s="29">
        <f ca="1">IF(Декабрь[[#This Row],[УСЛУГ]]&lt;&gt;"",Декабрь[[#This Row],[УСЛУГ]]*Декабрь[[#This Row],[Периодичность]],"")</f>
        <v>0</v>
      </c>
    </row>
    <row r="41" spans="1:37" ht="18.75" x14ac:dyDescent="0.25">
      <c r="A41" s="35"/>
      <c r="B41" s="36"/>
      <c r="C41" s="37">
        <v>0</v>
      </c>
      <c r="D41" s="38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1" s="29" t="str">
        <f ca="1">IF(Декабрь[[#This Row],[УСЛУГ]]&lt;&gt;"",Декабрь[[#This Row],[УСЛУГ]]*Декабрь[[#This Row],[Периодичность]],"")</f>
        <v/>
      </c>
    </row>
    <row r="42" spans="1:37" ht="18.75" x14ac:dyDescent="0.25">
      <c r="A42" s="35"/>
      <c r="B42" s="36"/>
      <c r="C42" s="37">
        <v>0</v>
      </c>
      <c r="D42" s="38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2" s="29" t="str">
        <f ca="1">IF(Декабрь[[#This Row],[УСЛУГ]]&lt;&gt;"",Декабрь[[#This Row],[УСЛУГ]]*Декабрь[[#This Row],[Периодичность]],"")</f>
        <v/>
      </c>
    </row>
    <row r="43" spans="1:37" ht="47.25" x14ac:dyDescent="0.25">
      <c r="A43" s="35" t="s">
        <v>79</v>
      </c>
      <c r="B43" s="36"/>
      <c r="C43" s="37">
        <v>0</v>
      </c>
      <c r="D43" s="38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43" s="29">
        <f ca="1">IF(Декабрь[[#This Row],[УСЛУГ]]&lt;&gt;"",Декабрь[[#This Row],[УСЛУГ]]*Декабрь[[#This Row],[Периодичность]],"")</f>
        <v>0</v>
      </c>
    </row>
    <row r="44" spans="1:37" ht="18.75" x14ac:dyDescent="0.25">
      <c r="A44" s="35"/>
      <c r="B44" s="36"/>
      <c r="C44" s="37">
        <v>0</v>
      </c>
      <c r="D44" s="38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4" s="29" t="str">
        <f ca="1">IF(Декабрь[[#This Row],[УСЛУГ]]&lt;&gt;"",Декабрь[[#This Row],[УСЛУГ]]*Декабрь[[#This Row],[Периодичность]],"")</f>
        <v/>
      </c>
    </row>
    <row r="45" spans="1:37" x14ac:dyDescent="0.25">
      <c r="A45" s="35"/>
      <c r="B45" s="36"/>
      <c r="C45" s="37">
        <v>0</v>
      </c>
      <c r="D45" s="38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5" s="29" t="str">
        <f ca="1">IF(Декабрь[[#This Row],[УСЛУГ]]&lt;&gt;"",Декабрь[[#This Row],[УСЛУГ]]*Декабрь[[#This Row],[Периодичность]],"")</f>
        <v/>
      </c>
    </row>
    <row r="46" spans="1:37" ht="18.75" x14ac:dyDescent="0.25">
      <c r="A46" s="35" t="s">
        <v>8</v>
      </c>
      <c r="B46" s="36"/>
      <c r="C46" s="37">
        <v>0</v>
      </c>
      <c r="D46" s="38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46" s="29">
        <f ca="1">IF(Декабрь[[#This Row],[УСЛУГ]]&lt;&gt;"",Декабрь[[#This Row],[УСЛУГ]]*Декабрь[[#This Row],[Периодичность]],"")</f>
        <v>0</v>
      </c>
    </row>
    <row r="47" spans="1:37" ht="18.75" x14ac:dyDescent="0.25">
      <c r="A47" s="35"/>
      <c r="B47" s="36"/>
      <c r="C47" s="37">
        <v>0</v>
      </c>
      <c r="D47" s="38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7" s="29" t="str">
        <f ca="1">IF(Декабрь[[#This Row],[УСЛУГ]]&lt;&gt;"",Декабрь[[#This Row],[УСЛУГ]]*Декабрь[[#This Row],[Периодичность]],"")</f>
        <v/>
      </c>
    </row>
    <row r="48" spans="1:37" ht="18.75" x14ac:dyDescent="0.25">
      <c r="A48" s="35"/>
      <c r="B48" s="36"/>
      <c r="C48" s="37">
        <v>0</v>
      </c>
      <c r="D48" s="38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48" s="29" t="str">
        <f ca="1">IF(Декабрь[[#This Row],[УСЛУГ]]&lt;&gt;"",Декабрь[[#This Row],[УСЛУГ]]*Декабрь[[#This Row],[Периодичность]],"")</f>
        <v/>
      </c>
    </row>
    <row r="49" spans="1:37" ht="31.5" x14ac:dyDescent="0.25">
      <c r="A49" s="35" t="s">
        <v>9</v>
      </c>
      <c r="B49" s="36"/>
      <c r="C49" s="37">
        <v>0</v>
      </c>
      <c r="D49" s="38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49" s="29">
        <f ca="1">IF(Декабрь[[#This Row],[УСЛУГ]]&lt;&gt;"",Декабрь[[#This Row],[УСЛУГ]]*Декабрь[[#This Row],[Периодичность]],"")</f>
        <v>0</v>
      </c>
    </row>
    <row r="50" spans="1:37" x14ac:dyDescent="0.25">
      <c r="A50" s="35"/>
      <c r="B50" s="36"/>
      <c r="C50" s="37">
        <v>0</v>
      </c>
      <c r="D50" s="38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0" s="29" t="str">
        <f ca="1">IF(Декабрь[[#This Row],[УСЛУГ]]&lt;&gt;"",Декабрь[[#This Row],[УСЛУГ]]*Декабрь[[#This Row],[Периодичность]],"")</f>
        <v/>
      </c>
    </row>
    <row r="51" spans="1:37" ht="18.75" x14ac:dyDescent="0.25">
      <c r="A51" s="35"/>
      <c r="B51" s="36"/>
      <c r="C51" s="37">
        <v>0</v>
      </c>
      <c r="D51" s="38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1" s="29" t="str">
        <f ca="1">IF(Декабрь[[#This Row],[УСЛУГ]]&lt;&gt;"",Декабрь[[#This Row],[УСЛУГ]]*Декабрь[[#This Row],[Периодичность]],"")</f>
        <v/>
      </c>
    </row>
    <row r="52" spans="1:37" ht="47.25" x14ac:dyDescent="0.25">
      <c r="A52" s="35" t="s">
        <v>140</v>
      </c>
      <c r="B52" s="36"/>
      <c r="C52" s="37">
        <v>0</v>
      </c>
      <c r="D52" s="38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52" s="29">
        <f ca="1">IF(Декабрь[[#This Row],[УСЛУГ]]&lt;&gt;"",Декабрь[[#This Row],[УСЛУГ]]*Декабрь[[#This Row],[Периодичность]],"")</f>
        <v>0</v>
      </c>
    </row>
    <row r="53" spans="1:37" ht="18.75" x14ac:dyDescent="0.25">
      <c r="A53" s="35"/>
      <c r="B53" s="36"/>
      <c r="C53" s="37">
        <v>0</v>
      </c>
      <c r="D53" s="38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3" s="29" t="str">
        <f ca="1">IF(Декабрь[[#This Row],[УСЛУГ]]&lt;&gt;"",Декабрь[[#This Row],[УСЛУГ]]*Декабрь[[#This Row],[Периодичность]],"")</f>
        <v/>
      </c>
    </row>
    <row r="54" spans="1:37" ht="18.75" x14ac:dyDescent="0.25">
      <c r="A54" s="35"/>
      <c r="B54" s="36"/>
      <c r="C54" s="37">
        <v>0</v>
      </c>
      <c r="D54" s="38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4" s="29" t="str">
        <f ca="1">IF(Декабрь[[#This Row],[УСЛУГ]]&lt;&gt;"",Декабрь[[#This Row],[УСЛУГ]]*Декабрь[[#This Row],[Периодичность]],"")</f>
        <v/>
      </c>
    </row>
    <row r="55" spans="1:37" ht="47.25" x14ac:dyDescent="0.25">
      <c r="A55" s="35" t="s">
        <v>78</v>
      </c>
      <c r="B55" s="36"/>
      <c r="C55" s="37">
        <v>0</v>
      </c>
      <c r="D55" s="38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55" s="29">
        <f ca="1">IF(Декабрь[[#This Row],[УСЛУГ]]&lt;&gt;"",Декабрь[[#This Row],[УСЛУГ]]*Декабрь[[#This Row],[Периодичность]],"")</f>
        <v>0</v>
      </c>
    </row>
    <row r="56" spans="1:37" ht="18.75" x14ac:dyDescent="0.25">
      <c r="A56" s="35"/>
      <c r="B56" s="36"/>
      <c r="C56" s="37">
        <v>0</v>
      </c>
      <c r="D56" s="38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6" s="29" t="str">
        <f ca="1">IF(Декабрь[[#This Row],[УСЛУГ]]&lt;&gt;"",Декабрь[[#This Row],[УСЛУГ]]*Декабрь[[#This Row],[Периодичность]],"")</f>
        <v/>
      </c>
    </row>
    <row r="57" spans="1:37" ht="18.75" x14ac:dyDescent="0.25">
      <c r="A57" s="35"/>
      <c r="B57" s="36"/>
      <c r="C57" s="37">
        <v>0</v>
      </c>
      <c r="D57" s="38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7" s="29" t="str">
        <f ca="1">IF(Декабрь[[#This Row],[УСЛУГ]]&lt;&gt;"",Декабрь[[#This Row],[УСЛУГ]]*Декабрь[[#This Row],[Периодичность]],"")</f>
        <v/>
      </c>
    </row>
    <row r="58" spans="1:37" ht="47.25" x14ac:dyDescent="0.25">
      <c r="A58" s="35" t="s">
        <v>141</v>
      </c>
      <c r="B58" s="36"/>
      <c r="C58" s="37">
        <v>0</v>
      </c>
      <c r="D58" s="38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58" s="29">
        <f ca="1">IF(Декабрь[[#This Row],[УСЛУГ]]&lt;&gt;"",Декабрь[[#This Row],[УСЛУГ]]*Декабрь[[#This Row],[Периодичность]],"")</f>
        <v>0</v>
      </c>
    </row>
    <row r="59" spans="1:37" ht="18.75" x14ac:dyDescent="0.25">
      <c r="A59" s="35"/>
      <c r="B59" s="36"/>
      <c r="C59" s="37">
        <v>0</v>
      </c>
      <c r="D59" s="38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59" s="29" t="str">
        <f ca="1">IF(Декабрь[[#This Row],[УСЛУГ]]&lt;&gt;"",Декабрь[[#This Row],[УСЛУГ]]*Декабрь[[#This Row],[Периодичность]],"")</f>
        <v/>
      </c>
    </row>
    <row r="60" spans="1:37" ht="18.75" x14ac:dyDescent="0.25">
      <c r="A60" s="35"/>
      <c r="B60" s="36"/>
      <c r="C60" s="37">
        <v>0</v>
      </c>
      <c r="D60" s="38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0" s="29" t="str">
        <f ca="1">IF(Декабрь[[#This Row],[УСЛУГ]]&lt;&gt;"",Декабрь[[#This Row],[УСЛУГ]]*Декабрь[[#This Row],[Периодичность]],"")</f>
        <v/>
      </c>
    </row>
    <row r="61" spans="1:37" ht="31.5" x14ac:dyDescent="0.25">
      <c r="A61" s="35" t="s">
        <v>13</v>
      </c>
      <c r="B61" s="36"/>
      <c r="C61" s="37">
        <v>0</v>
      </c>
      <c r="D61" s="38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61" s="29">
        <f ca="1">IF(Декабрь[[#This Row],[УСЛУГ]]&lt;&gt;"",Декабрь[[#This Row],[УСЛУГ]]*Декабрь[[#This Row],[Периодичность]],"")</f>
        <v>0</v>
      </c>
    </row>
    <row r="62" spans="1:37" ht="18.75" x14ac:dyDescent="0.25">
      <c r="A62" s="35"/>
      <c r="B62" s="36"/>
      <c r="C62" s="37">
        <v>0</v>
      </c>
      <c r="D62" s="38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2" s="29" t="str">
        <f ca="1">IF(Декабрь[[#This Row],[УСЛУГ]]&lt;&gt;"",Декабрь[[#This Row],[УСЛУГ]]*Декабрь[[#This Row],[Периодичность]],"")</f>
        <v/>
      </c>
    </row>
    <row r="63" spans="1:37" ht="18.75" x14ac:dyDescent="0.25">
      <c r="A63" s="35"/>
      <c r="B63" s="36"/>
      <c r="C63" s="37">
        <v>0</v>
      </c>
      <c r="D63" s="38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3" s="29" t="str">
        <f ca="1">IF(Декабрь[[#This Row],[УСЛУГ]]&lt;&gt;"",Декабрь[[#This Row],[УСЛУГ]]*Декабрь[[#This Row],[Периодичность]],"")</f>
        <v/>
      </c>
    </row>
    <row r="64" spans="1:37" ht="31.5" x14ac:dyDescent="0.25">
      <c r="A64" s="35" t="s">
        <v>14</v>
      </c>
      <c r="B64" s="36"/>
      <c r="C64" s="37">
        <v>0</v>
      </c>
      <c r="D64" s="38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64" s="29">
        <f ca="1">IF(Декабрь[[#This Row],[УСЛУГ]]&lt;&gt;"",Декабрь[[#This Row],[УСЛУГ]]*Декабрь[[#This Row],[Периодичность]],"")</f>
        <v>0</v>
      </c>
    </row>
    <row r="65" spans="1:37" ht="18.75" x14ac:dyDescent="0.25">
      <c r="A65" s="35"/>
      <c r="B65" s="36"/>
      <c r="C65" s="37">
        <v>0</v>
      </c>
      <c r="D65" s="38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5" s="29" t="str">
        <f ca="1">IF(Декабрь[[#This Row],[УСЛУГ]]&lt;&gt;"",Декабрь[[#This Row],[УСЛУГ]]*Декабрь[[#This Row],[Периодичность]],"")</f>
        <v/>
      </c>
    </row>
    <row r="66" spans="1:37" x14ac:dyDescent="0.25">
      <c r="A66" s="35"/>
      <c r="B66" s="36"/>
      <c r="C66" s="37">
        <v>0</v>
      </c>
      <c r="D66" s="38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6" s="29" t="str">
        <f ca="1">IF(Декабрь[[#This Row],[УСЛУГ]]&lt;&gt;"",Декабрь[[#This Row],[УСЛУГ]]*Декабрь[[#This Row],[Периодичность]],"")</f>
        <v/>
      </c>
    </row>
    <row r="67" spans="1:37" ht="31.5" x14ac:dyDescent="0.25">
      <c r="A67" s="35" t="s">
        <v>15</v>
      </c>
      <c r="B67" s="36"/>
      <c r="C67" s="37">
        <v>0</v>
      </c>
      <c r="D67" s="38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67" s="29">
        <f ca="1">IF(Декабрь[[#This Row],[УСЛУГ]]&lt;&gt;"",Декабрь[[#This Row],[УСЛУГ]]*Декабрь[[#This Row],[Периодичность]],"")</f>
        <v>0</v>
      </c>
    </row>
    <row r="68" spans="1:37" ht="18.75" x14ac:dyDescent="0.25">
      <c r="A68" s="35"/>
      <c r="B68" s="36"/>
      <c r="C68" s="37">
        <v>0</v>
      </c>
      <c r="D68" s="38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8" s="29" t="str">
        <f ca="1">IF(Декабрь[[#This Row],[УСЛУГ]]&lt;&gt;"",Декабрь[[#This Row],[УСЛУГ]]*Декабрь[[#This Row],[Периодичность]],"")</f>
        <v/>
      </c>
    </row>
    <row r="69" spans="1:37" ht="18.75" x14ac:dyDescent="0.25">
      <c r="A69" s="35"/>
      <c r="B69" s="36"/>
      <c r="C69" s="37">
        <v>0</v>
      </c>
      <c r="D69" s="38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69" s="29" t="str">
        <f ca="1">IF(Декабрь[[#This Row],[УСЛУГ]]&lt;&gt;"",Декабрь[[#This Row],[УСЛУГ]]*Декабрь[[#This Row],[Периодичность]],"")</f>
        <v/>
      </c>
    </row>
    <row r="70" spans="1:37" ht="18.75" x14ac:dyDescent="0.25">
      <c r="A70" s="35" t="s">
        <v>16</v>
      </c>
      <c r="B70" s="36"/>
      <c r="C70" s="37">
        <v>0</v>
      </c>
      <c r="D70" s="38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70" s="29">
        <f ca="1">IF(Декабрь[[#This Row],[УСЛУГ]]&lt;&gt;"",Декабрь[[#This Row],[УСЛУГ]]*Декабрь[[#This Row],[Периодичность]],"")</f>
        <v>0</v>
      </c>
    </row>
    <row r="71" spans="1:37" ht="18.75" x14ac:dyDescent="0.25">
      <c r="A71" s="35"/>
      <c r="B71" s="36"/>
      <c r="C71" s="37">
        <v>0</v>
      </c>
      <c r="D71" s="38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1" s="29" t="str">
        <f ca="1">IF(Декабрь[[#This Row],[УСЛУГ]]&lt;&gt;"",Декабрь[[#This Row],[УСЛУГ]]*Декабрь[[#This Row],[Периодичность]],"")</f>
        <v/>
      </c>
    </row>
    <row r="72" spans="1:37" ht="18.75" x14ac:dyDescent="0.25">
      <c r="A72" s="35"/>
      <c r="B72" s="36"/>
      <c r="C72" s="37">
        <v>0</v>
      </c>
      <c r="D72" s="38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2" s="29" t="str">
        <f ca="1">IF(Декабрь[[#This Row],[УСЛУГ]]&lt;&gt;"",Декабрь[[#This Row],[УСЛУГ]]*Декабрь[[#This Row],[Периодичность]],"")</f>
        <v/>
      </c>
    </row>
    <row r="73" spans="1:37" ht="47.25" x14ac:dyDescent="0.25">
      <c r="A73" s="35" t="s">
        <v>142</v>
      </c>
      <c r="B73" s="36"/>
      <c r="C73" s="37">
        <v>0</v>
      </c>
      <c r="D73" s="38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73" s="29">
        <f ca="1">IF(Декабрь[[#This Row],[УСЛУГ]]&lt;&gt;"",Декабрь[[#This Row],[УСЛУГ]]*Декабрь[[#This Row],[Периодичность]],"")</f>
        <v>0</v>
      </c>
    </row>
    <row r="74" spans="1:37" ht="18.75" x14ac:dyDescent="0.25">
      <c r="A74" s="35"/>
      <c r="B74" s="36"/>
      <c r="C74" s="37">
        <v>0</v>
      </c>
      <c r="D74" s="38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4" s="29" t="str">
        <f ca="1">IF(Декабрь[[#This Row],[УСЛУГ]]&lt;&gt;"",Декабрь[[#This Row],[УСЛУГ]]*Декабрь[[#This Row],[Периодичность]],"")</f>
        <v/>
      </c>
    </row>
    <row r="75" spans="1:37" ht="18.75" x14ac:dyDescent="0.25">
      <c r="A75" s="35"/>
      <c r="B75" s="36"/>
      <c r="C75" s="37">
        <v>0</v>
      </c>
      <c r="D75" s="38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5" s="29" t="str">
        <f ca="1">IF(Декабрь[[#This Row],[УСЛУГ]]&lt;&gt;"",Декабрь[[#This Row],[УСЛУГ]]*Декабрь[[#This Row],[Периодичность]],"")</f>
        <v/>
      </c>
    </row>
    <row r="76" spans="1:37" ht="47.25" x14ac:dyDescent="0.25">
      <c r="A76" s="35" t="s">
        <v>143</v>
      </c>
      <c r="B76" s="36"/>
      <c r="C76" s="37">
        <v>0</v>
      </c>
      <c r="D76" s="38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76" s="29">
        <f ca="1">IF(Декабрь[[#This Row],[УСЛУГ]]&lt;&gt;"",Декабрь[[#This Row],[УСЛУГ]]*Декабрь[[#This Row],[Периодичность]],"")</f>
        <v>0</v>
      </c>
    </row>
    <row r="77" spans="1:37" ht="18.75" x14ac:dyDescent="0.25">
      <c r="A77" s="35"/>
      <c r="B77" s="36"/>
      <c r="C77" s="37">
        <v>0</v>
      </c>
      <c r="D77" s="38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7" s="29" t="str">
        <f ca="1">IF(Декабрь[[#This Row],[УСЛУГ]]&lt;&gt;"",Декабрь[[#This Row],[УСЛУГ]]*Декабрь[[#This Row],[Периодичность]],"")</f>
        <v/>
      </c>
    </row>
    <row r="78" spans="1:37" x14ac:dyDescent="0.25">
      <c r="A78" s="35"/>
      <c r="B78" s="36"/>
      <c r="C78" s="37">
        <v>0</v>
      </c>
      <c r="D78" s="38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78" s="29" t="str">
        <f ca="1">IF(Декабрь[[#This Row],[УСЛУГ]]&lt;&gt;"",Декабрь[[#This Row],[УСЛУГ]]*Декабрь[[#This Row],[Периодичность]],"")</f>
        <v/>
      </c>
    </row>
    <row r="79" spans="1:37" x14ac:dyDescent="0.25">
      <c r="A79" s="35" t="s">
        <v>19</v>
      </c>
      <c r="B79" s="36"/>
      <c r="C79" s="37">
        <v>0</v>
      </c>
      <c r="D79" s="38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79" s="29">
        <f ca="1">IF(Декабрь[[#This Row],[УСЛУГ]]&lt;&gt;"",Декабрь[[#This Row],[УСЛУГ]]*Декабрь[[#This Row],[Периодичность]],"")</f>
        <v>0</v>
      </c>
    </row>
    <row r="80" spans="1:37" ht="18.75" x14ac:dyDescent="0.25">
      <c r="A80" s="35"/>
      <c r="B80" s="36"/>
      <c r="C80" s="37">
        <v>0</v>
      </c>
      <c r="D80" s="38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0" s="29" t="str">
        <f ca="1">IF(Декабрь[[#This Row],[УСЛУГ]]&lt;&gt;"",Декабрь[[#This Row],[УСЛУГ]]*Декабрь[[#This Row],[Периодичность]],"")</f>
        <v/>
      </c>
    </row>
    <row r="81" spans="1:37" x14ac:dyDescent="0.25">
      <c r="A81" s="35"/>
      <c r="B81" s="36"/>
      <c r="C81" s="37">
        <v>0</v>
      </c>
      <c r="D81" s="38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1" s="29" t="str">
        <f ca="1">IF(Декабрь[[#This Row],[УСЛУГ]]&lt;&gt;"",Декабрь[[#This Row],[УСЛУГ]]*Декабрь[[#This Row],[Периодичность]],"")</f>
        <v/>
      </c>
    </row>
    <row r="82" spans="1:37" ht="31.5" x14ac:dyDescent="0.25">
      <c r="A82" s="35" t="s">
        <v>20</v>
      </c>
      <c r="B82" s="36"/>
      <c r="C82" s="37">
        <v>0</v>
      </c>
      <c r="D82" s="38">
        <v>1</v>
      </c>
      <c r="E82" s="39"/>
      <c r="F82" s="40"/>
      <c r="G82" s="41"/>
      <c r="H82" s="41"/>
      <c r="I82" s="41"/>
      <c r="J82" s="41"/>
      <c r="K82" s="41"/>
      <c r="L82" s="39"/>
      <c r="M82" s="40"/>
      <c r="N82" s="41"/>
      <c r="O82" s="41"/>
      <c r="P82" s="41"/>
      <c r="Q82" s="41"/>
      <c r="R82" s="41"/>
      <c r="S82" s="39"/>
      <c r="T82" s="40"/>
      <c r="U82" s="41"/>
      <c r="V82" s="41"/>
      <c r="W82" s="41"/>
      <c r="X82" s="41"/>
      <c r="Y82" s="41"/>
      <c r="Z82" s="39"/>
      <c r="AA82" s="39"/>
      <c r="AB82" s="41"/>
      <c r="AC82" s="41"/>
      <c r="AD82" s="41"/>
      <c r="AE82" s="41"/>
      <c r="AF82" s="41"/>
      <c r="AG82" s="39"/>
      <c r="AH82" s="39"/>
      <c r="AI82" s="41"/>
      <c r="AJ82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82" s="42">
        <f ca="1">IF(Декабрь[[#This Row],[УСЛУГ]]&lt;&gt;"",Декабрь[[#This Row],[УСЛУГ]]*Декабрь[[#This Row],[Периодичность]],"")</f>
        <v>0</v>
      </c>
    </row>
    <row r="83" spans="1:37" x14ac:dyDescent="0.25">
      <c r="A83" s="35"/>
      <c r="B83" s="36"/>
      <c r="C83" s="37">
        <v>0</v>
      </c>
      <c r="D83" s="38">
        <v>2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3" s="42" t="str">
        <f ca="1">IF(Декабрь[[#This Row],[УСЛУГ]]&lt;&gt;"",Декабрь[[#This Row],[УСЛУГ]]*Декабрь[[#This Row],[Периодичность]],"")</f>
        <v/>
      </c>
    </row>
    <row r="84" spans="1:37" x14ac:dyDescent="0.25">
      <c r="A84" s="35"/>
      <c r="B84" s="36"/>
      <c r="C84" s="37">
        <v>0</v>
      </c>
      <c r="D84" s="38">
        <v>3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4" s="42" t="str">
        <f ca="1">IF(Декабрь[[#This Row],[УСЛУГ]]&lt;&gt;"",Декабрь[[#This Row],[УСЛУГ]]*Декабрь[[#This Row],[Периодичность]],"")</f>
        <v/>
      </c>
    </row>
    <row r="85" spans="1:37" ht="47.25" x14ac:dyDescent="0.25">
      <c r="A85" s="35" t="s">
        <v>144</v>
      </c>
      <c r="B85" s="36"/>
      <c r="C85" s="37">
        <v>0</v>
      </c>
      <c r="D85" s="38">
        <v>1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85" s="42">
        <f ca="1">IF(Декабрь[[#This Row],[УСЛУГ]]&lt;&gt;"",Декабрь[[#This Row],[УСЛУГ]]*Декабрь[[#This Row],[Периодичность]],"")</f>
        <v>0</v>
      </c>
    </row>
    <row r="86" spans="1:37" x14ac:dyDescent="0.25">
      <c r="A86" s="35"/>
      <c r="B86" s="36"/>
      <c r="C86" s="37">
        <v>0</v>
      </c>
      <c r="D86" s="38">
        <v>2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6" s="42" t="str">
        <f ca="1">IF(Декабрь[[#This Row],[УСЛУГ]]&lt;&gt;"",Декабрь[[#This Row],[УСЛУГ]]*Декабрь[[#This Row],[Периодичность]],"")</f>
        <v/>
      </c>
    </row>
    <row r="87" spans="1:37" x14ac:dyDescent="0.25">
      <c r="A87" s="35"/>
      <c r="B87" s="36"/>
      <c r="C87" s="37">
        <v>0</v>
      </c>
      <c r="D87" s="38">
        <v>3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7" s="42" t="str">
        <f ca="1">IF(Декабрь[[#This Row],[УСЛУГ]]&lt;&gt;"",Декабрь[[#This Row],[УСЛУГ]]*Декабрь[[#This Row],[Периодичность]],"")</f>
        <v/>
      </c>
    </row>
    <row r="88" spans="1:37" ht="47.25" x14ac:dyDescent="0.25">
      <c r="A88" s="35" t="s">
        <v>145</v>
      </c>
      <c r="B88" s="36"/>
      <c r="C88" s="37">
        <v>0</v>
      </c>
      <c r="D88" s="38">
        <v>1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88" s="42">
        <f ca="1">IF(Декабрь[[#This Row],[УСЛУГ]]&lt;&gt;"",Декабрь[[#This Row],[УСЛУГ]]*Декабрь[[#This Row],[Периодичность]],"")</f>
        <v>0</v>
      </c>
    </row>
    <row r="89" spans="1:37" x14ac:dyDescent="0.25">
      <c r="A89" s="35"/>
      <c r="B89" s="36"/>
      <c r="C89" s="37">
        <v>0</v>
      </c>
      <c r="D89" s="38">
        <v>2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89" s="42" t="str">
        <f ca="1">IF(Декабрь[[#This Row],[УСЛУГ]]&lt;&gt;"",Декабрь[[#This Row],[УСЛУГ]]*Декабрь[[#This Row],[Периодичность]],"")</f>
        <v/>
      </c>
    </row>
    <row r="90" spans="1:37" x14ac:dyDescent="0.25">
      <c r="A90" s="35"/>
      <c r="B90" s="36"/>
      <c r="C90" s="37">
        <v>0</v>
      </c>
      <c r="D90" s="38">
        <v>3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0" s="42" t="str">
        <f ca="1">IF(Декабрь[[#This Row],[УСЛУГ]]&lt;&gt;"",Декабрь[[#This Row],[УСЛУГ]]*Декабрь[[#This Row],[Периодичность]],"")</f>
        <v/>
      </c>
    </row>
    <row r="91" spans="1:37" ht="31.5" x14ac:dyDescent="0.25">
      <c r="A91" s="35" t="s">
        <v>23</v>
      </c>
      <c r="B91" s="36"/>
      <c r="C91" s="37">
        <v>0</v>
      </c>
      <c r="D91" s="38">
        <v>1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91" s="42">
        <f ca="1">IF(Декабрь[[#This Row],[УСЛУГ]]&lt;&gt;"",Декабрь[[#This Row],[УСЛУГ]]*Декабрь[[#This Row],[Периодичность]],"")</f>
        <v>0</v>
      </c>
    </row>
    <row r="92" spans="1:37" x14ac:dyDescent="0.25">
      <c r="A92" s="35"/>
      <c r="B92" s="36"/>
      <c r="C92" s="37">
        <v>0</v>
      </c>
      <c r="D92" s="38">
        <v>2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2" s="42" t="str">
        <f ca="1">IF(Декабрь[[#This Row],[УСЛУГ]]&lt;&gt;"",Декабрь[[#This Row],[УСЛУГ]]*Декабрь[[#This Row],[Периодичность]],"")</f>
        <v/>
      </c>
    </row>
    <row r="93" spans="1:37" x14ac:dyDescent="0.25">
      <c r="A93" s="35"/>
      <c r="B93" s="36"/>
      <c r="C93" s="37">
        <v>0</v>
      </c>
      <c r="D93" s="38">
        <v>3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3" s="42" t="str">
        <f ca="1">IF(Декабрь[[#This Row],[УСЛУГ]]&lt;&gt;"",Декабрь[[#This Row],[УСЛУГ]]*Декабрь[[#This Row],[Периодичность]],"")</f>
        <v/>
      </c>
    </row>
    <row r="94" spans="1:37" ht="31.5" x14ac:dyDescent="0.25">
      <c r="A94" s="35" t="s">
        <v>24</v>
      </c>
      <c r="B94" s="36"/>
      <c r="C94" s="37">
        <v>0</v>
      </c>
      <c r="D94" s="38">
        <v>1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94" s="42">
        <f ca="1">IF(Декабрь[[#This Row],[УСЛУГ]]&lt;&gt;"",Декабрь[[#This Row],[УСЛУГ]]*Декабрь[[#This Row],[Периодичность]],"")</f>
        <v>0</v>
      </c>
    </row>
    <row r="95" spans="1:37" x14ac:dyDescent="0.25">
      <c r="A95" s="35"/>
      <c r="B95" s="36"/>
      <c r="C95" s="37">
        <v>0</v>
      </c>
      <c r="D95" s="38">
        <v>2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5" s="42" t="str">
        <f ca="1">IF(Декабрь[[#This Row],[УСЛУГ]]&lt;&gt;"",Декабрь[[#This Row],[УСЛУГ]]*Декабрь[[#This Row],[Периодичность]],"")</f>
        <v/>
      </c>
    </row>
    <row r="96" spans="1:37" x14ac:dyDescent="0.25">
      <c r="A96" s="35"/>
      <c r="B96" s="36"/>
      <c r="C96" s="37">
        <v>0</v>
      </c>
      <c r="D96" s="38">
        <v>3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6" s="42" t="str">
        <f ca="1">IF(Декабрь[[#This Row],[УСЛУГ]]&lt;&gt;"",Декабрь[[#This Row],[УСЛУГ]]*Декабрь[[#This Row],[Периодичность]],"")</f>
        <v/>
      </c>
    </row>
    <row r="97" spans="1:37" ht="31.5" x14ac:dyDescent="0.25">
      <c r="A97" s="35" t="s">
        <v>25</v>
      </c>
      <c r="B97" s="36"/>
      <c r="C97" s="37">
        <v>0</v>
      </c>
      <c r="D97" s="38">
        <v>1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97" s="42">
        <f ca="1">IF(Декабрь[[#This Row],[УСЛУГ]]&lt;&gt;"",Декабрь[[#This Row],[УСЛУГ]]*Декабрь[[#This Row],[Периодичность]],"")</f>
        <v>0</v>
      </c>
    </row>
    <row r="98" spans="1:37" x14ac:dyDescent="0.25">
      <c r="A98" s="35"/>
      <c r="B98" s="36"/>
      <c r="C98" s="37">
        <v>0</v>
      </c>
      <c r="D98" s="38">
        <v>2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8" s="42" t="str">
        <f ca="1">IF(Декабрь[[#This Row],[УСЛУГ]]&lt;&gt;"",Декабрь[[#This Row],[УСЛУГ]]*Декабрь[[#This Row],[Периодичность]],"")</f>
        <v/>
      </c>
    </row>
    <row r="99" spans="1:37" x14ac:dyDescent="0.25">
      <c r="A99" s="35"/>
      <c r="B99" s="36"/>
      <c r="C99" s="37">
        <v>0</v>
      </c>
      <c r="D99" s="38">
        <v>3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99" s="42" t="str">
        <f ca="1">IF(Декабрь[[#This Row],[УСЛУГ]]&lt;&gt;"",Декабрь[[#This Row],[УСЛУГ]]*Декабрь[[#This Row],[Периодичность]],"")</f>
        <v/>
      </c>
    </row>
    <row r="100" spans="1:37" ht="47.25" x14ac:dyDescent="0.25">
      <c r="A100" s="35" t="s">
        <v>26</v>
      </c>
      <c r="B100" s="36"/>
      <c r="C100" s="37">
        <v>0</v>
      </c>
      <c r="D100" s="38">
        <v>1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00" s="42">
        <f ca="1">IF(Декабрь[[#This Row],[УСЛУГ]]&lt;&gt;"",Декабрь[[#This Row],[УСЛУГ]]*Декабрь[[#This Row],[Периодичность]],"")</f>
        <v>0</v>
      </c>
    </row>
    <row r="101" spans="1:37" x14ac:dyDescent="0.25">
      <c r="A101" s="35"/>
      <c r="B101" s="36"/>
      <c r="C101" s="37">
        <v>0</v>
      </c>
      <c r="D101" s="38">
        <v>2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1" s="42" t="str">
        <f ca="1">IF(Декабрь[[#This Row],[УСЛУГ]]&lt;&gt;"",Декабрь[[#This Row],[УСЛУГ]]*Декабрь[[#This Row],[Периодичность]],"")</f>
        <v/>
      </c>
    </row>
    <row r="102" spans="1:37" x14ac:dyDescent="0.25">
      <c r="A102" s="35"/>
      <c r="B102" s="36"/>
      <c r="C102" s="37">
        <v>0</v>
      </c>
      <c r="D102" s="38">
        <v>3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2" s="42" t="str">
        <f ca="1">IF(Декабрь[[#This Row],[УСЛУГ]]&lt;&gt;"",Декабрь[[#This Row],[УСЛУГ]]*Декабрь[[#This Row],[Периодичность]],"")</f>
        <v/>
      </c>
    </row>
    <row r="103" spans="1:37" ht="31.5" x14ac:dyDescent="0.25">
      <c r="A103" s="35" t="s">
        <v>27</v>
      </c>
      <c r="B103" s="36"/>
      <c r="C103" s="37">
        <v>0</v>
      </c>
      <c r="D103" s="38">
        <v>1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03" s="42">
        <f ca="1">IF(Декабрь[[#This Row],[УСЛУГ]]&lt;&gt;"",Декабрь[[#This Row],[УСЛУГ]]*Декабрь[[#This Row],[Периодичность]],"")</f>
        <v>0</v>
      </c>
    </row>
    <row r="104" spans="1:37" x14ac:dyDescent="0.25">
      <c r="A104" s="35"/>
      <c r="B104" s="36"/>
      <c r="C104" s="37">
        <v>0</v>
      </c>
      <c r="D104" s="38">
        <v>2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4" s="42" t="str">
        <f ca="1">IF(Декабрь[[#This Row],[УСЛУГ]]&lt;&gt;"",Декабрь[[#This Row],[УСЛУГ]]*Декабрь[[#This Row],[Периодичность]],"")</f>
        <v/>
      </c>
    </row>
    <row r="105" spans="1:37" x14ac:dyDescent="0.25">
      <c r="A105" s="35"/>
      <c r="B105" s="36"/>
      <c r="C105" s="37">
        <v>0</v>
      </c>
      <c r="D105" s="38">
        <v>3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5" s="42" t="str">
        <f ca="1">IF(Декабрь[[#This Row],[УСЛУГ]]&lt;&gt;"",Декабрь[[#This Row],[УСЛУГ]]*Декабрь[[#This Row],[Периодичность]],"")</f>
        <v/>
      </c>
    </row>
    <row r="106" spans="1:37" ht="47.25" x14ac:dyDescent="0.25">
      <c r="A106" s="35" t="s">
        <v>28</v>
      </c>
      <c r="B106" s="36"/>
      <c r="C106" s="37">
        <v>0</v>
      </c>
      <c r="D106" s="38">
        <v>1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06" s="42">
        <f ca="1">IF(Декабрь[[#This Row],[УСЛУГ]]&lt;&gt;"",Декабрь[[#This Row],[УСЛУГ]]*Декабрь[[#This Row],[Периодичность]],"")</f>
        <v>0</v>
      </c>
    </row>
    <row r="107" spans="1:37" x14ac:dyDescent="0.25">
      <c r="A107" s="35"/>
      <c r="B107" s="36"/>
      <c r="C107" s="37">
        <v>0</v>
      </c>
      <c r="D107" s="38">
        <v>2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7" s="42" t="str">
        <f ca="1">IF(Декабрь[[#This Row],[УСЛУГ]]&lt;&gt;"",Декабрь[[#This Row],[УСЛУГ]]*Декабрь[[#This Row],[Периодичность]],"")</f>
        <v/>
      </c>
    </row>
    <row r="108" spans="1:37" x14ac:dyDescent="0.25">
      <c r="A108" s="35"/>
      <c r="B108" s="36"/>
      <c r="C108" s="37">
        <v>0</v>
      </c>
      <c r="D108" s="38">
        <v>3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08" s="42" t="str">
        <f ca="1">IF(Декабрь[[#This Row],[УСЛУГ]]&lt;&gt;"",Декабрь[[#This Row],[УСЛУГ]]*Декабрь[[#This Row],[Периодичность]],"")</f>
        <v/>
      </c>
    </row>
    <row r="109" spans="1:37" ht="31.5" x14ac:dyDescent="0.25">
      <c r="A109" s="35" t="s">
        <v>29</v>
      </c>
      <c r="B109" s="36"/>
      <c r="C109" s="37">
        <v>0</v>
      </c>
      <c r="D109" s="38">
        <v>1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09" s="42">
        <f ca="1">IF(Декабрь[[#This Row],[УСЛУГ]]&lt;&gt;"",Декабрь[[#This Row],[УСЛУГ]]*Декабрь[[#This Row],[Периодичность]],"")</f>
        <v>0</v>
      </c>
    </row>
    <row r="110" spans="1:37" x14ac:dyDescent="0.25">
      <c r="A110" s="35"/>
      <c r="B110" s="36"/>
      <c r="C110" s="37">
        <v>0</v>
      </c>
      <c r="D110" s="38">
        <v>2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0" s="42" t="str">
        <f ca="1">IF(Декабрь[[#This Row],[УСЛУГ]]&lt;&gt;"",Декабрь[[#This Row],[УСЛУГ]]*Декабрь[[#This Row],[Периодичность]],"")</f>
        <v/>
      </c>
    </row>
    <row r="111" spans="1:37" x14ac:dyDescent="0.25">
      <c r="A111" s="35"/>
      <c r="B111" s="36"/>
      <c r="C111" s="37">
        <v>0</v>
      </c>
      <c r="D111" s="38">
        <v>3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1" s="42" t="str">
        <f ca="1">IF(Декабрь[[#This Row],[УСЛУГ]]&lt;&gt;"",Декабрь[[#This Row],[УСЛУГ]]*Декабрь[[#This Row],[Периодичность]],"")</f>
        <v/>
      </c>
    </row>
    <row r="112" spans="1:37" ht="47.25" x14ac:dyDescent="0.25">
      <c r="A112" s="35" t="s">
        <v>30</v>
      </c>
      <c r="B112" s="36"/>
      <c r="C112" s="37">
        <v>0</v>
      </c>
      <c r="D112" s="38">
        <v>1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12" s="42">
        <f ca="1">IF(Декабрь[[#This Row],[УСЛУГ]]&lt;&gt;"",Декабрь[[#This Row],[УСЛУГ]]*Декабрь[[#This Row],[Периодичность]],"")</f>
        <v>0</v>
      </c>
    </row>
    <row r="113" spans="1:37" x14ac:dyDescent="0.25">
      <c r="A113" s="35"/>
      <c r="B113" s="36"/>
      <c r="C113" s="37">
        <v>0</v>
      </c>
      <c r="D113" s="38">
        <v>2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3" s="42" t="str">
        <f ca="1">IF(Декабрь[[#This Row],[УСЛУГ]]&lt;&gt;"",Декабрь[[#This Row],[УСЛУГ]]*Декабрь[[#This Row],[Периодичность]],"")</f>
        <v/>
      </c>
    </row>
    <row r="114" spans="1:37" x14ac:dyDescent="0.25">
      <c r="A114" s="35"/>
      <c r="B114" s="36"/>
      <c r="C114" s="37">
        <v>0</v>
      </c>
      <c r="D114" s="38">
        <v>3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4" s="42" t="str">
        <f ca="1">IF(Декабрь[[#This Row],[УСЛУГ]]&lt;&gt;"",Декабрь[[#This Row],[УСЛУГ]]*Декабрь[[#This Row],[Периодичность]],"")</f>
        <v/>
      </c>
    </row>
    <row r="115" spans="1:37" ht="47.25" x14ac:dyDescent="0.25">
      <c r="A115" s="35" t="s">
        <v>77</v>
      </c>
      <c r="B115" s="36"/>
      <c r="C115" s="37">
        <v>0</v>
      </c>
      <c r="D115" s="38">
        <v>1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15" s="42">
        <f ca="1">IF(Декабрь[[#This Row],[УСЛУГ]]&lt;&gt;"",Декабрь[[#This Row],[УСЛУГ]]*Декабрь[[#This Row],[Периодичность]],"")</f>
        <v>0</v>
      </c>
    </row>
    <row r="116" spans="1:37" x14ac:dyDescent="0.25">
      <c r="A116" s="35"/>
      <c r="B116" s="36"/>
      <c r="C116" s="37">
        <v>0</v>
      </c>
      <c r="D116" s="38">
        <v>2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6" s="42" t="str">
        <f ca="1">IF(Декабрь[[#This Row],[УСЛУГ]]&lt;&gt;"",Декабрь[[#This Row],[УСЛУГ]]*Декабрь[[#This Row],[Периодичность]],"")</f>
        <v/>
      </c>
    </row>
    <row r="117" spans="1:37" x14ac:dyDescent="0.25">
      <c r="A117" s="35"/>
      <c r="B117" s="36"/>
      <c r="C117" s="37">
        <v>0</v>
      </c>
      <c r="D117" s="38">
        <v>3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7" s="42" t="str">
        <f ca="1">IF(Декабрь[[#This Row],[УСЛУГ]]&lt;&gt;"",Декабрь[[#This Row],[УСЛУГ]]*Декабрь[[#This Row],[Периодичность]],"")</f>
        <v/>
      </c>
    </row>
    <row r="118" spans="1:37" ht="63" x14ac:dyDescent="0.25">
      <c r="A118" s="35" t="s">
        <v>146</v>
      </c>
      <c r="B118" s="36"/>
      <c r="C118" s="37">
        <v>0</v>
      </c>
      <c r="D118" s="38">
        <v>1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18" s="42">
        <f ca="1">IF(Декабрь[[#This Row],[УСЛУГ]]&lt;&gt;"",Декабрь[[#This Row],[УСЛУГ]]*Декабрь[[#This Row],[Периодичность]],"")</f>
        <v>0</v>
      </c>
    </row>
    <row r="119" spans="1:37" x14ac:dyDescent="0.25">
      <c r="A119" s="35"/>
      <c r="B119" s="36"/>
      <c r="C119" s="37">
        <v>0</v>
      </c>
      <c r="D119" s="38">
        <v>2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19" s="42" t="str">
        <f ca="1">IF(Декабрь[[#This Row],[УСЛУГ]]&lt;&gt;"",Декабрь[[#This Row],[УСЛУГ]]*Декабрь[[#This Row],[Периодичность]],"")</f>
        <v/>
      </c>
    </row>
    <row r="120" spans="1:37" x14ac:dyDescent="0.25">
      <c r="A120" s="35"/>
      <c r="B120" s="36"/>
      <c r="C120" s="37">
        <v>0</v>
      </c>
      <c r="D120" s="38">
        <v>3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0" s="42" t="str">
        <f ca="1">IF(Декабрь[[#This Row],[УСЛУГ]]&lt;&gt;"",Декабрь[[#This Row],[УСЛУГ]]*Декабрь[[#This Row],[Периодичность]],"")</f>
        <v/>
      </c>
    </row>
    <row r="121" spans="1:37" ht="47.25" x14ac:dyDescent="0.25">
      <c r="A121" s="35" t="s">
        <v>76</v>
      </c>
      <c r="B121" s="36"/>
      <c r="C121" s="37">
        <v>0</v>
      </c>
      <c r="D121" s="38">
        <v>1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21" s="42">
        <f ca="1">IF(Декабрь[[#This Row],[УСЛУГ]]&lt;&gt;"",Декабрь[[#This Row],[УСЛУГ]]*Декабрь[[#This Row],[Периодичность]],"")</f>
        <v>0</v>
      </c>
    </row>
    <row r="122" spans="1:37" x14ac:dyDescent="0.25">
      <c r="A122" s="35"/>
      <c r="B122" s="36"/>
      <c r="C122" s="37">
        <v>0</v>
      </c>
      <c r="D122" s="38">
        <v>2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2" s="42" t="str">
        <f ca="1">IF(Декабрь[[#This Row],[УСЛУГ]]&lt;&gt;"",Декабрь[[#This Row],[УСЛУГ]]*Декабрь[[#This Row],[Периодичность]],"")</f>
        <v/>
      </c>
    </row>
    <row r="123" spans="1:37" x14ac:dyDescent="0.25">
      <c r="A123" s="35"/>
      <c r="B123" s="36"/>
      <c r="C123" s="37">
        <v>0</v>
      </c>
      <c r="D123" s="38">
        <v>3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3" s="42" t="str">
        <f ca="1">IF(Декабрь[[#This Row],[УСЛУГ]]&lt;&gt;"",Декабрь[[#This Row],[УСЛУГ]]*Декабрь[[#This Row],[Периодичность]],"")</f>
        <v/>
      </c>
    </row>
    <row r="124" spans="1:37" ht="47.25" x14ac:dyDescent="0.25">
      <c r="A124" s="35" t="s">
        <v>147</v>
      </c>
      <c r="B124" s="36"/>
      <c r="C124" s="37">
        <v>0</v>
      </c>
      <c r="D124" s="38">
        <v>1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24" s="42">
        <f ca="1">IF(Декабрь[[#This Row],[УСЛУГ]]&lt;&gt;"",Декабрь[[#This Row],[УСЛУГ]]*Декабрь[[#This Row],[Периодичность]],"")</f>
        <v>0</v>
      </c>
    </row>
    <row r="125" spans="1:37" x14ac:dyDescent="0.25">
      <c r="A125" s="35"/>
      <c r="B125" s="36"/>
      <c r="C125" s="37">
        <v>0</v>
      </c>
      <c r="D125" s="38">
        <v>2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5" s="42" t="str">
        <f ca="1">IF(Декабрь[[#This Row],[УСЛУГ]]&lt;&gt;"",Декабрь[[#This Row],[УСЛУГ]]*Декабрь[[#This Row],[Периодичность]],"")</f>
        <v/>
      </c>
    </row>
    <row r="126" spans="1:37" x14ac:dyDescent="0.25">
      <c r="A126" s="35"/>
      <c r="B126" s="36"/>
      <c r="C126" s="37">
        <v>0</v>
      </c>
      <c r="D126" s="38">
        <v>3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6" s="42" t="str">
        <f ca="1">IF(Декабрь[[#This Row],[УСЛУГ]]&lt;&gt;"",Декабрь[[#This Row],[УСЛУГ]]*Декабрь[[#This Row],[Периодичность]],"")</f>
        <v/>
      </c>
    </row>
    <row r="127" spans="1:37" ht="47.25" x14ac:dyDescent="0.25">
      <c r="A127" s="35" t="s">
        <v>148</v>
      </c>
      <c r="B127" s="36"/>
      <c r="C127" s="37">
        <v>0</v>
      </c>
      <c r="D127" s="38">
        <v>1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27" s="42">
        <f ca="1">IF(Декабрь[[#This Row],[УСЛУГ]]&lt;&gt;"",Декабрь[[#This Row],[УСЛУГ]]*Декабрь[[#This Row],[Периодичность]],"")</f>
        <v>0</v>
      </c>
    </row>
    <row r="128" spans="1:37" x14ac:dyDescent="0.25">
      <c r="A128" s="35"/>
      <c r="B128" s="36"/>
      <c r="C128" s="37">
        <v>0</v>
      </c>
      <c r="D128" s="38">
        <v>2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8" s="42" t="str">
        <f ca="1">IF(Декабрь[[#This Row],[УСЛУГ]]&lt;&gt;"",Декабрь[[#This Row],[УСЛУГ]]*Декабрь[[#This Row],[Периодичность]],"")</f>
        <v/>
      </c>
    </row>
    <row r="129" spans="1:37" x14ac:dyDescent="0.25">
      <c r="A129" s="35"/>
      <c r="B129" s="36"/>
      <c r="C129" s="37">
        <v>0</v>
      </c>
      <c r="D129" s="38">
        <v>3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29" s="42" t="str">
        <f ca="1">IF(Декабрь[[#This Row],[УСЛУГ]]&lt;&gt;"",Декабрь[[#This Row],[УСЛУГ]]*Декабрь[[#This Row],[Периодичность]],"")</f>
        <v/>
      </c>
    </row>
    <row r="130" spans="1:37" ht="31.5" x14ac:dyDescent="0.25">
      <c r="A130" s="35" t="s">
        <v>36</v>
      </c>
      <c r="B130" s="36"/>
      <c r="C130" s="37">
        <v>0</v>
      </c>
      <c r="D130" s="38">
        <v>1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30" s="42">
        <f ca="1">IF(Декабрь[[#This Row],[УСЛУГ]]&lt;&gt;"",Декабрь[[#This Row],[УСЛУГ]]*Декабрь[[#This Row],[Периодичность]],"")</f>
        <v>0</v>
      </c>
    </row>
    <row r="131" spans="1:37" x14ac:dyDescent="0.25">
      <c r="A131" s="35"/>
      <c r="B131" s="36"/>
      <c r="C131" s="37">
        <v>0</v>
      </c>
      <c r="D131" s="38">
        <v>2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1" s="42" t="str">
        <f ca="1">IF(Декабрь[[#This Row],[УСЛУГ]]&lt;&gt;"",Декабрь[[#This Row],[УСЛУГ]]*Декабрь[[#This Row],[Периодичность]],"")</f>
        <v/>
      </c>
    </row>
    <row r="132" spans="1:37" x14ac:dyDescent="0.25">
      <c r="A132" s="35"/>
      <c r="B132" s="36"/>
      <c r="C132" s="37">
        <v>0</v>
      </c>
      <c r="D132" s="38">
        <v>3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2" s="42" t="str">
        <f ca="1">IF(Декабрь[[#This Row],[УСЛУГ]]&lt;&gt;"",Декабрь[[#This Row],[УСЛУГ]]*Декабрь[[#This Row],[Периодичность]],"")</f>
        <v/>
      </c>
    </row>
    <row r="133" spans="1:37" ht="31.5" x14ac:dyDescent="0.25">
      <c r="A133" s="35" t="s">
        <v>37</v>
      </c>
      <c r="B133" s="36"/>
      <c r="C133" s="37">
        <v>0</v>
      </c>
      <c r="D133" s="38">
        <v>1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33" s="42">
        <f ca="1">IF(Декабрь[[#This Row],[УСЛУГ]]&lt;&gt;"",Декабрь[[#This Row],[УСЛУГ]]*Декабрь[[#This Row],[Периодичность]],"")</f>
        <v>0</v>
      </c>
    </row>
    <row r="134" spans="1:37" x14ac:dyDescent="0.25">
      <c r="A134" s="35"/>
      <c r="B134" s="36"/>
      <c r="C134" s="37">
        <v>0</v>
      </c>
      <c r="D134" s="38">
        <v>2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4" s="42" t="str">
        <f ca="1">IF(Декабрь[[#This Row],[УСЛУГ]]&lt;&gt;"",Декабрь[[#This Row],[УСЛУГ]]*Декабрь[[#This Row],[Периодичность]],"")</f>
        <v/>
      </c>
    </row>
    <row r="135" spans="1:37" x14ac:dyDescent="0.25">
      <c r="A135" s="35"/>
      <c r="B135" s="36"/>
      <c r="C135" s="37">
        <v>0</v>
      </c>
      <c r="D135" s="38">
        <v>3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5" s="42" t="str">
        <f ca="1">IF(Декабрь[[#This Row],[УСЛУГ]]&lt;&gt;"",Декабрь[[#This Row],[УСЛУГ]]*Декабрь[[#This Row],[Периодичность]],"")</f>
        <v/>
      </c>
    </row>
    <row r="136" spans="1:37" x14ac:dyDescent="0.25">
      <c r="A136" s="35" t="s">
        <v>38</v>
      </c>
      <c r="B136" s="36"/>
      <c r="C136" s="37">
        <v>0</v>
      </c>
      <c r="D136" s="38">
        <v>1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36" s="42">
        <f ca="1">IF(Декабрь[[#This Row],[УСЛУГ]]&lt;&gt;"",Декабрь[[#This Row],[УСЛУГ]]*Декабрь[[#This Row],[Периодичность]],"")</f>
        <v>0</v>
      </c>
    </row>
    <row r="137" spans="1:37" x14ac:dyDescent="0.25">
      <c r="A137" s="35"/>
      <c r="B137" s="36"/>
      <c r="C137" s="37">
        <v>0</v>
      </c>
      <c r="D137" s="38">
        <v>2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7" s="42" t="str">
        <f ca="1">IF(Декабрь[[#This Row],[УСЛУГ]]&lt;&gt;"",Декабрь[[#This Row],[УСЛУГ]]*Декабрь[[#This Row],[Периодичность]],"")</f>
        <v/>
      </c>
    </row>
    <row r="138" spans="1:37" x14ac:dyDescent="0.25">
      <c r="A138" s="35"/>
      <c r="B138" s="36"/>
      <c r="C138" s="37">
        <v>0</v>
      </c>
      <c r="D138" s="38">
        <v>3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38" s="42" t="str">
        <f ca="1">IF(Декабрь[[#This Row],[УСЛУГ]]&lt;&gt;"",Декабрь[[#This Row],[УСЛУГ]]*Декабрь[[#This Row],[Периодичность]],"")</f>
        <v/>
      </c>
    </row>
    <row r="139" spans="1:37" ht="31.5" x14ac:dyDescent="0.25">
      <c r="A139" s="35" t="s">
        <v>39</v>
      </c>
      <c r="B139" s="36"/>
      <c r="C139" s="37">
        <v>0</v>
      </c>
      <c r="D139" s="38">
        <v>1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39" s="42">
        <f ca="1">IF(Декабрь[[#This Row],[УСЛУГ]]&lt;&gt;"",Декабрь[[#This Row],[УСЛУГ]]*Декабрь[[#This Row],[Периодичность]],"")</f>
        <v>0</v>
      </c>
    </row>
    <row r="140" spans="1:37" x14ac:dyDescent="0.25">
      <c r="A140" s="35"/>
      <c r="B140" s="36"/>
      <c r="C140" s="37">
        <v>0</v>
      </c>
      <c r="D140" s="38">
        <v>2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0" s="42" t="str">
        <f ca="1">IF(Декабрь[[#This Row],[УСЛУГ]]&lt;&gt;"",Декабрь[[#This Row],[УСЛУГ]]*Декабрь[[#This Row],[Периодичность]],"")</f>
        <v/>
      </c>
    </row>
    <row r="141" spans="1:37" x14ac:dyDescent="0.25">
      <c r="A141" s="35"/>
      <c r="B141" s="36"/>
      <c r="C141" s="37">
        <v>0</v>
      </c>
      <c r="D141" s="38">
        <v>3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1" s="42" t="str">
        <f ca="1">IF(Декабрь[[#This Row],[УСЛУГ]]&lt;&gt;"",Декабрь[[#This Row],[УСЛУГ]]*Декабрь[[#This Row],[Периодичность]],"")</f>
        <v/>
      </c>
    </row>
    <row r="142" spans="1:37" ht="47.25" x14ac:dyDescent="0.25">
      <c r="A142" s="35" t="s">
        <v>149</v>
      </c>
      <c r="B142" s="36"/>
      <c r="C142" s="37">
        <v>0</v>
      </c>
      <c r="D142" s="38">
        <v>1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42" s="42">
        <f ca="1">IF(Декабрь[[#This Row],[УСЛУГ]]&lt;&gt;"",Декабрь[[#This Row],[УСЛУГ]]*Декабрь[[#This Row],[Периодичность]],"")</f>
        <v>0</v>
      </c>
    </row>
    <row r="143" spans="1:37" x14ac:dyDescent="0.25">
      <c r="A143" s="35"/>
      <c r="B143" s="36"/>
      <c r="C143" s="37">
        <v>0</v>
      </c>
      <c r="D143" s="38">
        <v>2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3" s="42" t="str">
        <f ca="1">IF(Декабрь[[#This Row],[УСЛУГ]]&lt;&gt;"",Декабрь[[#This Row],[УСЛУГ]]*Декабрь[[#This Row],[Периодичность]],"")</f>
        <v/>
      </c>
    </row>
    <row r="144" spans="1:37" x14ac:dyDescent="0.25">
      <c r="A144" s="35"/>
      <c r="B144" s="36"/>
      <c r="C144" s="37">
        <v>0</v>
      </c>
      <c r="D144" s="38">
        <v>3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4" s="42" t="str">
        <f ca="1">IF(Декабрь[[#This Row],[УСЛУГ]]&lt;&gt;"",Декабрь[[#This Row],[УСЛУГ]]*Декабрь[[#This Row],[Периодичность]],"")</f>
        <v/>
      </c>
    </row>
    <row r="145" spans="1:37" ht="47.25" x14ac:dyDescent="0.25">
      <c r="A145" s="35" t="s">
        <v>150</v>
      </c>
      <c r="B145" s="36"/>
      <c r="C145" s="37">
        <v>0</v>
      </c>
      <c r="D145" s="38">
        <v>1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45" s="42">
        <f ca="1">IF(Декабрь[[#This Row],[УСЛУГ]]&lt;&gt;"",Декабрь[[#This Row],[УСЛУГ]]*Декабрь[[#This Row],[Периодичность]],"")</f>
        <v>0</v>
      </c>
    </row>
    <row r="146" spans="1:37" x14ac:dyDescent="0.25">
      <c r="A146" s="35"/>
      <c r="B146" s="36"/>
      <c r="C146" s="37">
        <v>0</v>
      </c>
      <c r="D146" s="38">
        <v>2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6" s="42" t="str">
        <f ca="1">IF(Декабрь[[#This Row],[УСЛУГ]]&lt;&gt;"",Декабрь[[#This Row],[УСЛУГ]]*Декабрь[[#This Row],[Периодичность]],"")</f>
        <v/>
      </c>
    </row>
    <row r="147" spans="1:37" x14ac:dyDescent="0.25">
      <c r="A147" s="35"/>
      <c r="B147" s="36"/>
      <c r="C147" s="37">
        <v>0</v>
      </c>
      <c r="D147" s="38">
        <v>3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7" s="42" t="str">
        <f ca="1">IF(Декабрь[[#This Row],[УСЛУГ]]&lt;&gt;"",Декабрь[[#This Row],[УСЛУГ]]*Декабрь[[#This Row],[Периодичность]],"")</f>
        <v/>
      </c>
    </row>
    <row r="148" spans="1:37" ht="47.25" x14ac:dyDescent="0.25">
      <c r="A148" s="35" t="s">
        <v>151</v>
      </c>
      <c r="B148" s="36"/>
      <c r="C148" s="37">
        <v>0</v>
      </c>
      <c r="D148" s="38">
        <v>1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48" s="42">
        <f ca="1">IF(Декабрь[[#This Row],[УСЛУГ]]&lt;&gt;"",Декабрь[[#This Row],[УСЛУГ]]*Декабрь[[#This Row],[Периодичность]],"")</f>
        <v>0</v>
      </c>
    </row>
    <row r="149" spans="1:37" x14ac:dyDescent="0.25">
      <c r="A149" s="35"/>
      <c r="B149" s="36"/>
      <c r="C149" s="37">
        <v>0</v>
      </c>
      <c r="D149" s="38">
        <v>2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49" s="42" t="str">
        <f ca="1">IF(Декабрь[[#This Row],[УСЛУГ]]&lt;&gt;"",Декабрь[[#This Row],[УСЛУГ]]*Декабрь[[#This Row],[Периодичность]],"")</f>
        <v/>
      </c>
    </row>
    <row r="150" spans="1:37" x14ac:dyDescent="0.25">
      <c r="A150" s="35"/>
      <c r="B150" s="36"/>
      <c r="C150" s="37">
        <v>0</v>
      </c>
      <c r="D150" s="38">
        <v>3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0" s="42" t="str">
        <f ca="1">IF(Декабрь[[#This Row],[УСЛУГ]]&lt;&gt;"",Декабрь[[#This Row],[УСЛУГ]]*Декабрь[[#This Row],[Периодичность]],"")</f>
        <v/>
      </c>
    </row>
    <row r="151" spans="1:37" ht="47.25" x14ac:dyDescent="0.25">
      <c r="A151" s="35" t="s">
        <v>75</v>
      </c>
      <c r="B151" s="36"/>
      <c r="C151" s="37">
        <v>0</v>
      </c>
      <c r="D151" s="38">
        <v>1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51" s="42">
        <f ca="1">IF(Декабрь[[#This Row],[УСЛУГ]]&lt;&gt;"",Декабрь[[#This Row],[УСЛУГ]]*Декабрь[[#This Row],[Периодичность]],"")</f>
        <v>0</v>
      </c>
    </row>
    <row r="152" spans="1:37" x14ac:dyDescent="0.25">
      <c r="A152" s="35"/>
      <c r="B152" s="36"/>
      <c r="C152" s="37">
        <v>0</v>
      </c>
      <c r="D152" s="38">
        <v>2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2" s="42" t="str">
        <f ca="1">IF(Декабрь[[#This Row],[УСЛУГ]]&lt;&gt;"",Декабрь[[#This Row],[УСЛУГ]]*Декабрь[[#This Row],[Периодичность]],"")</f>
        <v/>
      </c>
    </row>
    <row r="153" spans="1:37" x14ac:dyDescent="0.25">
      <c r="A153" s="35"/>
      <c r="B153" s="36"/>
      <c r="C153" s="37">
        <v>0</v>
      </c>
      <c r="D153" s="38">
        <v>3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3" s="42" t="str">
        <f ca="1">IF(Декабрь[[#This Row],[УСЛУГ]]&lt;&gt;"",Декабрь[[#This Row],[УСЛУГ]]*Декабрь[[#This Row],[Периодичность]],"")</f>
        <v/>
      </c>
    </row>
    <row r="154" spans="1:37" ht="47.25" x14ac:dyDescent="0.25">
      <c r="A154" s="35" t="s">
        <v>74</v>
      </c>
      <c r="B154" s="36"/>
      <c r="C154" s="37">
        <v>0</v>
      </c>
      <c r="D154" s="38">
        <v>1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54" s="42">
        <f ca="1">IF(Декабрь[[#This Row],[УСЛУГ]]&lt;&gt;"",Декабрь[[#This Row],[УСЛУГ]]*Декабрь[[#This Row],[Периодичность]],"")</f>
        <v>0</v>
      </c>
    </row>
    <row r="155" spans="1:37" x14ac:dyDescent="0.25">
      <c r="A155" s="35"/>
      <c r="B155" s="36"/>
      <c r="C155" s="37">
        <v>0</v>
      </c>
      <c r="D155" s="38">
        <v>2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5" s="42" t="str">
        <f ca="1">IF(Декабрь[[#This Row],[УСЛУГ]]&lt;&gt;"",Декабрь[[#This Row],[УСЛУГ]]*Декабрь[[#This Row],[Периодичность]],"")</f>
        <v/>
      </c>
    </row>
    <row r="156" spans="1:37" x14ac:dyDescent="0.25">
      <c r="A156" s="35"/>
      <c r="B156" s="36"/>
      <c r="C156" s="37">
        <v>0</v>
      </c>
      <c r="D156" s="38">
        <v>3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6" s="42" t="str">
        <f ca="1">IF(Декабрь[[#This Row],[УСЛУГ]]&lt;&gt;"",Декабрь[[#This Row],[УСЛУГ]]*Декабрь[[#This Row],[Периодичность]],"")</f>
        <v/>
      </c>
    </row>
    <row r="157" spans="1:37" ht="47.25" x14ac:dyDescent="0.25">
      <c r="A157" s="35" t="s">
        <v>152</v>
      </c>
      <c r="B157" s="36"/>
      <c r="C157" s="37">
        <v>0</v>
      </c>
      <c r="D157" s="38">
        <v>1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57" s="42">
        <f ca="1">IF(Декабрь[[#This Row],[УСЛУГ]]&lt;&gt;"",Декабрь[[#This Row],[УСЛУГ]]*Декабрь[[#This Row],[Периодичность]],"")</f>
        <v>0</v>
      </c>
    </row>
    <row r="158" spans="1:37" x14ac:dyDescent="0.25">
      <c r="A158" s="35"/>
      <c r="B158" s="36"/>
      <c r="C158" s="37">
        <v>0</v>
      </c>
      <c r="D158" s="38">
        <v>2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8" s="42" t="str">
        <f ca="1">IF(Декабрь[[#This Row],[УСЛУГ]]&lt;&gt;"",Декабрь[[#This Row],[УСЛУГ]]*Декабрь[[#This Row],[Периодичность]],"")</f>
        <v/>
      </c>
    </row>
    <row r="159" spans="1:37" x14ac:dyDescent="0.25">
      <c r="A159" s="35"/>
      <c r="B159" s="36"/>
      <c r="C159" s="37">
        <v>0</v>
      </c>
      <c r="D159" s="38">
        <v>3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59" s="42" t="str">
        <f ca="1">IF(Декабрь[[#This Row],[УСЛУГ]]&lt;&gt;"",Декабрь[[#This Row],[УСЛУГ]]*Декабрь[[#This Row],[Периодичность]],"")</f>
        <v/>
      </c>
    </row>
    <row r="160" spans="1:37" ht="47.25" x14ac:dyDescent="0.25">
      <c r="A160" s="35" t="s">
        <v>153</v>
      </c>
      <c r="B160" s="36"/>
      <c r="C160" s="37">
        <v>0</v>
      </c>
      <c r="D160" s="38">
        <v>1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60" s="42">
        <f ca="1">IF(Декабрь[[#This Row],[УСЛУГ]]&lt;&gt;"",Декабрь[[#This Row],[УСЛУГ]]*Декабрь[[#This Row],[Периодичность]],"")</f>
        <v>0</v>
      </c>
    </row>
    <row r="161" spans="1:37" x14ac:dyDescent="0.25">
      <c r="A161" s="35"/>
      <c r="B161" s="36"/>
      <c r="C161" s="37">
        <v>0</v>
      </c>
      <c r="D161" s="38">
        <v>2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1" s="42" t="str">
        <f ca="1">IF(Декабрь[[#This Row],[УСЛУГ]]&lt;&gt;"",Декабрь[[#This Row],[УСЛУГ]]*Декабрь[[#This Row],[Периодичность]],"")</f>
        <v/>
      </c>
    </row>
    <row r="162" spans="1:37" x14ac:dyDescent="0.25">
      <c r="A162" s="35"/>
      <c r="B162" s="36"/>
      <c r="C162" s="37">
        <v>0</v>
      </c>
      <c r="D162" s="38">
        <v>3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2" s="42" t="str">
        <f ca="1">IF(Декабрь[[#This Row],[УСЛУГ]]&lt;&gt;"",Декабрь[[#This Row],[УСЛУГ]]*Декабрь[[#This Row],[Периодичность]],"")</f>
        <v/>
      </c>
    </row>
    <row r="163" spans="1:37" ht="47.25" x14ac:dyDescent="0.25">
      <c r="A163" s="35" t="s">
        <v>154</v>
      </c>
      <c r="B163" s="36"/>
      <c r="C163" s="37">
        <v>0</v>
      </c>
      <c r="D163" s="38">
        <v>1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63" s="42">
        <f ca="1">IF(Декабрь[[#This Row],[УСЛУГ]]&lt;&gt;"",Декабрь[[#This Row],[УСЛУГ]]*Декабрь[[#This Row],[Периодичность]],"")</f>
        <v>0</v>
      </c>
    </row>
    <row r="164" spans="1:37" x14ac:dyDescent="0.25">
      <c r="A164" s="35"/>
      <c r="B164" s="36"/>
      <c r="C164" s="37">
        <v>0</v>
      </c>
      <c r="D164" s="38">
        <v>2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4" s="42" t="str">
        <f ca="1">IF(Декабрь[[#This Row],[УСЛУГ]]&lt;&gt;"",Декабрь[[#This Row],[УСЛУГ]]*Декабрь[[#This Row],[Периодичность]],"")</f>
        <v/>
      </c>
    </row>
    <row r="165" spans="1:37" x14ac:dyDescent="0.25">
      <c r="A165" s="35"/>
      <c r="B165" s="36"/>
      <c r="C165" s="37">
        <v>0</v>
      </c>
      <c r="D165" s="38">
        <v>3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5" s="42" t="str">
        <f ca="1">IF(Декабрь[[#This Row],[УСЛУГ]]&lt;&gt;"",Декабрь[[#This Row],[УСЛУГ]]*Декабрь[[#This Row],[Периодичность]],"")</f>
        <v/>
      </c>
    </row>
    <row r="166" spans="1:37" ht="47.25" x14ac:dyDescent="0.25">
      <c r="A166" s="35" t="s">
        <v>73</v>
      </c>
      <c r="B166" s="36"/>
      <c r="C166" s="37">
        <v>0</v>
      </c>
      <c r="D166" s="38">
        <v>1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66" s="42">
        <f ca="1">IF(Декабрь[[#This Row],[УСЛУГ]]&lt;&gt;"",Декабрь[[#This Row],[УСЛУГ]]*Декабрь[[#This Row],[Периодичность]],"")</f>
        <v>0</v>
      </c>
    </row>
    <row r="167" spans="1:37" x14ac:dyDescent="0.25">
      <c r="A167" s="35"/>
      <c r="B167" s="36"/>
      <c r="C167" s="37">
        <v>0</v>
      </c>
      <c r="D167" s="38">
        <v>2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7" s="42" t="str">
        <f ca="1">IF(Декабрь[[#This Row],[УСЛУГ]]&lt;&gt;"",Декабрь[[#This Row],[УСЛУГ]]*Декабрь[[#This Row],[Периодичность]],"")</f>
        <v/>
      </c>
    </row>
    <row r="168" spans="1:37" x14ac:dyDescent="0.25">
      <c r="A168" s="35"/>
      <c r="B168" s="36"/>
      <c r="C168" s="37">
        <v>0</v>
      </c>
      <c r="D168" s="38">
        <v>3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68" s="42" t="str">
        <f ca="1">IF(Декабрь[[#This Row],[УСЛУГ]]&lt;&gt;"",Декабрь[[#This Row],[УСЛУГ]]*Декабрь[[#This Row],[Периодичность]],"")</f>
        <v/>
      </c>
    </row>
    <row r="169" spans="1:37" ht="47.25" x14ac:dyDescent="0.25">
      <c r="A169" s="35" t="s">
        <v>155</v>
      </c>
      <c r="B169" s="36"/>
      <c r="C169" s="37">
        <v>0</v>
      </c>
      <c r="D169" s="38">
        <v>1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69" s="42">
        <f ca="1">IF(Декабрь[[#This Row],[УСЛУГ]]&lt;&gt;"",Декабрь[[#This Row],[УСЛУГ]]*Декабрь[[#This Row],[Периодичность]],"")</f>
        <v>0</v>
      </c>
    </row>
    <row r="170" spans="1:37" x14ac:dyDescent="0.25">
      <c r="A170" s="35"/>
      <c r="B170" s="36"/>
      <c r="C170" s="37">
        <v>0</v>
      </c>
      <c r="D170" s="38">
        <v>2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70" s="42" t="str">
        <f ca="1">IF(Декабрь[[#This Row],[УСЛУГ]]&lt;&gt;"",Декабрь[[#This Row],[УСЛУГ]]*Декабрь[[#This Row],[Периодичность]],"")</f>
        <v/>
      </c>
    </row>
    <row r="171" spans="1:37" x14ac:dyDescent="0.25">
      <c r="A171" s="35"/>
      <c r="B171" s="36"/>
      <c r="C171" s="37">
        <v>0</v>
      </c>
      <c r="D171" s="38">
        <v>3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71" s="42" t="str">
        <f ca="1">IF(Декабрь[[#This Row],[УСЛУГ]]&lt;&gt;"",Декабрь[[#This Row],[УСЛУГ]]*Декабрь[[#This Row],[Периодичность]],"")</f>
        <v/>
      </c>
    </row>
    <row r="172" spans="1:37" ht="47.25" x14ac:dyDescent="0.25">
      <c r="A172" s="35" t="s">
        <v>72</v>
      </c>
      <c r="B172" s="36"/>
      <c r="C172" s="37">
        <v>0</v>
      </c>
      <c r="D172" s="38">
        <v>1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>0</v>
      </c>
      <c r="AK172" s="42">
        <f ca="1">IF(Декабрь[[#This Row],[УСЛУГ]]&lt;&gt;"",Декабрь[[#This Row],[УСЛУГ]]*Декабрь[[#This Row],[Периодичность]],"")</f>
        <v>0</v>
      </c>
    </row>
    <row r="173" spans="1:37" x14ac:dyDescent="0.25">
      <c r="A173" s="35"/>
      <c r="B173" s="36"/>
      <c r="C173" s="37">
        <v>0</v>
      </c>
      <c r="D173" s="38">
        <v>2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73" s="42" t="str">
        <f ca="1">IF(Декабрь[[#This Row],[УСЛУГ]]&lt;&gt;"",Декабрь[[#This Row],[УСЛУГ]]*Декабрь[[#This Row],[Периодичность]],"")</f>
        <v/>
      </c>
    </row>
    <row r="174" spans="1:37" x14ac:dyDescent="0.25">
      <c r="A174" s="35"/>
      <c r="B174" s="36"/>
      <c r="C174" s="37">
        <v>0</v>
      </c>
      <c r="D174" s="38">
        <v>3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IF(OFFSET(Декабрь[[#This Row],[№]],1,)=2,IF(OFFSET(Декабрь[[#This Row],[№]],2,)=3,SUM(Декабрь[[#This Row],[1]:[31]])+SUM(OFFSET(Декабрь[[#This Row],[1]:[31]],1,))+SUM(OFFSET(Декабрь[[#This Row],[1]:[31]],2,)),SUM(Декабрь[[#This Row],[1]:[31]])+SUM(OFFSET(Декабрь[[#This Row],[1]:[31]],1,))),IF(OFFSET(Декабрь[[#This Row],[№]],2,)=3,SUM(Декабрь[[#This Row],[1]:[31]])+SUM(OFFSET(Декабрь[[#This Row],[1]:[31]],2,)),""))</f>
        <v/>
      </c>
      <c r="AK174" s="42" t="str">
        <f ca="1">IF(Декабрь[[#This Row],[УСЛУГ]]&lt;&gt;"",Декабрь[[#This Row],[УСЛУГ]]*Декабрь[[#This Row],[Периодичность]],"")</f>
        <v/>
      </c>
    </row>
  </sheetData>
  <mergeCells count="20">
    <mergeCell ref="A2:AJ2"/>
    <mergeCell ref="A3:AJ3"/>
    <mergeCell ref="J4:L4"/>
    <mergeCell ref="M4:U4"/>
    <mergeCell ref="M5:Q5"/>
    <mergeCell ref="AJ7:AJ11"/>
    <mergeCell ref="AK7:AK11"/>
    <mergeCell ref="E10:AI11"/>
    <mergeCell ref="A19:A23"/>
    <mergeCell ref="B19:C23"/>
    <mergeCell ref="D19:D23"/>
    <mergeCell ref="E19:AI20"/>
    <mergeCell ref="AJ19:AJ23"/>
    <mergeCell ref="AK19:AK23"/>
    <mergeCell ref="E22:AI23"/>
    <mergeCell ref="A7:A11"/>
    <mergeCell ref="B7:B11"/>
    <mergeCell ref="C7:C11"/>
    <mergeCell ref="D7:D11"/>
    <mergeCell ref="E7:AI8"/>
  </mergeCells>
  <conditionalFormatting sqref="E9:AI9">
    <cfRule type="expression" dxfId="103" priority="2">
      <formula>WEEKDAY(E9:AI9,2)&gt;5</formula>
    </cfRule>
  </conditionalFormatting>
  <conditionalFormatting sqref="E21:AI21">
    <cfRule type="expression" dxfId="102" priority="1">
      <formula>WEEKDAY(E21:AI21,2)&gt;5</formula>
    </cfRule>
  </conditionalFormatting>
  <dataValidations count="2">
    <dataValidation type="list" allowBlank="1" showInputMessage="1" showErrorMessage="1" sqref="A25:A174">
      <formula1>INDIRECT("Услуги[Кратко]")</formula1>
    </dataValidation>
    <dataValidation type="list" allowBlank="1" showInputMessage="1" showErrorMessage="1" sqref="D25:D174">
      <formula1>INDIRECT("Посещения")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Height="0" orientation="landscape" horizontalDpi="300" verticalDpi="300" r:id="rId1"/>
  <ignoredErrors>
    <ignoredError sqref="E13:E17 B13:B17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74"/>
  <sheetViews>
    <sheetView tabSelected="1"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8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8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8" ht="18.75" x14ac:dyDescent="0.25">
      <c r="L5" s="12" t="s">
        <v>69</v>
      </c>
      <c r="M5" s="68" t="s">
        <v>136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54"/>
      <c r="B7" s="62" t="s">
        <v>115</v>
      </c>
      <c r="C7" s="62" t="s">
        <v>114</v>
      </c>
      <c r="D7" s="63" t="s">
        <v>61</v>
      </c>
      <c r="E7" s="48" t="s">
        <v>55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/>
      <c r="AJ7" s="44" t="s">
        <v>64</v>
      </c>
      <c r="AK7" s="45" t="s">
        <v>64</v>
      </c>
    </row>
    <row r="8" spans="1:38" x14ac:dyDescent="0.25">
      <c r="A8" s="54"/>
      <c r="B8" s="57"/>
      <c r="C8" s="57"/>
      <c r="D8" s="64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60"/>
      <c r="AJ8" s="44"/>
      <c r="AK8" s="46"/>
    </row>
    <row r="9" spans="1:38" x14ac:dyDescent="0.25">
      <c r="A9" s="54"/>
      <c r="B9" s="57"/>
      <c r="C9" s="57"/>
      <c r="D9" s="64"/>
      <c r="E9" s="23">
        <f>Настройки!E7</f>
        <v>44927</v>
      </c>
      <c r="F9" s="23">
        <f>Настройки!F7</f>
        <v>44928</v>
      </c>
      <c r="G9" s="23">
        <f>Настройки!G7</f>
        <v>44929</v>
      </c>
      <c r="H9" s="23">
        <f>Настройки!H7</f>
        <v>44930</v>
      </c>
      <c r="I9" s="23">
        <f>Настройки!I7</f>
        <v>44931</v>
      </c>
      <c r="J9" s="23">
        <f>Настройки!J7</f>
        <v>44932</v>
      </c>
      <c r="K9" s="23">
        <f>Настройки!K7</f>
        <v>44933</v>
      </c>
      <c r="L9" s="23">
        <f>Настройки!L7</f>
        <v>44934</v>
      </c>
      <c r="M9" s="23">
        <f>Настройки!M7</f>
        <v>44935</v>
      </c>
      <c r="N9" s="23">
        <f>Настройки!N7</f>
        <v>44936</v>
      </c>
      <c r="O9" s="23">
        <f>Настройки!O7</f>
        <v>44937</v>
      </c>
      <c r="P9" s="23">
        <f>Настройки!P7</f>
        <v>44938</v>
      </c>
      <c r="Q9" s="23">
        <f>Настройки!Q7</f>
        <v>44939</v>
      </c>
      <c r="R9" s="23">
        <f>Настройки!R7</f>
        <v>44940</v>
      </c>
      <c r="S9" s="23">
        <f>Настройки!S7</f>
        <v>44941</v>
      </c>
      <c r="T9" s="23">
        <f>Настройки!T7</f>
        <v>44942</v>
      </c>
      <c r="U9" s="23">
        <f>Настройки!U7</f>
        <v>44943</v>
      </c>
      <c r="V9" s="23">
        <f>Настройки!V7</f>
        <v>44944</v>
      </c>
      <c r="W9" s="23">
        <f>Настройки!W7</f>
        <v>44945</v>
      </c>
      <c r="X9" s="23">
        <f>Настройки!X7</f>
        <v>44946</v>
      </c>
      <c r="Y9" s="23">
        <f>Настройки!Y7</f>
        <v>44947</v>
      </c>
      <c r="Z9" s="23">
        <f>Настройки!Z7</f>
        <v>44948</v>
      </c>
      <c r="AA9" s="23">
        <f>Настройки!AA7</f>
        <v>44949</v>
      </c>
      <c r="AB9" s="23">
        <f>Настройки!AB7</f>
        <v>44950</v>
      </c>
      <c r="AC9" s="23">
        <f>Настройки!AC7</f>
        <v>44951</v>
      </c>
      <c r="AD9" s="23">
        <f>Настройки!AD7</f>
        <v>44952</v>
      </c>
      <c r="AE9" s="23">
        <f>Настройки!AE7</f>
        <v>44953</v>
      </c>
      <c r="AF9" s="23">
        <f>Настройки!AF7</f>
        <v>44954</v>
      </c>
      <c r="AG9" s="23">
        <f>Настройки!AG7</f>
        <v>44955</v>
      </c>
      <c r="AH9" s="23">
        <f>Настройки!AH7</f>
        <v>44956</v>
      </c>
      <c r="AI9" s="23">
        <f>Настройки!AI7</f>
        <v>44957</v>
      </c>
      <c r="AJ9" s="44"/>
      <c r="AK9" s="46"/>
    </row>
    <row r="10" spans="1:38" x14ac:dyDescent="0.25">
      <c r="A10" s="54"/>
      <c r="B10" s="57"/>
      <c r="C10" s="57"/>
      <c r="D10" s="64"/>
      <c r="E10" s="48" t="s">
        <v>54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44"/>
      <c r="AK10" s="46"/>
    </row>
    <row r="11" spans="1:38" x14ac:dyDescent="0.25">
      <c r="A11" s="62"/>
      <c r="B11" s="57"/>
      <c r="C11" s="57"/>
      <c r="D11" s="64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3"/>
      <c r="AJ11" s="44"/>
      <c r="AK11" s="47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SUMPRODUCT((Настройки!$E$21:$AI$21=1)*E16:AI16)</f>
        <v>0</v>
      </c>
      <c r="D13" s="5">
        <v>1</v>
      </c>
      <c r="E13" s="30">
        <f>SUMPRODUCT((Январь[№]=1)*Январь[1],Январь[Периодичность])</f>
        <v>0</v>
      </c>
      <c r="F13" s="30">
        <f>SUMPRODUCT((Январь[№]=1)*Январь[2],Январь[Периодичность])</f>
        <v>0</v>
      </c>
      <c r="G13" s="30">
        <f>SUMPRODUCT((Январь[№]=1)*Январь[3],Январь[Периодичность])</f>
        <v>0</v>
      </c>
      <c r="H13" s="30">
        <f>SUMPRODUCT((Январь[№]=1)*Январь[4],Январь[Периодичность])</f>
        <v>0</v>
      </c>
      <c r="I13" s="30">
        <f>SUMPRODUCT((Январь[№]=1)*Январь[5],Январь[Периодичность])</f>
        <v>0</v>
      </c>
      <c r="J13" s="30">
        <f>SUMPRODUCT((Январь[№]=1)*Январь[6],Январь[Периодичность])</f>
        <v>0</v>
      </c>
      <c r="K13" s="30">
        <f>SUMPRODUCT((Январь[№]=1)*Январь[7],Январь[Периодичность])</f>
        <v>0</v>
      </c>
      <c r="L13" s="30">
        <f>SUMPRODUCT((Январь[№]=1)*Январь[8],Январь[Периодичность])</f>
        <v>0</v>
      </c>
      <c r="M13" s="30">
        <f>SUMPRODUCT((Январь[№]=1)*Январь[9],Январь[Периодичность])</f>
        <v>0</v>
      </c>
      <c r="N13" s="30">
        <f>SUMPRODUCT((Январь[№]=1)*Январь[10],Январь[Периодичность])</f>
        <v>0</v>
      </c>
      <c r="O13" s="30">
        <f>SUMPRODUCT((Январь[№]=1)*Январь[11],Январь[Периодичность])</f>
        <v>0</v>
      </c>
      <c r="P13" s="30">
        <f>SUMPRODUCT((Январь[№]=1)*Январь[12],Январь[Периодичность])</f>
        <v>0</v>
      </c>
      <c r="Q13" s="30">
        <f>SUMPRODUCT((Январь[№]=1)*Январь[13],Январь[Периодичность])</f>
        <v>0</v>
      </c>
      <c r="R13" s="30">
        <f>SUMPRODUCT((Январь[№]=1)*Январь[14],Январь[Периодичность])</f>
        <v>0</v>
      </c>
      <c r="S13" s="30">
        <f>SUMPRODUCT((Январь[№]=1)*Январь[15],Январь[Периодичность])</f>
        <v>0</v>
      </c>
      <c r="T13" s="30">
        <f>SUMPRODUCT((Январь[№]=1)*Январь[16],Январь[Периодичность])</f>
        <v>0</v>
      </c>
      <c r="U13" s="30">
        <f>SUMPRODUCT((Январь[№]=1)*Январь[17],Январь[Периодичность])</f>
        <v>0</v>
      </c>
      <c r="V13" s="30">
        <f>SUMPRODUCT((Январь[№]=1)*Январь[18],Январь[Периодичность])</f>
        <v>0</v>
      </c>
      <c r="W13" s="30">
        <f>SUMPRODUCT((Январь[№]=1)*Январь[19],Январь[Периодичность])</f>
        <v>0</v>
      </c>
      <c r="X13" s="30">
        <f>SUMPRODUCT((Январь[№]=1)*Январь[20],Январь[Периодичность])</f>
        <v>0</v>
      </c>
      <c r="Y13" s="30">
        <f>SUMPRODUCT((Январь[№]=1)*Январь[21],Январь[Периодичность])</f>
        <v>0</v>
      </c>
      <c r="Z13" s="30">
        <f>SUMPRODUCT((Январь[№]=1)*Январь[22],Январь[Периодичность])</f>
        <v>0</v>
      </c>
      <c r="AA13" s="30">
        <f>SUMPRODUCT((Январь[№]=1)*Январь[23],Январь[Периодичность])</f>
        <v>0</v>
      </c>
      <c r="AB13" s="30">
        <f>SUMPRODUCT((Январь[№]=1)*Январь[24],Январь[Периодичность])</f>
        <v>0</v>
      </c>
      <c r="AC13" s="30">
        <f>SUMPRODUCT((Январь[№]=1)*Январь[25],Январь[Периодичность])</f>
        <v>0</v>
      </c>
      <c r="AD13" s="30">
        <f>SUMPRODUCT((Январь[№]=1)*Январь[26],Январь[Периодичность])</f>
        <v>0</v>
      </c>
      <c r="AE13" s="30">
        <f>SUMPRODUCT((Январь[№]=1)*Январь[27],Январь[Периодичность])</f>
        <v>0</v>
      </c>
      <c r="AF13" s="30">
        <f>SUMPRODUCT((Январь[№]=1)*Январь[28],Январь[Периодичность])</f>
        <v>0</v>
      </c>
      <c r="AG13" s="30">
        <f>SUMPRODUCT((Январь[№]=1)*Январь[29],Январь[Периодичность])</f>
        <v>0</v>
      </c>
      <c r="AH13" s="30">
        <f>SUMPRODUCT((Январь[№]=1)*Январь[30],Январь[Периодичность])</f>
        <v>0</v>
      </c>
      <c r="AI13" s="30">
        <f>SUMPRODUCT((Январь[№]=1)*Январь[31],Январь[Периодичность])</f>
        <v>0</v>
      </c>
      <c r="AL13" s="4"/>
    </row>
    <row r="14" spans="1:38" x14ac:dyDescent="0.25">
      <c r="B14" s="3">
        <f>SUMPRODUCT((Настройки!$E$21:$AI$21=2)*E16:AI16)</f>
        <v>0</v>
      </c>
      <c r="D14" s="5">
        <v>2</v>
      </c>
      <c r="E14" s="30">
        <f>SUMPRODUCT((Январь[№]=2)*Январь[1],Январь[Периодичность])</f>
        <v>0</v>
      </c>
      <c r="F14" s="30">
        <f>SUMPRODUCT((Январь[№]=2)*Январь[2],Январь[Периодичность])</f>
        <v>0</v>
      </c>
      <c r="G14" s="30">
        <f>SUMPRODUCT((Январь[№]=2)*Январь[3],Январь[Периодичность])</f>
        <v>0</v>
      </c>
      <c r="H14" s="30">
        <f>SUMPRODUCT((Январь[№]=2)*Январь[4],Январь[Периодичность])</f>
        <v>0</v>
      </c>
      <c r="I14" s="30">
        <f>SUMPRODUCT((Январь[№]=2)*Январь[5],Январь[Периодичность])</f>
        <v>0</v>
      </c>
      <c r="J14" s="30">
        <f>SUMPRODUCT((Январь[№]=2)*Январь[6],Январь[Периодичность])</f>
        <v>0</v>
      </c>
      <c r="K14" s="30">
        <f>SUMPRODUCT((Январь[№]=2)*Январь[7],Январь[Периодичность])</f>
        <v>0</v>
      </c>
      <c r="L14" s="30">
        <f>SUMPRODUCT((Январь[№]=2)*Январь[8],Январь[Периодичность])</f>
        <v>0</v>
      </c>
      <c r="M14" s="30">
        <f>SUMPRODUCT((Январь[№]=2)*Январь[9],Январь[Периодичность])</f>
        <v>0</v>
      </c>
      <c r="N14" s="30">
        <f>SUMPRODUCT((Январь[№]=2)*Январь[10],Январь[Периодичность])</f>
        <v>0</v>
      </c>
      <c r="O14" s="30">
        <f>SUMPRODUCT((Январь[№]=2)*Январь[11],Январь[Периодичность])</f>
        <v>0</v>
      </c>
      <c r="P14" s="30">
        <f>SUMPRODUCT((Январь[№]=2)*Январь[12],Январь[Периодичность])</f>
        <v>0</v>
      </c>
      <c r="Q14" s="30">
        <f>SUMPRODUCT((Январь[№]=2)*Январь[13],Январь[Периодичность])</f>
        <v>0</v>
      </c>
      <c r="R14" s="30">
        <f>SUMPRODUCT((Январь[№]=2)*Январь[14],Январь[Периодичность])</f>
        <v>0</v>
      </c>
      <c r="S14" s="30">
        <f>SUMPRODUCT((Январь[№]=2)*Январь[15],Январь[Периодичность])</f>
        <v>0</v>
      </c>
      <c r="T14" s="30">
        <f>SUMPRODUCT((Январь[№]=2)*Январь[16],Январь[Периодичность])</f>
        <v>0</v>
      </c>
      <c r="U14" s="30">
        <f>SUMPRODUCT((Январь[№]=2)*Январь[17],Январь[Периодичность])</f>
        <v>0</v>
      </c>
      <c r="V14" s="30">
        <f>SUMPRODUCT((Январь[№]=2)*Январь[18],Январь[Периодичность])</f>
        <v>0</v>
      </c>
      <c r="W14" s="30">
        <f>SUMPRODUCT((Январь[№]=2)*Январь[19],Январь[Периодичность])</f>
        <v>0</v>
      </c>
      <c r="X14" s="30">
        <f>SUMPRODUCT((Январь[№]=2)*Январь[20],Январь[Периодичность])</f>
        <v>0</v>
      </c>
      <c r="Y14" s="30">
        <f>SUMPRODUCT((Январь[№]=2)*Январь[21],Январь[Периодичность])</f>
        <v>0</v>
      </c>
      <c r="Z14" s="30">
        <f>SUMPRODUCT((Январь[№]=2)*Январь[22],Январь[Периодичность])</f>
        <v>0</v>
      </c>
      <c r="AA14" s="30">
        <f>SUMPRODUCT((Январь[№]=2)*Январь[23],Январь[Периодичность])</f>
        <v>0</v>
      </c>
      <c r="AB14" s="30">
        <f>SUMPRODUCT((Январь[№]=2)*Январь[24],Январь[Периодичность])</f>
        <v>0</v>
      </c>
      <c r="AC14" s="30">
        <f>SUMPRODUCT((Январь[№]=2)*Январь[25],Январь[Периодичность])</f>
        <v>0</v>
      </c>
      <c r="AD14" s="30">
        <f>SUMPRODUCT((Январь[№]=2)*Январь[26],Январь[Периодичность])</f>
        <v>0</v>
      </c>
      <c r="AE14" s="30">
        <f>SUMPRODUCT((Январь[№]=2)*Январь[27],Январь[Периодичность])</f>
        <v>0</v>
      </c>
      <c r="AF14" s="30">
        <f>SUMPRODUCT((Январь[№]=2)*Январь[28],Январь[Периодичность])</f>
        <v>0</v>
      </c>
      <c r="AG14" s="30">
        <f>SUMPRODUCT((Январь[№]=2)*Январь[29],Январь[Периодичность])</f>
        <v>0</v>
      </c>
      <c r="AH14" s="30">
        <f>SUMPRODUCT((Январь[№]=2)*Январь[30],Январь[Периодичность])</f>
        <v>0</v>
      </c>
      <c r="AI14" s="30">
        <f>SUMPRODUCT((Январь[№]=2)*Январь[31],Январь[Периодичность])</f>
        <v>0</v>
      </c>
      <c r="AL14" s="4"/>
    </row>
    <row r="15" spans="1:38" x14ac:dyDescent="0.25">
      <c r="B15" s="3">
        <f>SUMPRODUCT((Настройки!$E$21:$AI$21=3)*E16:AI16)</f>
        <v>0</v>
      </c>
      <c r="D15" s="5">
        <v>3</v>
      </c>
      <c r="E15" s="30">
        <f>SUMPRODUCT((Январь[№]=3)*Январь[1],Январь[Периодичность])</f>
        <v>0</v>
      </c>
      <c r="F15" s="30">
        <f>SUMPRODUCT((Январь[№]=3)*Январь[2],Январь[Периодичность])</f>
        <v>0</v>
      </c>
      <c r="G15" s="30">
        <f>SUMPRODUCT((Январь[№]=3)*Январь[3],Январь[Периодичность])</f>
        <v>0</v>
      </c>
      <c r="H15" s="30">
        <f>SUMPRODUCT((Январь[№]=3)*Январь[4],Январь[Периодичность])</f>
        <v>0</v>
      </c>
      <c r="I15" s="30">
        <f>SUMPRODUCT((Январь[№]=3)*Январь[5],Январь[Периодичность])</f>
        <v>0</v>
      </c>
      <c r="J15" s="30">
        <f>SUMPRODUCT((Январь[№]=3)*Январь[6],Январь[Периодичность])</f>
        <v>0</v>
      </c>
      <c r="K15" s="30">
        <f>SUMPRODUCT((Январь[№]=3)*Январь[7],Январь[Периодичность])</f>
        <v>0</v>
      </c>
      <c r="L15" s="30">
        <f>SUMPRODUCT((Январь[№]=3)*Январь[8],Январь[Периодичность])</f>
        <v>0</v>
      </c>
      <c r="M15" s="30">
        <f>SUMPRODUCT((Январь[№]=3)*Январь[9],Январь[Периодичность])</f>
        <v>0</v>
      </c>
      <c r="N15" s="30">
        <f>SUMPRODUCT((Январь[№]=3)*Январь[10],Январь[Периодичность])</f>
        <v>0</v>
      </c>
      <c r="O15" s="30">
        <f>SUMPRODUCT((Январь[№]=3)*Январь[11],Январь[Периодичность])</f>
        <v>0</v>
      </c>
      <c r="P15" s="30">
        <f>SUMPRODUCT((Январь[№]=3)*Январь[12],Январь[Периодичность])</f>
        <v>0</v>
      </c>
      <c r="Q15" s="30">
        <f>SUMPRODUCT((Январь[№]=3)*Январь[13],Январь[Периодичность])</f>
        <v>0</v>
      </c>
      <c r="R15" s="30">
        <f>SUMPRODUCT((Январь[№]=3)*Январь[14],Январь[Периодичность])</f>
        <v>0</v>
      </c>
      <c r="S15" s="30">
        <f>SUMPRODUCT((Январь[№]=3)*Январь[15],Январь[Периодичность])</f>
        <v>0</v>
      </c>
      <c r="T15" s="30">
        <f>SUMPRODUCT((Январь[№]=3)*Январь[16],Январь[Периодичность])</f>
        <v>0</v>
      </c>
      <c r="U15" s="30">
        <f>SUMPRODUCT((Январь[№]=3)*Январь[17],Январь[Периодичность])</f>
        <v>0</v>
      </c>
      <c r="V15" s="30">
        <f>SUMPRODUCT((Январь[№]=3)*Январь[18],Январь[Периодичность])</f>
        <v>0</v>
      </c>
      <c r="W15" s="30">
        <f>SUMPRODUCT((Январь[№]=3)*Январь[19],Январь[Периодичность])</f>
        <v>0</v>
      </c>
      <c r="X15" s="30">
        <f>SUMPRODUCT((Январь[№]=3)*Январь[20],Январь[Периодичность])</f>
        <v>0</v>
      </c>
      <c r="Y15" s="30">
        <f>SUMPRODUCT((Январь[№]=3)*Январь[21],Январь[Периодичность])</f>
        <v>0</v>
      </c>
      <c r="Z15" s="30">
        <f>SUMPRODUCT((Январь[№]=3)*Январь[22],Январь[Периодичность])</f>
        <v>0</v>
      </c>
      <c r="AA15" s="30">
        <f>SUMPRODUCT((Январь[№]=3)*Январь[23],Январь[Периодичность])</f>
        <v>0</v>
      </c>
      <c r="AB15" s="30">
        <f>SUMPRODUCT((Январь[№]=3)*Январь[24],Январь[Периодичность])</f>
        <v>0</v>
      </c>
      <c r="AC15" s="30">
        <f>SUMPRODUCT((Январь[№]=3)*Январь[25],Январь[Периодичность])</f>
        <v>0</v>
      </c>
      <c r="AD15" s="30">
        <f>SUMPRODUCT((Январь[№]=3)*Январь[26],Январь[Периодичность])</f>
        <v>0</v>
      </c>
      <c r="AE15" s="30">
        <f>SUMPRODUCT((Январь[№]=3)*Январь[27],Январь[Периодичность])</f>
        <v>0</v>
      </c>
      <c r="AF15" s="30">
        <f>SUMPRODUCT((Январь[№]=3)*Январь[28],Январь[Периодичность])</f>
        <v>0</v>
      </c>
      <c r="AG15" s="30">
        <f>SUMPRODUCT((Январь[№]=3)*Январь[29],Январь[Периодичность])</f>
        <v>0</v>
      </c>
      <c r="AH15" s="30">
        <f>SUMPRODUCT((Январь[№]=3)*Январь[30],Январь[Периодичность])</f>
        <v>0</v>
      </c>
      <c r="AI15" s="30">
        <f>SUMPRODUCT((Январь[№]=3)*Январь[31],Январь[Периодичность])</f>
        <v>0</v>
      </c>
      <c r="AK15" s="11"/>
    </row>
    <row r="16" spans="1:38" ht="22.5" customHeight="1" x14ac:dyDescent="0.25">
      <c r="B16" s="3">
        <f>SUMPRODUCT((Настройки!$E$21:$AI$21=4)*E16:AI16)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SUMPRODUCT((Настройки!$E$21:$AI$21=5)*E16:AI16)</f>
        <v>0</v>
      </c>
      <c r="C17" s="5">
        <f>ЯнварьИтоги[[#This Row],[№]]*60</f>
        <v>0</v>
      </c>
      <c r="D17" s="7">
        <f>SUM(ЯнварьИтоги[[#This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SUM(Январь[УСЛУГ])</f>
        <v>0</v>
      </c>
      <c r="AK17" s="11">
        <f ca="1">SUM(Январь[МИНУТ])</f>
        <v>0</v>
      </c>
    </row>
    <row r="18" spans="1:37" ht="20.25" customHeight="1" x14ac:dyDescent="0.25"/>
    <row r="19" spans="1:37" ht="22.5" customHeight="1" x14ac:dyDescent="0.25">
      <c r="A19" s="54" t="s">
        <v>52</v>
      </c>
      <c r="B19" s="54" t="s">
        <v>53</v>
      </c>
      <c r="C19" s="55"/>
      <c r="D19" s="56" t="s">
        <v>61</v>
      </c>
      <c r="E19" s="48" t="s">
        <v>55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50"/>
      <c r="AJ19" s="44" t="s">
        <v>64</v>
      </c>
      <c r="AK19" s="45" t="s">
        <v>64</v>
      </c>
    </row>
    <row r="20" spans="1:37" ht="18" customHeight="1" x14ac:dyDescent="0.25">
      <c r="A20" s="54"/>
      <c r="B20" s="54"/>
      <c r="C20" s="55"/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60"/>
      <c r="AJ20" s="44"/>
      <c r="AK20" s="46"/>
    </row>
    <row r="21" spans="1:37" ht="21.75" customHeight="1" x14ac:dyDescent="0.25">
      <c r="A21" s="54"/>
      <c r="B21" s="54"/>
      <c r="C21" s="55"/>
      <c r="D21" s="57"/>
      <c r="E21" s="26">
        <f>Настройки!E7</f>
        <v>44927</v>
      </c>
      <c r="F21" s="26">
        <f>Настройки!F7</f>
        <v>44928</v>
      </c>
      <c r="G21" s="26">
        <f>Настройки!G7</f>
        <v>44929</v>
      </c>
      <c r="H21" s="26">
        <f>Настройки!H7</f>
        <v>44930</v>
      </c>
      <c r="I21" s="26">
        <f>Настройки!I7</f>
        <v>44931</v>
      </c>
      <c r="J21" s="26">
        <f>Настройки!J7</f>
        <v>44932</v>
      </c>
      <c r="K21" s="26">
        <f>Настройки!K7</f>
        <v>44933</v>
      </c>
      <c r="L21" s="26">
        <f>Настройки!L7</f>
        <v>44934</v>
      </c>
      <c r="M21" s="26">
        <f>Настройки!M7</f>
        <v>44935</v>
      </c>
      <c r="N21" s="26">
        <f>Настройки!N7</f>
        <v>44936</v>
      </c>
      <c r="O21" s="26">
        <f>Настройки!O7</f>
        <v>44937</v>
      </c>
      <c r="P21" s="26">
        <f>Настройки!P7</f>
        <v>44938</v>
      </c>
      <c r="Q21" s="26">
        <f>Настройки!Q7</f>
        <v>44939</v>
      </c>
      <c r="R21" s="26">
        <f>Настройки!R7</f>
        <v>44940</v>
      </c>
      <c r="S21" s="26">
        <f>Настройки!S7</f>
        <v>44941</v>
      </c>
      <c r="T21" s="26">
        <f>Настройки!T7</f>
        <v>44942</v>
      </c>
      <c r="U21" s="26">
        <f>Настройки!U7</f>
        <v>44943</v>
      </c>
      <c r="V21" s="26">
        <f>Настройки!V7</f>
        <v>44944</v>
      </c>
      <c r="W21" s="26">
        <f>Настройки!W7</f>
        <v>44945</v>
      </c>
      <c r="X21" s="26">
        <f>Настройки!X7</f>
        <v>44946</v>
      </c>
      <c r="Y21" s="26">
        <f>Настройки!Y7</f>
        <v>44947</v>
      </c>
      <c r="Z21" s="26">
        <f>Настройки!Z7</f>
        <v>44948</v>
      </c>
      <c r="AA21" s="26">
        <f>Настройки!AA7</f>
        <v>44949</v>
      </c>
      <c r="AB21" s="26">
        <f>Настройки!AB7</f>
        <v>44950</v>
      </c>
      <c r="AC21" s="26">
        <f>Настройки!AC7</f>
        <v>44951</v>
      </c>
      <c r="AD21" s="26">
        <f>Настройки!AD7</f>
        <v>44952</v>
      </c>
      <c r="AE21" s="26">
        <f>Настройки!AE7</f>
        <v>44953</v>
      </c>
      <c r="AF21" s="26">
        <f>Настройки!AF7</f>
        <v>44954</v>
      </c>
      <c r="AG21" s="26">
        <f>Настройки!AG7</f>
        <v>44955</v>
      </c>
      <c r="AH21" s="26">
        <f>Настройки!AH7</f>
        <v>44956</v>
      </c>
      <c r="AI21" s="26">
        <f>Настройки!AI7</f>
        <v>44957</v>
      </c>
      <c r="AJ21" s="44"/>
      <c r="AK21" s="46"/>
    </row>
    <row r="22" spans="1:37" x14ac:dyDescent="0.25">
      <c r="A22" s="54"/>
      <c r="B22" s="54"/>
      <c r="C22" s="55"/>
      <c r="D22" s="57"/>
      <c r="E22" s="54" t="s">
        <v>54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61"/>
      <c r="AJ22" s="44"/>
      <c r="AK22" s="46"/>
    </row>
    <row r="23" spans="1:37" x14ac:dyDescent="0.25">
      <c r="A23" s="54"/>
      <c r="B23" s="54"/>
      <c r="C23" s="55"/>
      <c r="D23" s="57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61"/>
      <c r="AJ23" s="44"/>
      <c r="AK23" s="47"/>
    </row>
    <row r="24" spans="1:37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112</v>
      </c>
      <c r="AI24" s="3" t="s">
        <v>121</v>
      </c>
      <c r="AJ24" s="3" t="s">
        <v>62</v>
      </c>
      <c r="AK24" s="3" t="s">
        <v>63</v>
      </c>
    </row>
    <row r="25" spans="1:37" ht="31.5" x14ac:dyDescent="0.25">
      <c r="A25" s="16" t="s">
        <v>1</v>
      </c>
      <c r="B25" s="2"/>
      <c r="C25" s="8">
        <v>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25" s="5">
        <f ca="1">IF(Январь[[#This Row],[УСЛУГ]]&lt;&gt;"",Январь[[#This Row],[УСЛУГ]]*Январь[[#This Row],[Периодичность]],"")</f>
        <v>0</v>
      </c>
    </row>
    <row r="26" spans="1:37" x14ac:dyDescent="0.25">
      <c r="A26" s="16"/>
      <c r="B26" s="2"/>
      <c r="C26" s="8">
        <v>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26" s="5" t="str">
        <f ca="1">IF(Январь[[#This Row],[УСЛУГ]]&lt;&gt;"",Январь[[#This Row],[УСЛУГ]]*Январь[[#This Row],[Периодичность]],"")</f>
        <v/>
      </c>
    </row>
    <row r="27" spans="1:37" x14ac:dyDescent="0.25">
      <c r="A27" s="16"/>
      <c r="B27" s="2"/>
      <c r="C27" s="8">
        <v>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27" s="5" t="str">
        <f ca="1">IF(Январь[[#This Row],[УСЛУГ]]&lt;&gt;"",Январь[[#This Row],[УСЛУГ]]*Январь[[#This Row],[Периодичность]],"")</f>
        <v/>
      </c>
    </row>
    <row r="28" spans="1:37" ht="47.25" x14ac:dyDescent="0.25">
      <c r="A28" s="35" t="s">
        <v>2</v>
      </c>
      <c r="B28" s="36"/>
      <c r="C28" s="37">
        <v>0</v>
      </c>
      <c r="D28" s="38">
        <v>1</v>
      </c>
      <c r="E28" s="39"/>
      <c r="F28" s="40"/>
      <c r="G28" s="41"/>
      <c r="H28" s="41"/>
      <c r="I28" s="41"/>
      <c r="J28" s="41"/>
      <c r="K28" s="41"/>
      <c r="L28" s="39"/>
      <c r="M28" s="40"/>
      <c r="N28" s="41"/>
      <c r="O28" s="41"/>
      <c r="P28" s="41"/>
      <c r="Q28" s="41"/>
      <c r="R28" s="41"/>
      <c r="S28" s="39"/>
      <c r="T28" s="40"/>
      <c r="U28" s="41"/>
      <c r="V28" s="41"/>
      <c r="W28" s="41"/>
      <c r="X28" s="41"/>
      <c r="Y28" s="41"/>
      <c r="Z28" s="39"/>
      <c r="AA28" s="39"/>
      <c r="AB28" s="41"/>
      <c r="AC28" s="41"/>
      <c r="AD28" s="41"/>
      <c r="AE28" s="41"/>
      <c r="AF28" s="41"/>
      <c r="AG28" s="39"/>
      <c r="AH28" s="39"/>
      <c r="AI28" s="41"/>
      <c r="AJ28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28" s="42">
        <f ca="1">IF(Январь[[#This Row],[УСЛУГ]]&lt;&gt;"",Январь[[#This Row],[УСЛУГ]]*Январь[[#This Row],[Периодичность]],"")</f>
        <v>0</v>
      </c>
    </row>
    <row r="29" spans="1:37" x14ac:dyDescent="0.25">
      <c r="A29" s="35"/>
      <c r="B29" s="36"/>
      <c r="C29" s="37">
        <v>0</v>
      </c>
      <c r="D29" s="38">
        <v>2</v>
      </c>
      <c r="E29" s="39"/>
      <c r="F29" s="40"/>
      <c r="G29" s="41"/>
      <c r="H29" s="41"/>
      <c r="I29" s="41"/>
      <c r="J29" s="41"/>
      <c r="K29" s="41"/>
      <c r="L29" s="39"/>
      <c r="M29" s="40"/>
      <c r="N29" s="41"/>
      <c r="O29" s="41"/>
      <c r="P29" s="41"/>
      <c r="Q29" s="41"/>
      <c r="R29" s="41"/>
      <c r="S29" s="39"/>
      <c r="T29" s="40"/>
      <c r="U29" s="41"/>
      <c r="V29" s="41"/>
      <c r="W29" s="41"/>
      <c r="X29" s="41"/>
      <c r="Y29" s="41"/>
      <c r="Z29" s="39"/>
      <c r="AA29" s="39"/>
      <c r="AB29" s="41"/>
      <c r="AC29" s="41"/>
      <c r="AD29" s="41"/>
      <c r="AE29" s="41"/>
      <c r="AF29" s="41"/>
      <c r="AG29" s="39"/>
      <c r="AH29" s="39"/>
      <c r="AI29" s="41"/>
      <c r="AJ29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29" s="42" t="str">
        <f ca="1">IF(Январь[[#This Row],[УСЛУГ]]&lt;&gt;"",Январь[[#This Row],[УСЛУГ]]*Январь[[#This Row],[Периодичность]],"")</f>
        <v/>
      </c>
    </row>
    <row r="30" spans="1:37" x14ac:dyDescent="0.25">
      <c r="A30" s="35"/>
      <c r="B30" s="36"/>
      <c r="C30" s="37">
        <v>0</v>
      </c>
      <c r="D30" s="38">
        <v>3</v>
      </c>
      <c r="E30" s="39"/>
      <c r="F30" s="40"/>
      <c r="G30" s="41"/>
      <c r="H30" s="41"/>
      <c r="I30" s="41"/>
      <c r="J30" s="41"/>
      <c r="K30" s="41"/>
      <c r="L30" s="39"/>
      <c r="M30" s="40"/>
      <c r="N30" s="41"/>
      <c r="O30" s="41"/>
      <c r="P30" s="41"/>
      <c r="Q30" s="41"/>
      <c r="R30" s="41"/>
      <c r="S30" s="39"/>
      <c r="T30" s="40"/>
      <c r="U30" s="41"/>
      <c r="V30" s="41"/>
      <c r="W30" s="41"/>
      <c r="X30" s="41"/>
      <c r="Y30" s="41"/>
      <c r="Z30" s="39"/>
      <c r="AA30" s="39"/>
      <c r="AB30" s="41"/>
      <c r="AC30" s="41"/>
      <c r="AD30" s="41"/>
      <c r="AE30" s="41"/>
      <c r="AF30" s="41"/>
      <c r="AG30" s="39"/>
      <c r="AH30" s="39"/>
      <c r="AI30" s="41"/>
      <c r="AJ30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0" s="42" t="str">
        <f ca="1">IF(Январь[[#This Row],[УСЛУГ]]&lt;&gt;"",Январь[[#This Row],[УСЛУГ]]*Январь[[#This Row],[Периодичность]],"")</f>
        <v/>
      </c>
    </row>
    <row r="31" spans="1:37" ht="31.5" x14ac:dyDescent="0.25">
      <c r="A31" s="35" t="s">
        <v>3</v>
      </c>
      <c r="B31" s="36"/>
      <c r="C31" s="37">
        <v>0</v>
      </c>
      <c r="D31" s="38">
        <v>1</v>
      </c>
      <c r="E31" s="39"/>
      <c r="F31" s="40"/>
      <c r="G31" s="41"/>
      <c r="H31" s="41"/>
      <c r="I31" s="41"/>
      <c r="J31" s="41"/>
      <c r="K31" s="41"/>
      <c r="L31" s="39"/>
      <c r="M31" s="40"/>
      <c r="N31" s="41"/>
      <c r="O31" s="41"/>
      <c r="P31" s="41"/>
      <c r="Q31" s="41"/>
      <c r="R31" s="41"/>
      <c r="S31" s="39"/>
      <c r="T31" s="40"/>
      <c r="U31" s="41"/>
      <c r="V31" s="41"/>
      <c r="W31" s="41"/>
      <c r="X31" s="41"/>
      <c r="Y31" s="41"/>
      <c r="Z31" s="39"/>
      <c r="AA31" s="39"/>
      <c r="AB31" s="41"/>
      <c r="AC31" s="41"/>
      <c r="AD31" s="41"/>
      <c r="AE31" s="41"/>
      <c r="AF31" s="41"/>
      <c r="AG31" s="39"/>
      <c r="AH31" s="39"/>
      <c r="AI31" s="41"/>
      <c r="AJ31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31" s="42">
        <f ca="1">IF(Январь[[#This Row],[УСЛУГ]]&lt;&gt;"",Январь[[#This Row],[УСЛУГ]]*Январь[[#This Row],[Периодичность]],"")</f>
        <v>0</v>
      </c>
    </row>
    <row r="32" spans="1:37" x14ac:dyDescent="0.25">
      <c r="A32" s="35"/>
      <c r="B32" s="36"/>
      <c r="C32" s="37">
        <v>0</v>
      </c>
      <c r="D32" s="38">
        <v>2</v>
      </c>
      <c r="E32" s="39"/>
      <c r="F32" s="40"/>
      <c r="G32" s="41"/>
      <c r="H32" s="41"/>
      <c r="I32" s="41"/>
      <c r="J32" s="41"/>
      <c r="K32" s="41"/>
      <c r="L32" s="39"/>
      <c r="M32" s="40"/>
      <c r="N32" s="41"/>
      <c r="O32" s="41"/>
      <c r="P32" s="41"/>
      <c r="Q32" s="41"/>
      <c r="R32" s="41"/>
      <c r="S32" s="39"/>
      <c r="T32" s="40"/>
      <c r="U32" s="41"/>
      <c r="V32" s="41"/>
      <c r="W32" s="41"/>
      <c r="X32" s="41"/>
      <c r="Y32" s="41"/>
      <c r="Z32" s="39"/>
      <c r="AA32" s="39"/>
      <c r="AB32" s="41"/>
      <c r="AC32" s="41"/>
      <c r="AD32" s="41"/>
      <c r="AE32" s="41"/>
      <c r="AF32" s="41"/>
      <c r="AG32" s="39"/>
      <c r="AH32" s="39"/>
      <c r="AI32" s="41"/>
      <c r="AJ32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2" s="42" t="str">
        <f ca="1">IF(Январь[[#This Row],[УСЛУГ]]&lt;&gt;"",Январь[[#This Row],[УСЛУГ]]*Январь[[#This Row],[Периодичность]],"")</f>
        <v/>
      </c>
    </row>
    <row r="33" spans="1:37" x14ac:dyDescent="0.25">
      <c r="A33" s="35"/>
      <c r="B33" s="36"/>
      <c r="C33" s="37">
        <v>0</v>
      </c>
      <c r="D33" s="38">
        <v>3</v>
      </c>
      <c r="E33" s="39"/>
      <c r="F33" s="40"/>
      <c r="G33" s="41"/>
      <c r="H33" s="41"/>
      <c r="I33" s="41"/>
      <c r="J33" s="41"/>
      <c r="K33" s="41"/>
      <c r="L33" s="39"/>
      <c r="M33" s="40"/>
      <c r="N33" s="41"/>
      <c r="O33" s="41"/>
      <c r="P33" s="41"/>
      <c r="Q33" s="41"/>
      <c r="R33" s="41"/>
      <c r="S33" s="39"/>
      <c r="T33" s="40"/>
      <c r="U33" s="41"/>
      <c r="V33" s="41"/>
      <c r="W33" s="41"/>
      <c r="X33" s="41"/>
      <c r="Y33" s="41"/>
      <c r="Z33" s="39"/>
      <c r="AA33" s="39"/>
      <c r="AB33" s="41"/>
      <c r="AC33" s="41"/>
      <c r="AD33" s="41"/>
      <c r="AE33" s="41"/>
      <c r="AF33" s="41"/>
      <c r="AG33" s="39"/>
      <c r="AH33" s="39"/>
      <c r="AI33" s="41"/>
      <c r="AJ33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3" s="42" t="str">
        <f ca="1">IF(Январь[[#This Row],[УСЛУГ]]&lt;&gt;"",Январь[[#This Row],[УСЛУГ]]*Январь[[#This Row],[Периодичность]],"")</f>
        <v/>
      </c>
    </row>
    <row r="34" spans="1:37" ht="47.25" x14ac:dyDescent="0.25">
      <c r="A34" s="35" t="s">
        <v>4</v>
      </c>
      <c r="B34" s="36"/>
      <c r="C34" s="37">
        <v>0</v>
      </c>
      <c r="D34" s="38">
        <v>1</v>
      </c>
      <c r="E34" s="39"/>
      <c r="F34" s="40"/>
      <c r="G34" s="41"/>
      <c r="H34" s="41"/>
      <c r="I34" s="41"/>
      <c r="J34" s="41"/>
      <c r="K34" s="41"/>
      <c r="L34" s="39"/>
      <c r="M34" s="40"/>
      <c r="N34" s="41"/>
      <c r="O34" s="41"/>
      <c r="P34" s="41"/>
      <c r="Q34" s="41"/>
      <c r="R34" s="41"/>
      <c r="S34" s="39"/>
      <c r="T34" s="40"/>
      <c r="U34" s="41"/>
      <c r="V34" s="41"/>
      <c r="W34" s="41"/>
      <c r="X34" s="41"/>
      <c r="Y34" s="41"/>
      <c r="Z34" s="39"/>
      <c r="AA34" s="39"/>
      <c r="AB34" s="41"/>
      <c r="AC34" s="41"/>
      <c r="AD34" s="41"/>
      <c r="AE34" s="41"/>
      <c r="AF34" s="41"/>
      <c r="AG34" s="39"/>
      <c r="AH34" s="39"/>
      <c r="AI34" s="41"/>
      <c r="AJ34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34" s="42">
        <f ca="1">IF(Январь[[#This Row],[УСЛУГ]]&lt;&gt;"",Январь[[#This Row],[УСЛУГ]]*Январь[[#This Row],[Периодичность]],"")</f>
        <v>0</v>
      </c>
    </row>
    <row r="35" spans="1:37" x14ac:dyDescent="0.25">
      <c r="A35" s="35"/>
      <c r="B35" s="36"/>
      <c r="C35" s="37">
        <v>0</v>
      </c>
      <c r="D35" s="38">
        <v>2</v>
      </c>
      <c r="E35" s="39"/>
      <c r="F35" s="40"/>
      <c r="G35" s="41"/>
      <c r="H35" s="41"/>
      <c r="I35" s="41"/>
      <c r="J35" s="41"/>
      <c r="K35" s="41"/>
      <c r="L35" s="39"/>
      <c r="M35" s="40"/>
      <c r="N35" s="41"/>
      <c r="O35" s="41"/>
      <c r="P35" s="41"/>
      <c r="Q35" s="41"/>
      <c r="R35" s="41"/>
      <c r="S35" s="39"/>
      <c r="T35" s="40"/>
      <c r="U35" s="41"/>
      <c r="V35" s="41"/>
      <c r="W35" s="41"/>
      <c r="X35" s="41"/>
      <c r="Y35" s="41"/>
      <c r="Z35" s="39"/>
      <c r="AA35" s="39"/>
      <c r="AB35" s="41"/>
      <c r="AC35" s="41"/>
      <c r="AD35" s="41"/>
      <c r="AE35" s="41"/>
      <c r="AF35" s="41"/>
      <c r="AG35" s="39"/>
      <c r="AH35" s="39"/>
      <c r="AI35" s="41"/>
      <c r="AJ35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5" s="42" t="str">
        <f ca="1">IF(Январь[[#This Row],[УСЛУГ]]&lt;&gt;"",Январь[[#This Row],[УСЛУГ]]*Январь[[#This Row],[Периодичность]],"")</f>
        <v/>
      </c>
    </row>
    <row r="36" spans="1:37" x14ac:dyDescent="0.25">
      <c r="A36" s="35"/>
      <c r="B36" s="36"/>
      <c r="C36" s="37">
        <v>0</v>
      </c>
      <c r="D36" s="38">
        <v>3</v>
      </c>
      <c r="E36" s="39"/>
      <c r="F36" s="40"/>
      <c r="G36" s="41"/>
      <c r="H36" s="41"/>
      <c r="I36" s="41"/>
      <c r="J36" s="41"/>
      <c r="K36" s="41"/>
      <c r="L36" s="39"/>
      <c r="M36" s="40"/>
      <c r="N36" s="41"/>
      <c r="O36" s="41"/>
      <c r="P36" s="41"/>
      <c r="Q36" s="41"/>
      <c r="R36" s="41"/>
      <c r="S36" s="39"/>
      <c r="T36" s="40"/>
      <c r="U36" s="41"/>
      <c r="V36" s="41"/>
      <c r="W36" s="41"/>
      <c r="X36" s="41"/>
      <c r="Y36" s="41"/>
      <c r="Z36" s="39"/>
      <c r="AA36" s="39"/>
      <c r="AB36" s="41"/>
      <c r="AC36" s="41"/>
      <c r="AD36" s="41"/>
      <c r="AE36" s="41"/>
      <c r="AF36" s="41"/>
      <c r="AG36" s="39"/>
      <c r="AH36" s="39"/>
      <c r="AI36" s="41"/>
      <c r="AJ36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6" s="42" t="str">
        <f ca="1">IF(Январь[[#This Row],[УСЛУГ]]&lt;&gt;"",Январь[[#This Row],[УСЛУГ]]*Январь[[#This Row],[Периодичность]],"")</f>
        <v/>
      </c>
    </row>
    <row r="37" spans="1:37" x14ac:dyDescent="0.25">
      <c r="A37" s="35" t="s">
        <v>5</v>
      </c>
      <c r="B37" s="36"/>
      <c r="C37" s="37">
        <v>0</v>
      </c>
      <c r="D37" s="38">
        <v>1</v>
      </c>
      <c r="E37" s="39"/>
      <c r="F37" s="40"/>
      <c r="G37" s="41"/>
      <c r="H37" s="41"/>
      <c r="I37" s="41"/>
      <c r="J37" s="41"/>
      <c r="K37" s="41"/>
      <c r="L37" s="39"/>
      <c r="M37" s="40"/>
      <c r="N37" s="41"/>
      <c r="O37" s="41"/>
      <c r="P37" s="41"/>
      <c r="Q37" s="41"/>
      <c r="R37" s="41"/>
      <c r="S37" s="39"/>
      <c r="T37" s="40"/>
      <c r="U37" s="41"/>
      <c r="V37" s="41"/>
      <c r="W37" s="41"/>
      <c r="X37" s="41"/>
      <c r="Y37" s="41"/>
      <c r="Z37" s="39"/>
      <c r="AA37" s="39"/>
      <c r="AB37" s="41"/>
      <c r="AC37" s="41"/>
      <c r="AD37" s="41"/>
      <c r="AE37" s="41"/>
      <c r="AF37" s="41"/>
      <c r="AG37" s="39"/>
      <c r="AH37" s="39"/>
      <c r="AI37" s="41"/>
      <c r="AJ37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37" s="42">
        <f ca="1">IF(Январь[[#This Row],[УСЛУГ]]&lt;&gt;"",Январь[[#This Row],[УСЛУГ]]*Январь[[#This Row],[Периодичность]],"")</f>
        <v>0</v>
      </c>
    </row>
    <row r="38" spans="1:37" x14ac:dyDescent="0.25">
      <c r="A38" s="35"/>
      <c r="B38" s="36"/>
      <c r="C38" s="37">
        <v>0</v>
      </c>
      <c r="D38" s="38">
        <v>2</v>
      </c>
      <c r="E38" s="39"/>
      <c r="F38" s="40"/>
      <c r="G38" s="41"/>
      <c r="H38" s="41"/>
      <c r="I38" s="41"/>
      <c r="J38" s="41"/>
      <c r="K38" s="41"/>
      <c r="L38" s="39"/>
      <c r="M38" s="40"/>
      <c r="N38" s="41"/>
      <c r="O38" s="41"/>
      <c r="P38" s="41"/>
      <c r="Q38" s="41"/>
      <c r="R38" s="41"/>
      <c r="S38" s="39"/>
      <c r="T38" s="40"/>
      <c r="U38" s="41"/>
      <c r="V38" s="41"/>
      <c r="W38" s="41"/>
      <c r="X38" s="41"/>
      <c r="Y38" s="41"/>
      <c r="Z38" s="39"/>
      <c r="AA38" s="39"/>
      <c r="AB38" s="41"/>
      <c r="AC38" s="41"/>
      <c r="AD38" s="41"/>
      <c r="AE38" s="41"/>
      <c r="AF38" s="41"/>
      <c r="AG38" s="39"/>
      <c r="AH38" s="39"/>
      <c r="AI38" s="41"/>
      <c r="AJ38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8" s="42" t="str">
        <f ca="1">IF(Январь[[#This Row],[УСЛУГ]]&lt;&gt;"",Январь[[#This Row],[УСЛУГ]]*Январь[[#This Row],[Периодичность]],"")</f>
        <v/>
      </c>
    </row>
    <row r="39" spans="1:37" x14ac:dyDescent="0.25">
      <c r="A39" s="35"/>
      <c r="B39" s="36"/>
      <c r="C39" s="37">
        <v>0</v>
      </c>
      <c r="D39" s="38">
        <v>3</v>
      </c>
      <c r="E39" s="39"/>
      <c r="F39" s="40"/>
      <c r="G39" s="41"/>
      <c r="H39" s="41"/>
      <c r="I39" s="41"/>
      <c r="J39" s="41"/>
      <c r="K39" s="41"/>
      <c r="L39" s="39"/>
      <c r="M39" s="40"/>
      <c r="N39" s="41"/>
      <c r="O39" s="41"/>
      <c r="P39" s="41"/>
      <c r="Q39" s="41"/>
      <c r="R39" s="41"/>
      <c r="S39" s="39"/>
      <c r="T39" s="40"/>
      <c r="U39" s="41"/>
      <c r="V39" s="41"/>
      <c r="W39" s="41"/>
      <c r="X39" s="41"/>
      <c r="Y39" s="41"/>
      <c r="Z39" s="39"/>
      <c r="AA39" s="39"/>
      <c r="AB39" s="41"/>
      <c r="AC39" s="41"/>
      <c r="AD39" s="41"/>
      <c r="AE39" s="41"/>
      <c r="AF39" s="41"/>
      <c r="AG39" s="39"/>
      <c r="AH39" s="39"/>
      <c r="AI39" s="41"/>
      <c r="AJ39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39" s="42" t="str">
        <f ca="1">IF(Январь[[#This Row],[УСЛУГ]]&lt;&gt;"",Январь[[#This Row],[УСЛУГ]]*Январь[[#This Row],[Периодичность]],"")</f>
        <v/>
      </c>
    </row>
    <row r="40" spans="1:37" ht="31.5" x14ac:dyDescent="0.25">
      <c r="A40" s="35" t="s">
        <v>6</v>
      </c>
      <c r="B40" s="36"/>
      <c r="C40" s="37">
        <v>0</v>
      </c>
      <c r="D40" s="38">
        <v>1</v>
      </c>
      <c r="E40" s="39"/>
      <c r="F40" s="40"/>
      <c r="G40" s="41"/>
      <c r="H40" s="41"/>
      <c r="I40" s="41"/>
      <c r="J40" s="41"/>
      <c r="K40" s="41"/>
      <c r="L40" s="39"/>
      <c r="M40" s="40"/>
      <c r="N40" s="41"/>
      <c r="O40" s="41"/>
      <c r="P40" s="41"/>
      <c r="Q40" s="41"/>
      <c r="R40" s="41"/>
      <c r="S40" s="39"/>
      <c r="T40" s="40"/>
      <c r="U40" s="41"/>
      <c r="V40" s="41"/>
      <c r="W40" s="41"/>
      <c r="X40" s="41"/>
      <c r="Y40" s="41"/>
      <c r="Z40" s="39"/>
      <c r="AA40" s="39"/>
      <c r="AB40" s="41"/>
      <c r="AC40" s="41"/>
      <c r="AD40" s="41"/>
      <c r="AE40" s="41"/>
      <c r="AF40" s="41"/>
      <c r="AG40" s="39"/>
      <c r="AH40" s="39"/>
      <c r="AI40" s="41"/>
      <c r="AJ40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40" s="42">
        <f ca="1">IF(Январь[[#This Row],[УСЛУГ]]&lt;&gt;"",Январь[[#This Row],[УСЛУГ]]*Январь[[#This Row],[Периодичность]],"")</f>
        <v>0</v>
      </c>
    </row>
    <row r="41" spans="1:37" x14ac:dyDescent="0.25">
      <c r="A41" s="35"/>
      <c r="B41" s="36"/>
      <c r="C41" s="37">
        <v>0</v>
      </c>
      <c r="D41" s="38">
        <v>2</v>
      </c>
      <c r="E41" s="39"/>
      <c r="F41" s="40"/>
      <c r="G41" s="41"/>
      <c r="H41" s="41"/>
      <c r="I41" s="41"/>
      <c r="J41" s="41"/>
      <c r="K41" s="41"/>
      <c r="L41" s="39"/>
      <c r="M41" s="40"/>
      <c r="N41" s="41"/>
      <c r="O41" s="41"/>
      <c r="P41" s="41"/>
      <c r="Q41" s="41"/>
      <c r="R41" s="41"/>
      <c r="S41" s="39"/>
      <c r="T41" s="40"/>
      <c r="U41" s="41"/>
      <c r="V41" s="41"/>
      <c r="W41" s="41"/>
      <c r="X41" s="41"/>
      <c r="Y41" s="41"/>
      <c r="Z41" s="39"/>
      <c r="AA41" s="39"/>
      <c r="AB41" s="41"/>
      <c r="AC41" s="41"/>
      <c r="AD41" s="41"/>
      <c r="AE41" s="41"/>
      <c r="AF41" s="41"/>
      <c r="AG41" s="39"/>
      <c r="AH41" s="39"/>
      <c r="AI41" s="41"/>
      <c r="AJ41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1" s="42" t="str">
        <f ca="1">IF(Январь[[#This Row],[УСЛУГ]]&lt;&gt;"",Январь[[#This Row],[УСЛУГ]]*Январь[[#This Row],[Периодичность]],"")</f>
        <v/>
      </c>
    </row>
    <row r="42" spans="1:37" x14ac:dyDescent="0.25">
      <c r="A42" s="35"/>
      <c r="B42" s="36"/>
      <c r="C42" s="37">
        <v>0</v>
      </c>
      <c r="D42" s="38">
        <v>3</v>
      </c>
      <c r="E42" s="39"/>
      <c r="F42" s="40"/>
      <c r="G42" s="41"/>
      <c r="H42" s="41"/>
      <c r="I42" s="41"/>
      <c r="J42" s="41"/>
      <c r="K42" s="41"/>
      <c r="L42" s="39"/>
      <c r="M42" s="40"/>
      <c r="N42" s="41"/>
      <c r="O42" s="41"/>
      <c r="P42" s="41"/>
      <c r="Q42" s="41"/>
      <c r="R42" s="41"/>
      <c r="S42" s="39"/>
      <c r="T42" s="40"/>
      <c r="U42" s="41"/>
      <c r="V42" s="41"/>
      <c r="W42" s="41"/>
      <c r="X42" s="41"/>
      <c r="Y42" s="41"/>
      <c r="Z42" s="39"/>
      <c r="AA42" s="39"/>
      <c r="AB42" s="41"/>
      <c r="AC42" s="41"/>
      <c r="AD42" s="41"/>
      <c r="AE42" s="41"/>
      <c r="AF42" s="41"/>
      <c r="AG42" s="39"/>
      <c r="AH42" s="39"/>
      <c r="AI42" s="41"/>
      <c r="AJ42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2" s="42" t="str">
        <f ca="1">IF(Январь[[#This Row],[УСЛУГ]]&lt;&gt;"",Январь[[#This Row],[УСЛУГ]]*Январь[[#This Row],[Периодичность]],"")</f>
        <v/>
      </c>
    </row>
    <row r="43" spans="1:37" ht="47.25" x14ac:dyDescent="0.25">
      <c r="A43" s="35" t="s">
        <v>79</v>
      </c>
      <c r="B43" s="36"/>
      <c r="C43" s="37">
        <v>0</v>
      </c>
      <c r="D43" s="38">
        <v>1</v>
      </c>
      <c r="E43" s="39"/>
      <c r="F43" s="40"/>
      <c r="G43" s="41"/>
      <c r="H43" s="41"/>
      <c r="I43" s="41"/>
      <c r="J43" s="41"/>
      <c r="K43" s="41"/>
      <c r="L43" s="39"/>
      <c r="M43" s="40"/>
      <c r="N43" s="41"/>
      <c r="O43" s="41"/>
      <c r="P43" s="41"/>
      <c r="Q43" s="41"/>
      <c r="R43" s="41"/>
      <c r="S43" s="39"/>
      <c r="T43" s="40"/>
      <c r="U43" s="41"/>
      <c r="V43" s="41"/>
      <c r="W43" s="41"/>
      <c r="X43" s="41"/>
      <c r="Y43" s="41"/>
      <c r="Z43" s="39"/>
      <c r="AA43" s="39"/>
      <c r="AB43" s="41"/>
      <c r="AC43" s="41"/>
      <c r="AD43" s="41"/>
      <c r="AE43" s="41"/>
      <c r="AF43" s="41"/>
      <c r="AG43" s="39"/>
      <c r="AH43" s="39"/>
      <c r="AI43" s="41"/>
      <c r="AJ43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43" s="42">
        <f ca="1">IF(Январь[[#This Row],[УСЛУГ]]&lt;&gt;"",Январь[[#This Row],[УСЛУГ]]*Январь[[#This Row],[Периодичность]],"")</f>
        <v>0</v>
      </c>
    </row>
    <row r="44" spans="1:37" x14ac:dyDescent="0.25">
      <c r="A44" s="35"/>
      <c r="B44" s="36"/>
      <c r="C44" s="37">
        <v>0</v>
      </c>
      <c r="D44" s="38">
        <v>2</v>
      </c>
      <c r="E44" s="39"/>
      <c r="F44" s="40"/>
      <c r="G44" s="41"/>
      <c r="H44" s="41"/>
      <c r="I44" s="41"/>
      <c r="J44" s="41"/>
      <c r="K44" s="41"/>
      <c r="L44" s="39"/>
      <c r="M44" s="40"/>
      <c r="N44" s="41"/>
      <c r="O44" s="41"/>
      <c r="P44" s="41"/>
      <c r="Q44" s="41"/>
      <c r="R44" s="41"/>
      <c r="S44" s="39"/>
      <c r="T44" s="40"/>
      <c r="U44" s="41"/>
      <c r="V44" s="41"/>
      <c r="W44" s="41"/>
      <c r="X44" s="41"/>
      <c r="Y44" s="41"/>
      <c r="Z44" s="39"/>
      <c r="AA44" s="39"/>
      <c r="AB44" s="41"/>
      <c r="AC44" s="41"/>
      <c r="AD44" s="41"/>
      <c r="AE44" s="41"/>
      <c r="AF44" s="41"/>
      <c r="AG44" s="39"/>
      <c r="AH44" s="39"/>
      <c r="AI44" s="41"/>
      <c r="AJ44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4" s="42" t="str">
        <f ca="1">IF(Январь[[#This Row],[УСЛУГ]]&lt;&gt;"",Январь[[#This Row],[УСЛУГ]]*Январь[[#This Row],[Периодичность]],"")</f>
        <v/>
      </c>
    </row>
    <row r="45" spans="1:37" x14ac:dyDescent="0.25">
      <c r="A45" s="35"/>
      <c r="B45" s="36"/>
      <c r="C45" s="37">
        <v>0</v>
      </c>
      <c r="D45" s="38">
        <v>3</v>
      </c>
      <c r="E45" s="39"/>
      <c r="F45" s="40"/>
      <c r="G45" s="41"/>
      <c r="H45" s="41"/>
      <c r="I45" s="41"/>
      <c r="J45" s="41"/>
      <c r="K45" s="41"/>
      <c r="L45" s="39"/>
      <c r="M45" s="40"/>
      <c r="N45" s="41"/>
      <c r="O45" s="41"/>
      <c r="P45" s="41"/>
      <c r="Q45" s="41"/>
      <c r="R45" s="41"/>
      <c r="S45" s="39"/>
      <c r="T45" s="40"/>
      <c r="U45" s="41"/>
      <c r="V45" s="41"/>
      <c r="W45" s="41"/>
      <c r="X45" s="41"/>
      <c r="Y45" s="41"/>
      <c r="Z45" s="39"/>
      <c r="AA45" s="39"/>
      <c r="AB45" s="41"/>
      <c r="AC45" s="41"/>
      <c r="AD45" s="41"/>
      <c r="AE45" s="41"/>
      <c r="AF45" s="41"/>
      <c r="AG45" s="39"/>
      <c r="AH45" s="39"/>
      <c r="AI45" s="41"/>
      <c r="AJ45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5" s="42" t="str">
        <f ca="1">IF(Январь[[#This Row],[УСЛУГ]]&lt;&gt;"",Январь[[#This Row],[УСЛУГ]]*Январь[[#This Row],[Периодичность]],"")</f>
        <v/>
      </c>
    </row>
    <row r="46" spans="1:37" x14ac:dyDescent="0.25">
      <c r="A46" s="35" t="s">
        <v>8</v>
      </c>
      <c r="B46" s="36"/>
      <c r="C46" s="37">
        <v>0</v>
      </c>
      <c r="D46" s="38">
        <v>1</v>
      </c>
      <c r="E46" s="39"/>
      <c r="F46" s="40"/>
      <c r="G46" s="41"/>
      <c r="H46" s="41"/>
      <c r="I46" s="41"/>
      <c r="J46" s="41"/>
      <c r="K46" s="41"/>
      <c r="L46" s="39"/>
      <c r="M46" s="40"/>
      <c r="N46" s="41"/>
      <c r="O46" s="41"/>
      <c r="P46" s="41"/>
      <c r="Q46" s="41"/>
      <c r="R46" s="41"/>
      <c r="S46" s="39"/>
      <c r="T46" s="40"/>
      <c r="U46" s="41"/>
      <c r="V46" s="41"/>
      <c r="W46" s="41"/>
      <c r="X46" s="41"/>
      <c r="Y46" s="41"/>
      <c r="Z46" s="39"/>
      <c r="AA46" s="39"/>
      <c r="AB46" s="41"/>
      <c r="AC46" s="41"/>
      <c r="AD46" s="41"/>
      <c r="AE46" s="41"/>
      <c r="AF46" s="41"/>
      <c r="AG46" s="39"/>
      <c r="AH46" s="39"/>
      <c r="AI46" s="41"/>
      <c r="AJ46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46" s="42">
        <f ca="1">IF(Январь[[#This Row],[УСЛУГ]]&lt;&gt;"",Январь[[#This Row],[УСЛУГ]]*Январь[[#This Row],[Периодичность]],"")</f>
        <v>0</v>
      </c>
    </row>
    <row r="47" spans="1:37" x14ac:dyDescent="0.25">
      <c r="A47" s="35"/>
      <c r="B47" s="36"/>
      <c r="C47" s="37">
        <v>0</v>
      </c>
      <c r="D47" s="38">
        <v>2</v>
      </c>
      <c r="E47" s="39"/>
      <c r="F47" s="40"/>
      <c r="G47" s="41"/>
      <c r="H47" s="41"/>
      <c r="I47" s="41"/>
      <c r="J47" s="41"/>
      <c r="K47" s="41"/>
      <c r="L47" s="39"/>
      <c r="M47" s="40"/>
      <c r="N47" s="41"/>
      <c r="O47" s="41"/>
      <c r="P47" s="41"/>
      <c r="Q47" s="41"/>
      <c r="R47" s="41"/>
      <c r="S47" s="39"/>
      <c r="T47" s="40"/>
      <c r="U47" s="41"/>
      <c r="V47" s="41"/>
      <c r="W47" s="41"/>
      <c r="X47" s="41"/>
      <c r="Y47" s="41"/>
      <c r="Z47" s="39"/>
      <c r="AA47" s="39"/>
      <c r="AB47" s="41"/>
      <c r="AC47" s="41"/>
      <c r="AD47" s="41"/>
      <c r="AE47" s="41"/>
      <c r="AF47" s="41"/>
      <c r="AG47" s="39"/>
      <c r="AH47" s="39"/>
      <c r="AI47" s="41"/>
      <c r="AJ47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7" s="42" t="str">
        <f ca="1">IF(Январь[[#This Row],[УСЛУГ]]&lt;&gt;"",Январь[[#This Row],[УСЛУГ]]*Январь[[#This Row],[Периодичность]],"")</f>
        <v/>
      </c>
    </row>
    <row r="48" spans="1:37" x14ac:dyDescent="0.25">
      <c r="A48" s="35"/>
      <c r="B48" s="36"/>
      <c r="C48" s="37">
        <v>0</v>
      </c>
      <c r="D48" s="38">
        <v>3</v>
      </c>
      <c r="E48" s="39"/>
      <c r="F48" s="40"/>
      <c r="G48" s="41"/>
      <c r="H48" s="41"/>
      <c r="I48" s="41"/>
      <c r="J48" s="41"/>
      <c r="K48" s="41"/>
      <c r="L48" s="39"/>
      <c r="M48" s="40"/>
      <c r="N48" s="41"/>
      <c r="O48" s="41"/>
      <c r="P48" s="41"/>
      <c r="Q48" s="41"/>
      <c r="R48" s="41"/>
      <c r="S48" s="39"/>
      <c r="T48" s="40"/>
      <c r="U48" s="41"/>
      <c r="V48" s="41"/>
      <c r="W48" s="41"/>
      <c r="X48" s="41"/>
      <c r="Y48" s="41"/>
      <c r="Z48" s="39"/>
      <c r="AA48" s="39"/>
      <c r="AB48" s="41"/>
      <c r="AC48" s="41"/>
      <c r="AD48" s="41"/>
      <c r="AE48" s="41"/>
      <c r="AF48" s="41"/>
      <c r="AG48" s="39"/>
      <c r="AH48" s="39"/>
      <c r="AI48" s="41"/>
      <c r="AJ48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48" s="42" t="str">
        <f ca="1">IF(Январь[[#This Row],[УСЛУГ]]&lt;&gt;"",Январь[[#This Row],[УСЛУГ]]*Январь[[#This Row],[Периодичность]],"")</f>
        <v/>
      </c>
    </row>
    <row r="49" spans="1:37" ht="31.5" x14ac:dyDescent="0.25">
      <c r="A49" s="35" t="s">
        <v>9</v>
      </c>
      <c r="B49" s="36"/>
      <c r="C49" s="37">
        <v>0</v>
      </c>
      <c r="D49" s="38">
        <v>1</v>
      </c>
      <c r="E49" s="39"/>
      <c r="F49" s="40"/>
      <c r="G49" s="41"/>
      <c r="H49" s="41"/>
      <c r="I49" s="41"/>
      <c r="J49" s="41"/>
      <c r="K49" s="41"/>
      <c r="L49" s="39"/>
      <c r="M49" s="40"/>
      <c r="N49" s="41"/>
      <c r="O49" s="41"/>
      <c r="P49" s="41"/>
      <c r="Q49" s="41"/>
      <c r="R49" s="41"/>
      <c r="S49" s="39"/>
      <c r="T49" s="40"/>
      <c r="U49" s="41"/>
      <c r="V49" s="41"/>
      <c r="W49" s="41"/>
      <c r="X49" s="41"/>
      <c r="Y49" s="41"/>
      <c r="Z49" s="39"/>
      <c r="AA49" s="39"/>
      <c r="AB49" s="41"/>
      <c r="AC49" s="41"/>
      <c r="AD49" s="41"/>
      <c r="AE49" s="41"/>
      <c r="AF49" s="41"/>
      <c r="AG49" s="39"/>
      <c r="AH49" s="39"/>
      <c r="AI49" s="41"/>
      <c r="AJ49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49" s="42">
        <f ca="1">IF(Январь[[#This Row],[УСЛУГ]]&lt;&gt;"",Январь[[#This Row],[УСЛУГ]]*Январь[[#This Row],[Периодичность]],"")</f>
        <v>0</v>
      </c>
    </row>
    <row r="50" spans="1:37" x14ac:dyDescent="0.25">
      <c r="A50" s="35"/>
      <c r="B50" s="36"/>
      <c r="C50" s="37">
        <v>0</v>
      </c>
      <c r="D50" s="38">
        <v>2</v>
      </c>
      <c r="E50" s="39"/>
      <c r="F50" s="40"/>
      <c r="G50" s="41"/>
      <c r="H50" s="41"/>
      <c r="I50" s="41"/>
      <c r="J50" s="41"/>
      <c r="K50" s="41"/>
      <c r="L50" s="39"/>
      <c r="M50" s="40"/>
      <c r="N50" s="41"/>
      <c r="O50" s="41"/>
      <c r="P50" s="41"/>
      <c r="Q50" s="41"/>
      <c r="R50" s="41"/>
      <c r="S50" s="39"/>
      <c r="T50" s="40"/>
      <c r="U50" s="41"/>
      <c r="V50" s="41"/>
      <c r="W50" s="41"/>
      <c r="X50" s="41"/>
      <c r="Y50" s="41"/>
      <c r="Z50" s="39"/>
      <c r="AA50" s="39"/>
      <c r="AB50" s="41"/>
      <c r="AC50" s="41"/>
      <c r="AD50" s="41"/>
      <c r="AE50" s="41"/>
      <c r="AF50" s="41"/>
      <c r="AG50" s="39"/>
      <c r="AH50" s="39"/>
      <c r="AI50" s="41"/>
      <c r="AJ50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0" s="42" t="str">
        <f ca="1">IF(Январь[[#This Row],[УСЛУГ]]&lt;&gt;"",Январь[[#This Row],[УСЛУГ]]*Январь[[#This Row],[Периодичность]],"")</f>
        <v/>
      </c>
    </row>
    <row r="51" spans="1:37" x14ac:dyDescent="0.25">
      <c r="A51" s="35"/>
      <c r="B51" s="36"/>
      <c r="C51" s="37">
        <v>0</v>
      </c>
      <c r="D51" s="38">
        <v>3</v>
      </c>
      <c r="E51" s="39"/>
      <c r="F51" s="40"/>
      <c r="G51" s="41"/>
      <c r="H51" s="41"/>
      <c r="I51" s="41"/>
      <c r="J51" s="41"/>
      <c r="K51" s="41"/>
      <c r="L51" s="39"/>
      <c r="M51" s="40"/>
      <c r="N51" s="41"/>
      <c r="O51" s="41"/>
      <c r="P51" s="41"/>
      <c r="Q51" s="41"/>
      <c r="R51" s="41"/>
      <c r="S51" s="39"/>
      <c r="T51" s="40"/>
      <c r="U51" s="41"/>
      <c r="V51" s="41"/>
      <c r="W51" s="41"/>
      <c r="X51" s="41"/>
      <c r="Y51" s="41"/>
      <c r="Z51" s="39"/>
      <c r="AA51" s="39"/>
      <c r="AB51" s="41"/>
      <c r="AC51" s="41"/>
      <c r="AD51" s="41"/>
      <c r="AE51" s="41"/>
      <c r="AF51" s="41"/>
      <c r="AG51" s="39"/>
      <c r="AH51" s="39"/>
      <c r="AI51" s="41"/>
      <c r="AJ51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1" s="42" t="str">
        <f ca="1">IF(Январь[[#This Row],[УСЛУГ]]&lt;&gt;"",Январь[[#This Row],[УСЛУГ]]*Январь[[#This Row],[Периодичность]],"")</f>
        <v/>
      </c>
    </row>
    <row r="52" spans="1:37" ht="47.25" x14ac:dyDescent="0.25">
      <c r="A52" s="35" t="s">
        <v>140</v>
      </c>
      <c r="B52" s="36"/>
      <c r="C52" s="37">
        <v>0</v>
      </c>
      <c r="D52" s="38">
        <v>1</v>
      </c>
      <c r="E52" s="39"/>
      <c r="F52" s="40"/>
      <c r="G52" s="41"/>
      <c r="H52" s="41"/>
      <c r="I52" s="41"/>
      <c r="J52" s="41"/>
      <c r="K52" s="41"/>
      <c r="L52" s="39"/>
      <c r="M52" s="40"/>
      <c r="N52" s="41"/>
      <c r="O52" s="41"/>
      <c r="P52" s="41"/>
      <c r="Q52" s="41"/>
      <c r="R52" s="41"/>
      <c r="S52" s="39"/>
      <c r="T52" s="40"/>
      <c r="U52" s="41"/>
      <c r="V52" s="41"/>
      <c r="W52" s="41"/>
      <c r="X52" s="41"/>
      <c r="Y52" s="41"/>
      <c r="Z52" s="39"/>
      <c r="AA52" s="39"/>
      <c r="AB52" s="41"/>
      <c r="AC52" s="41"/>
      <c r="AD52" s="41"/>
      <c r="AE52" s="41"/>
      <c r="AF52" s="41"/>
      <c r="AG52" s="39"/>
      <c r="AH52" s="39"/>
      <c r="AI52" s="41"/>
      <c r="AJ52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52" s="42">
        <f ca="1">IF(Январь[[#This Row],[УСЛУГ]]&lt;&gt;"",Январь[[#This Row],[УСЛУГ]]*Январь[[#This Row],[Периодичность]],"")</f>
        <v>0</v>
      </c>
    </row>
    <row r="53" spans="1:37" x14ac:dyDescent="0.25">
      <c r="A53" s="35"/>
      <c r="B53" s="36"/>
      <c r="C53" s="37">
        <v>0</v>
      </c>
      <c r="D53" s="38">
        <v>2</v>
      </c>
      <c r="E53" s="39"/>
      <c r="F53" s="40"/>
      <c r="G53" s="41"/>
      <c r="H53" s="41"/>
      <c r="I53" s="41"/>
      <c r="J53" s="41"/>
      <c r="K53" s="41"/>
      <c r="L53" s="39"/>
      <c r="M53" s="40"/>
      <c r="N53" s="41"/>
      <c r="O53" s="41"/>
      <c r="P53" s="41"/>
      <c r="Q53" s="41"/>
      <c r="R53" s="41"/>
      <c r="S53" s="39"/>
      <c r="T53" s="40"/>
      <c r="U53" s="41"/>
      <c r="V53" s="41"/>
      <c r="W53" s="41"/>
      <c r="X53" s="41"/>
      <c r="Y53" s="41"/>
      <c r="Z53" s="39"/>
      <c r="AA53" s="39"/>
      <c r="AB53" s="41"/>
      <c r="AC53" s="41"/>
      <c r="AD53" s="41"/>
      <c r="AE53" s="41"/>
      <c r="AF53" s="41"/>
      <c r="AG53" s="39"/>
      <c r="AH53" s="39"/>
      <c r="AI53" s="41"/>
      <c r="AJ53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3" s="42" t="str">
        <f ca="1">IF(Январь[[#This Row],[УСЛУГ]]&lt;&gt;"",Январь[[#This Row],[УСЛУГ]]*Январь[[#This Row],[Периодичность]],"")</f>
        <v/>
      </c>
    </row>
    <row r="54" spans="1:37" x14ac:dyDescent="0.25">
      <c r="A54" s="35"/>
      <c r="B54" s="36"/>
      <c r="C54" s="37">
        <v>0</v>
      </c>
      <c r="D54" s="38">
        <v>3</v>
      </c>
      <c r="E54" s="39"/>
      <c r="F54" s="40"/>
      <c r="G54" s="41"/>
      <c r="H54" s="41"/>
      <c r="I54" s="41"/>
      <c r="J54" s="41"/>
      <c r="K54" s="41"/>
      <c r="L54" s="39"/>
      <c r="M54" s="40"/>
      <c r="N54" s="41"/>
      <c r="O54" s="41"/>
      <c r="P54" s="41"/>
      <c r="Q54" s="41"/>
      <c r="R54" s="41"/>
      <c r="S54" s="39"/>
      <c r="T54" s="40"/>
      <c r="U54" s="41"/>
      <c r="V54" s="41"/>
      <c r="W54" s="41"/>
      <c r="X54" s="41"/>
      <c r="Y54" s="41"/>
      <c r="Z54" s="39"/>
      <c r="AA54" s="39"/>
      <c r="AB54" s="41"/>
      <c r="AC54" s="41"/>
      <c r="AD54" s="41"/>
      <c r="AE54" s="41"/>
      <c r="AF54" s="41"/>
      <c r="AG54" s="39"/>
      <c r="AH54" s="39"/>
      <c r="AI54" s="41"/>
      <c r="AJ54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4" s="42" t="str">
        <f ca="1">IF(Январь[[#This Row],[УСЛУГ]]&lt;&gt;"",Январь[[#This Row],[УСЛУГ]]*Январь[[#This Row],[Периодичность]],"")</f>
        <v/>
      </c>
    </row>
    <row r="55" spans="1:37" ht="47.25" x14ac:dyDescent="0.25">
      <c r="A55" s="35" t="s">
        <v>78</v>
      </c>
      <c r="B55" s="36"/>
      <c r="C55" s="37">
        <v>0</v>
      </c>
      <c r="D55" s="38">
        <v>1</v>
      </c>
      <c r="E55" s="39"/>
      <c r="F55" s="40"/>
      <c r="G55" s="41"/>
      <c r="H55" s="41"/>
      <c r="I55" s="41"/>
      <c r="J55" s="41"/>
      <c r="K55" s="41"/>
      <c r="L55" s="39"/>
      <c r="M55" s="40"/>
      <c r="N55" s="41"/>
      <c r="O55" s="41"/>
      <c r="P55" s="41"/>
      <c r="Q55" s="41"/>
      <c r="R55" s="41"/>
      <c r="S55" s="39"/>
      <c r="T55" s="40"/>
      <c r="U55" s="41"/>
      <c r="V55" s="41"/>
      <c r="W55" s="41"/>
      <c r="X55" s="41"/>
      <c r="Y55" s="41"/>
      <c r="Z55" s="39"/>
      <c r="AA55" s="39"/>
      <c r="AB55" s="41"/>
      <c r="AC55" s="41"/>
      <c r="AD55" s="41"/>
      <c r="AE55" s="41"/>
      <c r="AF55" s="41"/>
      <c r="AG55" s="39"/>
      <c r="AH55" s="39"/>
      <c r="AI55" s="41"/>
      <c r="AJ55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55" s="42">
        <f ca="1">IF(Январь[[#This Row],[УСЛУГ]]&lt;&gt;"",Январь[[#This Row],[УСЛУГ]]*Январь[[#This Row],[Периодичность]],"")</f>
        <v>0</v>
      </c>
    </row>
    <row r="56" spans="1:37" x14ac:dyDescent="0.25">
      <c r="A56" s="35"/>
      <c r="B56" s="36"/>
      <c r="C56" s="37">
        <v>0</v>
      </c>
      <c r="D56" s="38">
        <v>2</v>
      </c>
      <c r="E56" s="39"/>
      <c r="F56" s="40"/>
      <c r="G56" s="41"/>
      <c r="H56" s="41"/>
      <c r="I56" s="41"/>
      <c r="J56" s="41"/>
      <c r="K56" s="41"/>
      <c r="L56" s="39"/>
      <c r="M56" s="40"/>
      <c r="N56" s="41"/>
      <c r="O56" s="41"/>
      <c r="P56" s="41"/>
      <c r="Q56" s="41"/>
      <c r="R56" s="41"/>
      <c r="S56" s="39"/>
      <c r="T56" s="40"/>
      <c r="U56" s="41"/>
      <c r="V56" s="41"/>
      <c r="W56" s="41"/>
      <c r="X56" s="41"/>
      <c r="Y56" s="41"/>
      <c r="Z56" s="39"/>
      <c r="AA56" s="39"/>
      <c r="AB56" s="41"/>
      <c r="AC56" s="41"/>
      <c r="AD56" s="41"/>
      <c r="AE56" s="41"/>
      <c r="AF56" s="41"/>
      <c r="AG56" s="39"/>
      <c r="AH56" s="39"/>
      <c r="AI56" s="41"/>
      <c r="AJ56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6" s="42" t="str">
        <f ca="1">IF(Январь[[#This Row],[УСЛУГ]]&lt;&gt;"",Январь[[#This Row],[УСЛУГ]]*Январь[[#This Row],[Периодичность]],"")</f>
        <v/>
      </c>
    </row>
    <row r="57" spans="1:37" x14ac:dyDescent="0.25">
      <c r="A57" s="35"/>
      <c r="B57" s="36"/>
      <c r="C57" s="37">
        <v>0</v>
      </c>
      <c r="D57" s="38">
        <v>3</v>
      </c>
      <c r="E57" s="39"/>
      <c r="F57" s="40"/>
      <c r="G57" s="41"/>
      <c r="H57" s="41"/>
      <c r="I57" s="41"/>
      <c r="J57" s="41"/>
      <c r="K57" s="41"/>
      <c r="L57" s="39"/>
      <c r="M57" s="40"/>
      <c r="N57" s="41"/>
      <c r="O57" s="41"/>
      <c r="P57" s="41"/>
      <c r="Q57" s="41"/>
      <c r="R57" s="41"/>
      <c r="S57" s="39"/>
      <c r="T57" s="40"/>
      <c r="U57" s="41"/>
      <c r="V57" s="41"/>
      <c r="W57" s="41"/>
      <c r="X57" s="41"/>
      <c r="Y57" s="41"/>
      <c r="Z57" s="39"/>
      <c r="AA57" s="39"/>
      <c r="AB57" s="41"/>
      <c r="AC57" s="41"/>
      <c r="AD57" s="41"/>
      <c r="AE57" s="41"/>
      <c r="AF57" s="41"/>
      <c r="AG57" s="39"/>
      <c r="AH57" s="39"/>
      <c r="AI57" s="41"/>
      <c r="AJ57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7" s="42" t="str">
        <f ca="1">IF(Январь[[#This Row],[УСЛУГ]]&lt;&gt;"",Январь[[#This Row],[УСЛУГ]]*Январь[[#This Row],[Периодичность]],"")</f>
        <v/>
      </c>
    </row>
    <row r="58" spans="1:37" ht="47.25" x14ac:dyDescent="0.25">
      <c r="A58" s="35" t="s">
        <v>141</v>
      </c>
      <c r="B58" s="36"/>
      <c r="C58" s="37">
        <v>0</v>
      </c>
      <c r="D58" s="38">
        <v>1</v>
      </c>
      <c r="E58" s="39"/>
      <c r="F58" s="40"/>
      <c r="G58" s="41"/>
      <c r="H58" s="41"/>
      <c r="I58" s="41"/>
      <c r="J58" s="41"/>
      <c r="K58" s="41"/>
      <c r="L58" s="39"/>
      <c r="M58" s="40"/>
      <c r="N58" s="41"/>
      <c r="O58" s="41"/>
      <c r="P58" s="41"/>
      <c r="Q58" s="41"/>
      <c r="R58" s="41"/>
      <c r="S58" s="39"/>
      <c r="T58" s="40"/>
      <c r="U58" s="41"/>
      <c r="V58" s="41"/>
      <c r="W58" s="41"/>
      <c r="X58" s="41"/>
      <c r="Y58" s="41"/>
      <c r="Z58" s="39"/>
      <c r="AA58" s="39"/>
      <c r="AB58" s="41"/>
      <c r="AC58" s="41"/>
      <c r="AD58" s="41"/>
      <c r="AE58" s="41"/>
      <c r="AF58" s="41"/>
      <c r="AG58" s="39"/>
      <c r="AH58" s="39"/>
      <c r="AI58" s="41"/>
      <c r="AJ58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58" s="42">
        <f ca="1">IF(Январь[[#This Row],[УСЛУГ]]&lt;&gt;"",Январь[[#This Row],[УСЛУГ]]*Январь[[#This Row],[Периодичность]],"")</f>
        <v>0</v>
      </c>
    </row>
    <row r="59" spans="1:37" x14ac:dyDescent="0.25">
      <c r="A59" s="35"/>
      <c r="B59" s="36"/>
      <c r="C59" s="37">
        <v>0</v>
      </c>
      <c r="D59" s="38">
        <v>2</v>
      </c>
      <c r="E59" s="39"/>
      <c r="F59" s="40"/>
      <c r="G59" s="41"/>
      <c r="H59" s="41"/>
      <c r="I59" s="41"/>
      <c r="J59" s="41"/>
      <c r="K59" s="41"/>
      <c r="L59" s="39"/>
      <c r="M59" s="40"/>
      <c r="N59" s="41"/>
      <c r="O59" s="41"/>
      <c r="P59" s="41"/>
      <c r="Q59" s="41"/>
      <c r="R59" s="41"/>
      <c r="S59" s="39"/>
      <c r="T59" s="40"/>
      <c r="U59" s="41"/>
      <c r="V59" s="41"/>
      <c r="W59" s="41"/>
      <c r="X59" s="41"/>
      <c r="Y59" s="41"/>
      <c r="Z59" s="39"/>
      <c r="AA59" s="39"/>
      <c r="AB59" s="41"/>
      <c r="AC59" s="41"/>
      <c r="AD59" s="41"/>
      <c r="AE59" s="41"/>
      <c r="AF59" s="41"/>
      <c r="AG59" s="39"/>
      <c r="AH59" s="39"/>
      <c r="AI59" s="41"/>
      <c r="AJ59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59" s="42" t="str">
        <f ca="1">IF(Январь[[#This Row],[УСЛУГ]]&lt;&gt;"",Январь[[#This Row],[УСЛУГ]]*Январь[[#This Row],[Периодичность]],"")</f>
        <v/>
      </c>
    </row>
    <row r="60" spans="1:37" x14ac:dyDescent="0.25">
      <c r="A60" s="35"/>
      <c r="B60" s="36"/>
      <c r="C60" s="37">
        <v>0</v>
      </c>
      <c r="D60" s="38">
        <v>3</v>
      </c>
      <c r="E60" s="39"/>
      <c r="F60" s="40"/>
      <c r="G60" s="41"/>
      <c r="H60" s="41"/>
      <c r="I60" s="41"/>
      <c r="J60" s="41"/>
      <c r="K60" s="41"/>
      <c r="L60" s="39"/>
      <c r="M60" s="40"/>
      <c r="N60" s="41"/>
      <c r="O60" s="41"/>
      <c r="P60" s="41"/>
      <c r="Q60" s="41"/>
      <c r="R60" s="41"/>
      <c r="S60" s="39"/>
      <c r="T60" s="40"/>
      <c r="U60" s="41"/>
      <c r="V60" s="41"/>
      <c r="W60" s="41"/>
      <c r="X60" s="41"/>
      <c r="Y60" s="41"/>
      <c r="Z60" s="39"/>
      <c r="AA60" s="39"/>
      <c r="AB60" s="41"/>
      <c r="AC60" s="41"/>
      <c r="AD60" s="41"/>
      <c r="AE60" s="41"/>
      <c r="AF60" s="41"/>
      <c r="AG60" s="39"/>
      <c r="AH60" s="39"/>
      <c r="AI60" s="41"/>
      <c r="AJ60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0" s="42" t="str">
        <f ca="1">IF(Январь[[#This Row],[УСЛУГ]]&lt;&gt;"",Январь[[#This Row],[УСЛУГ]]*Январь[[#This Row],[Периодичность]],"")</f>
        <v/>
      </c>
    </row>
    <row r="61" spans="1:37" ht="31.5" x14ac:dyDescent="0.25">
      <c r="A61" s="35" t="s">
        <v>13</v>
      </c>
      <c r="B61" s="36"/>
      <c r="C61" s="37">
        <v>0</v>
      </c>
      <c r="D61" s="38">
        <v>1</v>
      </c>
      <c r="E61" s="39"/>
      <c r="F61" s="40"/>
      <c r="G61" s="41"/>
      <c r="H61" s="41"/>
      <c r="I61" s="41"/>
      <c r="J61" s="41"/>
      <c r="K61" s="41"/>
      <c r="L61" s="39"/>
      <c r="M61" s="40"/>
      <c r="N61" s="41"/>
      <c r="O61" s="41"/>
      <c r="P61" s="41"/>
      <c r="Q61" s="41"/>
      <c r="R61" s="41"/>
      <c r="S61" s="39"/>
      <c r="T61" s="40"/>
      <c r="U61" s="41"/>
      <c r="V61" s="41"/>
      <c r="W61" s="41"/>
      <c r="X61" s="41"/>
      <c r="Y61" s="41"/>
      <c r="Z61" s="39"/>
      <c r="AA61" s="39"/>
      <c r="AB61" s="41"/>
      <c r="AC61" s="41"/>
      <c r="AD61" s="41"/>
      <c r="AE61" s="41"/>
      <c r="AF61" s="41"/>
      <c r="AG61" s="39"/>
      <c r="AH61" s="39"/>
      <c r="AI61" s="41"/>
      <c r="AJ61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61" s="42">
        <f ca="1">IF(Январь[[#This Row],[УСЛУГ]]&lt;&gt;"",Январь[[#This Row],[УСЛУГ]]*Январь[[#This Row],[Периодичность]],"")</f>
        <v>0</v>
      </c>
    </row>
    <row r="62" spans="1:37" x14ac:dyDescent="0.25">
      <c r="A62" s="35"/>
      <c r="B62" s="36"/>
      <c r="C62" s="37">
        <v>0</v>
      </c>
      <c r="D62" s="38">
        <v>2</v>
      </c>
      <c r="E62" s="39"/>
      <c r="F62" s="40"/>
      <c r="G62" s="41"/>
      <c r="H62" s="41"/>
      <c r="I62" s="41"/>
      <c r="J62" s="41"/>
      <c r="K62" s="41"/>
      <c r="L62" s="39"/>
      <c r="M62" s="40"/>
      <c r="N62" s="41"/>
      <c r="O62" s="41"/>
      <c r="P62" s="41"/>
      <c r="Q62" s="41"/>
      <c r="R62" s="41"/>
      <c r="S62" s="39"/>
      <c r="T62" s="40"/>
      <c r="U62" s="41"/>
      <c r="V62" s="41"/>
      <c r="W62" s="41"/>
      <c r="X62" s="41"/>
      <c r="Y62" s="41"/>
      <c r="Z62" s="39"/>
      <c r="AA62" s="39"/>
      <c r="AB62" s="41"/>
      <c r="AC62" s="41"/>
      <c r="AD62" s="41"/>
      <c r="AE62" s="41"/>
      <c r="AF62" s="41"/>
      <c r="AG62" s="39"/>
      <c r="AH62" s="39"/>
      <c r="AI62" s="41"/>
      <c r="AJ62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2" s="42" t="str">
        <f ca="1">IF(Январь[[#This Row],[УСЛУГ]]&lt;&gt;"",Январь[[#This Row],[УСЛУГ]]*Январь[[#This Row],[Периодичность]],"")</f>
        <v/>
      </c>
    </row>
    <row r="63" spans="1:37" x14ac:dyDescent="0.25">
      <c r="A63" s="35"/>
      <c r="B63" s="36"/>
      <c r="C63" s="37">
        <v>0</v>
      </c>
      <c r="D63" s="38">
        <v>3</v>
      </c>
      <c r="E63" s="39"/>
      <c r="F63" s="40"/>
      <c r="G63" s="41"/>
      <c r="H63" s="41"/>
      <c r="I63" s="41"/>
      <c r="J63" s="41"/>
      <c r="K63" s="41"/>
      <c r="L63" s="39"/>
      <c r="M63" s="40"/>
      <c r="N63" s="41"/>
      <c r="O63" s="41"/>
      <c r="P63" s="41"/>
      <c r="Q63" s="41"/>
      <c r="R63" s="41"/>
      <c r="S63" s="39"/>
      <c r="T63" s="40"/>
      <c r="U63" s="41"/>
      <c r="V63" s="41"/>
      <c r="W63" s="41"/>
      <c r="X63" s="41"/>
      <c r="Y63" s="41"/>
      <c r="Z63" s="39"/>
      <c r="AA63" s="39"/>
      <c r="AB63" s="41"/>
      <c r="AC63" s="41"/>
      <c r="AD63" s="41"/>
      <c r="AE63" s="41"/>
      <c r="AF63" s="41"/>
      <c r="AG63" s="39"/>
      <c r="AH63" s="39"/>
      <c r="AI63" s="41"/>
      <c r="AJ63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3" s="42" t="str">
        <f ca="1">IF(Январь[[#This Row],[УСЛУГ]]&lt;&gt;"",Январь[[#This Row],[УСЛУГ]]*Январь[[#This Row],[Периодичность]],"")</f>
        <v/>
      </c>
    </row>
    <row r="64" spans="1:37" ht="31.5" x14ac:dyDescent="0.25">
      <c r="A64" s="35" t="s">
        <v>14</v>
      </c>
      <c r="B64" s="36"/>
      <c r="C64" s="37">
        <v>0</v>
      </c>
      <c r="D64" s="38">
        <v>1</v>
      </c>
      <c r="E64" s="39"/>
      <c r="F64" s="40"/>
      <c r="G64" s="41"/>
      <c r="H64" s="41"/>
      <c r="I64" s="41"/>
      <c r="J64" s="41"/>
      <c r="K64" s="41"/>
      <c r="L64" s="39"/>
      <c r="M64" s="40"/>
      <c r="N64" s="41"/>
      <c r="O64" s="41"/>
      <c r="P64" s="41"/>
      <c r="Q64" s="41"/>
      <c r="R64" s="41"/>
      <c r="S64" s="39"/>
      <c r="T64" s="40"/>
      <c r="U64" s="41"/>
      <c r="V64" s="41"/>
      <c r="W64" s="41"/>
      <c r="X64" s="41"/>
      <c r="Y64" s="41"/>
      <c r="Z64" s="39"/>
      <c r="AA64" s="39"/>
      <c r="AB64" s="41"/>
      <c r="AC64" s="41"/>
      <c r="AD64" s="41"/>
      <c r="AE64" s="41"/>
      <c r="AF64" s="41"/>
      <c r="AG64" s="39"/>
      <c r="AH64" s="39"/>
      <c r="AI64" s="41"/>
      <c r="AJ64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64" s="42">
        <f ca="1">IF(Январь[[#This Row],[УСЛУГ]]&lt;&gt;"",Январь[[#This Row],[УСЛУГ]]*Январь[[#This Row],[Периодичность]],"")</f>
        <v>0</v>
      </c>
    </row>
    <row r="65" spans="1:37" x14ac:dyDescent="0.25">
      <c r="A65" s="35"/>
      <c r="B65" s="36"/>
      <c r="C65" s="37">
        <v>0</v>
      </c>
      <c r="D65" s="38">
        <v>2</v>
      </c>
      <c r="E65" s="39"/>
      <c r="F65" s="40"/>
      <c r="G65" s="41"/>
      <c r="H65" s="41"/>
      <c r="I65" s="41"/>
      <c r="J65" s="41"/>
      <c r="K65" s="41"/>
      <c r="L65" s="39"/>
      <c r="M65" s="40"/>
      <c r="N65" s="41"/>
      <c r="O65" s="41"/>
      <c r="P65" s="41"/>
      <c r="Q65" s="41"/>
      <c r="R65" s="41"/>
      <c r="S65" s="39"/>
      <c r="T65" s="40"/>
      <c r="U65" s="41"/>
      <c r="V65" s="41"/>
      <c r="W65" s="41"/>
      <c r="X65" s="41"/>
      <c r="Y65" s="41"/>
      <c r="Z65" s="39"/>
      <c r="AA65" s="39"/>
      <c r="AB65" s="41"/>
      <c r="AC65" s="41"/>
      <c r="AD65" s="41"/>
      <c r="AE65" s="41"/>
      <c r="AF65" s="41"/>
      <c r="AG65" s="39"/>
      <c r="AH65" s="39"/>
      <c r="AI65" s="41"/>
      <c r="AJ65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5" s="42" t="str">
        <f ca="1">IF(Январь[[#This Row],[УСЛУГ]]&lt;&gt;"",Январь[[#This Row],[УСЛУГ]]*Январь[[#This Row],[Периодичность]],"")</f>
        <v/>
      </c>
    </row>
    <row r="66" spans="1:37" x14ac:dyDescent="0.25">
      <c r="A66" s="35"/>
      <c r="B66" s="36"/>
      <c r="C66" s="37">
        <v>0</v>
      </c>
      <c r="D66" s="38">
        <v>3</v>
      </c>
      <c r="E66" s="39"/>
      <c r="F66" s="40"/>
      <c r="G66" s="41"/>
      <c r="H66" s="41"/>
      <c r="I66" s="41"/>
      <c r="J66" s="41"/>
      <c r="K66" s="41"/>
      <c r="L66" s="39"/>
      <c r="M66" s="40"/>
      <c r="N66" s="41"/>
      <c r="O66" s="41"/>
      <c r="P66" s="41"/>
      <c r="Q66" s="41"/>
      <c r="R66" s="41"/>
      <c r="S66" s="39"/>
      <c r="T66" s="40"/>
      <c r="U66" s="41"/>
      <c r="V66" s="41"/>
      <c r="W66" s="41"/>
      <c r="X66" s="41"/>
      <c r="Y66" s="41"/>
      <c r="Z66" s="39"/>
      <c r="AA66" s="39"/>
      <c r="AB66" s="41"/>
      <c r="AC66" s="41"/>
      <c r="AD66" s="41"/>
      <c r="AE66" s="41"/>
      <c r="AF66" s="41"/>
      <c r="AG66" s="39"/>
      <c r="AH66" s="39"/>
      <c r="AI66" s="41"/>
      <c r="AJ66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6" s="42" t="str">
        <f ca="1">IF(Январь[[#This Row],[УСЛУГ]]&lt;&gt;"",Январь[[#This Row],[УСЛУГ]]*Январь[[#This Row],[Периодичность]],"")</f>
        <v/>
      </c>
    </row>
    <row r="67" spans="1:37" ht="31.5" x14ac:dyDescent="0.25">
      <c r="A67" s="35" t="s">
        <v>15</v>
      </c>
      <c r="B67" s="36"/>
      <c r="C67" s="37">
        <v>0</v>
      </c>
      <c r="D67" s="38">
        <v>1</v>
      </c>
      <c r="E67" s="39"/>
      <c r="F67" s="40"/>
      <c r="G67" s="41"/>
      <c r="H67" s="41"/>
      <c r="I67" s="41"/>
      <c r="J67" s="41"/>
      <c r="K67" s="41"/>
      <c r="L67" s="39"/>
      <c r="M67" s="40"/>
      <c r="N67" s="41"/>
      <c r="O67" s="41"/>
      <c r="P67" s="41"/>
      <c r="Q67" s="41"/>
      <c r="R67" s="41"/>
      <c r="S67" s="39"/>
      <c r="T67" s="40"/>
      <c r="U67" s="41"/>
      <c r="V67" s="41"/>
      <c r="W67" s="41"/>
      <c r="X67" s="41"/>
      <c r="Y67" s="41"/>
      <c r="Z67" s="39"/>
      <c r="AA67" s="39"/>
      <c r="AB67" s="41"/>
      <c r="AC67" s="41"/>
      <c r="AD67" s="41"/>
      <c r="AE67" s="41"/>
      <c r="AF67" s="41"/>
      <c r="AG67" s="39"/>
      <c r="AH67" s="39"/>
      <c r="AI67" s="41"/>
      <c r="AJ67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67" s="42">
        <f ca="1">IF(Январь[[#This Row],[УСЛУГ]]&lt;&gt;"",Январь[[#This Row],[УСЛУГ]]*Январь[[#This Row],[Периодичность]],"")</f>
        <v>0</v>
      </c>
    </row>
    <row r="68" spans="1:37" x14ac:dyDescent="0.25">
      <c r="A68" s="35"/>
      <c r="B68" s="36"/>
      <c r="C68" s="37">
        <v>0</v>
      </c>
      <c r="D68" s="38">
        <v>2</v>
      </c>
      <c r="E68" s="39"/>
      <c r="F68" s="40"/>
      <c r="G68" s="41"/>
      <c r="H68" s="41"/>
      <c r="I68" s="41"/>
      <c r="J68" s="41"/>
      <c r="K68" s="41"/>
      <c r="L68" s="39"/>
      <c r="M68" s="40"/>
      <c r="N68" s="41"/>
      <c r="O68" s="41"/>
      <c r="P68" s="41"/>
      <c r="Q68" s="41"/>
      <c r="R68" s="41"/>
      <c r="S68" s="39"/>
      <c r="T68" s="40"/>
      <c r="U68" s="41"/>
      <c r="V68" s="41"/>
      <c r="W68" s="41"/>
      <c r="X68" s="41"/>
      <c r="Y68" s="41"/>
      <c r="Z68" s="39"/>
      <c r="AA68" s="39"/>
      <c r="AB68" s="41"/>
      <c r="AC68" s="41"/>
      <c r="AD68" s="41"/>
      <c r="AE68" s="41"/>
      <c r="AF68" s="41"/>
      <c r="AG68" s="39"/>
      <c r="AH68" s="39"/>
      <c r="AI68" s="41"/>
      <c r="AJ68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8" s="42" t="str">
        <f ca="1">IF(Январь[[#This Row],[УСЛУГ]]&lt;&gt;"",Январь[[#This Row],[УСЛУГ]]*Январь[[#This Row],[Периодичность]],"")</f>
        <v/>
      </c>
    </row>
    <row r="69" spans="1:37" x14ac:dyDescent="0.25">
      <c r="A69" s="35"/>
      <c r="B69" s="36"/>
      <c r="C69" s="37">
        <v>0</v>
      </c>
      <c r="D69" s="38">
        <v>3</v>
      </c>
      <c r="E69" s="39"/>
      <c r="F69" s="40"/>
      <c r="G69" s="41"/>
      <c r="H69" s="41"/>
      <c r="I69" s="41"/>
      <c r="J69" s="41"/>
      <c r="K69" s="41"/>
      <c r="L69" s="39"/>
      <c r="M69" s="40"/>
      <c r="N69" s="41"/>
      <c r="O69" s="41"/>
      <c r="P69" s="41"/>
      <c r="Q69" s="41"/>
      <c r="R69" s="41"/>
      <c r="S69" s="39"/>
      <c r="T69" s="40"/>
      <c r="U69" s="41"/>
      <c r="V69" s="41"/>
      <c r="W69" s="41"/>
      <c r="X69" s="41"/>
      <c r="Y69" s="41"/>
      <c r="Z69" s="39"/>
      <c r="AA69" s="39"/>
      <c r="AB69" s="41"/>
      <c r="AC69" s="41"/>
      <c r="AD69" s="41"/>
      <c r="AE69" s="41"/>
      <c r="AF69" s="41"/>
      <c r="AG69" s="39"/>
      <c r="AH69" s="39"/>
      <c r="AI69" s="41"/>
      <c r="AJ69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69" s="42" t="str">
        <f ca="1">IF(Январь[[#This Row],[УСЛУГ]]&lt;&gt;"",Январь[[#This Row],[УСЛУГ]]*Январь[[#This Row],[Периодичность]],"")</f>
        <v/>
      </c>
    </row>
    <row r="70" spans="1:37" x14ac:dyDescent="0.25">
      <c r="A70" s="35" t="s">
        <v>16</v>
      </c>
      <c r="B70" s="36"/>
      <c r="C70" s="37">
        <v>0</v>
      </c>
      <c r="D70" s="38">
        <v>1</v>
      </c>
      <c r="E70" s="39"/>
      <c r="F70" s="40"/>
      <c r="G70" s="41"/>
      <c r="H70" s="41"/>
      <c r="I70" s="41"/>
      <c r="J70" s="41"/>
      <c r="K70" s="41"/>
      <c r="L70" s="39"/>
      <c r="M70" s="40"/>
      <c r="N70" s="41"/>
      <c r="O70" s="41"/>
      <c r="P70" s="41"/>
      <c r="Q70" s="41"/>
      <c r="R70" s="41"/>
      <c r="S70" s="39"/>
      <c r="T70" s="40"/>
      <c r="U70" s="41"/>
      <c r="V70" s="41"/>
      <c r="W70" s="41"/>
      <c r="X70" s="41"/>
      <c r="Y70" s="41"/>
      <c r="Z70" s="39"/>
      <c r="AA70" s="39"/>
      <c r="AB70" s="41"/>
      <c r="AC70" s="41"/>
      <c r="AD70" s="41"/>
      <c r="AE70" s="41"/>
      <c r="AF70" s="41"/>
      <c r="AG70" s="39"/>
      <c r="AH70" s="39"/>
      <c r="AI70" s="41"/>
      <c r="AJ70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70" s="42">
        <f ca="1">IF(Январь[[#This Row],[УСЛУГ]]&lt;&gt;"",Январь[[#This Row],[УСЛУГ]]*Январь[[#This Row],[Периодичность]],"")</f>
        <v>0</v>
      </c>
    </row>
    <row r="71" spans="1:37" x14ac:dyDescent="0.25">
      <c r="A71" s="35"/>
      <c r="B71" s="36"/>
      <c r="C71" s="37">
        <v>0</v>
      </c>
      <c r="D71" s="38">
        <v>2</v>
      </c>
      <c r="E71" s="39"/>
      <c r="F71" s="40"/>
      <c r="G71" s="41"/>
      <c r="H71" s="41"/>
      <c r="I71" s="41"/>
      <c r="J71" s="41"/>
      <c r="K71" s="41"/>
      <c r="L71" s="39"/>
      <c r="M71" s="40"/>
      <c r="N71" s="41"/>
      <c r="O71" s="41"/>
      <c r="P71" s="41"/>
      <c r="Q71" s="41"/>
      <c r="R71" s="41"/>
      <c r="S71" s="39"/>
      <c r="T71" s="40"/>
      <c r="U71" s="41"/>
      <c r="V71" s="41"/>
      <c r="W71" s="41"/>
      <c r="X71" s="41"/>
      <c r="Y71" s="41"/>
      <c r="Z71" s="39"/>
      <c r="AA71" s="39"/>
      <c r="AB71" s="41"/>
      <c r="AC71" s="41"/>
      <c r="AD71" s="41"/>
      <c r="AE71" s="41"/>
      <c r="AF71" s="41"/>
      <c r="AG71" s="39"/>
      <c r="AH71" s="39"/>
      <c r="AI71" s="41"/>
      <c r="AJ71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1" s="42" t="str">
        <f ca="1">IF(Январь[[#This Row],[УСЛУГ]]&lt;&gt;"",Январь[[#This Row],[УСЛУГ]]*Январь[[#This Row],[Периодичность]],"")</f>
        <v/>
      </c>
    </row>
    <row r="72" spans="1:37" x14ac:dyDescent="0.25">
      <c r="A72" s="35"/>
      <c r="B72" s="36"/>
      <c r="C72" s="37">
        <v>0</v>
      </c>
      <c r="D72" s="38">
        <v>3</v>
      </c>
      <c r="E72" s="39"/>
      <c r="F72" s="40"/>
      <c r="G72" s="41"/>
      <c r="H72" s="41"/>
      <c r="I72" s="41"/>
      <c r="J72" s="41"/>
      <c r="K72" s="41"/>
      <c r="L72" s="39"/>
      <c r="M72" s="40"/>
      <c r="N72" s="41"/>
      <c r="O72" s="41"/>
      <c r="P72" s="41"/>
      <c r="Q72" s="41"/>
      <c r="R72" s="41"/>
      <c r="S72" s="39"/>
      <c r="T72" s="40"/>
      <c r="U72" s="41"/>
      <c r="V72" s="41"/>
      <c r="W72" s="41"/>
      <c r="X72" s="41"/>
      <c r="Y72" s="41"/>
      <c r="Z72" s="39"/>
      <c r="AA72" s="39"/>
      <c r="AB72" s="41"/>
      <c r="AC72" s="41"/>
      <c r="AD72" s="41"/>
      <c r="AE72" s="41"/>
      <c r="AF72" s="41"/>
      <c r="AG72" s="39"/>
      <c r="AH72" s="39"/>
      <c r="AI72" s="41"/>
      <c r="AJ72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2" s="42" t="str">
        <f ca="1">IF(Январь[[#This Row],[УСЛУГ]]&lt;&gt;"",Январь[[#This Row],[УСЛУГ]]*Январь[[#This Row],[Периодичность]],"")</f>
        <v/>
      </c>
    </row>
    <row r="73" spans="1:37" ht="47.25" x14ac:dyDescent="0.25">
      <c r="A73" s="35" t="s">
        <v>142</v>
      </c>
      <c r="B73" s="36"/>
      <c r="C73" s="37">
        <v>0</v>
      </c>
      <c r="D73" s="38">
        <v>1</v>
      </c>
      <c r="E73" s="39"/>
      <c r="F73" s="40"/>
      <c r="G73" s="41"/>
      <c r="H73" s="41"/>
      <c r="I73" s="41"/>
      <c r="J73" s="41"/>
      <c r="K73" s="41"/>
      <c r="L73" s="39"/>
      <c r="M73" s="40"/>
      <c r="N73" s="41"/>
      <c r="O73" s="41"/>
      <c r="P73" s="41"/>
      <c r="Q73" s="41"/>
      <c r="R73" s="41"/>
      <c r="S73" s="39"/>
      <c r="T73" s="40"/>
      <c r="U73" s="41"/>
      <c r="V73" s="41"/>
      <c r="W73" s="41"/>
      <c r="X73" s="41"/>
      <c r="Y73" s="41"/>
      <c r="Z73" s="39"/>
      <c r="AA73" s="39"/>
      <c r="AB73" s="41"/>
      <c r="AC73" s="41"/>
      <c r="AD73" s="41"/>
      <c r="AE73" s="41"/>
      <c r="AF73" s="41"/>
      <c r="AG73" s="39"/>
      <c r="AH73" s="39"/>
      <c r="AI73" s="41"/>
      <c r="AJ73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73" s="42">
        <f ca="1">IF(Январь[[#This Row],[УСЛУГ]]&lt;&gt;"",Январь[[#This Row],[УСЛУГ]]*Январь[[#This Row],[Периодичность]],"")</f>
        <v>0</v>
      </c>
    </row>
    <row r="74" spans="1:37" x14ac:dyDescent="0.25">
      <c r="A74" s="35"/>
      <c r="B74" s="36"/>
      <c r="C74" s="37">
        <v>0</v>
      </c>
      <c r="D74" s="38">
        <v>2</v>
      </c>
      <c r="E74" s="39"/>
      <c r="F74" s="40"/>
      <c r="G74" s="41"/>
      <c r="H74" s="41"/>
      <c r="I74" s="41"/>
      <c r="J74" s="41"/>
      <c r="K74" s="41"/>
      <c r="L74" s="39"/>
      <c r="M74" s="40"/>
      <c r="N74" s="41"/>
      <c r="O74" s="41"/>
      <c r="P74" s="41"/>
      <c r="Q74" s="41"/>
      <c r="R74" s="41"/>
      <c r="S74" s="39"/>
      <c r="T74" s="40"/>
      <c r="U74" s="41"/>
      <c r="V74" s="41"/>
      <c r="W74" s="41"/>
      <c r="X74" s="41"/>
      <c r="Y74" s="41"/>
      <c r="Z74" s="39"/>
      <c r="AA74" s="39"/>
      <c r="AB74" s="41"/>
      <c r="AC74" s="41"/>
      <c r="AD74" s="41"/>
      <c r="AE74" s="41"/>
      <c r="AF74" s="41"/>
      <c r="AG74" s="39"/>
      <c r="AH74" s="39"/>
      <c r="AI74" s="41"/>
      <c r="AJ74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4" s="42" t="str">
        <f ca="1">IF(Январь[[#This Row],[УСЛУГ]]&lt;&gt;"",Январь[[#This Row],[УСЛУГ]]*Январь[[#This Row],[Периодичность]],"")</f>
        <v/>
      </c>
    </row>
    <row r="75" spans="1:37" x14ac:dyDescent="0.25">
      <c r="A75" s="35"/>
      <c r="B75" s="36"/>
      <c r="C75" s="37">
        <v>0</v>
      </c>
      <c r="D75" s="38">
        <v>3</v>
      </c>
      <c r="E75" s="39"/>
      <c r="F75" s="40"/>
      <c r="G75" s="41"/>
      <c r="H75" s="41"/>
      <c r="I75" s="41"/>
      <c r="J75" s="41"/>
      <c r="K75" s="41"/>
      <c r="L75" s="39"/>
      <c r="M75" s="40"/>
      <c r="N75" s="41"/>
      <c r="O75" s="41"/>
      <c r="P75" s="41"/>
      <c r="Q75" s="41"/>
      <c r="R75" s="41"/>
      <c r="S75" s="39"/>
      <c r="T75" s="40"/>
      <c r="U75" s="41"/>
      <c r="V75" s="41"/>
      <c r="W75" s="41"/>
      <c r="X75" s="41"/>
      <c r="Y75" s="41"/>
      <c r="Z75" s="39"/>
      <c r="AA75" s="39"/>
      <c r="AB75" s="41"/>
      <c r="AC75" s="41"/>
      <c r="AD75" s="41"/>
      <c r="AE75" s="41"/>
      <c r="AF75" s="41"/>
      <c r="AG75" s="39"/>
      <c r="AH75" s="39"/>
      <c r="AI75" s="41"/>
      <c r="AJ75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5" s="42" t="str">
        <f ca="1">IF(Январь[[#This Row],[УСЛУГ]]&lt;&gt;"",Январь[[#This Row],[УСЛУГ]]*Январь[[#This Row],[Периодичность]],"")</f>
        <v/>
      </c>
    </row>
    <row r="76" spans="1:37" ht="47.25" x14ac:dyDescent="0.25">
      <c r="A76" s="35" t="s">
        <v>143</v>
      </c>
      <c r="B76" s="36"/>
      <c r="C76" s="37">
        <v>0</v>
      </c>
      <c r="D76" s="38">
        <v>1</v>
      </c>
      <c r="E76" s="39"/>
      <c r="F76" s="40"/>
      <c r="G76" s="41"/>
      <c r="H76" s="41"/>
      <c r="I76" s="41"/>
      <c r="J76" s="41"/>
      <c r="K76" s="41"/>
      <c r="L76" s="39"/>
      <c r="M76" s="40"/>
      <c r="N76" s="41"/>
      <c r="O76" s="41"/>
      <c r="P76" s="41"/>
      <c r="Q76" s="41"/>
      <c r="R76" s="41"/>
      <c r="S76" s="39"/>
      <c r="T76" s="40"/>
      <c r="U76" s="41"/>
      <c r="V76" s="41"/>
      <c r="W76" s="41"/>
      <c r="X76" s="41"/>
      <c r="Y76" s="41"/>
      <c r="Z76" s="39"/>
      <c r="AA76" s="39"/>
      <c r="AB76" s="41"/>
      <c r="AC76" s="41"/>
      <c r="AD76" s="41"/>
      <c r="AE76" s="41"/>
      <c r="AF76" s="41"/>
      <c r="AG76" s="39"/>
      <c r="AH76" s="39"/>
      <c r="AI76" s="41"/>
      <c r="AJ76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76" s="42">
        <f ca="1">IF(Январь[[#This Row],[УСЛУГ]]&lt;&gt;"",Январь[[#This Row],[УСЛУГ]]*Январь[[#This Row],[Периодичность]],"")</f>
        <v>0</v>
      </c>
    </row>
    <row r="77" spans="1:37" x14ac:dyDescent="0.25">
      <c r="A77" s="35"/>
      <c r="B77" s="36"/>
      <c r="C77" s="37">
        <v>0</v>
      </c>
      <c r="D77" s="38">
        <v>2</v>
      </c>
      <c r="E77" s="39"/>
      <c r="F77" s="40"/>
      <c r="G77" s="41"/>
      <c r="H77" s="41"/>
      <c r="I77" s="41"/>
      <c r="J77" s="41"/>
      <c r="K77" s="41"/>
      <c r="L77" s="39"/>
      <c r="M77" s="40"/>
      <c r="N77" s="41"/>
      <c r="O77" s="41"/>
      <c r="P77" s="41"/>
      <c r="Q77" s="41"/>
      <c r="R77" s="41"/>
      <c r="S77" s="39"/>
      <c r="T77" s="40"/>
      <c r="U77" s="41"/>
      <c r="V77" s="41"/>
      <c r="W77" s="41"/>
      <c r="X77" s="41"/>
      <c r="Y77" s="41"/>
      <c r="Z77" s="39"/>
      <c r="AA77" s="39"/>
      <c r="AB77" s="41"/>
      <c r="AC77" s="41"/>
      <c r="AD77" s="41"/>
      <c r="AE77" s="41"/>
      <c r="AF77" s="41"/>
      <c r="AG77" s="39"/>
      <c r="AH77" s="39"/>
      <c r="AI77" s="41"/>
      <c r="AJ77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7" s="42" t="str">
        <f ca="1">IF(Январь[[#This Row],[УСЛУГ]]&lt;&gt;"",Январь[[#This Row],[УСЛУГ]]*Январь[[#This Row],[Периодичность]],"")</f>
        <v/>
      </c>
    </row>
    <row r="78" spans="1:37" x14ac:dyDescent="0.25">
      <c r="A78" s="35"/>
      <c r="B78" s="36"/>
      <c r="C78" s="37">
        <v>0</v>
      </c>
      <c r="D78" s="38">
        <v>3</v>
      </c>
      <c r="E78" s="39"/>
      <c r="F78" s="40"/>
      <c r="G78" s="41"/>
      <c r="H78" s="41"/>
      <c r="I78" s="41"/>
      <c r="J78" s="41"/>
      <c r="K78" s="41"/>
      <c r="L78" s="39"/>
      <c r="M78" s="40"/>
      <c r="N78" s="41"/>
      <c r="O78" s="41"/>
      <c r="P78" s="41"/>
      <c r="Q78" s="41"/>
      <c r="R78" s="41"/>
      <c r="S78" s="39"/>
      <c r="T78" s="40"/>
      <c r="U78" s="41"/>
      <c r="V78" s="41"/>
      <c r="W78" s="41"/>
      <c r="X78" s="41"/>
      <c r="Y78" s="41"/>
      <c r="Z78" s="39"/>
      <c r="AA78" s="39"/>
      <c r="AB78" s="41"/>
      <c r="AC78" s="41"/>
      <c r="AD78" s="41"/>
      <c r="AE78" s="41"/>
      <c r="AF78" s="41"/>
      <c r="AG78" s="39"/>
      <c r="AH78" s="39"/>
      <c r="AI78" s="41"/>
      <c r="AJ78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78" s="42" t="str">
        <f ca="1">IF(Январь[[#This Row],[УСЛУГ]]&lt;&gt;"",Январь[[#This Row],[УСЛУГ]]*Январь[[#This Row],[Периодичность]],"")</f>
        <v/>
      </c>
    </row>
    <row r="79" spans="1:37" x14ac:dyDescent="0.25">
      <c r="A79" s="35" t="s">
        <v>19</v>
      </c>
      <c r="B79" s="36"/>
      <c r="C79" s="37">
        <v>0</v>
      </c>
      <c r="D79" s="38">
        <v>1</v>
      </c>
      <c r="E79" s="39"/>
      <c r="F79" s="40"/>
      <c r="G79" s="41"/>
      <c r="H79" s="41"/>
      <c r="I79" s="41"/>
      <c r="J79" s="41"/>
      <c r="K79" s="41"/>
      <c r="L79" s="39"/>
      <c r="M79" s="40"/>
      <c r="N79" s="41"/>
      <c r="O79" s="41"/>
      <c r="P79" s="41"/>
      <c r="Q79" s="41"/>
      <c r="R79" s="41"/>
      <c r="S79" s="39"/>
      <c r="T79" s="40"/>
      <c r="U79" s="41"/>
      <c r="V79" s="41"/>
      <c r="W79" s="41"/>
      <c r="X79" s="41"/>
      <c r="Y79" s="41"/>
      <c r="Z79" s="39"/>
      <c r="AA79" s="39"/>
      <c r="AB79" s="41"/>
      <c r="AC79" s="41"/>
      <c r="AD79" s="41"/>
      <c r="AE79" s="41"/>
      <c r="AF79" s="41"/>
      <c r="AG79" s="39"/>
      <c r="AH79" s="39"/>
      <c r="AI79" s="41"/>
      <c r="AJ79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79" s="42">
        <f ca="1">IF(Январь[[#This Row],[УСЛУГ]]&lt;&gt;"",Январь[[#This Row],[УСЛУГ]]*Январь[[#This Row],[Периодичность]],"")</f>
        <v>0</v>
      </c>
    </row>
    <row r="80" spans="1:37" x14ac:dyDescent="0.25">
      <c r="A80" s="35"/>
      <c r="B80" s="36"/>
      <c r="C80" s="37">
        <v>0</v>
      </c>
      <c r="D80" s="38">
        <v>2</v>
      </c>
      <c r="E80" s="39"/>
      <c r="F80" s="40"/>
      <c r="G80" s="41"/>
      <c r="H80" s="41"/>
      <c r="I80" s="41"/>
      <c r="J80" s="41"/>
      <c r="K80" s="41"/>
      <c r="L80" s="39"/>
      <c r="M80" s="40"/>
      <c r="N80" s="41"/>
      <c r="O80" s="41"/>
      <c r="P80" s="41"/>
      <c r="Q80" s="41"/>
      <c r="R80" s="41"/>
      <c r="S80" s="39"/>
      <c r="T80" s="40"/>
      <c r="U80" s="41"/>
      <c r="V80" s="41"/>
      <c r="W80" s="41"/>
      <c r="X80" s="41"/>
      <c r="Y80" s="41"/>
      <c r="Z80" s="39"/>
      <c r="AA80" s="39"/>
      <c r="AB80" s="41"/>
      <c r="AC80" s="41"/>
      <c r="AD80" s="41"/>
      <c r="AE80" s="41"/>
      <c r="AF80" s="41"/>
      <c r="AG80" s="39"/>
      <c r="AH80" s="39"/>
      <c r="AI80" s="41"/>
      <c r="AJ80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0" s="42" t="str">
        <f ca="1">IF(Январь[[#This Row],[УСЛУГ]]&lt;&gt;"",Январь[[#This Row],[УСЛУГ]]*Январь[[#This Row],[Периодичность]],"")</f>
        <v/>
      </c>
    </row>
    <row r="81" spans="1:37" x14ac:dyDescent="0.25">
      <c r="A81" s="35"/>
      <c r="B81" s="36"/>
      <c r="C81" s="37">
        <v>0</v>
      </c>
      <c r="D81" s="38">
        <v>3</v>
      </c>
      <c r="E81" s="39"/>
      <c r="F81" s="40"/>
      <c r="G81" s="41"/>
      <c r="H81" s="41"/>
      <c r="I81" s="41"/>
      <c r="J81" s="41"/>
      <c r="K81" s="41"/>
      <c r="L81" s="39"/>
      <c r="M81" s="40"/>
      <c r="N81" s="41"/>
      <c r="O81" s="41"/>
      <c r="P81" s="41"/>
      <c r="Q81" s="41"/>
      <c r="R81" s="41"/>
      <c r="S81" s="39"/>
      <c r="T81" s="40"/>
      <c r="U81" s="41"/>
      <c r="V81" s="41"/>
      <c r="W81" s="41"/>
      <c r="X81" s="41"/>
      <c r="Y81" s="41"/>
      <c r="Z81" s="39"/>
      <c r="AA81" s="39"/>
      <c r="AB81" s="41"/>
      <c r="AC81" s="41"/>
      <c r="AD81" s="41"/>
      <c r="AE81" s="41"/>
      <c r="AF81" s="41"/>
      <c r="AG81" s="39"/>
      <c r="AH81" s="39"/>
      <c r="AI81" s="41"/>
      <c r="AJ81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1" s="42" t="str">
        <f ca="1">IF(Январь[[#This Row],[УСЛУГ]]&lt;&gt;"",Январь[[#This Row],[УСЛУГ]]*Январь[[#This Row],[Периодичность]],"")</f>
        <v/>
      </c>
    </row>
    <row r="82" spans="1:37" ht="31.5" x14ac:dyDescent="0.25">
      <c r="A82" s="35" t="s">
        <v>20</v>
      </c>
      <c r="B82" s="36"/>
      <c r="C82" s="37">
        <v>0</v>
      </c>
      <c r="D82" s="38">
        <v>1</v>
      </c>
      <c r="E82" s="39"/>
      <c r="F82" s="40"/>
      <c r="G82" s="41"/>
      <c r="H82" s="41"/>
      <c r="I82" s="41"/>
      <c r="J82" s="41"/>
      <c r="K82" s="41"/>
      <c r="L82" s="39"/>
      <c r="M82" s="40"/>
      <c r="N82" s="41"/>
      <c r="O82" s="41"/>
      <c r="P82" s="41"/>
      <c r="Q82" s="41"/>
      <c r="R82" s="41"/>
      <c r="S82" s="39"/>
      <c r="T82" s="40"/>
      <c r="U82" s="41"/>
      <c r="V82" s="41"/>
      <c r="W82" s="41"/>
      <c r="X82" s="41"/>
      <c r="Y82" s="41"/>
      <c r="Z82" s="39"/>
      <c r="AA82" s="39"/>
      <c r="AB82" s="41"/>
      <c r="AC82" s="41"/>
      <c r="AD82" s="41"/>
      <c r="AE82" s="41"/>
      <c r="AF82" s="41"/>
      <c r="AG82" s="39"/>
      <c r="AH82" s="39"/>
      <c r="AI82" s="41"/>
      <c r="AJ82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82" s="42">
        <f ca="1">IF(Январь[[#This Row],[УСЛУГ]]&lt;&gt;"",Январь[[#This Row],[УСЛУГ]]*Январь[[#This Row],[Периодичность]],"")</f>
        <v>0</v>
      </c>
    </row>
    <row r="83" spans="1:37" x14ac:dyDescent="0.25">
      <c r="A83" s="35"/>
      <c r="B83" s="36"/>
      <c r="C83" s="37">
        <v>0</v>
      </c>
      <c r="D83" s="38">
        <v>2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3" s="42" t="str">
        <f ca="1">IF(Январь[[#This Row],[УСЛУГ]]&lt;&gt;"",Январь[[#This Row],[УСЛУГ]]*Январь[[#This Row],[Периодичность]],"")</f>
        <v/>
      </c>
    </row>
    <row r="84" spans="1:37" x14ac:dyDescent="0.25">
      <c r="A84" s="35"/>
      <c r="B84" s="36"/>
      <c r="C84" s="37">
        <v>0</v>
      </c>
      <c r="D84" s="38">
        <v>3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4" s="42" t="str">
        <f ca="1">IF(Январь[[#This Row],[УСЛУГ]]&lt;&gt;"",Январь[[#This Row],[УСЛУГ]]*Январь[[#This Row],[Периодичность]],"")</f>
        <v/>
      </c>
    </row>
    <row r="85" spans="1:37" ht="47.25" x14ac:dyDescent="0.25">
      <c r="A85" s="35" t="s">
        <v>144</v>
      </c>
      <c r="B85" s="36"/>
      <c r="C85" s="37">
        <v>0</v>
      </c>
      <c r="D85" s="38">
        <v>1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85" s="42">
        <f ca="1">IF(Январь[[#This Row],[УСЛУГ]]&lt;&gt;"",Январь[[#This Row],[УСЛУГ]]*Январь[[#This Row],[Периодичность]],"")</f>
        <v>0</v>
      </c>
    </row>
    <row r="86" spans="1:37" x14ac:dyDescent="0.25">
      <c r="A86" s="35"/>
      <c r="B86" s="36"/>
      <c r="C86" s="37">
        <v>0</v>
      </c>
      <c r="D86" s="38">
        <v>2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6" s="42" t="str">
        <f ca="1">IF(Январь[[#This Row],[УСЛУГ]]&lt;&gt;"",Январь[[#This Row],[УСЛУГ]]*Январь[[#This Row],[Периодичность]],"")</f>
        <v/>
      </c>
    </row>
    <row r="87" spans="1:37" x14ac:dyDescent="0.25">
      <c r="A87" s="35"/>
      <c r="B87" s="36"/>
      <c r="C87" s="37">
        <v>0</v>
      </c>
      <c r="D87" s="38">
        <v>3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7" s="42" t="str">
        <f ca="1">IF(Январь[[#This Row],[УСЛУГ]]&lt;&gt;"",Январь[[#This Row],[УСЛУГ]]*Январь[[#This Row],[Периодичность]],"")</f>
        <v/>
      </c>
    </row>
    <row r="88" spans="1:37" ht="47.25" x14ac:dyDescent="0.25">
      <c r="A88" s="35" t="s">
        <v>145</v>
      </c>
      <c r="B88" s="36"/>
      <c r="C88" s="37">
        <v>0</v>
      </c>
      <c r="D88" s="38">
        <v>1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88" s="42">
        <f ca="1">IF(Январь[[#This Row],[УСЛУГ]]&lt;&gt;"",Январь[[#This Row],[УСЛУГ]]*Январь[[#This Row],[Периодичность]],"")</f>
        <v>0</v>
      </c>
    </row>
    <row r="89" spans="1:37" x14ac:dyDescent="0.25">
      <c r="A89" s="35"/>
      <c r="B89" s="36"/>
      <c r="C89" s="37">
        <v>0</v>
      </c>
      <c r="D89" s="38">
        <v>2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89" s="42" t="str">
        <f ca="1">IF(Январь[[#This Row],[УСЛУГ]]&lt;&gt;"",Январь[[#This Row],[УСЛУГ]]*Январь[[#This Row],[Периодичность]],"")</f>
        <v/>
      </c>
    </row>
    <row r="90" spans="1:37" x14ac:dyDescent="0.25">
      <c r="A90" s="35"/>
      <c r="B90" s="36"/>
      <c r="C90" s="37">
        <v>0</v>
      </c>
      <c r="D90" s="38">
        <v>3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0" s="42" t="str">
        <f ca="1">IF(Январь[[#This Row],[УСЛУГ]]&lt;&gt;"",Январь[[#This Row],[УСЛУГ]]*Январь[[#This Row],[Периодичность]],"")</f>
        <v/>
      </c>
    </row>
    <row r="91" spans="1:37" ht="31.5" x14ac:dyDescent="0.25">
      <c r="A91" s="35" t="s">
        <v>23</v>
      </c>
      <c r="B91" s="36"/>
      <c r="C91" s="37">
        <v>0</v>
      </c>
      <c r="D91" s="38">
        <v>1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91" s="42">
        <f ca="1">IF(Январь[[#This Row],[УСЛУГ]]&lt;&gt;"",Январь[[#This Row],[УСЛУГ]]*Январь[[#This Row],[Периодичность]],"")</f>
        <v>0</v>
      </c>
    </row>
    <row r="92" spans="1:37" x14ac:dyDescent="0.25">
      <c r="A92" s="35"/>
      <c r="B92" s="36"/>
      <c r="C92" s="37">
        <v>0</v>
      </c>
      <c r="D92" s="38">
        <v>2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2" s="42" t="str">
        <f ca="1">IF(Январь[[#This Row],[УСЛУГ]]&lt;&gt;"",Январь[[#This Row],[УСЛУГ]]*Январь[[#This Row],[Периодичность]],"")</f>
        <v/>
      </c>
    </row>
    <row r="93" spans="1:37" x14ac:dyDescent="0.25">
      <c r="A93" s="35"/>
      <c r="B93" s="36"/>
      <c r="C93" s="37">
        <v>0</v>
      </c>
      <c r="D93" s="38">
        <v>3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3" s="42" t="str">
        <f ca="1">IF(Январь[[#This Row],[УСЛУГ]]&lt;&gt;"",Январь[[#This Row],[УСЛУГ]]*Январь[[#This Row],[Периодичность]],"")</f>
        <v/>
      </c>
    </row>
    <row r="94" spans="1:37" ht="31.5" x14ac:dyDescent="0.25">
      <c r="A94" s="35" t="s">
        <v>24</v>
      </c>
      <c r="B94" s="36"/>
      <c r="C94" s="37">
        <v>0</v>
      </c>
      <c r="D94" s="38">
        <v>1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94" s="42">
        <f ca="1">IF(Январь[[#This Row],[УСЛУГ]]&lt;&gt;"",Январь[[#This Row],[УСЛУГ]]*Январь[[#This Row],[Периодичность]],"")</f>
        <v>0</v>
      </c>
    </row>
    <row r="95" spans="1:37" x14ac:dyDescent="0.25">
      <c r="A95" s="35"/>
      <c r="B95" s="36"/>
      <c r="C95" s="37">
        <v>0</v>
      </c>
      <c r="D95" s="38">
        <v>2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5" s="42" t="str">
        <f ca="1">IF(Январь[[#This Row],[УСЛУГ]]&lt;&gt;"",Январь[[#This Row],[УСЛУГ]]*Январь[[#This Row],[Периодичность]],"")</f>
        <v/>
      </c>
    </row>
    <row r="96" spans="1:37" x14ac:dyDescent="0.25">
      <c r="A96" s="35"/>
      <c r="B96" s="36"/>
      <c r="C96" s="37">
        <v>0</v>
      </c>
      <c r="D96" s="38">
        <v>3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6" s="42" t="str">
        <f ca="1">IF(Январь[[#This Row],[УСЛУГ]]&lt;&gt;"",Январь[[#This Row],[УСЛУГ]]*Январь[[#This Row],[Периодичность]],"")</f>
        <v/>
      </c>
    </row>
    <row r="97" spans="1:37" ht="31.5" x14ac:dyDescent="0.25">
      <c r="A97" s="35" t="s">
        <v>25</v>
      </c>
      <c r="B97" s="36"/>
      <c r="C97" s="37">
        <v>0</v>
      </c>
      <c r="D97" s="38">
        <v>1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97" s="42">
        <f ca="1">IF(Январь[[#This Row],[УСЛУГ]]&lt;&gt;"",Январь[[#This Row],[УСЛУГ]]*Январь[[#This Row],[Периодичность]],"")</f>
        <v>0</v>
      </c>
    </row>
    <row r="98" spans="1:37" x14ac:dyDescent="0.25">
      <c r="A98" s="35"/>
      <c r="B98" s="36"/>
      <c r="C98" s="37">
        <v>0</v>
      </c>
      <c r="D98" s="38">
        <v>2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8" s="42" t="str">
        <f ca="1">IF(Январь[[#This Row],[УСЛУГ]]&lt;&gt;"",Январь[[#This Row],[УСЛУГ]]*Январь[[#This Row],[Периодичность]],"")</f>
        <v/>
      </c>
    </row>
    <row r="99" spans="1:37" x14ac:dyDescent="0.25">
      <c r="A99" s="35"/>
      <c r="B99" s="36"/>
      <c r="C99" s="37">
        <v>0</v>
      </c>
      <c r="D99" s="38">
        <v>3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99" s="42" t="str">
        <f ca="1">IF(Январь[[#This Row],[УСЛУГ]]&lt;&gt;"",Январь[[#This Row],[УСЛУГ]]*Январь[[#This Row],[Периодичность]],"")</f>
        <v/>
      </c>
    </row>
    <row r="100" spans="1:37" ht="47.25" x14ac:dyDescent="0.25">
      <c r="A100" s="35" t="s">
        <v>26</v>
      </c>
      <c r="B100" s="36"/>
      <c r="C100" s="37">
        <v>0</v>
      </c>
      <c r="D100" s="38">
        <v>1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00" s="42">
        <f ca="1">IF(Январь[[#This Row],[УСЛУГ]]&lt;&gt;"",Январь[[#This Row],[УСЛУГ]]*Январь[[#This Row],[Периодичность]],"")</f>
        <v>0</v>
      </c>
    </row>
    <row r="101" spans="1:37" x14ac:dyDescent="0.25">
      <c r="A101" s="35"/>
      <c r="B101" s="36"/>
      <c r="C101" s="37">
        <v>0</v>
      </c>
      <c r="D101" s="38">
        <v>2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1" s="42" t="str">
        <f ca="1">IF(Январь[[#This Row],[УСЛУГ]]&lt;&gt;"",Январь[[#This Row],[УСЛУГ]]*Январь[[#This Row],[Периодичность]],"")</f>
        <v/>
      </c>
    </row>
    <row r="102" spans="1:37" x14ac:dyDescent="0.25">
      <c r="A102" s="35"/>
      <c r="B102" s="36"/>
      <c r="C102" s="37">
        <v>0</v>
      </c>
      <c r="D102" s="38">
        <v>3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2" s="42" t="str">
        <f ca="1">IF(Январь[[#This Row],[УСЛУГ]]&lt;&gt;"",Январь[[#This Row],[УСЛУГ]]*Январь[[#This Row],[Периодичность]],"")</f>
        <v/>
      </c>
    </row>
    <row r="103" spans="1:37" ht="31.5" x14ac:dyDescent="0.25">
      <c r="A103" s="35" t="s">
        <v>27</v>
      </c>
      <c r="B103" s="36"/>
      <c r="C103" s="37">
        <v>0</v>
      </c>
      <c r="D103" s="38">
        <v>1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03" s="42">
        <f ca="1">IF(Январь[[#This Row],[УСЛУГ]]&lt;&gt;"",Январь[[#This Row],[УСЛУГ]]*Январь[[#This Row],[Периодичность]],"")</f>
        <v>0</v>
      </c>
    </row>
    <row r="104" spans="1:37" x14ac:dyDescent="0.25">
      <c r="A104" s="35"/>
      <c r="B104" s="36"/>
      <c r="C104" s="37">
        <v>0</v>
      </c>
      <c r="D104" s="38">
        <v>2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4" s="42" t="str">
        <f ca="1">IF(Январь[[#This Row],[УСЛУГ]]&lt;&gt;"",Январь[[#This Row],[УСЛУГ]]*Январь[[#This Row],[Периодичность]],"")</f>
        <v/>
      </c>
    </row>
    <row r="105" spans="1:37" x14ac:dyDescent="0.25">
      <c r="A105" s="35"/>
      <c r="B105" s="36"/>
      <c r="C105" s="37">
        <v>0</v>
      </c>
      <c r="D105" s="38">
        <v>3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5" s="42" t="str">
        <f ca="1">IF(Январь[[#This Row],[УСЛУГ]]&lt;&gt;"",Январь[[#This Row],[УСЛУГ]]*Январь[[#This Row],[Периодичность]],"")</f>
        <v/>
      </c>
    </row>
    <row r="106" spans="1:37" ht="47.25" x14ac:dyDescent="0.25">
      <c r="A106" s="35" t="s">
        <v>28</v>
      </c>
      <c r="B106" s="36"/>
      <c r="C106" s="37">
        <v>0</v>
      </c>
      <c r="D106" s="38">
        <v>1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06" s="42">
        <f ca="1">IF(Январь[[#This Row],[УСЛУГ]]&lt;&gt;"",Январь[[#This Row],[УСЛУГ]]*Январь[[#This Row],[Периодичность]],"")</f>
        <v>0</v>
      </c>
    </row>
    <row r="107" spans="1:37" x14ac:dyDescent="0.25">
      <c r="A107" s="35"/>
      <c r="B107" s="36"/>
      <c r="C107" s="37">
        <v>0</v>
      </c>
      <c r="D107" s="38">
        <v>2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7" s="42" t="str">
        <f ca="1">IF(Январь[[#This Row],[УСЛУГ]]&lt;&gt;"",Январь[[#This Row],[УСЛУГ]]*Январь[[#This Row],[Периодичность]],"")</f>
        <v/>
      </c>
    </row>
    <row r="108" spans="1:37" x14ac:dyDescent="0.25">
      <c r="A108" s="35"/>
      <c r="B108" s="36"/>
      <c r="C108" s="37">
        <v>0</v>
      </c>
      <c r="D108" s="38">
        <v>3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08" s="42" t="str">
        <f ca="1">IF(Январь[[#This Row],[УСЛУГ]]&lt;&gt;"",Январь[[#This Row],[УСЛУГ]]*Январь[[#This Row],[Периодичность]],"")</f>
        <v/>
      </c>
    </row>
    <row r="109" spans="1:37" ht="31.5" x14ac:dyDescent="0.25">
      <c r="A109" s="35" t="s">
        <v>29</v>
      </c>
      <c r="B109" s="36"/>
      <c r="C109" s="37">
        <v>0</v>
      </c>
      <c r="D109" s="38">
        <v>1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09" s="42">
        <f ca="1">IF(Январь[[#This Row],[УСЛУГ]]&lt;&gt;"",Январь[[#This Row],[УСЛУГ]]*Январь[[#This Row],[Периодичность]],"")</f>
        <v>0</v>
      </c>
    </row>
    <row r="110" spans="1:37" x14ac:dyDescent="0.25">
      <c r="A110" s="35"/>
      <c r="B110" s="36"/>
      <c r="C110" s="37">
        <v>0</v>
      </c>
      <c r="D110" s="38">
        <v>2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0" s="42" t="str">
        <f ca="1">IF(Январь[[#This Row],[УСЛУГ]]&lt;&gt;"",Январь[[#This Row],[УСЛУГ]]*Январь[[#This Row],[Периодичность]],"")</f>
        <v/>
      </c>
    </row>
    <row r="111" spans="1:37" x14ac:dyDescent="0.25">
      <c r="A111" s="35"/>
      <c r="B111" s="36"/>
      <c r="C111" s="37">
        <v>0</v>
      </c>
      <c r="D111" s="38">
        <v>3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1" s="42" t="str">
        <f ca="1">IF(Январь[[#This Row],[УСЛУГ]]&lt;&gt;"",Январь[[#This Row],[УСЛУГ]]*Январь[[#This Row],[Периодичность]],"")</f>
        <v/>
      </c>
    </row>
    <row r="112" spans="1:37" ht="47.25" x14ac:dyDescent="0.25">
      <c r="A112" s="35" t="s">
        <v>30</v>
      </c>
      <c r="B112" s="36"/>
      <c r="C112" s="37">
        <v>0</v>
      </c>
      <c r="D112" s="38">
        <v>1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12" s="42">
        <f ca="1">IF(Январь[[#This Row],[УСЛУГ]]&lt;&gt;"",Январь[[#This Row],[УСЛУГ]]*Январь[[#This Row],[Периодичность]],"")</f>
        <v>0</v>
      </c>
    </row>
    <row r="113" spans="1:37" x14ac:dyDescent="0.25">
      <c r="A113" s="35"/>
      <c r="B113" s="36"/>
      <c r="C113" s="37">
        <v>0</v>
      </c>
      <c r="D113" s="38">
        <v>2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3" s="42" t="str">
        <f ca="1">IF(Январь[[#This Row],[УСЛУГ]]&lt;&gt;"",Январь[[#This Row],[УСЛУГ]]*Январь[[#This Row],[Периодичность]],"")</f>
        <v/>
      </c>
    </row>
    <row r="114" spans="1:37" x14ac:dyDescent="0.25">
      <c r="A114" s="35"/>
      <c r="B114" s="36"/>
      <c r="C114" s="37">
        <v>0</v>
      </c>
      <c r="D114" s="38">
        <v>3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4" s="42" t="str">
        <f ca="1">IF(Январь[[#This Row],[УСЛУГ]]&lt;&gt;"",Январь[[#This Row],[УСЛУГ]]*Январь[[#This Row],[Периодичность]],"")</f>
        <v/>
      </c>
    </row>
    <row r="115" spans="1:37" ht="47.25" x14ac:dyDescent="0.25">
      <c r="A115" s="35" t="s">
        <v>77</v>
      </c>
      <c r="B115" s="36"/>
      <c r="C115" s="37">
        <v>0</v>
      </c>
      <c r="D115" s="38">
        <v>1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15" s="42">
        <f ca="1">IF(Январь[[#This Row],[УСЛУГ]]&lt;&gt;"",Январь[[#This Row],[УСЛУГ]]*Январь[[#This Row],[Периодичность]],"")</f>
        <v>0</v>
      </c>
    </row>
    <row r="116" spans="1:37" x14ac:dyDescent="0.25">
      <c r="A116" s="35"/>
      <c r="B116" s="36"/>
      <c r="C116" s="37">
        <v>0</v>
      </c>
      <c r="D116" s="38">
        <v>2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6" s="42" t="str">
        <f ca="1">IF(Январь[[#This Row],[УСЛУГ]]&lt;&gt;"",Январь[[#This Row],[УСЛУГ]]*Январь[[#This Row],[Периодичность]],"")</f>
        <v/>
      </c>
    </row>
    <row r="117" spans="1:37" x14ac:dyDescent="0.25">
      <c r="A117" s="35"/>
      <c r="B117" s="36"/>
      <c r="C117" s="37">
        <v>0</v>
      </c>
      <c r="D117" s="38">
        <v>3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7" s="42" t="str">
        <f ca="1">IF(Январь[[#This Row],[УСЛУГ]]&lt;&gt;"",Январь[[#This Row],[УСЛУГ]]*Январь[[#This Row],[Периодичность]],"")</f>
        <v/>
      </c>
    </row>
    <row r="118" spans="1:37" ht="63" x14ac:dyDescent="0.25">
      <c r="A118" s="35" t="s">
        <v>146</v>
      </c>
      <c r="B118" s="36"/>
      <c r="C118" s="37">
        <v>0</v>
      </c>
      <c r="D118" s="38">
        <v>1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18" s="42">
        <f ca="1">IF(Январь[[#This Row],[УСЛУГ]]&lt;&gt;"",Январь[[#This Row],[УСЛУГ]]*Январь[[#This Row],[Периодичность]],"")</f>
        <v>0</v>
      </c>
    </row>
    <row r="119" spans="1:37" x14ac:dyDescent="0.25">
      <c r="A119" s="35"/>
      <c r="B119" s="36"/>
      <c r="C119" s="37">
        <v>0</v>
      </c>
      <c r="D119" s="38">
        <v>2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19" s="42" t="str">
        <f ca="1">IF(Январь[[#This Row],[УСЛУГ]]&lt;&gt;"",Январь[[#This Row],[УСЛУГ]]*Январь[[#This Row],[Периодичность]],"")</f>
        <v/>
      </c>
    </row>
    <row r="120" spans="1:37" x14ac:dyDescent="0.25">
      <c r="A120" s="35"/>
      <c r="B120" s="36"/>
      <c r="C120" s="37">
        <v>0</v>
      </c>
      <c r="D120" s="38">
        <v>3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0" s="42" t="str">
        <f ca="1">IF(Январь[[#This Row],[УСЛУГ]]&lt;&gt;"",Январь[[#This Row],[УСЛУГ]]*Январь[[#This Row],[Периодичность]],"")</f>
        <v/>
      </c>
    </row>
    <row r="121" spans="1:37" ht="47.25" x14ac:dyDescent="0.25">
      <c r="A121" s="35" t="s">
        <v>76</v>
      </c>
      <c r="B121" s="36"/>
      <c r="C121" s="37">
        <v>0</v>
      </c>
      <c r="D121" s="38">
        <v>1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21" s="42">
        <f ca="1">IF(Январь[[#This Row],[УСЛУГ]]&lt;&gt;"",Январь[[#This Row],[УСЛУГ]]*Январь[[#This Row],[Периодичность]],"")</f>
        <v>0</v>
      </c>
    </row>
    <row r="122" spans="1:37" x14ac:dyDescent="0.25">
      <c r="A122" s="35"/>
      <c r="B122" s="36"/>
      <c r="C122" s="37">
        <v>0</v>
      </c>
      <c r="D122" s="38">
        <v>2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2" s="42" t="str">
        <f ca="1">IF(Январь[[#This Row],[УСЛУГ]]&lt;&gt;"",Январь[[#This Row],[УСЛУГ]]*Январь[[#This Row],[Периодичность]],"")</f>
        <v/>
      </c>
    </row>
    <row r="123" spans="1:37" x14ac:dyDescent="0.25">
      <c r="A123" s="35"/>
      <c r="B123" s="36"/>
      <c r="C123" s="37">
        <v>0</v>
      </c>
      <c r="D123" s="38">
        <v>3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3" s="42" t="str">
        <f ca="1">IF(Январь[[#This Row],[УСЛУГ]]&lt;&gt;"",Январь[[#This Row],[УСЛУГ]]*Январь[[#This Row],[Периодичность]],"")</f>
        <v/>
      </c>
    </row>
    <row r="124" spans="1:37" ht="47.25" x14ac:dyDescent="0.25">
      <c r="A124" s="35" t="s">
        <v>147</v>
      </c>
      <c r="B124" s="36"/>
      <c r="C124" s="37">
        <v>0</v>
      </c>
      <c r="D124" s="38">
        <v>1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24" s="42">
        <f ca="1">IF(Январь[[#This Row],[УСЛУГ]]&lt;&gt;"",Январь[[#This Row],[УСЛУГ]]*Январь[[#This Row],[Периодичность]],"")</f>
        <v>0</v>
      </c>
    </row>
    <row r="125" spans="1:37" x14ac:dyDescent="0.25">
      <c r="A125" s="35"/>
      <c r="B125" s="36"/>
      <c r="C125" s="37">
        <v>0</v>
      </c>
      <c r="D125" s="38">
        <v>2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5" s="42" t="str">
        <f ca="1">IF(Январь[[#This Row],[УСЛУГ]]&lt;&gt;"",Январь[[#This Row],[УСЛУГ]]*Январь[[#This Row],[Периодичность]],"")</f>
        <v/>
      </c>
    </row>
    <row r="126" spans="1:37" x14ac:dyDescent="0.25">
      <c r="A126" s="35"/>
      <c r="B126" s="36"/>
      <c r="C126" s="37">
        <v>0</v>
      </c>
      <c r="D126" s="38">
        <v>3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6" s="42" t="str">
        <f ca="1">IF(Январь[[#This Row],[УСЛУГ]]&lt;&gt;"",Январь[[#This Row],[УСЛУГ]]*Январь[[#This Row],[Периодичность]],"")</f>
        <v/>
      </c>
    </row>
    <row r="127" spans="1:37" ht="47.25" x14ac:dyDescent="0.25">
      <c r="A127" s="35" t="s">
        <v>148</v>
      </c>
      <c r="B127" s="36"/>
      <c r="C127" s="37">
        <v>0</v>
      </c>
      <c r="D127" s="38">
        <v>1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27" s="42">
        <f ca="1">IF(Январь[[#This Row],[УСЛУГ]]&lt;&gt;"",Январь[[#This Row],[УСЛУГ]]*Январь[[#This Row],[Периодичность]],"")</f>
        <v>0</v>
      </c>
    </row>
    <row r="128" spans="1:37" x14ac:dyDescent="0.25">
      <c r="A128" s="35"/>
      <c r="B128" s="36"/>
      <c r="C128" s="37">
        <v>0</v>
      </c>
      <c r="D128" s="38">
        <v>2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8" s="42" t="str">
        <f ca="1">IF(Январь[[#This Row],[УСЛУГ]]&lt;&gt;"",Январь[[#This Row],[УСЛУГ]]*Январь[[#This Row],[Периодичность]],"")</f>
        <v/>
      </c>
    </row>
    <row r="129" spans="1:37" x14ac:dyDescent="0.25">
      <c r="A129" s="35"/>
      <c r="B129" s="36"/>
      <c r="C129" s="37">
        <v>0</v>
      </c>
      <c r="D129" s="38">
        <v>3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29" s="42" t="str">
        <f ca="1">IF(Январь[[#This Row],[УСЛУГ]]&lt;&gt;"",Январь[[#This Row],[УСЛУГ]]*Январь[[#This Row],[Периодичность]],"")</f>
        <v/>
      </c>
    </row>
    <row r="130" spans="1:37" ht="31.5" x14ac:dyDescent="0.25">
      <c r="A130" s="35" t="s">
        <v>36</v>
      </c>
      <c r="B130" s="36"/>
      <c r="C130" s="37">
        <v>0</v>
      </c>
      <c r="D130" s="38">
        <v>1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30" s="42">
        <f ca="1">IF(Январь[[#This Row],[УСЛУГ]]&lt;&gt;"",Январь[[#This Row],[УСЛУГ]]*Январь[[#This Row],[Периодичность]],"")</f>
        <v>0</v>
      </c>
    </row>
    <row r="131" spans="1:37" x14ac:dyDescent="0.25">
      <c r="A131" s="35"/>
      <c r="B131" s="36"/>
      <c r="C131" s="37">
        <v>0</v>
      </c>
      <c r="D131" s="38">
        <v>2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1" s="42" t="str">
        <f ca="1">IF(Январь[[#This Row],[УСЛУГ]]&lt;&gt;"",Январь[[#This Row],[УСЛУГ]]*Январь[[#This Row],[Периодичность]],"")</f>
        <v/>
      </c>
    </row>
    <row r="132" spans="1:37" x14ac:dyDescent="0.25">
      <c r="A132" s="35"/>
      <c r="B132" s="36"/>
      <c r="C132" s="37">
        <v>0</v>
      </c>
      <c r="D132" s="38">
        <v>3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2" s="42" t="str">
        <f ca="1">IF(Январь[[#This Row],[УСЛУГ]]&lt;&gt;"",Январь[[#This Row],[УСЛУГ]]*Январь[[#This Row],[Периодичность]],"")</f>
        <v/>
      </c>
    </row>
    <row r="133" spans="1:37" ht="31.5" x14ac:dyDescent="0.25">
      <c r="A133" s="35" t="s">
        <v>37</v>
      </c>
      <c r="B133" s="36"/>
      <c r="C133" s="37">
        <v>0</v>
      </c>
      <c r="D133" s="38">
        <v>1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33" s="42">
        <f ca="1">IF(Январь[[#This Row],[УСЛУГ]]&lt;&gt;"",Январь[[#This Row],[УСЛУГ]]*Январь[[#This Row],[Периодичность]],"")</f>
        <v>0</v>
      </c>
    </row>
    <row r="134" spans="1:37" x14ac:dyDescent="0.25">
      <c r="A134" s="35"/>
      <c r="B134" s="36"/>
      <c r="C134" s="37">
        <v>0</v>
      </c>
      <c r="D134" s="38">
        <v>2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4" s="42" t="str">
        <f ca="1">IF(Январь[[#This Row],[УСЛУГ]]&lt;&gt;"",Январь[[#This Row],[УСЛУГ]]*Январь[[#This Row],[Периодичность]],"")</f>
        <v/>
      </c>
    </row>
    <row r="135" spans="1:37" x14ac:dyDescent="0.25">
      <c r="A135" s="35"/>
      <c r="B135" s="36"/>
      <c r="C135" s="37">
        <v>0</v>
      </c>
      <c r="D135" s="38">
        <v>3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5" s="42" t="str">
        <f ca="1">IF(Январь[[#This Row],[УСЛУГ]]&lt;&gt;"",Январь[[#This Row],[УСЛУГ]]*Январь[[#This Row],[Периодичность]],"")</f>
        <v/>
      </c>
    </row>
    <row r="136" spans="1:37" x14ac:dyDescent="0.25">
      <c r="A136" s="35" t="s">
        <v>38</v>
      </c>
      <c r="B136" s="36"/>
      <c r="C136" s="37">
        <v>0</v>
      </c>
      <c r="D136" s="38">
        <v>1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36" s="42">
        <f ca="1">IF(Январь[[#This Row],[УСЛУГ]]&lt;&gt;"",Январь[[#This Row],[УСЛУГ]]*Январь[[#This Row],[Периодичность]],"")</f>
        <v>0</v>
      </c>
    </row>
    <row r="137" spans="1:37" x14ac:dyDescent="0.25">
      <c r="A137" s="35"/>
      <c r="B137" s="36"/>
      <c r="C137" s="37">
        <v>0</v>
      </c>
      <c r="D137" s="38">
        <v>2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7" s="42" t="str">
        <f ca="1">IF(Январь[[#This Row],[УСЛУГ]]&lt;&gt;"",Январь[[#This Row],[УСЛУГ]]*Январь[[#This Row],[Периодичность]],"")</f>
        <v/>
      </c>
    </row>
    <row r="138" spans="1:37" x14ac:dyDescent="0.25">
      <c r="A138" s="35"/>
      <c r="B138" s="36"/>
      <c r="C138" s="37">
        <v>0</v>
      </c>
      <c r="D138" s="38">
        <v>3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38" s="42" t="str">
        <f ca="1">IF(Январь[[#This Row],[УСЛУГ]]&lt;&gt;"",Январь[[#This Row],[УСЛУГ]]*Январь[[#This Row],[Периодичность]],"")</f>
        <v/>
      </c>
    </row>
    <row r="139" spans="1:37" ht="31.5" x14ac:dyDescent="0.25">
      <c r="A139" s="35" t="s">
        <v>39</v>
      </c>
      <c r="B139" s="36"/>
      <c r="C139" s="37">
        <v>0</v>
      </c>
      <c r="D139" s="38">
        <v>1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39" s="42">
        <f ca="1">IF(Январь[[#This Row],[УСЛУГ]]&lt;&gt;"",Январь[[#This Row],[УСЛУГ]]*Январь[[#This Row],[Периодичность]],"")</f>
        <v>0</v>
      </c>
    </row>
    <row r="140" spans="1:37" x14ac:dyDescent="0.25">
      <c r="A140" s="35"/>
      <c r="B140" s="36"/>
      <c r="C140" s="37">
        <v>0</v>
      </c>
      <c r="D140" s="38">
        <v>2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0" s="42" t="str">
        <f ca="1">IF(Январь[[#This Row],[УСЛУГ]]&lt;&gt;"",Январь[[#This Row],[УСЛУГ]]*Январь[[#This Row],[Периодичность]],"")</f>
        <v/>
      </c>
    </row>
    <row r="141" spans="1:37" x14ac:dyDescent="0.25">
      <c r="A141" s="35"/>
      <c r="B141" s="36"/>
      <c r="C141" s="37">
        <v>0</v>
      </c>
      <c r="D141" s="38">
        <v>3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1" s="42" t="str">
        <f ca="1">IF(Январь[[#This Row],[УСЛУГ]]&lt;&gt;"",Январь[[#This Row],[УСЛУГ]]*Январь[[#This Row],[Периодичность]],"")</f>
        <v/>
      </c>
    </row>
    <row r="142" spans="1:37" ht="47.25" x14ac:dyDescent="0.25">
      <c r="A142" s="35" t="s">
        <v>149</v>
      </c>
      <c r="B142" s="36"/>
      <c r="C142" s="37">
        <v>0</v>
      </c>
      <c r="D142" s="38">
        <v>1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42" s="42">
        <f ca="1">IF(Январь[[#This Row],[УСЛУГ]]&lt;&gt;"",Январь[[#This Row],[УСЛУГ]]*Январь[[#This Row],[Периодичность]],"")</f>
        <v>0</v>
      </c>
    </row>
    <row r="143" spans="1:37" x14ac:dyDescent="0.25">
      <c r="A143" s="35"/>
      <c r="B143" s="36"/>
      <c r="C143" s="37">
        <v>0</v>
      </c>
      <c r="D143" s="38">
        <v>2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3" s="42" t="str">
        <f ca="1">IF(Январь[[#This Row],[УСЛУГ]]&lt;&gt;"",Январь[[#This Row],[УСЛУГ]]*Январь[[#This Row],[Периодичность]],"")</f>
        <v/>
      </c>
    </row>
    <row r="144" spans="1:37" x14ac:dyDescent="0.25">
      <c r="A144" s="35"/>
      <c r="B144" s="36"/>
      <c r="C144" s="37">
        <v>0</v>
      </c>
      <c r="D144" s="38">
        <v>3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4" s="42" t="str">
        <f ca="1">IF(Январь[[#This Row],[УСЛУГ]]&lt;&gt;"",Январь[[#This Row],[УСЛУГ]]*Январь[[#This Row],[Периодичность]],"")</f>
        <v/>
      </c>
    </row>
    <row r="145" spans="1:37" ht="47.25" x14ac:dyDescent="0.25">
      <c r="A145" s="35" t="s">
        <v>150</v>
      </c>
      <c r="B145" s="36"/>
      <c r="C145" s="37">
        <v>0</v>
      </c>
      <c r="D145" s="38">
        <v>1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45" s="42">
        <f ca="1">IF(Январь[[#This Row],[УСЛУГ]]&lt;&gt;"",Январь[[#This Row],[УСЛУГ]]*Январь[[#This Row],[Периодичность]],"")</f>
        <v>0</v>
      </c>
    </row>
    <row r="146" spans="1:37" x14ac:dyDescent="0.25">
      <c r="A146" s="35"/>
      <c r="B146" s="36"/>
      <c r="C146" s="37">
        <v>0</v>
      </c>
      <c r="D146" s="38">
        <v>2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6" s="42" t="str">
        <f ca="1">IF(Январь[[#This Row],[УСЛУГ]]&lt;&gt;"",Январь[[#This Row],[УСЛУГ]]*Январь[[#This Row],[Периодичность]],"")</f>
        <v/>
      </c>
    </row>
    <row r="147" spans="1:37" x14ac:dyDescent="0.25">
      <c r="A147" s="35"/>
      <c r="B147" s="36"/>
      <c r="C147" s="37">
        <v>0</v>
      </c>
      <c r="D147" s="38">
        <v>3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7" s="42" t="str">
        <f ca="1">IF(Январь[[#This Row],[УСЛУГ]]&lt;&gt;"",Январь[[#This Row],[УСЛУГ]]*Январь[[#This Row],[Периодичность]],"")</f>
        <v/>
      </c>
    </row>
    <row r="148" spans="1:37" ht="47.25" x14ac:dyDescent="0.25">
      <c r="A148" s="35" t="s">
        <v>151</v>
      </c>
      <c r="B148" s="36"/>
      <c r="C148" s="37">
        <v>0</v>
      </c>
      <c r="D148" s="38">
        <v>1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48" s="42">
        <f ca="1">IF(Январь[[#This Row],[УСЛУГ]]&lt;&gt;"",Январь[[#This Row],[УСЛУГ]]*Январь[[#This Row],[Периодичность]],"")</f>
        <v>0</v>
      </c>
    </row>
    <row r="149" spans="1:37" x14ac:dyDescent="0.25">
      <c r="A149" s="35"/>
      <c r="B149" s="36"/>
      <c r="C149" s="37">
        <v>0</v>
      </c>
      <c r="D149" s="38">
        <v>2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49" s="42" t="str">
        <f ca="1">IF(Январь[[#This Row],[УСЛУГ]]&lt;&gt;"",Январь[[#This Row],[УСЛУГ]]*Январь[[#This Row],[Периодичность]],"")</f>
        <v/>
      </c>
    </row>
    <row r="150" spans="1:37" x14ac:dyDescent="0.25">
      <c r="A150" s="35"/>
      <c r="B150" s="36"/>
      <c r="C150" s="37">
        <v>0</v>
      </c>
      <c r="D150" s="38">
        <v>3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0" s="42" t="str">
        <f ca="1">IF(Январь[[#This Row],[УСЛУГ]]&lt;&gt;"",Январь[[#This Row],[УСЛУГ]]*Январь[[#This Row],[Периодичность]],"")</f>
        <v/>
      </c>
    </row>
    <row r="151" spans="1:37" ht="47.25" x14ac:dyDescent="0.25">
      <c r="A151" s="35" t="s">
        <v>75</v>
      </c>
      <c r="B151" s="36"/>
      <c r="C151" s="37">
        <v>0</v>
      </c>
      <c r="D151" s="38">
        <v>1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51" s="42">
        <f ca="1">IF(Январь[[#This Row],[УСЛУГ]]&lt;&gt;"",Январь[[#This Row],[УСЛУГ]]*Январь[[#This Row],[Периодичность]],"")</f>
        <v>0</v>
      </c>
    </row>
    <row r="152" spans="1:37" x14ac:dyDescent="0.25">
      <c r="A152" s="35"/>
      <c r="B152" s="36"/>
      <c r="C152" s="37">
        <v>0</v>
      </c>
      <c r="D152" s="38">
        <v>2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2" s="42" t="str">
        <f ca="1">IF(Январь[[#This Row],[УСЛУГ]]&lt;&gt;"",Январь[[#This Row],[УСЛУГ]]*Январь[[#This Row],[Периодичность]],"")</f>
        <v/>
      </c>
    </row>
    <row r="153" spans="1:37" x14ac:dyDescent="0.25">
      <c r="A153" s="35"/>
      <c r="B153" s="36"/>
      <c r="C153" s="37">
        <v>0</v>
      </c>
      <c r="D153" s="38">
        <v>3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3" s="42" t="str">
        <f ca="1">IF(Январь[[#This Row],[УСЛУГ]]&lt;&gt;"",Январь[[#This Row],[УСЛУГ]]*Январь[[#This Row],[Периодичность]],"")</f>
        <v/>
      </c>
    </row>
    <row r="154" spans="1:37" ht="47.25" x14ac:dyDescent="0.25">
      <c r="A154" s="35" t="s">
        <v>74</v>
      </c>
      <c r="B154" s="36"/>
      <c r="C154" s="37">
        <v>0</v>
      </c>
      <c r="D154" s="38">
        <v>1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54" s="42">
        <f ca="1">IF(Январь[[#This Row],[УСЛУГ]]&lt;&gt;"",Январь[[#This Row],[УСЛУГ]]*Январь[[#This Row],[Периодичность]],"")</f>
        <v>0</v>
      </c>
    </row>
    <row r="155" spans="1:37" x14ac:dyDescent="0.25">
      <c r="A155" s="35"/>
      <c r="B155" s="36"/>
      <c r="C155" s="37">
        <v>0</v>
      </c>
      <c r="D155" s="38">
        <v>2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5" s="42" t="str">
        <f ca="1">IF(Январь[[#This Row],[УСЛУГ]]&lt;&gt;"",Январь[[#This Row],[УСЛУГ]]*Январь[[#This Row],[Периодичность]],"")</f>
        <v/>
      </c>
    </row>
    <row r="156" spans="1:37" x14ac:dyDescent="0.25">
      <c r="A156" s="35"/>
      <c r="B156" s="36"/>
      <c r="C156" s="37">
        <v>0</v>
      </c>
      <c r="D156" s="38">
        <v>3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6" s="42" t="str">
        <f ca="1">IF(Январь[[#This Row],[УСЛУГ]]&lt;&gt;"",Январь[[#This Row],[УСЛУГ]]*Январь[[#This Row],[Периодичность]],"")</f>
        <v/>
      </c>
    </row>
    <row r="157" spans="1:37" ht="47.25" x14ac:dyDescent="0.25">
      <c r="A157" s="35" t="s">
        <v>152</v>
      </c>
      <c r="B157" s="36"/>
      <c r="C157" s="37">
        <v>0</v>
      </c>
      <c r="D157" s="38">
        <v>1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57" s="42">
        <f ca="1">IF(Январь[[#This Row],[УСЛУГ]]&lt;&gt;"",Январь[[#This Row],[УСЛУГ]]*Январь[[#This Row],[Периодичность]],"")</f>
        <v>0</v>
      </c>
    </row>
    <row r="158" spans="1:37" x14ac:dyDescent="0.25">
      <c r="A158" s="35"/>
      <c r="B158" s="36"/>
      <c r="C158" s="37">
        <v>0</v>
      </c>
      <c r="D158" s="38">
        <v>2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8" s="42" t="str">
        <f ca="1">IF(Январь[[#This Row],[УСЛУГ]]&lt;&gt;"",Январь[[#This Row],[УСЛУГ]]*Январь[[#This Row],[Периодичность]],"")</f>
        <v/>
      </c>
    </row>
    <row r="159" spans="1:37" x14ac:dyDescent="0.25">
      <c r="A159" s="35"/>
      <c r="B159" s="36"/>
      <c r="C159" s="37">
        <v>0</v>
      </c>
      <c r="D159" s="38">
        <v>3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59" s="42" t="str">
        <f ca="1">IF(Январь[[#This Row],[УСЛУГ]]&lt;&gt;"",Январь[[#This Row],[УСЛУГ]]*Январь[[#This Row],[Периодичность]],"")</f>
        <v/>
      </c>
    </row>
    <row r="160" spans="1:37" ht="47.25" x14ac:dyDescent="0.25">
      <c r="A160" s="35" t="s">
        <v>153</v>
      </c>
      <c r="B160" s="36"/>
      <c r="C160" s="37">
        <v>0</v>
      </c>
      <c r="D160" s="38">
        <v>1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60" s="42">
        <f ca="1">IF(Январь[[#This Row],[УСЛУГ]]&lt;&gt;"",Январь[[#This Row],[УСЛУГ]]*Январь[[#This Row],[Периодичность]],"")</f>
        <v>0</v>
      </c>
    </row>
    <row r="161" spans="1:37" x14ac:dyDescent="0.25">
      <c r="A161" s="35"/>
      <c r="B161" s="36"/>
      <c r="C161" s="37">
        <v>0</v>
      </c>
      <c r="D161" s="38">
        <v>2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1" s="42" t="str">
        <f ca="1">IF(Январь[[#This Row],[УСЛУГ]]&lt;&gt;"",Январь[[#This Row],[УСЛУГ]]*Январь[[#This Row],[Периодичность]],"")</f>
        <v/>
      </c>
    </row>
    <row r="162" spans="1:37" x14ac:dyDescent="0.25">
      <c r="A162" s="35"/>
      <c r="B162" s="36"/>
      <c r="C162" s="37">
        <v>0</v>
      </c>
      <c r="D162" s="38">
        <v>3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2" s="42" t="str">
        <f ca="1">IF(Январь[[#This Row],[УСЛУГ]]&lt;&gt;"",Январь[[#This Row],[УСЛУГ]]*Январь[[#This Row],[Периодичность]],"")</f>
        <v/>
      </c>
    </row>
    <row r="163" spans="1:37" ht="47.25" x14ac:dyDescent="0.25">
      <c r="A163" s="35" t="s">
        <v>154</v>
      </c>
      <c r="B163" s="36"/>
      <c r="C163" s="37">
        <v>0</v>
      </c>
      <c r="D163" s="38">
        <v>1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63" s="42">
        <f ca="1">IF(Январь[[#This Row],[УСЛУГ]]&lt;&gt;"",Январь[[#This Row],[УСЛУГ]]*Январь[[#This Row],[Периодичность]],"")</f>
        <v>0</v>
      </c>
    </row>
    <row r="164" spans="1:37" x14ac:dyDescent="0.25">
      <c r="A164" s="35"/>
      <c r="B164" s="36"/>
      <c r="C164" s="37">
        <v>0</v>
      </c>
      <c r="D164" s="38">
        <v>2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4" s="42" t="str">
        <f ca="1">IF(Январь[[#This Row],[УСЛУГ]]&lt;&gt;"",Январь[[#This Row],[УСЛУГ]]*Январь[[#This Row],[Периодичность]],"")</f>
        <v/>
      </c>
    </row>
    <row r="165" spans="1:37" x14ac:dyDescent="0.25">
      <c r="A165" s="35"/>
      <c r="B165" s="36"/>
      <c r="C165" s="37">
        <v>0</v>
      </c>
      <c r="D165" s="38">
        <v>3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5" s="42" t="str">
        <f ca="1">IF(Январь[[#This Row],[УСЛУГ]]&lt;&gt;"",Январь[[#This Row],[УСЛУГ]]*Январь[[#This Row],[Периодичность]],"")</f>
        <v/>
      </c>
    </row>
    <row r="166" spans="1:37" ht="47.25" x14ac:dyDescent="0.25">
      <c r="A166" s="35" t="s">
        <v>73</v>
      </c>
      <c r="B166" s="36"/>
      <c r="C166" s="37">
        <v>0</v>
      </c>
      <c r="D166" s="38">
        <v>1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66" s="42">
        <f ca="1">IF(Январь[[#This Row],[УСЛУГ]]&lt;&gt;"",Январь[[#This Row],[УСЛУГ]]*Январь[[#This Row],[Периодичность]],"")</f>
        <v>0</v>
      </c>
    </row>
    <row r="167" spans="1:37" x14ac:dyDescent="0.25">
      <c r="A167" s="35"/>
      <c r="B167" s="36"/>
      <c r="C167" s="37">
        <v>0</v>
      </c>
      <c r="D167" s="38">
        <v>2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7" s="42" t="str">
        <f ca="1">IF(Январь[[#This Row],[УСЛУГ]]&lt;&gt;"",Январь[[#This Row],[УСЛУГ]]*Январь[[#This Row],[Периодичность]],"")</f>
        <v/>
      </c>
    </row>
    <row r="168" spans="1:37" x14ac:dyDescent="0.25">
      <c r="A168" s="35"/>
      <c r="B168" s="36"/>
      <c r="C168" s="37">
        <v>0</v>
      </c>
      <c r="D168" s="38">
        <v>3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68" s="42" t="str">
        <f ca="1">IF(Январь[[#This Row],[УСЛУГ]]&lt;&gt;"",Январь[[#This Row],[УСЛУГ]]*Январь[[#This Row],[Периодичность]],"")</f>
        <v/>
      </c>
    </row>
    <row r="169" spans="1:37" ht="47.25" x14ac:dyDescent="0.25">
      <c r="A169" s="35" t="s">
        <v>155</v>
      </c>
      <c r="B169" s="36"/>
      <c r="C169" s="37">
        <v>0</v>
      </c>
      <c r="D169" s="38">
        <v>1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69" s="42">
        <f ca="1">IF(Январь[[#This Row],[УСЛУГ]]&lt;&gt;"",Январь[[#This Row],[УСЛУГ]]*Январь[[#This Row],[Периодичность]],"")</f>
        <v>0</v>
      </c>
    </row>
    <row r="170" spans="1:37" x14ac:dyDescent="0.25">
      <c r="A170" s="35"/>
      <c r="B170" s="36"/>
      <c r="C170" s="37">
        <v>0</v>
      </c>
      <c r="D170" s="38">
        <v>2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70" s="42" t="str">
        <f ca="1">IF(Январь[[#This Row],[УСЛУГ]]&lt;&gt;"",Январь[[#This Row],[УСЛУГ]]*Январь[[#This Row],[Периодичность]],"")</f>
        <v/>
      </c>
    </row>
    <row r="171" spans="1:37" x14ac:dyDescent="0.25">
      <c r="A171" s="35"/>
      <c r="B171" s="36"/>
      <c r="C171" s="37">
        <v>0</v>
      </c>
      <c r="D171" s="38">
        <v>3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71" s="42" t="str">
        <f ca="1">IF(Январь[[#This Row],[УСЛУГ]]&lt;&gt;"",Январь[[#This Row],[УСЛУГ]]*Январь[[#This Row],[Периодичность]],"")</f>
        <v/>
      </c>
    </row>
    <row r="172" spans="1:37" ht="47.25" x14ac:dyDescent="0.25">
      <c r="A172" s="35" t="s">
        <v>72</v>
      </c>
      <c r="B172" s="36"/>
      <c r="C172" s="37">
        <v>0</v>
      </c>
      <c r="D172" s="38">
        <v>1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>0</v>
      </c>
      <c r="AK172" s="42">
        <f ca="1">IF(Январь[[#This Row],[УСЛУГ]]&lt;&gt;"",Январь[[#This Row],[УСЛУГ]]*Январь[[#This Row],[Периодичность]],"")</f>
        <v>0</v>
      </c>
    </row>
    <row r="173" spans="1:37" x14ac:dyDescent="0.25">
      <c r="A173" s="35"/>
      <c r="B173" s="36"/>
      <c r="C173" s="37">
        <v>0</v>
      </c>
      <c r="D173" s="38">
        <v>2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73" s="42" t="str">
        <f ca="1">IF(Январь[[#This Row],[УСЛУГ]]&lt;&gt;"",Январь[[#This Row],[УСЛУГ]]*Январь[[#This Row],[Периодичность]],"")</f>
        <v/>
      </c>
    </row>
    <row r="174" spans="1:37" x14ac:dyDescent="0.25">
      <c r="A174" s="35"/>
      <c r="B174" s="36"/>
      <c r="C174" s="37">
        <v>0</v>
      </c>
      <c r="D174" s="38">
        <v>3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IF(OFFSET(Январь[[#This Row],[№]],1,)=2,IF(OFFSET(Январь[[#This Row],[№]],2,)=3,SUM(Январь[[#This Row],[1]:[31]])+SUM(OFFSET(Январь[[#This Row],[1]:[31]],1,))+SUM(OFFSET(Январь[[#This Row],[1]:[31]],2,)),SUM(Январь[[#This Row],[1]:[31]])+SUM(OFFSET(Январь[[#This Row],[1]:[31]],1,))),IF(OFFSET(Январь[[#This Row],[№]],2,)=3,SUM(Январь[[#This Row],[1]:[31]])+SUM(OFFSET(Январь[[#This Row],[1]:[31]],2,)),""))</f>
        <v/>
      </c>
      <c r="AK174" s="42" t="str">
        <f ca="1">IF(Январь[[#This Row],[УСЛУГ]]&lt;&gt;"",Январь[[#This Row],[УСЛУГ]]*Январь[[#This Row],[Периодичность]],"")</f>
        <v/>
      </c>
    </row>
  </sheetData>
  <mergeCells count="20">
    <mergeCell ref="A2:AJ2"/>
    <mergeCell ref="A3:AJ3"/>
    <mergeCell ref="J4:L4"/>
    <mergeCell ref="M4:U4"/>
    <mergeCell ref="M5:Q5"/>
    <mergeCell ref="AJ7:AJ11"/>
    <mergeCell ref="AK7:AK11"/>
    <mergeCell ref="E10:AI11"/>
    <mergeCell ref="A19:A23"/>
    <mergeCell ref="B19:C23"/>
    <mergeCell ref="D19:D23"/>
    <mergeCell ref="E19:AI20"/>
    <mergeCell ref="AJ19:AJ23"/>
    <mergeCell ref="AK19:AK23"/>
    <mergeCell ref="E22:AI23"/>
    <mergeCell ref="A7:A11"/>
    <mergeCell ref="B7:B11"/>
    <mergeCell ref="C7:C11"/>
    <mergeCell ref="D7:D11"/>
    <mergeCell ref="E7:AI8"/>
  </mergeCells>
  <conditionalFormatting sqref="E9:AI9">
    <cfRule type="expression" dxfId="1178" priority="2">
      <formula>WEEKDAY(E9:AI9,2)&gt;5</formula>
    </cfRule>
  </conditionalFormatting>
  <conditionalFormatting sqref="E21:AI21">
    <cfRule type="expression" dxfId="1177" priority="1">
      <formula>WEEKDAY(E21:AI21,2)&gt;5</formula>
    </cfRule>
  </conditionalFormatting>
  <dataValidations count="2">
    <dataValidation type="list" allowBlank="1" showInputMessage="1" showErrorMessage="1" sqref="D25:D174">
      <formula1>INDIRECT("Посещения")</formula1>
    </dataValidation>
    <dataValidation type="list" allowBlank="1" showInputMessage="1" showErrorMessage="1" sqref="A25:A174">
      <formula1>INDIRECT("Услуги[Кратко]")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Height="0" orientation="landscape" horizontalDpi="300" verticalDpi="300" r:id="rId1"/>
  <ignoredErrors>
    <ignoredError sqref="E13:E17 AI13:AK17 B13:B17" calculatedColumn="1"/>
  </ignoredError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74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9.5703125" style="3" bestFit="1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7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7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7" ht="18.75" x14ac:dyDescent="0.25">
      <c r="C5" s="17"/>
      <c r="L5" s="12" t="s">
        <v>69</v>
      </c>
      <c r="M5" s="68" t="s">
        <v>135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7" ht="18.75" x14ac:dyDescent="0.25">
      <c r="C6" s="17"/>
      <c r="L6" s="12"/>
      <c r="M6" s="22"/>
      <c r="N6" s="32"/>
      <c r="O6" s="32"/>
      <c r="P6" s="32"/>
      <c r="Q6" s="32"/>
      <c r="R6" s="22"/>
      <c r="S6" s="32"/>
      <c r="T6" s="14"/>
      <c r="U6" s="14"/>
    </row>
    <row r="7" spans="1:37" ht="26.25" customHeight="1" x14ac:dyDescent="0.25">
      <c r="A7" s="54"/>
      <c r="B7" s="62" t="s">
        <v>115</v>
      </c>
      <c r="C7" s="62" t="s">
        <v>114</v>
      </c>
      <c r="D7" s="63" t="s">
        <v>61</v>
      </c>
      <c r="E7" s="54" t="s">
        <v>55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1" t="s">
        <v>64</v>
      </c>
      <c r="AI7" s="44" t="s">
        <v>64</v>
      </c>
      <c r="AK7" s="4"/>
    </row>
    <row r="8" spans="1:37" ht="15.75" customHeight="1" x14ac:dyDescent="0.25">
      <c r="A8" s="54"/>
      <c r="B8" s="57"/>
      <c r="C8" s="57"/>
      <c r="D8" s="64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2"/>
      <c r="AI8" s="44"/>
      <c r="AK8" s="4"/>
    </row>
    <row r="9" spans="1:37" x14ac:dyDescent="0.25">
      <c r="A9" s="54"/>
      <c r="B9" s="57"/>
      <c r="C9" s="57"/>
      <c r="D9" s="64"/>
      <c r="E9" s="23">
        <f>Настройки!E8</f>
        <v>44958</v>
      </c>
      <c r="F9" s="23">
        <f>Настройки!F8</f>
        <v>44959</v>
      </c>
      <c r="G9" s="23">
        <f>Настройки!G8</f>
        <v>44960</v>
      </c>
      <c r="H9" s="23">
        <f>Настройки!H8</f>
        <v>44961</v>
      </c>
      <c r="I9" s="23">
        <f>Настройки!I8</f>
        <v>44962</v>
      </c>
      <c r="J9" s="23">
        <f>Настройки!J8</f>
        <v>44963</v>
      </c>
      <c r="K9" s="23">
        <f>Настройки!K8</f>
        <v>44964</v>
      </c>
      <c r="L9" s="23">
        <f>Настройки!L8</f>
        <v>44965</v>
      </c>
      <c r="M9" s="23">
        <f>Настройки!M8</f>
        <v>44966</v>
      </c>
      <c r="N9" s="23">
        <f>Настройки!N8</f>
        <v>44967</v>
      </c>
      <c r="O9" s="23">
        <f>Настройки!O8</f>
        <v>44968</v>
      </c>
      <c r="P9" s="23">
        <f>Настройки!P8</f>
        <v>44969</v>
      </c>
      <c r="Q9" s="23">
        <f>Настройки!Q8</f>
        <v>44970</v>
      </c>
      <c r="R9" s="23">
        <f>Настройки!R8</f>
        <v>44971</v>
      </c>
      <c r="S9" s="23">
        <f>Настройки!S8</f>
        <v>44972</v>
      </c>
      <c r="T9" s="23">
        <f>Настройки!T8</f>
        <v>44973</v>
      </c>
      <c r="U9" s="23">
        <f>Настройки!U8</f>
        <v>44974</v>
      </c>
      <c r="V9" s="23">
        <f>Настройки!V8</f>
        <v>44975</v>
      </c>
      <c r="W9" s="23">
        <f>Настройки!W8</f>
        <v>44976</v>
      </c>
      <c r="X9" s="23">
        <f>Настройки!X8</f>
        <v>44977</v>
      </c>
      <c r="Y9" s="23">
        <f>Настройки!Y8</f>
        <v>44978</v>
      </c>
      <c r="Z9" s="23">
        <f>Настройки!Z8</f>
        <v>44979</v>
      </c>
      <c r="AA9" s="23">
        <f>Настройки!AA8</f>
        <v>44980</v>
      </c>
      <c r="AB9" s="23">
        <f>Настройки!AB8</f>
        <v>44981</v>
      </c>
      <c r="AC9" s="23">
        <f>Настройки!AC8</f>
        <v>44982</v>
      </c>
      <c r="AD9" s="23">
        <f>Настройки!AD8</f>
        <v>44983</v>
      </c>
      <c r="AE9" s="23">
        <f>Настройки!AE8</f>
        <v>44984</v>
      </c>
      <c r="AF9" s="23">
        <f>Настройки!AF8</f>
        <v>44985</v>
      </c>
      <c r="AG9" s="23" t="str">
        <f>Настройки!AG8</f>
        <v/>
      </c>
      <c r="AH9" s="72"/>
      <c r="AI9" s="44"/>
      <c r="AK9" s="4"/>
    </row>
    <row r="10" spans="1:37" ht="15.75" customHeight="1" x14ac:dyDescent="0.25">
      <c r="A10" s="54"/>
      <c r="B10" s="57"/>
      <c r="C10" s="57"/>
      <c r="D10" s="64"/>
      <c r="E10" s="54" t="s">
        <v>54</v>
      </c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2"/>
      <c r="AI10" s="44"/>
      <c r="AK10" s="4"/>
    </row>
    <row r="11" spans="1:37" x14ac:dyDescent="0.25">
      <c r="A11" s="62"/>
      <c r="B11" s="57"/>
      <c r="C11" s="57"/>
      <c r="D11" s="64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3"/>
      <c r="AI11" s="44"/>
    </row>
    <row r="12" spans="1:37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15" t="s">
        <v>83</v>
      </c>
      <c r="F12" s="15" t="s">
        <v>84</v>
      </c>
      <c r="G12" s="15" t="s">
        <v>85</v>
      </c>
      <c r="H12" s="15" t="s">
        <v>86</v>
      </c>
      <c r="I12" s="15" t="s">
        <v>87</v>
      </c>
      <c r="J12" s="15" t="s">
        <v>88</v>
      </c>
      <c r="K12" s="15" t="s">
        <v>89</v>
      </c>
      <c r="L12" s="15" t="s">
        <v>90</v>
      </c>
      <c r="M12" s="15" t="s">
        <v>91</v>
      </c>
      <c r="N12" s="15" t="s">
        <v>92</v>
      </c>
      <c r="O12" s="15" t="s">
        <v>93</v>
      </c>
      <c r="P12" s="15" t="s">
        <v>94</v>
      </c>
      <c r="Q12" s="15" t="s">
        <v>95</v>
      </c>
      <c r="R12" s="15" t="s">
        <v>96</v>
      </c>
      <c r="S12" s="15" t="s">
        <v>97</v>
      </c>
      <c r="T12" s="15" t="s">
        <v>98</v>
      </c>
      <c r="U12" s="15" t="s">
        <v>99</v>
      </c>
      <c r="V12" s="15" t="s">
        <v>100</v>
      </c>
      <c r="W12" s="15" t="s">
        <v>101</v>
      </c>
      <c r="X12" s="15" t="s">
        <v>102</v>
      </c>
      <c r="Y12" s="15" t="s">
        <v>103</v>
      </c>
      <c r="Z12" s="15" t="s">
        <v>104</v>
      </c>
      <c r="AA12" s="15" t="s">
        <v>105</v>
      </c>
      <c r="AB12" s="15" t="s">
        <v>106</v>
      </c>
      <c r="AC12" s="15" t="s">
        <v>107</v>
      </c>
      <c r="AD12" s="15" t="s">
        <v>108</v>
      </c>
      <c r="AE12" s="15" t="s">
        <v>109</v>
      </c>
      <c r="AF12" s="15" t="s">
        <v>110</v>
      </c>
      <c r="AG12" s="15" t="s">
        <v>111</v>
      </c>
      <c r="AH12" s="3" t="s">
        <v>62</v>
      </c>
      <c r="AI12" s="3" t="s">
        <v>63</v>
      </c>
    </row>
    <row r="13" spans="1:37" ht="22.5" customHeight="1" x14ac:dyDescent="0.25">
      <c r="A13" s="5" t="s">
        <v>56</v>
      </c>
      <c r="B13" s="3">
        <f>SUMPRODUCT((Настройки!$E$22:$AG$22=1)*E16:AG16)</f>
        <v>0</v>
      </c>
      <c r="C13" s="15"/>
      <c r="D13" s="5">
        <v>1</v>
      </c>
      <c r="E13" s="3">
        <f>SUMPRODUCT((Февраль[№]=1)*Февраль[1],Февраль[Периодичность])</f>
        <v>0</v>
      </c>
      <c r="F13" s="30">
        <f>SUMPRODUCT((Февраль[№]=1)*Февраль[2],Февраль[Периодичность])</f>
        <v>0</v>
      </c>
      <c r="G13" s="30">
        <f>SUMPRODUCT((Февраль[№]=1)*Февраль[3],Февраль[Периодичность])</f>
        <v>0</v>
      </c>
      <c r="H13" s="30">
        <f>SUMPRODUCT((Февраль[№]=1)*Февраль[4],Февраль[Периодичность])</f>
        <v>0</v>
      </c>
      <c r="I13" s="30">
        <f>SUMPRODUCT((Февраль[№]=1)*Февраль[5],Февраль[Периодичность])</f>
        <v>0</v>
      </c>
      <c r="J13" s="30">
        <f>SUMPRODUCT((Февраль[№]=1)*Февраль[6],Февраль[Периодичность])</f>
        <v>0</v>
      </c>
      <c r="K13" s="30">
        <f>SUMPRODUCT((Февраль[№]=1)*Февраль[7],Февраль[Периодичность])</f>
        <v>0</v>
      </c>
      <c r="L13" s="30">
        <f>SUMPRODUCT((Февраль[№]=1)*Февраль[8],Февраль[Периодичность])</f>
        <v>0</v>
      </c>
      <c r="M13" s="30">
        <f>SUMPRODUCT((Февраль[№]=1)*Февраль[9],Февраль[Периодичность])</f>
        <v>0</v>
      </c>
      <c r="N13" s="30">
        <f>SUMPRODUCT((Февраль[№]=1)*Февраль[10],Февраль[Периодичность])</f>
        <v>0</v>
      </c>
      <c r="O13" s="30">
        <f>SUMPRODUCT((Февраль[№]=1)*Февраль[11],Февраль[Периодичность])</f>
        <v>0</v>
      </c>
      <c r="P13" s="30">
        <f>SUMPRODUCT((Февраль[№]=1)*Февраль[12],Февраль[Периодичность])</f>
        <v>0</v>
      </c>
      <c r="Q13" s="30">
        <f>SUMPRODUCT((Февраль[№]=1)*Февраль[13],Февраль[Периодичность])</f>
        <v>0</v>
      </c>
      <c r="R13" s="30">
        <f>SUMPRODUCT((Февраль[№]=1)*Февраль[14],Февраль[Периодичность])</f>
        <v>0</v>
      </c>
      <c r="S13" s="30">
        <f>SUMPRODUCT((Февраль[№]=1)*Февраль[15],Февраль[Периодичность])</f>
        <v>0</v>
      </c>
      <c r="T13" s="30">
        <f>SUMPRODUCT((Февраль[№]=1)*Февраль[16],Февраль[Периодичность])</f>
        <v>0</v>
      </c>
      <c r="U13" s="30">
        <f>SUMPRODUCT((Февраль[№]=1)*Февраль[17],Февраль[Периодичность])</f>
        <v>0</v>
      </c>
      <c r="V13" s="30">
        <f>SUMPRODUCT((Февраль[№]=1)*Февраль[18],Февраль[Периодичность])</f>
        <v>0</v>
      </c>
      <c r="W13" s="30">
        <f>SUMPRODUCT((Февраль[№]=1)*Февраль[19],Февраль[Периодичность])</f>
        <v>0</v>
      </c>
      <c r="X13" s="30">
        <f>SUMPRODUCT((Февраль[№]=1)*Февраль[20],Февраль[Периодичность])</f>
        <v>0</v>
      </c>
      <c r="Y13" s="30">
        <f>SUMPRODUCT((Февраль[№]=1)*Февраль[21],Февраль[Периодичность])</f>
        <v>0</v>
      </c>
      <c r="Z13" s="30">
        <f>SUMPRODUCT((Февраль[№]=1)*Февраль[22],Февраль[Периодичность])</f>
        <v>0</v>
      </c>
      <c r="AA13" s="30">
        <f>SUMPRODUCT((Февраль[№]=1)*Февраль[23],Февраль[Периодичность])</f>
        <v>0</v>
      </c>
      <c r="AB13" s="30">
        <f>SUMPRODUCT((Февраль[№]=1)*Февраль[24],Февраль[Периодичность])</f>
        <v>0</v>
      </c>
      <c r="AC13" s="30">
        <f>SUMPRODUCT((Февраль[№]=1)*Февраль[25],Февраль[Периодичность])</f>
        <v>0</v>
      </c>
      <c r="AD13" s="30">
        <f>SUMPRODUCT((Февраль[№]=1)*Февраль[26],Февраль[Периодичность])</f>
        <v>0</v>
      </c>
      <c r="AE13" s="30">
        <f>SUMPRODUCT((Февраль[№]=1)*Февраль[27],Февраль[Периодичность])</f>
        <v>0</v>
      </c>
      <c r="AF13" s="30">
        <f>SUMPRODUCT((Февраль[№]=1)*Февраль[28],Февраль[Периодичность])</f>
        <v>0</v>
      </c>
      <c r="AG13" s="30">
        <f>SUMPRODUCT((Февраль[№]=1)*Февраль[29],Февраль[Периодичность])</f>
        <v>0</v>
      </c>
    </row>
    <row r="14" spans="1:37" ht="20.25" customHeight="1" x14ac:dyDescent="0.25">
      <c r="B14" s="3">
        <f>SUMPRODUCT((Настройки!$E$22:$AG$22=2)*E16:AG16)</f>
        <v>0</v>
      </c>
      <c r="D14" s="5">
        <v>2</v>
      </c>
      <c r="E14" s="3">
        <f>SUMPRODUCT((Февраль[№]=2)*Февраль[1],Февраль[Периодичность])</f>
        <v>0</v>
      </c>
      <c r="F14" s="30">
        <f>SUMPRODUCT((Февраль[№]=2)*Февраль[2],Февраль[Периодичность])</f>
        <v>0</v>
      </c>
      <c r="G14" s="30">
        <f>SUMPRODUCT((Февраль[№]=2)*Февраль[3],Февраль[Периодичность])</f>
        <v>0</v>
      </c>
      <c r="H14" s="30">
        <f>SUMPRODUCT((Февраль[№]=2)*Февраль[4],Февраль[Периодичность])</f>
        <v>0</v>
      </c>
      <c r="I14" s="30">
        <f>SUMPRODUCT((Февраль[№]=2)*Февраль[5],Февраль[Периодичность])</f>
        <v>0</v>
      </c>
      <c r="J14" s="30">
        <f>SUMPRODUCT((Февраль[№]=2)*Февраль[6],Февраль[Периодичность])</f>
        <v>0</v>
      </c>
      <c r="K14" s="30">
        <f>SUMPRODUCT((Февраль[№]=2)*Февраль[7],Февраль[Периодичность])</f>
        <v>0</v>
      </c>
      <c r="L14" s="30">
        <f>SUMPRODUCT((Февраль[№]=2)*Февраль[8],Февраль[Периодичность])</f>
        <v>0</v>
      </c>
      <c r="M14" s="30">
        <f>SUMPRODUCT((Февраль[№]=2)*Февраль[9],Февраль[Периодичность])</f>
        <v>0</v>
      </c>
      <c r="N14" s="30">
        <f>SUMPRODUCT((Февраль[№]=2)*Февраль[10],Февраль[Периодичность])</f>
        <v>0</v>
      </c>
      <c r="O14" s="30">
        <f>SUMPRODUCT((Февраль[№]=2)*Февраль[11],Февраль[Периодичность])</f>
        <v>0</v>
      </c>
      <c r="P14" s="30">
        <f>SUMPRODUCT((Февраль[№]=2)*Февраль[12],Февраль[Периодичность])</f>
        <v>0</v>
      </c>
      <c r="Q14" s="30">
        <f>SUMPRODUCT((Февраль[№]=2)*Февраль[13],Февраль[Периодичность])</f>
        <v>0</v>
      </c>
      <c r="R14" s="30">
        <f>SUMPRODUCT((Февраль[№]=2)*Февраль[14],Февраль[Периодичность])</f>
        <v>0</v>
      </c>
      <c r="S14" s="30">
        <f>SUMPRODUCT((Февраль[№]=2)*Февраль[15],Февраль[Периодичность])</f>
        <v>0</v>
      </c>
      <c r="T14" s="30">
        <f>SUMPRODUCT((Февраль[№]=2)*Февраль[16],Февраль[Периодичность])</f>
        <v>0</v>
      </c>
      <c r="U14" s="30">
        <f>SUMPRODUCT((Февраль[№]=2)*Февраль[17],Февраль[Периодичность])</f>
        <v>0</v>
      </c>
      <c r="V14" s="30">
        <f>SUMPRODUCT((Февраль[№]=2)*Февраль[18],Февраль[Периодичность])</f>
        <v>0</v>
      </c>
      <c r="W14" s="30">
        <f>SUMPRODUCT((Февраль[№]=2)*Февраль[19],Февраль[Периодичность])</f>
        <v>0</v>
      </c>
      <c r="X14" s="30">
        <f>SUMPRODUCT((Февраль[№]=2)*Февраль[20],Февраль[Периодичность])</f>
        <v>0</v>
      </c>
      <c r="Y14" s="30">
        <f>SUMPRODUCT((Февраль[№]=2)*Февраль[21],Февраль[Периодичность])</f>
        <v>0</v>
      </c>
      <c r="Z14" s="30">
        <f>SUMPRODUCT((Февраль[№]=2)*Февраль[22],Февраль[Периодичность])</f>
        <v>0</v>
      </c>
      <c r="AA14" s="30">
        <f>SUMPRODUCT((Февраль[№]=2)*Февраль[23],Февраль[Периодичность])</f>
        <v>0</v>
      </c>
      <c r="AB14" s="30">
        <f>SUMPRODUCT((Февраль[№]=2)*Февраль[24],Февраль[Периодичность])</f>
        <v>0</v>
      </c>
      <c r="AC14" s="30">
        <f>SUMPRODUCT((Февраль[№]=2)*Февраль[25],Февраль[Периодичность])</f>
        <v>0</v>
      </c>
      <c r="AD14" s="30">
        <f>SUMPRODUCT((Февраль[№]=2)*Февраль[26],Февраль[Периодичность])</f>
        <v>0</v>
      </c>
      <c r="AE14" s="30">
        <f>SUMPRODUCT((Февраль[№]=2)*Февраль[27],Февраль[Периодичность])</f>
        <v>0</v>
      </c>
      <c r="AF14" s="30">
        <f>SUMPRODUCT((Февраль[№]=2)*Февраль[28],Февраль[Периодичность])</f>
        <v>0</v>
      </c>
      <c r="AG14" s="30">
        <f>SUMPRODUCT((Февраль[№]=2)*Февраль[29],Февраль[Периодичность])</f>
        <v>0</v>
      </c>
    </row>
    <row r="15" spans="1:37" ht="22.5" customHeight="1" x14ac:dyDescent="0.25">
      <c r="B15" s="3">
        <f>SUMPRODUCT((Настройки!$E$22:$AG$22=3)*E16:AG16)</f>
        <v>0</v>
      </c>
      <c r="D15" s="5">
        <v>3</v>
      </c>
      <c r="E15" s="3">
        <f>SUMPRODUCT((Февраль[№]=3)*Февраль[1],Февраль[Периодичность])</f>
        <v>0</v>
      </c>
      <c r="F15" s="30">
        <f>SUMPRODUCT((Февраль[№]=3)*Февраль[2],Февраль[Периодичность])</f>
        <v>0</v>
      </c>
      <c r="G15" s="30">
        <f>SUMPRODUCT((Февраль[№]=3)*Февраль[3],Февраль[Периодичность])</f>
        <v>0</v>
      </c>
      <c r="H15" s="30">
        <f>SUMPRODUCT((Февраль[№]=3)*Февраль[4],Февраль[Периодичность])</f>
        <v>0</v>
      </c>
      <c r="I15" s="30">
        <f>SUMPRODUCT((Февраль[№]=3)*Февраль[5],Февраль[Периодичность])</f>
        <v>0</v>
      </c>
      <c r="J15" s="30">
        <f>SUMPRODUCT((Февраль[№]=3)*Февраль[6],Февраль[Периодичность])</f>
        <v>0</v>
      </c>
      <c r="K15" s="30">
        <f>SUMPRODUCT((Февраль[№]=3)*Февраль[7],Февраль[Периодичность])</f>
        <v>0</v>
      </c>
      <c r="L15" s="30">
        <f>SUMPRODUCT((Февраль[№]=3)*Февраль[8],Февраль[Периодичность])</f>
        <v>0</v>
      </c>
      <c r="M15" s="30">
        <f>SUMPRODUCT((Февраль[№]=3)*Февраль[9],Февраль[Периодичность])</f>
        <v>0</v>
      </c>
      <c r="N15" s="30">
        <f>SUMPRODUCT((Февраль[№]=3)*Февраль[10],Февраль[Периодичность])</f>
        <v>0</v>
      </c>
      <c r="O15" s="30">
        <f>SUMPRODUCT((Февраль[№]=3)*Февраль[11],Февраль[Периодичность])</f>
        <v>0</v>
      </c>
      <c r="P15" s="30">
        <f>SUMPRODUCT((Февраль[№]=3)*Февраль[12],Февраль[Периодичность])</f>
        <v>0</v>
      </c>
      <c r="Q15" s="30">
        <f>SUMPRODUCT((Февраль[№]=3)*Февраль[13],Февраль[Периодичность])</f>
        <v>0</v>
      </c>
      <c r="R15" s="30">
        <f>SUMPRODUCT((Февраль[№]=3)*Февраль[14],Февраль[Периодичность])</f>
        <v>0</v>
      </c>
      <c r="S15" s="30">
        <f>SUMPRODUCT((Февраль[№]=3)*Февраль[15],Февраль[Периодичность])</f>
        <v>0</v>
      </c>
      <c r="T15" s="30">
        <f>SUMPRODUCT((Февраль[№]=3)*Февраль[16],Февраль[Периодичность])</f>
        <v>0</v>
      </c>
      <c r="U15" s="30">
        <f>SUMPRODUCT((Февраль[№]=3)*Февраль[17],Февраль[Периодичность])</f>
        <v>0</v>
      </c>
      <c r="V15" s="30">
        <f>SUMPRODUCT((Февраль[№]=3)*Февраль[18],Февраль[Периодичность])</f>
        <v>0</v>
      </c>
      <c r="W15" s="30">
        <f>SUMPRODUCT((Февраль[№]=3)*Февраль[19],Февраль[Периодичность])</f>
        <v>0</v>
      </c>
      <c r="X15" s="30">
        <f>SUMPRODUCT((Февраль[№]=3)*Февраль[20],Февраль[Периодичность])</f>
        <v>0</v>
      </c>
      <c r="Y15" s="30">
        <f>SUMPRODUCT((Февраль[№]=3)*Февраль[21],Февраль[Периодичность])</f>
        <v>0</v>
      </c>
      <c r="Z15" s="30">
        <f>SUMPRODUCT((Февраль[№]=3)*Февраль[22],Февраль[Периодичность])</f>
        <v>0</v>
      </c>
      <c r="AA15" s="30">
        <f>SUMPRODUCT((Февраль[№]=3)*Февраль[23],Февраль[Периодичность])</f>
        <v>0</v>
      </c>
      <c r="AB15" s="30">
        <f>SUMPRODUCT((Февраль[№]=3)*Февраль[24],Февраль[Периодичность])</f>
        <v>0</v>
      </c>
      <c r="AC15" s="30">
        <f>SUMPRODUCT((Февраль[№]=3)*Февраль[25],Февраль[Периодичность])</f>
        <v>0</v>
      </c>
      <c r="AD15" s="30">
        <f>SUMPRODUCT((Февраль[№]=3)*Февраль[26],Февраль[Периодичность])</f>
        <v>0</v>
      </c>
      <c r="AE15" s="30">
        <f>SUMPRODUCT((Февраль[№]=3)*Февраль[27],Февраль[Периодичность])</f>
        <v>0</v>
      </c>
      <c r="AF15" s="30">
        <f>SUMPRODUCT((Февраль[№]=3)*Февраль[28],Февраль[Периодичность])</f>
        <v>0</v>
      </c>
      <c r="AG15" s="30">
        <f>SUMPRODUCT((Февраль[№]=3)*Февраль[29],Февраль[Периодичность])</f>
        <v>0</v>
      </c>
      <c r="AI15" s="11"/>
    </row>
    <row r="16" spans="1:37" ht="18" customHeight="1" x14ac:dyDescent="0.25">
      <c r="B16" s="3">
        <f>SUMPRODUCT((Настройки!$E$22:$AG$22=4)*E16:AG16)</f>
        <v>0</v>
      </c>
      <c r="D16" s="5"/>
      <c r="E16" s="3">
        <f t="shared" ref="E16:AG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I16" s="11"/>
    </row>
    <row r="17" spans="1:35" ht="21.75" customHeight="1" x14ac:dyDescent="0.25">
      <c r="B17" s="3">
        <f>SUMPRODUCT((Настройки!$E$22:$AG$22=5)*E16:AG16)</f>
        <v>0</v>
      </c>
      <c r="C17" s="5">
        <f>ФевральИтоги[[#This Row],[№]]*60</f>
        <v>0</v>
      </c>
      <c r="D17" s="7">
        <f>SUM(ФевральИтоги[[#This Row],[1]:[29]])</f>
        <v>0</v>
      </c>
      <c r="E17" s="6">
        <f>E16/60</f>
        <v>0</v>
      </c>
      <c r="F17" s="31">
        <f t="shared" ref="F17:AG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5">
        <f ca="1">SUM(Февраль[УСЛУГ])</f>
        <v>0</v>
      </c>
      <c r="AI17" s="21">
        <f ca="1">SUM(Февраль[МИНУТ])</f>
        <v>0</v>
      </c>
    </row>
    <row r="19" spans="1:35" x14ac:dyDescent="0.25">
      <c r="A19" s="54" t="s">
        <v>52</v>
      </c>
      <c r="B19" s="54" t="s">
        <v>53</v>
      </c>
      <c r="C19" s="55"/>
      <c r="D19" s="56" t="s">
        <v>61</v>
      </c>
      <c r="E19" s="54" t="s">
        <v>55</v>
      </c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44" t="s">
        <v>64</v>
      </c>
      <c r="AI19" s="44" t="s">
        <v>64</v>
      </c>
    </row>
    <row r="20" spans="1:35" ht="15.75" customHeight="1" x14ac:dyDescent="0.25">
      <c r="A20" s="54"/>
      <c r="B20" s="54"/>
      <c r="C20" s="55"/>
      <c r="D20" s="57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44"/>
    </row>
    <row r="21" spans="1:35" x14ac:dyDescent="0.25">
      <c r="A21" s="54"/>
      <c r="B21" s="54"/>
      <c r="C21" s="55"/>
      <c r="D21" s="57"/>
      <c r="E21" s="23">
        <f>Настройки!E8</f>
        <v>44958</v>
      </c>
      <c r="F21" s="23">
        <f>Настройки!F8</f>
        <v>44959</v>
      </c>
      <c r="G21" s="23">
        <f>Настройки!G8</f>
        <v>44960</v>
      </c>
      <c r="H21" s="23">
        <f>Настройки!H8</f>
        <v>44961</v>
      </c>
      <c r="I21" s="23">
        <f>Настройки!I8</f>
        <v>44962</v>
      </c>
      <c r="J21" s="23">
        <f>Настройки!J8</f>
        <v>44963</v>
      </c>
      <c r="K21" s="23">
        <f>Настройки!K8</f>
        <v>44964</v>
      </c>
      <c r="L21" s="23">
        <f>Настройки!L8</f>
        <v>44965</v>
      </c>
      <c r="M21" s="23">
        <f>Настройки!M8</f>
        <v>44966</v>
      </c>
      <c r="N21" s="23">
        <f>Настройки!N8</f>
        <v>44967</v>
      </c>
      <c r="O21" s="23">
        <f>Настройки!O8</f>
        <v>44968</v>
      </c>
      <c r="P21" s="23">
        <f>Настройки!P8</f>
        <v>44969</v>
      </c>
      <c r="Q21" s="23">
        <f>Настройки!Q8</f>
        <v>44970</v>
      </c>
      <c r="R21" s="23">
        <f>Настройки!R8</f>
        <v>44971</v>
      </c>
      <c r="S21" s="23">
        <f>Настройки!S8</f>
        <v>44972</v>
      </c>
      <c r="T21" s="23">
        <f>Настройки!T8</f>
        <v>44973</v>
      </c>
      <c r="U21" s="23">
        <f>Настройки!U8</f>
        <v>44974</v>
      </c>
      <c r="V21" s="23">
        <f>Настройки!V8</f>
        <v>44975</v>
      </c>
      <c r="W21" s="23">
        <f>Настройки!W8</f>
        <v>44976</v>
      </c>
      <c r="X21" s="23">
        <f>Настройки!X8</f>
        <v>44977</v>
      </c>
      <c r="Y21" s="23">
        <f>Настройки!Y8</f>
        <v>44978</v>
      </c>
      <c r="Z21" s="23">
        <f>Настройки!Z8</f>
        <v>44979</v>
      </c>
      <c r="AA21" s="23">
        <f>Настройки!AA8</f>
        <v>44980</v>
      </c>
      <c r="AB21" s="23">
        <f>Настройки!AB8</f>
        <v>44981</v>
      </c>
      <c r="AC21" s="23">
        <f>Настройки!AC8</f>
        <v>44982</v>
      </c>
      <c r="AD21" s="23">
        <f>Настройки!AD8</f>
        <v>44983</v>
      </c>
      <c r="AE21" s="23">
        <f>Настройки!AE8</f>
        <v>44984</v>
      </c>
      <c r="AF21" s="23">
        <f>Настройки!AF8</f>
        <v>44985</v>
      </c>
      <c r="AG21" s="23" t="str">
        <f>Настройки!AG8</f>
        <v/>
      </c>
      <c r="AH21" s="70"/>
      <c r="AI21" s="44"/>
    </row>
    <row r="22" spans="1:35" x14ac:dyDescent="0.25">
      <c r="A22" s="54"/>
      <c r="B22" s="54"/>
      <c r="C22" s="55"/>
      <c r="D22" s="57"/>
      <c r="E22" s="54" t="s">
        <v>54</v>
      </c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44"/>
    </row>
    <row r="23" spans="1:35" x14ac:dyDescent="0.25">
      <c r="A23" s="54"/>
      <c r="B23" s="54"/>
      <c r="C23" s="55"/>
      <c r="D23" s="57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44"/>
    </row>
    <row r="24" spans="1:35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62</v>
      </c>
      <c r="AI24" s="3" t="s">
        <v>63</v>
      </c>
    </row>
    <row r="25" spans="1:35" ht="31.5" x14ac:dyDescent="0.25">
      <c r="A25" s="16" t="s">
        <v>1</v>
      </c>
      <c r="B25" s="2"/>
      <c r="C25" s="8">
        <v>0</v>
      </c>
      <c r="D25" s="11">
        <v>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25" s="5">
        <f ca="1">IF(Февраль[[#This Row],[УСЛУГ]]&lt;&gt;"",Февраль[[#This Row],[УСЛУГ]]*Февраль[[#This Row],[Периодичность]],"")</f>
        <v>0</v>
      </c>
    </row>
    <row r="26" spans="1:35" x14ac:dyDescent="0.25">
      <c r="A26" s="16"/>
      <c r="B26" s="2"/>
      <c r="C26" s="8">
        <v>0</v>
      </c>
      <c r="D26" s="11">
        <v>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26" s="5" t="str">
        <f ca="1">IF(Февраль[[#This Row],[УСЛУГ]]&lt;&gt;"",Февраль[[#This Row],[УСЛУГ]]*Февраль[[#This Row],[Периодичность]],"")</f>
        <v/>
      </c>
    </row>
    <row r="27" spans="1:35" x14ac:dyDescent="0.25">
      <c r="A27" s="16"/>
      <c r="B27" s="2"/>
      <c r="C27" s="8">
        <v>0</v>
      </c>
      <c r="D27" s="11">
        <v>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27" s="5" t="str">
        <f ca="1">IF(Февраль[[#This Row],[УСЛУГ]]&lt;&gt;"",Февраль[[#This Row],[УСЛУГ]]*Февраль[[#This Row],[Периодичность]],"")</f>
        <v/>
      </c>
    </row>
    <row r="28" spans="1:35" ht="47.25" x14ac:dyDescent="0.25">
      <c r="A28" s="35" t="s">
        <v>2</v>
      </c>
      <c r="B28" s="36"/>
      <c r="C28" s="37">
        <v>0</v>
      </c>
      <c r="D28" s="38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28" s="5">
        <f ca="1">IF(Февраль[[#This Row],[УСЛУГ]]&lt;&gt;"",Февраль[[#This Row],[УСЛУГ]]*Февраль[[#This Row],[Периодичность]],"")</f>
        <v>0</v>
      </c>
    </row>
    <row r="29" spans="1:35" x14ac:dyDescent="0.25">
      <c r="A29" s="35"/>
      <c r="B29" s="36"/>
      <c r="C29" s="37">
        <v>0</v>
      </c>
      <c r="D29" s="38">
        <v>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29" s="5" t="str">
        <f ca="1">IF(Февраль[[#This Row],[УСЛУГ]]&lt;&gt;"",Февраль[[#This Row],[УСЛУГ]]*Февраль[[#This Row],[Периодичность]],"")</f>
        <v/>
      </c>
    </row>
    <row r="30" spans="1:35" x14ac:dyDescent="0.25">
      <c r="A30" s="35"/>
      <c r="B30" s="36"/>
      <c r="C30" s="37">
        <v>0</v>
      </c>
      <c r="D30" s="38">
        <v>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0" s="5" t="str">
        <f ca="1">IF(Февраль[[#This Row],[УСЛУГ]]&lt;&gt;"",Февраль[[#This Row],[УСЛУГ]]*Февраль[[#This Row],[Периодичность]],"")</f>
        <v/>
      </c>
    </row>
    <row r="31" spans="1:35" ht="31.5" x14ac:dyDescent="0.25">
      <c r="A31" s="35" t="s">
        <v>3</v>
      </c>
      <c r="B31" s="36"/>
      <c r="C31" s="37">
        <v>0</v>
      </c>
      <c r="D31" s="38">
        <v>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31" s="5">
        <f ca="1">IF(Февраль[[#This Row],[УСЛУГ]]&lt;&gt;"",Февраль[[#This Row],[УСЛУГ]]*Февраль[[#This Row],[Периодичность]],"")</f>
        <v>0</v>
      </c>
    </row>
    <row r="32" spans="1:35" x14ac:dyDescent="0.25">
      <c r="A32" s="35"/>
      <c r="B32" s="36"/>
      <c r="C32" s="37">
        <v>0</v>
      </c>
      <c r="D32" s="38">
        <v>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2" s="5" t="str">
        <f ca="1">IF(Февраль[[#This Row],[УСЛУГ]]&lt;&gt;"",Февраль[[#This Row],[УСЛУГ]]*Февраль[[#This Row],[Периодичность]],"")</f>
        <v/>
      </c>
    </row>
    <row r="33" spans="1:35" x14ac:dyDescent="0.25">
      <c r="A33" s="35"/>
      <c r="B33" s="36"/>
      <c r="C33" s="37">
        <v>0</v>
      </c>
      <c r="D33" s="38">
        <v>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3" s="5" t="str">
        <f ca="1">IF(Февраль[[#This Row],[УСЛУГ]]&lt;&gt;"",Февраль[[#This Row],[УСЛУГ]]*Февраль[[#This Row],[Периодичность]],"")</f>
        <v/>
      </c>
    </row>
    <row r="34" spans="1:35" ht="47.25" x14ac:dyDescent="0.25">
      <c r="A34" s="35" t="s">
        <v>4</v>
      </c>
      <c r="B34" s="36"/>
      <c r="C34" s="37">
        <v>0</v>
      </c>
      <c r="D34" s="38">
        <v>1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34" s="5">
        <f ca="1">IF(Февраль[[#This Row],[УСЛУГ]]&lt;&gt;"",Февраль[[#This Row],[УСЛУГ]]*Февраль[[#This Row],[Периодичность]],"")</f>
        <v>0</v>
      </c>
    </row>
    <row r="35" spans="1:35" x14ac:dyDescent="0.25">
      <c r="A35" s="35"/>
      <c r="B35" s="36"/>
      <c r="C35" s="37">
        <v>0</v>
      </c>
      <c r="D35" s="38">
        <v>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5" s="5" t="str">
        <f ca="1">IF(Февраль[[#This Row],[УСЛУГ]]&lt;&gt;"",Февраль[[#This Row],[УСЛУГ]]*Февраль[[#This Row],[Периодичность]],"")</f>
        <v/>
      </c>
    </row>
    <row r="36" spans="1:35" x14ac:dyDescent="0.25">
      <c r="A36" s="35"/>
      <c r="B36" s="36"/>
      <c r="C36" s="37">
        <v>0</v>
      </c>
      <c r="D36" s="38">
        <v>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6" s="5" t="str">
        <f ca="1">IF(Февраль[[#This Row],[УСЛУГ]]&lt;&gt;"",Февраль[[#This Row],[УСЛУГ]]*Февраль[[#This Row],[Периодичность]],"")</f>
        <v/>
      </c>
    </row>
    <row r="37" spans="1:35" x14ac:dyDescent="0.25">
      <c r="A37" s="35" t="s">
        <v>5</v>
      </c>
      <c r="B37" s="36"/>
      <c r="C37" s="37">
        <v>0</v>
      </c>
      <c r="D37" s="38">
        <v>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37" s="5">
        <f ca="1">IF(Февраль[[#This Row],[УСЛУГ]]&lt;&gt;"",Февраль[[#This Row],[УСЛУГ]]*Февраль[[#This Row],[Периодичность]],"")</f>
        <v>0</v>
      </c>
    </row>
    <row r="38" spans="1:35" x14ac:dyDescent="0.25">
      <c r="A38" s="35"/>
      <c r="B38" s="36"/>
      <c r="C38" s="37">
        <v>0</v>
      </c>
      <c r="D38" s="38">
        <v>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8" s="5" t="str">
        <f ca="1">IF(Февраль[[#This Row],[УСЛУГ]]&lt;&gt;"",Февраль[[#This Row],[УСЛУГ]]*Февраль[[#This Row],[Периодичность]],"")</f>
        <v/>
      </c>
    </row>
    <row r="39" spans="1:35" x14ac:dyDescent="0.25">
      <c r="A39" s="35"/>
      <c r="B39" s="36"/>
      <c r="C39" s="37">
        <v>0</v>
      </c>
      <c r="D39" s="38">
        <v>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39" s="5" t="str">
        <f ca="1">IF(Февраль[[#This Row],[УСЛУГ]]&lt;&gt;"",Февраль[[#This Row],[УСЛУГ]]*Февраль[[#This Row],[Периодичность]],"")</f>
        <v/>
      </c>
    </row>
    <row r="40" spans="1:35" ht="31.5" x14ac:dyDescent="0.25">
      <c r="A40" s="35" t="s">
        <v>6</v>
      </c>
      <c r="B40" s="36"/>
      <c r="C40" s="37">
        <v>0</v>
      </c>
      <c r="D40" s="38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40" s="5">
        <f ca="1">IF(Февраль[[#This Row],[УСЛУГ]]&lt;&gt;"",Февраль[[#This Row],[УСЛУГ]]*Февраль[[#This Row],[Периодичность]],"")</f>
        <v>0</v>
      </c>
    </row>
    <row r="41" spans="1:35" x14ac:dyDescent="0.25">
      <c r="A41" s="35"/>
      <c r="B41" s="36"/>
      <c r="C41" s="37">
        <v>0</v>
      </c>
      <c r="D41" s="38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1" s="5" t="str">
        <f ca="1">IF(Февраль[[#This Row],[УСЛУГ]]&lt;&gt;"",Февраль[[#This Row],[УСЛУГ]]*Февраль[[#This Row],[Периодичность]],"")</f>
        <v/>
      </c>
    </row>
    <row r="42" spans="1:35" x14ac:dyDescent="0.25">
      <c r="A42" s="35"/>
      <c r="B42" s="36"/>
      <c r="C42" s="37">
        <v>0</v>
      </c>
      <c r="D42" s="38">
        <v>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2" s="5" t="str">
        <f ca="1">IF(Февраль[[#This Row],[УСЛУГ]]&lt;&gt;"",Февраль[[#This Row],[УСЛУГ]]*Февраль[[#This Row],[Периодичность]],"")</f>
        <v/>
      </c>
    </row>
    <row r="43" spans="1:35" ht="47.25" x14ac:dyDescent="0.25">
      <c r="A43" s="35" t="s">
        <v>79</v>
      </c>
      <c r="B43" s="36"/>
      <c r="C43" s="37">
        <v>0</v>
      </c>
      <c r="D43" s="38">
        <v>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43" s="5">
        <f ca="1">IF(Февраль[[#This Row],[УСЛУГ]]&lt;&gt;"",Февраль[[#This Row],[УСЛУГ]]*Февраль[[#This Row],[Периодичность]],"")</f>
        <v>0</v>
      </c>
    </row>
    <row r="44" spans="1:35" x14ac:dyDescent="0.25">
      <c r="A44" s="35"/>
      <c r="B44" s="36"/>
      <c r="C44" s="37">
        <v>0</v>
      </c>
      <c r="D44" s="38">
        <v>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4" s="5" t="str">
        <f ca="1">IF(Февраль[[#This Row],[УСЛУГ]]&lt;&gt;"",Февраль[[#This Row],[УСЛУГ]]*Февраль[[#This Row],[Периодичность]],"")</f>
        <v/>
      </c>
    </row>
    <row r="45" spans="1:35" x14ac:dyDescent="0.25">
      <c r="A45" s="35"/>
      <c r="B45" s="36"/>
      <c r="C45" s="37">
        <v>0</v>
      </c>
      <c r="D45" s="38">
        <v>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5" s="5" t="str">
        <f ca="1">IF(Февраль[[#This Row],[УСЛУГ]]&lt;&gt;"",Февраль[[#This Row],[УСЛУГ]]*Февраль[[#This Row],[Периодичность]],"")</f>
        <v/>
      </c>
    </row>
    <row r="46" spans="1:35" x14ac:dyDescent="0.25">
      <c r="A46" s="35" t="s">
        <v>8</v>
      </c>
      <c r="B46" s="36"/>
      <c r="C46" s="37">
        <v>0</v>
      </c>
      <c r="D46" s="38">
        <v>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46" s="5">
        <f ca="1">IF(Февраль[[#This Row],[УСЛУГ]]&lt;&gt;"",Февраль[[#This Row],[УСЛУГ]]*Февраль[[#This Row],[Периодичность]],"")</f>
        <v>0</v>
      </c>
    </row>
    <row r="47" spans="1:35" x14ac:dyDescent="0.25">
      <c r="A47" s="35"/>
      <c r="B47" s="36"/>
      <c r="C47" s="37">
        <v>0</v>
      </c>
      <c r="D47" s="38">
        <v>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7" s="5" t="str">
        <f ca="1">IF(Февраль[[#This Row],[УСЛУГ]]&lt;&gt;"",Февраль[[#This Row],[УСЛУГ]]*Февраль[[#This Row],[Периодичность]],"")</f>
        <v/>
      </c>
    </row>
    <row r="48" spans="1:35" x14ac:dyDescent="0.25">
      <c r="A48" s="35"/>
      <c r="B48" s="36"/>
      <c r="C48" s="37">
        <v>0</v>
      </c>
      <c r="D48" s="38">
        <v>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48" s="5" t="str">
        <f ca="1">IF(Февраль[[#This Row],[УСЛУГ]]&lt;&gt;"",Февраль[[#This Row],[УСЛУГ]]*Февраль[[#This Row],[Периодичность]],"")</f>
        <v/>
      </c>
    </row>
    <row r="49" spans="1:35" ht="31.5" x14ac:dyDescent="0.25">
      <c r="A49" s="35" t="s">
        <v>9</v>
      </c>
      <c r="B49" s="36"/>
      <c r="C49" s="37">
        <v>0</v>
      </c>
      <c r="D49" s="38">
        <v>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49" s="5">
        <f ca="1">IF(Февраль[[#This Row],[УСЛУГ]]&lt;&gt;"",Февраль[[#This Row],[УСЛУГ]]*Февраль[[#This Row],[Периодичность]],"")</f>
        <v>0</v>
      </c>
    </row>
    <row r="50" spans="1:35" x14ac:dyDescent="0.25">
      <c r="A50" s="35"/>
      <c r="B50" s="36"/>
      <c r="C50" s="37">
        <v>0</v>
      </c>
      <c r="D50" s="38">
        <v>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0" s="5" t="str">
        <f ca="1">IF(Февраль[[#This Row],[УСЛУГ]]&lt;&gt;"",Февраль[[#This Row],[УСЛУГ]]*Февраль[[#This Row],[Периодичность]],"")</f>
        <v/>
      </c>
    </row>
    <row r="51" spans="1:35" x14ac:dyDescent="0.25">
      <c r="A51" s="35"/>
      <c r="B51" s="36"/>
      <c r="C51" s="37">
        <v>0</v>
      </c>
      <c r="D51" s="38">
        <v>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1" s="5" t="str">
        <f ca="1">IF(Февраль[[#This Row],[УСЛУГ]]&lt;&gt;"",Февраль[[#This Row],[УСЛУГ]]*Февраль[[#This Row],[Периодичность]],"")</f>
        <v/>
      </c>
    </row>
    <row r="52" spans="1:35" ht="47.25" x14ac:dyDescent="0.25">
      <c r="A52" s="35" t="s">
        <v>140</v>
      </c>
      <c r="B52" s="36"/>
      <c r="C52" s="37">
        <v>0</v>
      </c>
      <c r="D52" s="38">
        <v>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52" s="5">
        <f ca="1">IF(Февраль[[#This Row],[УСЛУГ]]&lt;&gt;"",Февраль[[#This Row],[УСЛУГ]]*Февраль[[#This Row],[Периодичность]],"")</f>
        <v>0</v>
      </c>
    </row>
    <row r="53" spans="1:35" x14ac:dyDescent="0.25">
      <c r="A53" s="35"/>
      <c r="B53" s="36"/>
      <c r="C53" s="37">
        <v>0</v>
      </c>
      <c r="D53" s="38">
        <v>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3" s="5" t="str">
        <f ca="1">IF(Февраль[[#This Row],[УСЛУГ]]&lt;&gt;"",Февраль[[#This Row],[УСЛУГ]]*Февраль[[#This Row],[Периодичность]],"")</f>
        <v/>
      </c>
    </row>
    <row r="54" spans="1:35" x14ac:dyDescent="0.25">
      <c r="A54" s="35"/>
      <c r="B54" s="36"/>
      <c r="C54" s="37">
        <v>0</v>
      </c>
      <c r="D54" s="38">
        <v>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4" s="5" t="str">
        <f ca="1">IF(Февраль[[#This Row],[УСЛУГ]]&lt;&gt;"",Февраль[[#This Row],[УСЛУГ]]*Февраль[[#This Row],[Периодичность]],"")</f>
        <v/>
      </c>
    </row>
    <row r="55" spans="1:35" ht="47.25" x14ac:dyDescent="0.25">
      <c r="A55" s="35" t="s">
        <v>78</v>
      </c>
      <c r="B55" s="36"/>
      <c r="C55" s="37">
        <v>0</v>
      </c>
      <c r="D55" s="38">
        <v>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55" s="5">
        <f ca="1">IF(Февраль[[#This Row],[УСЛУГ]]&lt;&gt;"",Февраль[[#This Row],[УСЛУГ]]*Февраль[[#This Row],[Периодичность]],"")</f>
        <v>0</v>
      </c>
    </row>
    <row r="56" spans="1:35" x14ac:dyDescent="0.25">
      <c r="A56" s="35"/>
      <c r="B56" s="36"/>
      <c r="C56" s="37">
        <v>0</v>
      </c>
      <c r="D56" s="38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6" s="5" t="str">
        <f ca="1">IF(Февраль[[#This Row],[УСЛУГ]]&lt;&gt;"",Февраль[[#This Row],[УСЛУГ]]*Февраль[[#This Row],[Периодичность]],"")</f>
        <v/>
      </c>
    </row>
    <row r="57" spans="1:35" x14ac:dyDescent="0.25">
      <c r="A57" s="35"/>
      <c r="B57" s="36"/>
      <c r="C57" s="37">
        <v>0</v>
      </c>
      <c r="D57" s="38">
        <v>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7" s="5" t="str">
        <f ca="1">IF(Февраль[[#This Row],[УСЛУГ]]&lt;&gt;"",Февраль[[#This Row],[УСЛУГ]]*Февраль[[#This Row],[Периодичность]],"")</f>
        <v/>
      </c>
    </row>
    <row r="58" spans="1:35" ht="47.25" x14ac:dyDescent="0.25">
      <c r="A58" s="35" t="s">
        <v>141</v>
      </c>
      <c r="B58" s="36"/>
      <c r="C58" s="37">
        <v>0</v>
      </c>
      <c r="D58" s="38">
        <v>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58" s="5">
        <f ca="1">IF(Февраль[[#This Row],[УСЛУГ]]&lt;&gt;"",Февраль[[#This Row],[УСЛУГ]]*Февраль[[#This Row],[Периодичность]],"")</f>
        <v>0</v>
      </c>
    </row>
    <row r="59" spans="1:35" x14ac:dyDescent="0.25">
      <c r="A59" s="35"/>
      <c r="B59" s="36"/>
      <c r="C59" s="37">
        <v>0</v>
      </c>
      <c r="D59" s="38">
        <v>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59" s="5" t="str">
        <f ca="1">IF(Февраль[[#This Row],[УСЛУГ]]&lt;&gt;"",Февраль[[#This Row],[УСЛУГ]]*Февраль[[#This Row],[Периодичность]],"")</f>
        <v/>
      </c>
    </row>
    <row r="60" spans="1:35" x14ac:dyDescent="0.25">
      <c r="A60" s="35"/>
      <c r="B60" s="36"/>
      <c r="C60" s="37">
        <v>0</v>
      </c>
      <c r="D60" s="38">
        <v>3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0" s="5" t="str">
        <f ca="1">IF(Февраль[[#This Row],[УСЛУГ]]&lt;&gt;"",Февраль[[#This Row],[УСЛУГ]]*Февраль[[#This Row],[Периодичность]],"")</f>
        <v/>
      </c>
    </row>
    <row r="61" spans="1:35" ht="31.5" x14ac:dyDescent="0.25">
      <c r="A61" s="35" t="s">
        <v>13</v>
      </c>
      <c r="B61" s="36"/>
      <c r="C61" s="37">
        <v>0</v>
      </c>
      <c r="D61" s="38">
        <v>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61" s="5">
        <f ca="1">IF(Февраль[[#This Row],[УСЛУГ]]&lt;&gt;"",Февраль[[#This Row],[УСЛУГ]]*Февраль[[#This Row],[Периодичность]],"")</f>
        <v>0</v>
      </c>
    </row>
    <row r="62" spans="1:35" x14ac:dyDescent="0.25">
      <c r="A62" s="35"/>
      <c r="B62" s="36"/>
      <c r="C62" s="37">
        <v>0</v>
      </c>
      <c r="D62" s="38">
        <v>2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2" s="5" t="str">
        <f ca="1">IF(Февраль[[#This Row],[УСЛУГ]]&lt;&gt;"",Февраль[[#This Row],[УСЛУГ]]*Февраль[[#This Row],[Периодичность]],"")</f>
        <v/>
      </c>
    </row>
    <row r="63" spans="1:35" x14ac:dyDescent="0.25">
      <c r="A63" s="35"/>
      <c r="B63" s="36"/>
      <c r="C63" s="37">
        <v>0</v>
      </c>
      <c r="D63" s="38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3" s="5" t="str">
        <f ca="1">IF(Февраль[[#This Row],[УСЛУГ]]&lt;&gt;"",Февраль[[#This Row],[УСЛУГ]]*Февраль[[#This Row],[Периодичность]],"")</f>
        <v/>
      </c>
    </row>
    <row r="64" spans="1:35" ht="31.5" x14ac:dyDescent="0.25">
      <c r="A64" s="35" t="s">
        <v>14</v>
      </c>
      <c r="B64" s="36"/>
      <c r="C64" s="37">
        <v>0</v>
      </c>
      <c r="D64" s="38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64" s="5">
        <f ca="1">IF(Февраль[[#This Row],[УСЛУГ]]&lt;&gt;"",Февраль[[#This Row],[УСЛУГ]]*Февраль[[#This Row],[Периодичность]],"")</f>
        <v>0</v>
      </c>
    </row>
    <row r="65" spans="1:35" x14ac:dyDescent="0.25">
      <c r="A65" s="35"/>
      <c r="B65" s="36"/>
      <c r="C65" s="37">
        <v>0</v>
      </c>
      <c r="D65" s="38">
        <v>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5" s="5" t="str">
        <f ca="1">IF(Февраль[[#This Row],[УСЛУГ]]&lt;&gt;"",Февраль[[#This Row],[УСЛУГ]]*Февраль[[#This Row],[Периодичность]],"")</f>
        <v/>
      </c>
    </row>
    <row r="66" spans="1:35" x14ac:dyDescent="0.25">
      <c r="A66" s="35"/>
      <c r="B66" s="36"/>
      <c r="C66" s="37">
        <v>0</v>
      </c>
      <c r="D66" s="38">
        <v>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6" s="5" t="str">
        <f ca="1">IF(Февраль[[#This Row],[УСЛУГ]]&lt;&gt;"",Февраль[[#This Row],[УСЛУГ]]*Февраль[[#This Row],[Периодичность]],"")</f>
        <v/>
      </c>
    </row>
    <row r="67" spans="1:35" ht="31.5" x14ac:dyDescent="0.25">
      <c r="A67" s="35" t="s">
        <v>15</v>
      </c>
      <c r="B67" s="36"/>
      <c r="C67" s="37">
        <v>0</v>
      </c>
      <c r="D67" s="38">
        <v>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67" s="5">
        <f ca="1">IF(Февраль[[#This Row],[УСЛУГ]]&lt;&gt;"",Февраль[[#This Row],[УСЛУГ]]*Февраль[[#This Row],[Периодичность]],"")</f>
        <v>0</v>
      </c>
    </row>
    <row r="68" spans="1:35" x14ac:dyDescent="0.25">
      <c r="A68" s="35"/>
      <c r="B68" s="36"/>
      <c r="C68" s="37">
        <v>0</v>
      </c>
      <c r="D68" s="38">
        <v>2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8" s="5" t="str">
        <f ca="1">IF(Февраль[[#This Row],[УСЛУГ]]&lt;&gt;"",Февраль[[#This Row],[УСЛУГ]]*Февраль[[#This Row],[Периодичность]],"")</f>
        <v/>
      </c>
    </row>
    <row r="69" spans="1:35" x14ac:dyDescent="0.25">
      <c r="A69" s="35"/>
      <c r="B69" s="36"/>
      <c r="C69" s="37">
        <v>0</v>
      </c>
      <c r="D69" s="38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69" s="5" t="str">
        <f ca="1">IF(Февраль[[#This Row],[УСЛУГ]]&lt;&gt;"",Февраль[[#This Row],[УСЛУГ]]*Февраль[[#This Row],[Периодичность]],"")</f>
        <v/>
      </c>
    </row>
    <row r="70" spans="1:35" x14ac:dyDescent="0.25">
      <c r="A70" s="35" t="s">
        <v>16</v>
      </c>
      <c r="B70" s="36"/>
      <c r="C70" s="37">
        <v>0</v>
      </c>
      <c r="D70" s="38">
        <v>1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70" s="5">
        <f ca="1">IF(Февраль[[#This Row],[УСЛУГ]]&lt;&gt;"",Февраль[[#This Row],[УСЛУГ]]*Февраль[[#This Row],[Периодичность]],"")</f>
        <v>0</v>
      </c>
    </row>
    <row r="71" spans="1:35" x14ac:dyDescent="0.25">
      <c r="A71" s="35"/>
      <c r="B71" s="36"/>
      <c r="C71" s="37">
        <v>0</v>
      </c>
      <c r="D71" s="38">
        <v>2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1" s="5" t="str">
        <f ca="1">IF(Февраль[[#This Row],[УСЛУГ]]&lt;&gt;"",Февраль[[#This Row],[УСЛУГ]]*Февраль[[#This Row],[Периодичность]],"")</f>
        <v/>
      </c>
    </row>
    <row r="72" spans="1:35" x14ac:dyDescent="0.25">
      <c r="A72" s="35"/>
      <c r="B72" s="36"/>
      <c r="C72" s="37">
        <v>0</v>
      </c>
      <c r="D72" s="38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2" s="5" t="str">
        <f ca="1">IF(Февраль[[#This Row],[УСЛУГ]]&lt;&gt;"",Февраль[[#This Row],[УСЛУГ]]*Февраль[[#This Row],[Периодичность]],"")</f>
        <v/>
      </c>
    </row>
    <row r="73" spans="1:35" ht="47.25" x14ac:dyDescent="0.25">
      <c r="A73" s="35" t="s">
        <v>142</v>
      </c>
      <c r="B73" s="36"/>
      <c r="C73" s="37">
        <v>0</v>
      </c>
      <c r="D73" s="38">
        <v>1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73" s="5">
        <f ca="1">IF(Февраль[[#This Row],[УСЛУГ]]&lt;&gt;"",Февраль[[#This Row],[УСЛУГ]]*Февраль[[#This Row],[Периодичность]],"")</f>
        <v>0</v>
      </c>
    </row>
    <row r="74" spans="1:35" x14ac:dyDescent="0.25">
      <c r="A74" s="35"/>
      <c r="B74" s="36"/>
      <c r="C74" s="37">
        <v>0</v>
      </c>
      <c r="D74" s="38">
        <v>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4" s="5" t="str">
        <f ca="1">IF(Февраль[[#This Row],[УСЛУГ]]&lt;&gt;"",Февраль[[#This Row],[УСЛУГ]]*Февраль[[#This Row],[Периодичность]],"")</f>
        <v/>
      </c>
    </row>
    <row r="75" spans="1:35" x14ac:dyDescent="0.25">
      <c r="A75" s="35"/>
      <c r="B75" s="36"/>
      <c r="C75" s="37">
        <v>0</v>
      </c>
      <c r="D75" s="38">
        <v>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5" s="5" t="str">
        <f ca="1">IF(Февраль[[#This Row],[УСЛУГ]]&lt;&gt;"",Февраль[[#This Row],[УСЛУГ]]*Февраль[[#This Row],[Периодичность]],"")</f>
        <v/>
      </c>
    </row>
    <row r="76" spans="1:35" ht="47.25" x14ac:dyDescent="0.25">
      <c r="A76" s="35" t="s">
        <v>143</v>
      </c>
      <c r="B76" s="36"/>
      <c r="C76" s="37">
        <v>0</v>
      </c>
      <c r="D76" s="38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76" s="5">
        <f ca="1">IF(Февраль[[#This Row],[УСЛУГ]]&lt;&gt;"",Февраль[[#This Row],[УСЛУГ]]*Февраль[[#This Row],[Периодичность]],"")</f>
        <v>0</v>
      </c>
    </row>
    <row r="77" spans="1:35" x14ac:dyDescent="0.25">
      <c r="A77" s="35"/>
      <c r="B77" s="36"/>
      <c r="C77" s="37">
        <v>0</v>
      </c>
      <c r="D77" s="38">
        <v>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7" s="5" t="str">
        <f ca="1">IF(Февраль[[#This Row],[УСЛУГ]]&lt;&gt;"",Февраль[[#This Row],[УСЛУГ]]*Февраль[[#This Row],[Периодичность]],"")</f>
        <v/>
      </c>
    </row>
    <row r="78" spans="1:35" x14ac:dyDescent="0.25">
      <c r="A78" s="35"/>
      <c r="B78" s="36"/>
      <c r="C78" s="37">
        <v>0</v>
      </c>
      <c r="D78" s="38">
        <v>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78" s="5" t="str">
        <f ca="1">IF(Февраль[[#This Row],[УСЛУГ]]&lt;&gt;"",Февраль[[#This Row],[УСЛУГ]]*Февраль[[#This Row],[Периодичность]],"")</f>
        <v/>
      </c>
    </row>
    <row r="79" spans="1:35" x14ac:dyDescent="0.25">
      <c r="A79" s="35" t="s">
        <v>19</v>
      </c>
      <c r="B79" s="36"/>
      <c r="C79" s="37">
        <v>0</v>
      </c>
      <c r="D79" s="38">
        <v>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5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79" s="5">
        <f ca="1">IF(Февраль[[#This Row],[УСЛУГ]]&lt;&gt;"",Февраль[[#This Row],[УСЛУГ]]*Февраль[[#This Row],[Периодичность]],"")</f>
        <v>0</v>
      </c>
    </row>
    <row r="80" spans="1:35" x14ac:dyDescent="0.25">
      <c r="A80" s="35"/>
      <c r="B80" s="36"/>
      <c r="C80" s="37">
        <v>0</v>
      </c>
      <c r="D80" s="38">
        <v>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0" s="5" t="str">
        <f ca="1">IF(Февраль[[#This Row],[УСЛУГ]]&lt;&gt;"",Февраль[[#This Row],[УСЛУГ]]*Февраль[[#This Row],[Периодичность]],"")</f>
        <v/>
      </c>
    </row>
    <row r="81" spans="1:35" x14ac:dyDescent="0.25">
      <c r="A81" s="35"/>
      <c r="B81" s="36"/>
      <c r="C81" s="37">
        <v>0</v>
      </c>
      <c r="D81" s="38">
        <v>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5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1" s="5" t="str">
        <f ca="1">IF(Февраль[[#This Row],[УСЛУГ]]&lt;&gt;"",Февраль[[#This Row],[УСЛУГ]]*Февраль[[#This Row],[Периодичность]],"")</f>
        <v/>
      </c>
    </row>
    <row r="82" spans="1:35" ht="31.5" x14ac:dyDescent="0.25">
      <c r="A82" s="35" t="s">
        <v>20</v>
      </c>
      <c r="B82" s="36"/>
      <c r="C82" s="37">
        <v>0</v>
      </c>
      <c r="D82" s="38">
        <v>1</v>
      </c>
      <c r="E82" s="41"/>
      <c r="F82" s="43"/>
      <c r="G82" s="41"/>
      <c r="H82" s="41"/>
      <c r="I82" s="41"/>
      <c r="J82" s="41"/>
      <c r="K82" s="41"/>
      <c r="L82" s="41"/>
      <c r="M82" s="43"/>
      <c r="N82" s="41"/>
      <c r="O82" s="41"/>
      <c r="P82" s="41"/>
      <c r="Q82" s="41"/>
      <c r="R82" s="41"/>
      <c r="S82" s="41"/>
      <c r="T82" s="43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82" s="42">
        <f ca="1">IF(Февраль[[#This Row],[УСЛУГ]]&lt;&gt;"",Февраль[[#This Row],[УСЛУГ]]*Февраль[[#This Row],[Периодичность]],"")</f>
        <v>0</v>
      </c>
    </row>
    <row r="83" spans="1:35" x14ac:dyDescent="0.25">
      <c r="A83" s="35"/>
      <c r="B83" s="36"/>
      <c r="C83" s="37">
        <v>0</v>
      </c>
      <c r="D83" s="38">
        <v>2</v>
      </c>
      <c r="E83" s="41"/>
      <c r="F83" s="43"/>
      <c r="G83" s="41"/>
      <c r="H83" s="41"/>
      <c r="I83" s="41"/>
      <c r="J83" s="41"/>
      <c r="K83" s="41"/>
      <c r="L83" s="41"/>
      <c r="M83" s="43"/>
      <c r="N83" s="41"/>
      <c r="O83" s="41"/>
      <c r="P83" s="41"/>
      <c r="Q83" s="41"/>
      <c r="R83" s="41"/>
      <c r="S83" s="41"/>
      <c r="T83" s="43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3" s="42" t="str">
        <f ca="1">IF(Февраль[[#This Row],[УСЛУГ]]&lt;&gt;"",Февраль[[#This Row],[УСЛУГ]]*Февраль[[#This Row],[Периодичность]],"")</f>
        <v/>
      </c>
    </row>
    <row r="84" spans="1:35" x14ac:dyDescent="0.25">
      <c r="A84" s="35"/>
      <c r="B84" s="36"/>
      <c r="C84" s="37">
        <v>0</v>
      </c>
      <c r="D84" s="38">
        <v>3</v>
      </c>
      <c r="E84" s="41"/>
      <c r="F84" s="43"/>
      <c r="G84" s="41"/>
      <c r="H84" s="41"/>
      <c r="I84" s="41"/>
      <c r="J84" s="41"/>
      <c r="K84" s="41"/>
      <c r="L84" s="41"/>
      <c r="M84" s="43"/>
      <c r="N84" s="41"/>
      <c r="O84" s="41"/>
      <c r="P84" s="41"/>
      <c r="Q84" s="41"/>
      <c r="R84" s="41"/>
      <c r="S84" s="41"/>
      <c r="T84" s="43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4" s="42" t="str">
        <f ca="1">IF(Февраль[[#This Row],[УСЛУГ]]&lt;&gt;"",Февраль[[#This Row],[УСЛУГ]]*Февраль[[#This Row],[Периодичность]],"")</f>
        <v/>
      </c>
    </row>
    <row r="85" spans="1:35" ht="47.25" x14ac:dyDescent="0.25">
      <c r="A85" s="35" t="s">
        <v>144</v>
      </c>
      <c r="B85" s="36"/>
      <c r="C85" s="37">
        <v>0</v>
      </c>
      <c r="D85" s="38">
        <v>1</v>
      </c>
      <c r="E85" s="41"/>
      <c r="F85" s="43"/>
      <c r="G85" s="41"/>
      <c r="H85" s="41"/>
      <c r="I85" s="41"/>
      <c r="J85" s="41"/>
      <c r="K85" s="41"/>
      <c r="L85" s="41"/>
      <c r="M85" s="43"/>
      <c r="N85" s="41"/>
      <c r="O85" s="41"/>
      <c r="P85" s="41"/>
      <c r="Q85" s="41"/>
      <c r="R85" s="41"/>
      <c r="S85" s="41"/>
      <c r="T85" s="43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85" s="42">
        <f ca="1">IF(Февраль[[#This Row],[УСЛУГ]]&lt;&gt;"",Февраль[[#This Row],[УСЛУГ]]*Февраль[[#This Row],[Периодичность]],"")</f>
        <v>0</v>
      </c>
    </row>
    <row r="86" spans="1:35" x14ac:dyDescent="0.25">
      <c r="A86" s="35"/>
      <c r="B86" s="36"/>
      <c r="C86" s="37">
        <v>0</v>
      </c>
      <c r="D86" s="38">
        <v>2</v>
      </c>
      <c r="E86" s="41"/>
      <c r="F86" s="43"/>
      <c r="G86" s="41"/>
      <c r="H86" s="41"/>
      <c r="I86" s="41"/>
      <c r="J86" s="41"/>
      <c r="K86" s="41"/>
      <c r="L86" s="41"/>
      <c r="M86" s="43"/>
      <c r="N86" s="41"/>
      <c r="O86" s="41"/>
      <c r="P86" s="41"/>
      <c r="Q86" s="41"/>
      <c r="R86" s="41"/>
      <c r="S86" s="41"/>
      <c r="T86" s="43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6" s="42" t="str">
        <f ca="1">IF(Февраль[[#This Row],[УСЛУГ]]&lt;&gt;"",Февраль[[#This Row],[УСЛУГ]]*Февраль[[#This Row],[Периодичность]],"")</f>
        <v/>
      </c>
    </row>
    <row r="87" spans="1:35" x14ac:dyDescent="0.25">
      <c r="A87" s="35"/>
      <c r="B87" s="36"/>
      <c r="C87" s="37">
        <v>0</v>
      </c>
      <c r="D87" s="38">
        <v>3</v>
      </c>
      <c r="E87" s="41"/>
      <c r="F87" s="43"/>
      <c r="G87" s="41"/>
      <c r="H87" s="41"/>
      <c r="I87" s="41"/>
      <c r="J87" s="41"/>
      <c r="K87" s="41"/>
      <c r="L87" s="41"/>
      <c r="M87" s="43"/>
      <c r="N87" s="41"/>
      <c r="O87" s="41"/>
      <c r="P87" s="41"/>
      <c r="Q87" s="41"/>
      <c r="R87" s="41"/>
      <c r="S87" s="41"/>
      <c r="T87" s="43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7" s="42" t="str">
        <f ca="1">IF(Февраль[[#This Row],[УСЛУГ]]&lt;&gt;"",Февраль[[#This Row],[УСЛУГ]]*Февраль[[#This Row],[Периодичность]],"")</f>
        <v/>
      </c>
    </row>
    <row r="88" spans="1:35" ht="47.25" x14ac:dyDescent="0.25">
      <c r="A88" s="35" t="s">
        <v>145</v>
      </c>
      <c r="B88" s="36"/>
      <c r="C88" s="37">
        <v>0</v>
      </c>
      <c r="D88" s="38">
        <v>1</v>
      </c>
      <c r="E88" s="41"/>
      <c r="F88" s="43"/>
      <c r="G88" s="41"/>
      <c r="H88" s="41"/>
      <c r="I88" s="41"/>
      <c r="J88" s="41"/>
      <c r="K88" s="41"/>
      <c r="L88" s="41"/>
      <c r="M88" s="43"/>
      <c r="N88" s="41"/>
      <c r="O88" s="41"/>
      <c r="P88" s="41"/>
      <c r="Q88" s="41"/>
      <c r="R88" s="41"/>
      <c r="S88" s="41"/>
      <c r="T88" s="43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88" s="42">
        <f ca="1">IF(Февраль[[#This Row],[УСЛУГ]]&lt;&gt;"",Февраль[[#This Row],[УСЛУГ]]*Февраль[[#This Row],[Периодичность]],"")</f>
        <v>0</v>
      </c>
    </row>
    <row r="89" spans="1:35" x14ac:dyDescent="0.25">
      <c r="A89" s="35"/>
      <c r="B89" s="36"/>
      <c r="C89" s="37">
        <v>0</v>
      </c>
      <c r="D89" s="38">
        <v>2</v>
      </c>
      <c r="E89" s="41"/>
      <c r="F89" s="43"/>
      <c r="G89" s="41"/>
      <c r="H89" s="41"/>
      <c r="I89" s="41"/>
      <c r="J89" s="41"/>
      <c r="K89" s="41"/>
      <c r="L89" s="41"/>
      <c r="M89" s="43"/>
      <c r="N89" s="41"/>
      <c r="O89" s="41"/>
      <c r="P89" s="41"/>
      <c r="Q89" s="41"/>
      <c r="R89" s="41"/>
      <c r="S89" s="41"/>
      <c r="T89" s="43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89" s="42" t="str">
        <f ca="1">IF(Февраль[[#This Row],[УСЛУГ]]&lt;&gt;"",Февраль[[#This Row],[УСЛУГ]]*Февраль[[#This Row],[Периодичность]],"")</f>
        <v/>
      </c>
    </row>
    <row r="90" spans="1:35" x14ac:dyDescent="0.25">
      <c r="A90" s="35"/>
      <c r="B90" s="36"/>
      <c r="C90" s="37">
        <v>0</v>
      </c>
      <c r="D90" s="38">
        <v>3</v>
      </c>
      <c r="E90" s="41"/>
      <c r="F90" s="43"/>
      <c r="G90" s="41"/>
      <c r="H90" s="41"/>
      <c r="I90" s="41"/>
      <c r="J90" s="41"/>
      <c r="K90" s="41"/>
      <c r="L90" s="41"/>
      <c r="M90" s="43"/>
      <c r="N90" s="41"/>
      <c r="O90" s="41"/>
      <c r="P90" s="41"/>
      <c r="Q90" s="41"/>
      <c r="R90" s="41"/>
      <c r="S90" s="41"/>
      <c r="T90" s="43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0" s="42" t="str">
        <f ca="1">IF(Февраль[[#This Row],[УСЛУГ]]&lt;&gt;"",Февраль[[#This Row],[УСЛУГ]]*Февраль[[#This Row],[Периодичность]],"")</f>
        <v/>
      </c>
    </row>
    <row r="91" spans="1:35" ht="31.5" x14ac:dyDescent="0.25">
      <c r="A91" s="35" t="s">
        <v>23</v>
      </c>
      <c r="B91" s="36"/>
      <c r="C91" s="37">
        <v>0</v>
      </c>
      <c r="D91" s="38">
        <v>1</v>
      </c>
      <c r="E91" s="41"/>
      <c r="F91" s="43"/>
      <c r="G91" s="41"/>
      <c r="H91" s="41"/>
      <c r="I91" s="41"/>
      <c r="J91" s="41"/>
      <c r="K91" s="41"/>
      <c r="L91" s="41"/>
      <c r="M91" s="43"/>
      <c r="N91" s="41"/>
      <c r="O91" s="41"/>
      <c r="P91" s="41"/>
      <c r="Q91" s="41"/>
      <c r="R91" s="41"/>
      <c r="S91" s="41"/>
      <c r="T91" s="43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91" s="42">
        <f ca="1">IF(Февраль[[#This Row],[УСЛУГ]]&lt;&gt;"",Февраль[[#This Row],[УСЛУГ]]*Февраль[[#This Row],[Периодичность]],"")</f>
        <v>0</v>
      </c>
    </row>
    <row r="92" spans="1:35" x14ac:dyDescent="0.25">
      <c r="A92" s="35"/>
      <c r="B92" s="36"/>
      <c r="C92" s="37">
        <v>0</v>
      </c>
      <c r="D92" s="38">
        <v>2</v>
      </c>
      <c r="E92" s="41"/>
      <c r="F92" s="43"/>
      <c r="G92" s="41"/>
      <c r="H92" s="41"/>
      <c r="I92" s="41"/>
      <c r="J92" s="41"/>
      <c r="K92" s="41"/>
      <c r="L92" s="41"/>
      <c r="M92" s="43"/>
      <c r="N92" s="41"/>
      <c r="O92" s="41"/>
      <c r="P92" s="41"/>
      <c r="Q92" s="41"/>
      <c r="R92" s="41"/>
      <c r="S92" s="41"/>
      <c r="T92" s="43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2" s="42" t="str">
        <f ca="1">IF(Февраль[[#This Row],[УСЛУГ]]&lt;&gt;"",Февраль[[#This Row],[УСЛУГ]]*Февраль[[#This Row],[Периодичность]],"")</f>
        <v/>
      </c>
    </row>
    <row r="93" spans="1:35" x14ac:dyDescent="0.25">
      <c r="A93" s="35"/>
      <c r="B93" s="36"/>
      <c r="C93" s="37">
        <v>0</v>
      </c>
      <c r="D93" s="38">
        <v>3</v>
      </c>
      <c r="E93" s="41"/>
      <c r="F93" s="43"/>
      <c r="G93" s="41"/>
      <c r="H93" s="41"/>
      <c r="I93" s="41"/>
      <c r="J93" s="41"/>
      <c r="K93" s="41"/>
      <c r="L93" s="41"/>
      <c r="M93" s="43"/>
      <c r="N93" s="41"/>
      <c r="O93" s="41"/>
      <c r="P93" s="41"/>
      <c r="Q93" s="41"/>
      <c r="R93" s="41"/>
      <c r="S93" s="41"/>
      <c r="T93" s="43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3" s="42" t="str">
        <f ca="1">IF(Февраль[[#This Row],[УСЛУГ]]&lt;&gt;"",Февраль[[#This Row],[УСЛУГ]]*Февраль[[#This Row],[Периодичность]],"")</f>
        <v/>
      </c>
    </row>
    <row r="94" spans="1:35" ht="31.5" x14ac:dyDescent="0.25">
      <c r="A94" s="35" t="s">
        <v>24</v>
      </c>
      <c r="B94" s="36"/>
      <c r="C94" s="37">
        <v>0</v>
      </c>
      <c r="D94" s="38">
        <v>1</v>
      </c>
      <c r="E94" s="41"/>
      <c r="F94" s="43"/>
      <c r="G94" s="41"/>
      <c r="H94" s="41"/>
      <c r="I94" s="41"/>
      <c r="J94" s="41"/>
      <c r="K94" s="41"/>
      <c r="L94" s="41"/>
      <c r="M94" s="43"/>
      <c r="N94" s="41"/>
      <c r="O94" s="41"/>
      <c r="P94" s="41"/>
      <c r="Q94" s="41"/>
      <c r="R94" s="41"/>
      <c r="S94" s="41"/>
      <c r="T94" s="43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94" s="42">
        <f ca="1">IF(Февраль[[#This Row],[УСЛУГ]]&lt;&gt;"",Февраль[[#This Row],[УСЛУГ]]*Февраль[[#This Row],[Периодичность]],"")</f>
        <v>0</v>
      </c>
    </row>
    <row r="95" spans="1:35" x14ac:dyDescent="0.25">
      <c r="A95" s="35"/>
      <c r="B95" s="36"/>
      <c r="C95" s="37">
        <v>0</v>
      </c>
      <c r="D95" s="38">
        <v>2</v>
      </c>
      <c r="E95" s="41"/>
      <c r="F95" s="43"/>
      <c r="G95" s="41"/>
      <c r="H95" s="41"/>
      <c r="I95" s="41"/>
      <c r="J95" s="41"/>
      <c r="K95" s="41"/>
      <c r="L95" s="41"/>
      <c r="M95" s="43"/>
      <c r="N95" s="41"/>
      <c r="O95" s="41"/>
      <c r="P95" s="41"/>
      <c r="Q95" s="41"/>
      <c r="R95" s="41"/>
      <c r="S95" s="41"/>
      <c r="T95" s="43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5" s="42" t="str">
        <f ca="1">IF(Февраль[[#This Row],[УСЛУГ]]&lt;&gt;"",Февраль[[#This Row],[УСЛУГ]]*Февраль[[#This Row],[Периодичность]],"")</f>
        <v/>
      </c>
    </row>
    <row r="96" spans="1:35" x14ac:dyDescent="0.25">
      <c r="A96" s="35"/>
      <c r="B96" s="36"/>
      <c r="C96" s="37">
        <v>0</v>
      </c>
      <c r="D96" s="38">
        <v>3</v>
      </c>
      <c r="E96" s="41"/>
      <c r="F96" s="43"/>
      <c r="G96" s="41"/>
      <c r="H96" s="41"/>
      <c r="I96" s="41"/>
      <c r="J96" s="41"/>
      <c r="K96" s="41"/>
      <c r="L96" s="41"/>
      <c r="M96" s="43"/>
      <c r="N96" s="41"/>
      <c r="O96" s="41"/>
      <c r="P96" s="41"/>
      <c r="Q96" s="41"/>
      <c r="R96" s="41"/>
      <c r="S96" s="41"/>
      <c r="T96" s="43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6" s="42" t="str">
        <f ca="1">IF(Февраль[[#This Row],[УСЛУГ]]&lt;&gt;"",Февраль[[#This Row],[УСЛУГ]]*Февраль[[#This Row],[Периодичность]],"")</f>
        <v/>
      </c>
    </row>
    <row r="97" spans="1:35" ht="31.5" x14ac:dyDescent="0.25">
      <c r="A97" s="35" t="s">
        <v>25</v>
      </c>
      <c r="B97" s="36"/>
      <c r="C97" s="37">
        <v>0</v>
      </c>
      <c r="D97" s="38">
        <v>1</v>
      </c>
      <c r="E97" s="41"/>
      <c r="F97" s="43"/>
      <c r="G97" s="41"/>
      <c r="H97" s="41"/>
      <c r="I97" s="41"/>
      <c r="J97" s="41"/>
      <c r="K97" s="41"/>
      <c r="L97" s="41"/>
      <c r="M97" s="43"/>
      <c r="N97" s="41"/>
      <c r="O97" s="41"/>
      <c r="P97" s="41"/>
      <c r="Q97" s="41"/>
      <c r="R97" s="41"/>
      <c r="S97" s="41"/>
      <c r="T97" s="43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97" s="42">
        <f ca="1">IF(Февраль[[#This Row],[УСЛУГ]]&lt;&gt;"",Февраль[[#This Row],[УСЛУГ]]*Февраль[[#This Row],[Периодичность]],"")</f>
        <v>0</v>
      </c>
    </row>
    <row r="98" spans="1:35" x14ac:dyDescent="0.25">
      <c r="A98" s="35"/>
      <c r="B98" s="36"/>
      <c r="C98" s="37">
        <v>0</v>
      </c>
      <c r="D98" s="38">
        <v>2</v>
      </c>
      <c r="E98" s="41"/>
      <c r="F98" s="43"/>
      <c r="G98" s="41"/>
      <c r="H98" s="41"/>
      <c r="I98" s="41"/>
      <c r="J98" s="41"/>
      <c r="K98" s="41"/>
      <c r="L98" s="41"/>
      <c r="M98" s="43"/>
      <c r="N98" s="41"/>
      <c r="O98" s="41"/>
      <c r="P98" s="41"/>
      <c r="Q98" s="41"/>
      <c r="R98" s="41"/>
      <c r="S98" s="41"/>
      <c r="T98" s="43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8" s="42" t="str">
        <f ca="1">IF(Февраль[[#This Row],[УСЛУГ]]&lt;&gt;"",Февраль[[#This Row],[УСЛУГ]]*Февраль[[#This Row],[Периодичность]],"")</f>
        <v/>
      </c>
    </row>
    <row r="99" spans="1:35" x14ac:dyDescent="0.25">
      <c r="A99" s="35"/>
      <c r="B99" s="36"/>
      <c r="C99" s="37">
        <v>0</v>
      </c>
      <c r="D99" s="38">
        <v>3</v>
      </c>
      <c r="E99" s="41"/>
      <c r="F99" s="43"/>
      <c r="G99" s="41"/>
      <c r="H99" s="41"/>
      <c r="I99" s="41"/>
      <c r="J99" s="41"/>
      <c r="K99" s="41"/>
      <c r="L99" s="41"/>
      <c r="M99" s="43"/>
      <c r="N99" s="41"/>
      <c r="O99" s="41"/>
      <c r="P99" s="41"/>
      <c r="Q99" s="41"/>
      <c r="R99" s="41"/>
      <c r="S99" s="41"/>
      <c r="T99" s="43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99" s="42" t="str">
        <f ca="1">IF(Февраль[[#This Row],[УСЛУГ]]&lt;&gt;"",Февраль[[#This Row],[УСЛУГ]]*Февраль[[#This Row],[Периодичность]],"")</f>
        <v/>
      </c>
    </row>
    <row r="100" spans="1:35" ht="47.25" x14ac:dyDescent="0.25">
      <c r="A100" s="35" t="s">
        <v>26</v>
      </c>
      <c r="B100" s="36"/>
      <c r="C100" s="37">
        <v>0</v>
      </c>
      <c r="D100" s="38">
        <v>1</v>
      </c>
      <c r="E100" s="41"/>
      <c r="F100" s="43"/>
      <c r="G100" s="41"/>
      <c r="H100" s="41"/>
      <c r="I100" s="41"/>
      <c r="J100" s="41"/>
      <c r="K100" s="41"/>
      <c r="L100" s="41"/>
      <c r="M100" s="43"/>
      <c r="N100" s="41"/>
      <c r="O100" s="41"/>
      <c r="P100" s="41"/>
      <c r="Q100" s="41"/>
      <c r="R100" s="41"/>
      <c r="S100" s="41"/>
      <c r="T100" s="43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00" s="42">
        <f ca="1">IF(Февраль[[#This Row],[УСЛУГ]]&lt;&gt;"",Февраль[[#This Row],[УСЛУГ]]*Февраль[[#This Row],[Периодичность]],"")</f>
        <v>0</v>
      </c>
    </row>
    <row r="101" spans="1:35" x14ac:dyDescent="0.25">
      <c r="A101" s="35"/>
      <c r="B101" s="36"/>
      <c r="C101" s="37">
        <v>0</v>
      </c>
      <c r="D101" s="38">
        <v>2</v>
      </c>
      <c r="E101" s="41"/>
      <c r="F101" s="43"/>
      <c r="G101" s="41"/>
      <c r="H101" s="41"/>
      <c r="I101" s="41"/>
      <c r="J101" s="41"/>
      <c r="K101" s="41"/>
      <c r="L101" s="41"/>
      <c r="M101" s="43"/>
      <c r="N101" s="41"/>
      <c r="O101" s="41"/>
      <c r="P101" s="41"/>
      <c r="Q101" s="41"/>
      <c r="R101" s="41"/>
      <c r="S101" s="41"/>
      <c r="T101" s="43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1" s="42" t="str">
        <f ca="1">IF(Февраль[[#This Row],[УСЛУГ]]&lt;&gt;"",Февраль[[#This Row],[УСЛУГ]]*Февраль[[#This Row],[Периодичность]],"")</f>
        <v/>
      </c>
    </row>
    <row r="102" spans="1:35" x14ac:dyDescent="0.25">
      <c r="A102" s="35"/>
      <c r="B102" s="36"/>
      <c r="C102" s="37">
        <v>0</v>
      </c>
      <c r="D102" s="38">
        <v>3</v>
      </c>
      <c r="E102" s="41"/>
      <c r="F102" s="43"/>
      <c r="G102" s="41"/>
      <c r="H102" s="41"/>
      <c r="I102" s="41"/>
      <c r="J102" s="41"/>
      <c r="K102" s="41"/>
      <c r="L102" s="41"/>
      <c r="M102" s="43"/>
      <c r="N102" s="41"/>
      <c r="O102" s="41"/>
      <c r="P102" s="41"/>
      <c r="Q102" s="41"/>
      <c r="R102" s="41"/>
      <c r="S102" s="41"/>
      <c r="T102" s="43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2" s="42" t="str">
        <f ca="1">IF(Февраль[[#This Row],[УСЛУГ]]&lt;&gt;"",Февраль[[#This Row],[УСЛУГ]]*Февраль[[#This Row],[Периодичность]],"")</f>
        <v/>
      </c>
    </row>
    <row r="103" spans="1:35" ht="31.5" x14ac:dyDescent="0.25">
      <c r="A103" s="35" t="s">
        <v>27</v>
      </c>
      <c r="B103" s="36"/>
      <c r="C103" s="37">
        <v>0</v>
      </c>
      <c r="D103" s="38">
        <v>1</v>
      </c>
      <c r="E103" s="41"/>
      <c r="F103" s="43"/>
      <c r="G103" s="41"/>
      <c r="H103" s="41"/>
      <c r="I103" s="41"/>
      <c r="J103" s="41"/>
      <c r="K103" s="41"/>
      <c r="L103" s="41"/>
      <c r="M103" s="43"/>
      <c r="N103" s="41"/>
      <c r="O103" s="41"/>
      <c r="P103" s="41"/>
      <c r="Q103" s="41"/>
      <c r="R103" s="41"/>
      <c r="S103" s="41"/>
      <c r="T103" s="43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03" s="42">
        <f ca="1">IF(Февраль[[#This Row],[УСЛУГ]]&lt;&gt;"",Февраль[[#This Row],[УСЛУГ]]*Февраль[[#This Row],[Периодичность]],"")</f>
        <v>0</v>
      </c>
    </row>
    <row r="104" spans="1:35" x14ac:dyDescent="0.25">
      <c r="A104" s="35"/>
      <c r="B104" s="36"/>
      <c r="C104" s="37">
        <v>0</v>
      </c>
      <c r="D104" s="38">
        <v>2</v>
      </c>
      <c r="E104" s="41"/>
      <c r="F104" s="43"/>
      <c r="G104" s="41"/>
      <c r="H104" s="41"/>
      <c r="I104" s="41"/>
      <c r="J104" s="41"/>
      <c r="K104" s="41"/>
      <c r="L104" s="41"/>
      <c r="M104" s="43"/>
      <c r="N104" s="41"/>
      <c r="O104" s="41"/>
      <c r="P104" s="41"/>
      <c r="Q104" s="41"/>
      <c r="R104" s="41"/>
      <c r="S104" s="41"/>
      <c r="T104" s="43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4" s="42" t="str">
        <f ca="1">IF(Февраль[[#This Row],[УСЛУГ]]&lt;&gt;"",Февраль[[#This Row],[УСЛУГ]]*Февраль[[#This Row],[Периодичность]],"")</f>
        <v/>
      </c>
    </row>
    <row r="105" spans="1:35" x14ac:dyDescent="0.25">
      <c r="A105" s="35"/>
      <c r="B105" s="36"/>
      <c r="C105" s="37">
        <v>0</v>
      </c>
      <c r="D105" s="38">
        <v>3</v>
      </c>
      <c r="E105" s="41"/>
      <c r="F105" s="43"/>
      <c r="G105" s="41"/>
      <c r="H105" s="41"/>
      <c r="I105" s="41"/>
      <c r="J105" s="41"/>
      <c r="K105" s="41"/>
      <c r="L105" s="41"/>
      <c r="M105" s="43"/>
      <c r="N105" s="41"/>
      <c r="O105" s="41"/>
      <c r="P105" s="41"/>
      <c r="Q105" s="41"/>
      <c r="R105" s="41"/>
      <c r="S105" s="41"/>
      <c r="T105" s="43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5" s="42" t="str">
        <f ca="1">IF(Февраль[[#This Row],[УСЛУГ]]&lt;&gt;"",Февраль[[#This Row],[УСЛУГ]]*Февраль[[#This Row],[Периодичность]],"")</f>
        <v/>
      </c>
    </row>
    <row r="106" spans="1:35" ht="47.25" x14ac:dyDescent="0.25">
      <c r="A106" s="35" t="s">
        <v>28</v>
      </c>
      <c r="B106" s="36"/>
      <c r="C106" s="37">
        <v>0</v>
      </c>
      <c r="D106" s="38">
        <v>1</v>
      </c>
      <c r="E106" s="41"/>
      <c r="F106" s="43"/>
      <c r="G106" s="41"/>
      <c r="H106" s="41"/>
      <c r="I106" s="41"/>
      <c r="J106" s="41"/>
      <c r="K106" s="41"/>
      <c r="L106" s="41"/>
      <c r="M106" s="43"/>
      <c r="N106" s="41"/>
      <c r="O106" s="41"/>
      <c r="P106" s="41"/>
      <c r="Q106" s="41"/>
      <c r="R106" s="41"/>
      <c r="S106" s="41"/>
      <c r="T106" s="43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06" s="42">
        <f ca="1">IF(Февраль[[#This Row],[УСЛУГ]]&lt;&gt;"",Февраль[[#This Row],[УСЛУГ]]*Февраль[[#This Row],[Периодичность]],"")</f>
        <v>0</v>
      </c>
    </row>
    <row r="107" spans="1:35" x14ac:dyDescent="0.25">
      <c r="A107" s="35"/>
      <c r="B107" s="36"/>
      <c r="C107" s="37">
        <v>0</v>
      </c>
      <c r="D107" s="38">
        <v>2</v>
      </c>
      <c r="E107" s="41"/>
      <c r="F107" s="43"/>
      <c r="G107" s="41"/>
      <c r="H107" s="41"/>
      <c r="I107" s="41"/>
      <c r="J107" s="41"/>
      <c r="K107" s="41"/>
      <c r="L107" s="41"/>
      <c r="M107" s="43"/>
      <c r="N107" s="41"/>
      <c r="O107" s="41"/>
      <c r="P107" s="41"/>
      <c r="Q107" s="41"/>
      <c r="R107" s="41"/>
      <c r="S107" s="41"/>
      <c r="T107" s="43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7" s="42" t="str">
        <f ca="1">IF(Февраль[[#This Row],[УСЛУГ]]&lt;&gt;"",Февраль[[#This Row],[УСЛУГ]]*Февраль[[#This Row],[Периодичность]],"")</f>
        <v/>
      </c>
    </row>
    <row r="108" spans="1:35" x14ac:dyDescent="0.25">
      <c r="A108" s="35"/>
      <c r="B108" s="36"/>
      <c r="C108" s="37">
        <v>0</v>
      </c>
      <c r="D108" s="38">
        <v>3</v>
      </c>
      <c r="E108" s="41"/>
      <c r="F108" s="43"/>
      <c r="G108" s="41"/>
      <c r="H108" s="41"/>
      <c r="I108" s="41"/>
      <c r="J108" s="41"/>
      <c r="K108" s="41"/>
      <c r="L108" s="41"/>
      <c r="M108" s="43"/>
      <c r="N108" s="41"/>
      <c r="O108" s="41"/>
      <c r="P108" s="41"/>
      <c r="Q108" s="41"/>
      <c r="R108" s="41"/>
      <c r="S108" s="41"/>
      <c r="T108" s="43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08" s="42" t="str">
        <f ca="1">IF(Февраль[[#This Row],[УСЛУГ]]&lt;&gt;"",Февраль[[#This Row],[УСЛУГ]]*Февраль[[#This Row],[Периодичность]],"")</f>
        <v/>
      </c>
    </row>
    <row r="109" spans="1:35" ht="31.5" x14ac:dyDescent="0.25">
      <c r="A109" s="35" t="s">
        <v>29</v>
      </c>
      <c r="B109" s="36"/>
      <c r="C109" s="37">
        <v>0</v>
      </c>
      <c r="D109" s="38">
        <v>1</v>
      </c>
      <c r="E109" s="41"/>
      <c r="F109" s="43"/>
      <c r="G109" s="41"/>
      <c r="H109" s="41"/>
      <c r="I109" s="41"/>
      <c r="J109" s="41"/>
      <c r="K109" s="41"/>
      <c r="L109" s="41"/>
      <c r="M109" s="43"/>
      <c r="N109" s="41"/>
      <c r="O109" s="41"/>
      <c r="P109" s="41"/>
      <c r="Q109" s="41"/>
      <c r="R109" s="41"/>
      <c r="S109" s="41"/>
      <c r="T109" s="43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09" s="42">
        <f ca="1">IF(Февраль[[#This Row],[УСЛУГ]]&lt;&gt;"",Февраль[[#This Row],[УСЛУГ]]*Февраль[[#This Row],[Периодичность]],"")</f>
        <v>0</v>
      </c>
    </row>
    <row r="110" spans="1:35" x14ac:dyDescent="0.25">
      <c r="A110" s="35"/>
      <c r="B110" s="36"/>
      <c r="C110" s="37">
        <v>0</v>
      </c>
      <c r="D110" s="38">
        <v>2</v>
      </c>
      <c r="E110" s="41"/>
      <c r="F110" s="43"/>
      <c r="G110" s="41"/>
      <c r="H110" s="41"/>
      <c r="I110" s="41"/>
      <c r="J110" s="41"/>
      <c r="K110" s="41"/>
      <c r="L110" s="41"/>
      <c r="M110" s="43"/>
      <c r="N110" s="41"/>
      <c r="O110" s="41"/>
      <c r="P110" s="41"/>
      <c r="Q110" s="41"/>
      <c r="R110" s="41"/>
      <c r="S110" s="41"/>
      <c r="T110" s="43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0" s="42" t="str">
        <f ca="1">IF(Февраль[[#This Row],[УСЛУГ]]&lt;&gt;"",Февраль[[#This Row],[УСЛУГ]]*Февраль[[#This Row],[Периодичность]],"")</f>
        <v/>
      </c>
    </row>
    <row r="111" spans="1:35" x14ac:dyDescent="0.25">
      <c r="A111" s="35"/>
      <c r="B111" s="36"/>
      <c r="C111" s="37">
        <v>0</v>
      </c>
      <c r="D111" s="38">
        <v>3</v>
      </c>
      <c r="E111" s="41"/>
      <c r="F111" s="43"/>
      <c r="G111" s="41"/>
      <c r="H111" s="41"/>
      <c r="I111" s="41"/>
      <c r="J111" s="41"/>
      <c r="K111" s="41"/>
      <c r="L111" s="41"/>
      <c r="M111" s="43"/>
      <c r="N111" s="41"/>
      <c r="O111" s="41"/>
      <c r="P111" s="41"/>
      <c r="Q111" s="41"/>
      <c r="R111" s="41"/>
      <c r="S111" s="41"/>
      <c r="T111" s="43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1" s="42" t="str">
        <f ca="1">IF(Февраль[[#This Row],[УСЛУГ]]&lt;&gt;"",Февраль[[#This Row],[УСЛУГ]]*Февраль[[#This Row],[Периодичность]],"")</f>
        <v/>
      </c>
    </row>
    <row r="112" spans="1:35" ht="47.25" x14ac:dyDescent="0.25">
      <c r="A112" s="35" t="s">
        <v>30</v>
      </c>
      <c r="B112" s="36"/>
      <c r="C112" s="37">
        <v>0</v>
      </c>
      <c r="D112" s="38">
        <v>1</v>
      </c>
      <c r="E112" s="41"/>
      <c r="F112" s="43"/>
      <c r="G112" s="41"/>
      <c r="H112" s="41"/>
      <c r="I112" s="41"/>
      <c r="J112" s="41"/>
      <c r="K112" s="41"/>
      <c r="L112" s="41"/>
      <c r="M112" s="43"/>
      <c r="N112" s="41"/>
      <c r="O112" s="41"/>
      <c r="P112" s="41"/>
      <c r="Q112" s="41"/>
      <c r="R112" s="41"/>
      <c r="S112" s="41"/>
      <c r="T112" s="43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12" s="42">
        <f ca="1">IF(Февраль[[#This Row],[УСЛУГ]]&lt;&gt;"",Февраль[[#This Row],[УСЛУГ]]*Февраль[[#This Row],[Периодичность]],"")</f>
        <v>0</v>
      </c>
    </row>
    <row r="113" spans="1:35" x14ac:dyDescent="0.25">
      <c r="A113" s="35"/>
      <c r="B113" s="36"/>
      <c r="C113" s="37">
        <v>0</v>
      </c>
      <c r="D113" s="38">
        <v>2</v>
      </c>
      <c r="E113" s="41"/>
      <c r="F113" s="43"/>
      <c r="G113" s="41"/>
      <c r="H113" s="41"/>
      <c r="I113" s="41"/>
      <c r="J113" s="41"/>
      <c r="K113" s="41"/>
      <c r="L113" s="41"/>
      <c r="M113" s="43"/>
      <c r="N113" s="41"/>
      <c r="O113" s="41"/>
      <c r="P113" s="41"/>
      <c r="Q113" s="41"/>
      <c r="R113" s="41"/>
      <c r="S113" s="41"/>
      <c r="T113" s="43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3" s="42" t="str">
        <f ca="1">IF(Февраль[[#This Row],[УСЛУГ]]&lt;&gt;"",Февраль[[#This Row],[УСЛУГ]]*Февраль[[#This Row],[Периодичность]],"")</f>
        <v/>
      </c>
    </row>
    <row r="114" spans="1:35" x14ac:dyDescent="0.25">
      <c r="A114" s="35"/>
      <c r="B114" s="36"/>
      <c r="C114" s="37">
        <v>0</v>
      </c>
      <c r="D114" s="38">
        <v>3</v>
      </c>
      <c r="E114" s="41"/>
      <c r="F114" s="43"/>
      <c r="G114" s="41"/>
      <c r="H114" s="41"/>
      <c r="I114" s="41"/>
      <c r="J114" s="41"/>
      <c r="K114" s="41"/>
      <c r="L114" s="41"/>
      <c r="M114" s="43"/>
      <c r="N114" s="41"/>
      <c r="O114" s="41"/>
      <c r="P114" s="41"/>
      <c r="Q114" s="41"/>
      <c r="R114" s="41"/>
      <c r="S114" s="41"/>
      <c r="T114" s="43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4" s="42" t="str">
        <f ca="1">IF(Февраль[[#This Row],[УСЛУГ]]&lt;&gt;"",Февраль[[#This Row],[УСЛУГ]]*Февраль[[#This Row],[Периодичность]],"")</f>
        <v/>
      </c>
    </row>
    <row r="115" spans="1:35" ht="47.25" x14ac:dyDescent="0.25">
      <c r="A115" s="35" t="s">
        <v>77</v>
      </c>
      <c r="B115" s="36"/>
      <c r="C115" s="37">
        <v>0</v>
      </c>
      <c r="D115" s="38">
        <v>1</v>
      </c>
      <c r="E115" s="41"/>
      <c r="F115" s="43"/>
      <c r="G115" s="41"/>
      <c r="H115" s="41"/>
      <c r="I115" s="41"/>
      <c r="J115" s="41"/>
      <c r="K115" s="41"/>
      <c r="L115" s="41"/>
      <c r="M115" s="43"/>
      <c r="N115" s="41"/>
      <c r="O115" s="41"/>
      <c r="P115" s="41"/>
      <c r="Q115" s="41"/>
      <c r="R115" s="41"/>
      <c r="S115" s="41"/>
      <c r="T115" s="43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15" s="42">
        <f ca="1">IF(Февраль[[#This Row],[УСЛУГ]]&lt;&gt;"",Февраль[[#This Row],[УСЛУГ]]*Февраль[[#This Row],[Периодичность]],"")</f>
        <v>0</v>
      </c>
    </row>
    <row r="116" spans="1:35" x14ac:dyDescent="0.25">
      <c r="A116" s="35"/>
      <c r="B116" s="36"/>
      <c r="C116" s="37">
        <v>0</v>
      </c>
      <c r="D116" s="38">
        <v>2</v>
      </c>
      <c r="E116" s="41"/>
      <c r="F116" s="43"/>
      <c r="G116" s="41"/>
      <c r="H116" s="41"/>
      <c r="I116" s="41"/>
      <c r="J116" s="41"/>
      <c r="K116" s="41"/>
      <c r="L116" s="41"/>
      <c r="M116" s="43"/>
      <c r="N116" s="41"/>
      <c r="O116" s="41"/>
      <c r="P116" s="41"/>
      <c r="Q116" s="41"/>
      <c r="R116" s="41"/>
      <c r="S116" s="41"/>
      <c r="T116" s="43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6" s="42" t="str">
        <f ca="1">IF(Февраль[[#This Row],[УСЛУГ]]&lt;&gt;"",Февраль[[#This Row],[УСЛУГ]]*Февраль[[#This Row],[Периодичность]],"")</f>
        <v/>
      </c>
    </row>
    <row r="117" spans="1:35" x14ac:dyDescent="0.25">
      <c r="A117" s="35"/>
      <c r="B117" s="36"/>
      <c r="C117" s="37">
        <v>0</v>
      </c>
      <c r="D117" s="38">
        <v>3</v>
      </c>
      <c r="E117" s="41"/>
      <c r="F117" s="43"/>
      <c r="G117" s="41"/>
      <c r="H117" s="41"/>
      <c r="I117" s="41"/>
      <c r="J117" s="41"/>
      <c r="K117" s="41"/>
      <c r="L117" s="41"/>
      <c r="M117" s="43"/>
      <c r="N117" s="41"/>
      <c r="O117" s="41"/>
      <c r="P117" s="41"/>
      <c r="Q117" s="41"/>
      <c r="R117" s="41"/>
      <c r="S117" s="41"/>
      <c r="T117" s="43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7" s="42" t="str">
        <f ca="1">IF(Февраль[[#This Row],[УСЛУГ]]&lt;&gt;"",Февраль[[#This Row],[УСЛУГ]]*Февраль[[#This Row],[Периодичность]],"")</f>
        <v/>
      </c>
    </row>
    <row r="118" spans="1:35" ht="63" x14ac:dyDescent="0.25">
      <c r="A118" s="35" t="s">
        <v>146</v>
      </c>
      <c r="B118" s="36"/>
      <c r="C118" s="37">
        <v>0</v>
      </c>
      <c r="D118" s="38">
        <v>1</v>
      </c>
      <c r="E118" s="41"/>
      <c r="F118" s="43"/>
      <c r="G118" s="41"/>
      <c r="H118" s="41"/>
      <c r="I118" s="41"/>
      <c r="J118" s="41"/>
      <c r="K118" s="41"/>
      <c r="L118" s="41"/>
      <c r="M118" s="43"/>
      <c r="N118" s="41"/>
      <c r="O118" s="41"/>
      <c r="P118" s="41"/>
      <c r="Q118" s="41"/>
      <c r="R118" s="41"/>
      <c r="S118" s="41"/>
      <c r="T118" s="43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18" s="42">
        <f ca="1">IF(Февраль[[#This Row],[УСЛУГ]]&lt;&gt;"",Февраль[[#This Row],[УСЛУГ]]*Февраль[[#This Row],[Периодичность]],"")</f>
        <v>0</v>
      </c>
    </row>
    <row r="119" spans="1:35" x14ac:dyDescent="0.25">
      <c r="A119" s="35"/>
      <c r="B119" s="36"/>
      <c r="C119" s="37">
        <v>0</v>
      </c>
      <c r="D119" s="38">
        <v>2</v>
      </c>
      <c r="E119" s="41"/>
      <c r="F119" s="43"/>
      <c r="G119" s="41"/>
      <c r="H119" s="41"/>
      <c r="I119" s="41"/>
      <c r="J119" s="41"/>
      <c r="K119" s="41"/>
      <c r="L119" s="41"/>
      <c r="M119" s="43"/>
      <c r="N119" s="41"/>
      <c r="O119" s="41"/>
      <c r="P119" s="41"/>
      <c r="Q119" s="41"/>
      <c r="R119" s="41"/>
      <c r="S119" s="41"/>
      <c r="T119" s="43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19" s="42" t="str">
        <f ca="1">IF(Февраль[[#This Row],[УСЛУГ]]&lt;&gt;"",Февраль[[#This Row],[УСЛУГ]]*Февраль[[#This Row],[Периодичность]],"")</f>
        <v/>
      </c>
    </row>
    <row r="120" spans="1:35" x14ac:dyDescent="0.25">
      <c r="A120" s="35"/>
      <c r="B120" s="36"/>
      <c r="C120" s="37">
        <v>0</v>
      </c>
      <c r="D120" s="38">
        <v>3</v>
      </c>
      <c r="E120" s="41"/>
      <c r="F120" s="43"/>
      <c r="G120" s="41"/>
      <c r="H120" s="41"/>
      <c r="I120" s="41"/>
      <c r="J120" s="41"/>
      <c r="K120" s="41"/>
      <c r="L120" s="41"/>
      <c r="M120" s="43"/>
      <c r="N120" s="41"/>
      <c r="O120" s="41"/>
      <c r="P120" s="41"/>
      <c r="Q120" s="41"/>
      <c r="R120" s="41"/>
      <c r="S120" s="41"/>
      <c r="T120" s="43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0" s="42" t="str">
        <f ca="1">IF(Февраль[[#This Row],[УСЛУГ]]&lt;&gt;"",Февраль[[#This Row],[УСЛУГ]]*Февраль[[#This Row],[Периодичность]],"")</f>
        <v/>
      </c>
    </row>
    <row r="121" spans="1:35" ht="47.25" x14ac:dyDescent="0.25">
      <c r="A121" s="35" t="s">
        <v>76</v>
      </c>
      <c r="B121" s="36"/>
      <c r="C121" s="37">
        <v>0</v>
      </c>
      <c r="D121" s="38">
        <v>1</v>
      </c>
      <c r="E121" s="41"/>
      <c r="F121" s="43"/>
      <c r="G121" s="41"/>
      <c r="H121" s="41"/>
      <c r="I121" s="41"/>
      <c r="J121" s="41"/>
      <c r="K121" s="41"/>
      <c r="L121" s="41"/>
      <c r="M121" s="43"/>
      <c r="N121" s="41"/>
      <c r="O121" s="41"/>
      <c r="P121" s="41"/>
      <c r="Q121" s="41"/>
      <c r="R121" s="41"/>
      <c r="S121" s="41"/>
      <c r="T121" s="43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21" s="42">
        <f ca="1">IF(Февраль[[#This Row],[УСЛУГ]]&lt;&gt;"",Февраль[[#This Row],[УСЛУГ]]*Февраль[[#This Row],[Периодичность]],"")</f>
        <v>0</v>
      </c>
    </row>
    <row r="122" spans="1:35" x14ac:dyDescent="0.25">
      <c r="A122" s="35"/>
      <c r="B122" s="36"/>
      <c r="C122" s="37">
        <v>0</v>
      </c>
      <c r="D122" s="38">
        <v>2</v>
      </c>
      <c r="E122" s="41"/>
      <c r="F122" s="43"/>
      <c r="G122" s="41"/>
      <c r="H122" s="41"/>
      <c r="I122" s="41"/>
      <c r="J122" s="41"/>
      <c r="K122" s="41"/>
      <c r="L122" s="41"/>
      <c r="M122" s="43"/>
      <c r="N122" s="41"/>
      <c r="O122" s="41"/>
      <c r="P122" s="41"/>
      <c r="Q122" s="41"/>
      <c r="R122" s="41"/>
      <c r="S122" s="41"/>
      <c r="T122" s="43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2" s="42" t="str">
        <f ca="1">IF(Февраль[[#This Row],[УСЛУГ]]&lt;&gt;"",Февраль[[#This Row],[УСЛУГ]]*Февраль[[#This Row],[Периодичность]],"")</f>
        <v/>
      </c>
    </row>
    <row r="123" spans="1:35" x14ac:dyDescent="0.25">
      <c r="A123" s="35"/>
      <c r="B123" s="36"/>
      <c r="C123" s="37">
        <v>0</v>
      </c>
      <c r="D123" s="38">
        <v>3</v>
      </c>
      <c r="E123" s="41"/>
      <c r="F123" s="43"/>
      <c r="G123" s="41"/>
      <c r="H123" s="41"/>
      <c r="I123" s="41"/>
      <c r="J123" s="41"/>
      <c r="K123" s="41"/>
      <c r="L123" s="41"/>
      <c r="M123" s="43"/>
      <c r="N123" s="41"/>
      <c r="O123" s="41"/>
      <c r="P123" s="41"/>
      <c r="Q123" s="41"/>
      <c r="R123" s="41"/>
      <c r="S123" s="41"/>
      <c r="T123" s="43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3" s="42" t="str">
        <f ca="1">IF(Февраль[[#This Row],[УСЛУГ]]&lt;&gt;"",Февраль[[#This Row],[УСЛУГ]]*Февраль[[#This Row],[Периодичность]],"")</f>
        <v/>
      </c>
    </row>
    <row r="124" spans="1:35" ht="47.25" x14ac:dyDescent="0.25">
      <c r="A124" s="35" t="s">
        <v>147</v>
      </c>
      <c r="B124" s="36"/>
      <c r="C124" s="37">
        <v>0</v>
      </c>
      <c r="D124" s="38">
        <v>1</v>
      </c>
      <c r="E124" s="41"/>
      <c r="F124" s="43"/>
      <c r="G124" s="41"/>
      <c r="H124" s="41"/>
      <c r="I124" s="41"/>
      <c r="J124" s="41"/>
      <c r="K124" s="41"/>
      <c r="L124" s="41"/>
      <c r="M124" s="43"/>
      <c r="N124" s="41"/>
      <c r="O124" s="41"/>
      <c r="P124" s="41"/>
      <c r="Q124" s="41"/>
      <c r="R124" s="41"/>
      <c r="S124" s="41"/>
      <c r="T124" s="43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24" s="42">
        <f ca="1">IF(Февраль[[#This Row],[УСЛУГ]]&lt;&gt;"",Февраль[[#This Row],[УСЛУГ]]*Февраль[[#This Row],[Периодичность]],"")</f>
        <v>0</v>
      </c>
    </row>
    <row r="125" spans="1:35" x14ac:dyDescent="0.25">
      <c r="A125" s="35"/>
      <c r="B125" s="36"/>
      <c r="C125" s="37">
        <v>0</v>
      </c>
      <c r="D125" s="38">
        <v>2</v>
      </c>
      <c r="E125" s="41"/>
      <c r="F125" s="43"/>
      <c r="G125" s="41"/>
      <c r="H125" s="41"/>
      <c r="I125" s="41"/>
      <c r="J125" s="41"/>
      <c r="K125" s="41"/>
      <c r="L125" s="41"/>
      <c r="M125" s="43"/>
      <c r="N125" s="41"/>
      <c r="O125" s="41"/>
      <c r="P125" s="41"/>
      <c r="Q125" s="41"/>
      <c r="R125" s="41"/>
      <c r="S125" s="41"/>
      <c r="T125" s="43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5" s="42" t="str">
        <f ca="1">IF(Февраль[[#This Row],[УСЛУГ]]&lt;&gt;"",Февраль[[#This Row],[УСЛУГ]]*Февраль[[#This Row],[Периодичность]],"")</f>
        <v/>
      </c>
    </row>
    <row r="126" spans="1:35" x14ac:dyDescent="0.25">
      <c r="A126" s="35"/>
      <c r="B126" s="36"/>
      <c r="C126" s="37">
        <v>0</v>
      </c>
      <c r="D126" s="38">
        <v>3</v>
      </c>
      <c r="E126" s="41"/>
      <c r="F126" s="43"/>
      <c r="G126" s="41"/>
      <c r="H126" s="41"/>
      <c r="I126" s="41"/>
      <c r="J126" s="41"/>
      <c r="K126" s="41"/>
      <c r="L126" s="41"/>
      <c r="M126" s="43"/>
      <c r="N126" s="41"/>
      <c r="O126" s="41"/>
      <c r="P126" s="41"/>
      <c r="Q126" s="41"/>
      <c r="R126" s="41"/>
      <c r="S126" s="41"/>
      <c r="T126" s="43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6" s="42" t="str">
        <f ca="1">IF(Февраль[[#This Row],[УСЛУГ]]&lt;&gt;"",Февраль[[#This Row],[УСЛУГ]]*Февраль[[#This Row],[Периодичность]],"")</f>
        <v/>
      </c>
    </row>
    <row r="127" spans="1:35" ht="47.25" x14ac:dyDescent="0.25">
      <c r="A127" s="35" t="s">
        <v>148</v>
      </c>
      <c r="B127" s="36"/>
      <c r="C127" s="37">
        <v>0</v>
      </c>
      <c r="D127" s="38">
        <v>1</v>
      </c>
      <c r="E127" s="41"/>
      <c r="F127" s="43"/>
      <c r="G127" s="41"/>
      <c r="H127" s="41"/>
      <c r="I127" s="41"/>
      <c r="J127" s="41"/>
      <c r="K127" s="41"/>
      <c r="L127" s="41"/>
      <c r="M127" s="43"/>
      <c r="N127" s="41"/>
      <c r="O127" s="41"/>
      <c r="P127" s="41"/>
      <c r="Q127" s="41"/>
      <c r="R127" s="41"/>
      <c r="S127" s="41"/>
      <c r="T127" s="43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27" s="42">
        <f ca="1">IF(Февраль[[#This Row],[УСЛУГ]]&lt;&gt;"",Февраль[[#This Row],[УСЛУГ]]*Февраль[[#This Row],[Периодичность]],"")</f>
        <v>0</v>
      </c>
    </row>
    <row r="128" spans="1:35" x14ac:dyDescent="0.25">
      <c r="A128" s="35"/>
      <c r="B128" s="36"/>
      <c r="C128" s="37">
        <v>0</v>
      </c>
      <c r="D128" s="38">
        <v>2</v>
      </c>
      <c r="E128" s="41"/>
      <c r="F128" s="43"/>
      <c r="G128" s="41"/>
      <c r="H128" s="41"/>
      <c r="I128" s="41"/>
      <c r="J128" s="41"/>
      <c r="K128" s="41"/>
      <c r="L128" s="41"/>
      <c r="M128" s="43"/>
      <c r="N128" s="41"/>
      <c r="O128" s="41"/>
      <c r="P128" s="41"/>
      <c r="Q128" s="41"/>
      <c r="R128" s="41"/>
      <c r="S128" s="41"/>
      <c r="T128" s="43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8" s="42" t="str">
        <f ca="1">IF(Февраль[[#This Row],[УСЛУГ]]&lt;&gt;"",Февраль[[#This Row],[УСЛУГ]]*Февраль[[#This Row],[Периодичность]],"")</f>
        <v/>
      </c>
    </row>
    <row r="129" spans="1:35" x14ac:dyDescent="0.25">
      <c r="A129" s="35"/>
      <c r="B129" s="36"/>
      <c r="C129" s="37">
        <v>0</v>
      </c>
      <c r="D129" s="38">
        <v>3</v>
      </c>
      <c r="E129" s="41"/>
      <c r="F129" s="43"/>
      <c r="G129" s="41"/>
      <c r="H129" s="41"/>
      <c r="I129" s="41"/>
      <c r="J129" s="41"/>
      <c r="K129" s="41"/>
      <c r="L129" s="41"/>
      <c r="M129" s="43"/>
      <c r="N129" s="41"/>
      <c r="O129" s="41"/>
      <c r="P129" s="41"/>
      <c r="Q129" s="41"/>
      <c r="R129" s="41"/>
      <c r="S129" s="41"/>
      <c r="T129" s="43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29" s="42" t="str">
        <f ca="1">IF(Февраль[[#This Row],[УСЛУГ]]&lt;&gt;"",Февраль[[#This Row],[УСЛУГ]]*Февраль[[#This Row],[Периодичность]],"")</f>
        <v/>
      </c>
    </row>
    <row r="130" spans="1:35" ht="31.5" x14ac:dyDescent="0.25">
      <c r="A130" s="35" t="s">
        <v>36</v>
      </c>
      <c r="B130" s="36"/>
      <c r="C130" s="37">
        <v>0</v>
      </c>
      <c r="D130" s="38">
        <v>1</v>
      </c>
      <c r="E130" s="41"/>
      <c r="F130" s="43"/>
      <c r="G130" s="41"/>
      <c r="H130" s="41"/>
      <c r="I130" s="41"/>
      <c r="J130" s="41"/>
      <c r="K130" s="41"/>
      <c r="L130" s="41"/>
      <c r="M130" s="43"/>
      <c r="N130" s="41"/>
      <c r="O130" s="41"/>
      <c r="P130" s="41"/>
      <c r="Q130" s="41"/>
      <c r="R130" s="41"/>
      <c r="S130" s="41"/>
      <c r="T130" s="43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30" s="42">
        <f ca="1">IF(Февраль[[#This Row],[УСЛУГ]]&lt;&gt;"",Февраль[[#This Row],[УСЛУГ]]*Февраль[[#This Row],[Периодичность]],"")</f>
        <v>0</v>
      </c>
    </row>
    <row r="131" spans="1:35" x14ac:dyDescent="0.25">
      <c r="A131" s="35"/>
      <c r="B131" s="36"/>
      <c r="C131" s="37">
        <v>0</v>
      </c>
      <c r="D131" s="38">
        <v>2</v>
      </c>
      <c r="E131" s="41"/>
      <c r="F131" s="43"/>
      <c r="G131" s="41"/>
      <c r="H131" s="41"/>
      <c r="I131" s="41"/>
      <c r="J131" s="41"/>
      <c r="K131" s="41"/>
      <c r="L131" s="41"/>
      <c r="M131" s="43"/>
      <c r="N131" s="41"/>
      <c r="O131" s="41"/>
      <c r="P131" s="41"/>
      <c r="Q131" s="41"/>
      <c r="R131" s="41"/>
      <c r="S131" s="41"/>
      <c r="T131" s="43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1" s="42" t="str">
        <f ca="1">IF(Февраль[[#This Row],[УСЛУГ]]&lt;&gt;"",Февраль[[#This Row],[УСЛУГ]]*Февраль[[#This Row],[Периодичность]],"")</f>
        <v/>
      </c>
    </row>
    <row r="132" spans="1:35" x14ac:dyDescent="0.25">
      <c r="A132" s="35"/>
      <c r="B132" s="36"/>
      <c r="C132" s="37">
        <v>0</v>
      </c>
      <c r="D132" s="38">
        <v>3</v>
      </c>
      <c r="E132" s="41"/>
      <c r="F132" s="43"/>
      <c r="G132" s="41"/>
      <c r="H132" s="41"/>
      <c r="I132" s="41"/>
      <c r="J132" s="41"/>
      <c r="K132" s="41"/>
      <c r="L132" s="41"/>
      <c r="M132" s="43"/>
      <c r="N132" s="41"/>
      <c r="O132" s="41"/>
      <c r="P132" s="41"/>
      <c r="Q132" s="41"/>
      <c r="R132" s="41"/>
      <c r="S132" s="41"/>
      <c r="T132" s="43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2" s="42" t="str">
        <f ca="1">IF(Февраль[[#This Row],[УСЛУГ]]&lt;&gt;"",Февраль[[#This Row],[УСЛУГ]]*Февраль[[#This Row],[Периодичность]],"")</f>
        <v/>
      </c>
    </row>
    <row r="133" spans="1:35" ht="31.5" x14ac:dyDescent="0.25">
      <c r="A133" s="35" t="s">
        <v>37</v>
      </c>
      <c r="B133" s="36"/>
      <c r="C133" s="37">
        <v>0</v>
      </c>
      <c r="D133" s="38">
        <v>1</v>
      </c>
      <c r="E133" s="41"/>
      <c r="F133" s="43"/>
      <c r="G133" s="41"/>
      <c r="H133" s="41"/>
      <c r="I133" s="41"/>
      <c r="J133" s="41"/>
      <c r="K133" s="41"/>
      <c r="L133" s="41"/>
      <c r="M133" s="43"/>
      <c r="N133" s="41"/>
      <c r="O133" s="41"/>
      <c r="P133" s="41"/>
      <c r="Q133" s="41"/>
      <c r="R133" s="41"/>
      <c r="S133" s="41"/>
      <c r="T133" s="43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33" s="42">
        <f ca="1">IF(Февраль[[#This Row],[УСЛУГ]]&lt;&gt;"",Февраль[[#This Row],[УСЛУГ]]*Февраль[[#This Row],[Периодичность]],"")</f>
        <v>0</v>
      </c>
    </row>
    <row r="134" spans="1:35" x14ac:dyDescent="0.25">
      <c r="A134" s="35"/>
      <c r="B134" s="36"/>
      <c r="C134" s="37">
        <v>0</v>
      </c>
      <c r="D134" s="38">
        <v>2</v>
      </c>
      <c r="E134" s="41"/>
      <c r="F134" s="43"/>
      <c r="G134" s="41"/>
      <c r="H134" s="41"/>
      <c r="I134" s="41"/>
      <c r="J134" s="41"/>
      <c r="K134" s="41"/>
      <c r="L134" s="41"/>
      <c r="M134" s="43"/>
      <c r="N134" s="41"/>
      <c r="O134" s="41"/>
      <c r="P134" s="41"/>
      <c r="Q134" s="41"/>
      <c r="R134" s="41"/>
      <c r="S134" s="41"/>
      <c r="T134" s="43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4" s="42" t="str">
        <f ca="1">IF(Февраль[[#This Row],[УСЛУГ]]&lt;&gt;"",Февраль[[#This Row],[УСЛУГ]]*Февраль[[#This Row],[Периодичность]],"")</f>
        <v/>
      </c>
    </row>
    <row r="135" spans="1:35" x14ac:dyDescent="0.25">
      <c r="A135" s="35"/>
      <c r="B135" s="36"/>
      <c r="C135" s="37">
        <v>0</v>
      </c>
      <c r="D135" s="38">
        <v>3</v>
      </c>
      <c r="E135" s="41"/>
      <c r="F135" s="43"/>
      <c r="G135" s="41"/>
      <c r="H135" s="41"/>
      <c r="I135" s="41"/>
      <c r="J135" s="41"/>
      <c r="K135" s="41"/>
      <c r="L135" s="41"/>
      <c r="M135" s="43"/>
      <c r="N135" s="41"/>
      <c r="O135" s="41"/>
      <c r="P135" s="41"/>
      <c r="Q135" s="41"/>
      <c r="R135" s="41"/>
      <c r="S135" s="41"/>
      <c r="T135" s="43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5" s="42" t="str">
        <f ca="1">IF(Февраль[[#This Row],[УСЛУГ]]&lt;&gt;"",Февраль[[#This Row],[УСЛУГ]]*Февраль[[#This Row],[Периодичность]],"")</f>
        <v/>
      </c>
    </row>
    <row r="136" spans="1:35" x14ac:dyDescent="0.25">
      <c r="A136" s="35" t="s">
        <v>38</v>
      </c>
      <c r="B136" s="36"/>
      <c r="C136" s="37">
        <v>0</v>
      </c>
      <c r="D136" s="38">
        <v>1</v>
      </c>
      <c r="E136" s="41"/>
      <c r="F136" s="43"/>
      <c r="G136" s="41"/>
      <c r="H136" s="41"/>
      <c r="I136" s="41"/>
      <c r="J136" s="41"/>
      <c r="K136" s="41"/>
      <c r="L136" s="41"/>
      <c r="M136" s="43"/>
      <c r="N136" s="41"/>
      <c r="O136" s="41"/>
      <c r="P136" s="41"/>
      <c r="Q136" s="41"/>
      <c r="R136" s="41"/>
      <c r="S136" s="41"/>
      <c r="T136" s="43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36" s="42">
        <f ca="1">IF(Февраль[[#This Row],[УСЛУГ]]&lt;&gt;"",Февраль[[#This Row],[УСЛУГ]]*Февраль[[#This Row],[Периодичность]],"")</f>
        <v>0</v>
      </c>
    </row>
    <row r="137" spans="1:35" x14ac:dyDescent="0.25">
      <c r="A137" s="35"/>
      <c r="B137" s="36"/>
      <c r="C137" s="37">
        <v>0</v>
      </c>
      <c r="D137" s="38">
        <v>2</v>
      </c>
      <c r="E137" s="41"/>
      <c r="F137" s="43"/>
      <c r="G137" s="41"/>
      <c r="H137" s="41"/>
      <c r="I137" s="41"/>
      <c r="J137" s="41"/>
      <c r="K137" s="41"/>
      <c r="L137" s="41"/>
      <c r="M137" s="43"/>
      <c r="N137" s="41"/>
      <c r="O137" s="41"/>
      <c r="P137" s="41"/>
      <c r="Q137" s="41"/>
      <c r="R137" s="41"/>
      <c r="S137" s="41"/>
      <c r="T137" s="43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7" s="42" t="str">
        <f ca="1">IF(Февраль[[#This Row],[УСЛУГ]]&lt;&gt;"",Февраль[[#This Row],[УСЛУГ]]*Февраль[[#This Row],[Периодичность]],"")</f>
        <v/>
      </c>
    </row>
    <row r="138" spans="1:35" x14ac:dyDescent="0.25">
      <c r="A138" s="35"/>
      <c r="B138" s="36"/>
      <c r="C138" s="37">
        <v>0</v>
      </c>
      <c r="D138" s="38">
        <v>3</v>
      </c>
      <c r="E138" s="41"/>
      <c r="F138" s="43"/>
      <c r="G138" s="41"/>
      <c r="H138" s="41"/>
      <c r="I138" s="41"/>
      <c r="J138" s="41"/>
      <c r="K138" s="41"/>
      <c r="L138" s="41"/>
      <c r="M138" s="43"/>
      <c r="N138" s="41"/>
      <c r="O138" s="41"/>
      <c r="P138" s="41"/>
      <c r="Q138" s="41"/>
      <c r="R138" s="41"/>
      <c r="S138" s="41"/>
      <c r="T138" s="43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38" s="42" t="str">
        <f ca="1">IF(Февраль[[#This Row],[УСЛУГ]]&lt;&gt;"",Февраль[[#This Row],[УСЛУГ]]*Февраль[[#This Row],[Периодичность]],"")</f>
        <v/>
      </c>
    </row>
    <row r="139" spans="1:35" ht="31.5" x14ac:dyDescent="0.25">
      <c r="A139" s="35" t="s">
        <v>39</v>
      </c>
      <c r="B139" s="36"/>
      <c r="C139" s="37">
        <v>0</v>
      </c>
      <c r="D139" s="38">
        <v>1</v>
      </c>
      <c r="E139" s="41"/>
      <c r="F139" s="43"/>
      <c r="G139" s="41"/>
      <c r="H139" s="41"/>
      <c r="I139" s="41"/>
      <c r="J139" s="41"/>
      <c r="K139" s="41"/>
      <c r="L139" s="41"/>
      <c r="M139" s="43"/>
      <c r="N139" s="41"/>
      <c r="O139" s="41"/>
      <c r="P139" s="41"/>
      <c r="Q139" s="41"/>
      <c r="R139" s="41"/>
      <c r="S139" s="41"/>
      <c r="T139" s="43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39" s="42">
        <f ca="1">IF(Февраль[[#This Row],[УСЛУГ]]&lt;&gt;"",Февраль[[#This Row],[УСЛУГ]]*Февраль[[#This Row],[Периодичность]],"")</f>
        <v>0</v>
      </c>
    </row>
    <row r="140" spans="1:35" x14ac:dyDescent="0.25">
      <c r="A140" s="35"/>
      <c r="B140" s="36"/>
      <c r="C140" s="37">
        <v>0</v>
      </c>
      <c r="D140" s="38">
        <v>2</v>
      </c>
      <c r="E140" s="41"/>
      <c r="F140" s="43"/>
      <c r="G140" s="41"/>
      <c r="H140" s="41"/>
      <c r="I140" s="41"/>
      <c r="J140" s="41"/>
      <c r="K140" s="41"/>
      <c r="L140" s="41"/>
      <c r="M140" s="43"/>
      <c r="N140" s="41"/>
      <c r="O140" s="41"/>
      <c r="P140" s="41"/>
      <c r="Q140" s="41"/>
      <c r="R140" s="41"/>
      <c r="S140" s="41"/>
      <c r="T140" s="43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0" s="42" t="str">
        <f ca="1">IF(Февраль[[#This Row],[УСЛУГ]]&lt;&gt;"",Февраль[[#This Row],[УСЛУГ]]*Февраль[[#This Row],[Периодичность]],"")</f>
        <v/>
      </c>
    </row>
    <row r="141" spans="1:35" x14ac:dyDescent="0.25">
      <c r="A141" s="35"/>
      <c r="B141" s="36"/>
      <c r="C141" s="37">
        <v>0</v>
      </c>
      <c r="D141" s="38">
        <v>3</v>
      </c>
      <c r="E141" s="41"/>
      <c r="F141" s="43"/>
      <c r="G141" s="41"/>
      <c r="H141" s="41"/>
      <c r="I141" s="41"/>
      <c r="J141" s="41"/>
      <c r="K141" s="41"/>
      <c r="L141" s="41"/>
      <c r="M141" s="43"/>
      <c r="N141" s="41"/>
      <c r="O141" s="41"/>
      <c r="P141" s="41"/>
      <c r="Q141" s="41"/>
      <c r="R141" s="41"/>
      <c r="S141" s="41"/>
      <c r="T141" s="43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1" s="42" t="str">
        <f ca="1">IF(Февраль[[#This Row],[УСЛУГ]]&lt;&gt;"",Февраль[[#This Row],[УСЛУГ]]*Февраль[[#This Row],[Периодичность]],"")</f>
        <v/>
      </c>
    </row>
    <row r="142" spans="1:35" ht="47.25" x14ac:dyDescent="0.25">
      <c r="A142" s="35" t="s">
        <v>149</v>
      </c>
      <c r="B142" s="36"/>
      <c r="C142" s="37">
        <v>0</v>
      </c>
      <c r="D142" s="38">
        <v>1</v>
      </c>
      <c r="E142" s="41"/>
      <c r="F142" s="43"/>
      <c r="G142" s="41"/>
      <c r="H142" s="41"/>
      <c r="I142" s="41"/>
      <c r="J142" s="41"/>
      <c r="K142" s="41"/>
      <c r="L142" s="41"/>
      <c r="M142" s="43"/>
      <c r="N142" s="41"/>
      <c r="O142" s="41"/>
      <c r="P142" s="41"/>
      <c r="Q142" s="41"/>
      <c r="R142" s="41"/>
      <c r="S142" s="41"/>
      <c r="T142" s="43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42" s="42">
        <f ca="1">IF(Февраль[[#This Row],[УСЛУГ]]&lt;&gt;"",Февраль[[#This Row],[УСЛУГ]]*Февраль[[#This Row],[Периодичность]],"")</f>
        <v>0</v>
      </c>
    </row>
    <row r="143" spans="1:35" x14ac:dyDescent="0.25">
      <c r="A143" s="35"/>
      <c r="B143" s="36"/>
      <c r="C143" s="37">
        <v>0</v>
      </c>
      <c r="D143" s="38">
        <v>2</v>
      </c>
      <c r="E143" s="41"/>
      <c r="F143" s="43"/>
      <c r="G143" s="41"/>
      <c r="H143" s="41"/>
      <c r="I143" s="41"/>
      <c r="J143" s="41"/>
      <c r="K143" s="41"/>
      <c r="L143" s="41"/>
      <c r="M143" s="43"/>
      <c r="N143" s="41"/>
      <c r="O143" s="41"/>
      <c r="P143" s="41"/>
      <c r="Q143" s="41"/>
      <c r="R143" s="41"/>
      <c r="S143" s="41"/>
      <c r="T143" s="43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3" s="42" t="str">
        <f ca="1">IF(Февраль[[#This Row],[УСЛУГ]]&lt;&gt;"",Февраль[[#This Row],[УСЛУГ]]*Февраль[[#This Row],[Периодичность]],"")</f>
        <v/>
      </c>
    </row>
    <row r="144" spans="1:35" x14ac:dyDescent="0.25">
      <c r="A144" s="35"/>
      <c r="B144" s="36"/>
      <c r="C144" s="37">
        <v>0</v>
      </c>
      <c r="D144" s="38">
        <v>3</v>
      </c>
      <c r="E144" s="41"/>
      <c r="F144" s="43"/>
      <c r="G144" s="41"/>
      <c r="H144" s="41"/>
      <c r="I144" s="41"/>
      <c r="J144" s="41"/>
      <c r="K144" s="41"/>
      <c r="L144" s="41"/>
      <c r="M144" s="43"/>
      <c r="N144" s="41"/>
      <c r="O144" s="41"/>
      <c r="P144" s="41"/>
      <c r="Q144" s="41"/>
      <c r="R144" s="41"/>
      <c r="S144" s="41"/>
      <c r="T144" s="43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4" s="42" t="str">
        <f ca="1">IF(Февраль[[#This Row],[УСЛУГ]]&lt;&gt;"",Февраль[[#This Row],[УСЛУГ]]*Февраль[[#This Row],[Периодичность]],"")</f>
        <v/>
      </c>
    </row>
    <row r="145" spans="1:35" ht="47.25" x14ac:dyDescent="0.25">
      <c r="A145" s="35" t="s">
        <v>150</v>
      </c>
      <c r="B145" s="36"/>
      <c r="C145" s="37">
        <v>0</v>
      </c>
      <c r="D145" s="38">
        <v>1</v>
      </c>
      <c r="E145" s="41"/>
      <c r="F145" s="43"/>
      <c r="G145" s="41"/>
      <c r="H145" s="41"/>
      <c r="I145" s="41"/>
      <c r="J145" s="41"/>
      <c r="K145" s="41"/>
      <c r="L145" s="41"/>
      <c r="M145" s="43"/>
      <c r="N145" s="41"/>
      <c r="O145" s="41"/>
      <c r="P145" s="41"/>
      <c r="Q145" s="41"/>
      <c r="R145" s="41"/>
      <c r="S145" s="41"/>
      <c r="T145" s="43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45" s="42">
        <f ca="1">IF(Февраль[[#This Row],[УСЛУГ]]&lt;&gt;"",Февраль[[#This Row],[УСЛУГ]]*Февраль[[#This Row],[Периодичность]],"")</f>
        <v>0</v>
      </c>
    </row>
    <row r="146" spans="1:35" x14ac:dyDescent="0.25">
      <c r="A146" s="35"/>
      <c r="B146" s="36"/>
      <c r="C146" s="37">
        <v>0</v>
      </c>
      <c r="D146" s="38">
        <v>2</v>
      </c>
      <c r="E146" s="41"/>
      <c r="F146" s="43"/>
      <c r="G146" s="41"/>
      <c r="H146" s="41"/>
      <c r="I146" s="41"/>
      <c r="J146" s="41"/>
      <c r="K146" s="41"/>
      <c r="L146" s="41"/>
      <c r="M146" s="43"/>
      <c r="N146" s="41"/>
      <c r="O146" s="41"/>
      <c r="P146" s="41"/>
      <c r="Q146" s="41"/>
      <c r="R146" s="41"/>
      <c r="S146" s="41"/>
      <c r="T146" s="43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6" s="42" t="str">
        <f ca="1">IF(Февраль[[#This Row],[УСЛУГ]]&lt;&gt;"",Февраль[[#This Row],[УСЛУГ]]*Февраль[[#This Row],[Периодичность]],"")</f>
        <v/>
      </c>
    </row>
    <row r="147" spans="1:35" x14ac:dyDescent="0.25">
      <c r="A147" s="35"/>
      <c r="B147" s="36"/>
      <c r="C147" s="37">
        <v>0</v>
      </c>
      <c r="D147" s="38">
        <v>3</v>
      </c>
      <c r="E147" s="41"/>
      <c r="F147" s="43"/>
      <c r="G147" s="41"/>
      <c r="H147" s="41"/>
      <c r="I147" s="41"/>
      <c r="J147" s="41"/>
      <c r="K147" s="41"/>
      <c r="L147" s="41"/>
      <c r="M147" s="43"/>
      <c r="N147" s="41"/>
      <c r="O147" s="41"/>
      <c r="P147" s="41"/>
      <c r="Q147" s="41"/>
      <c r="R147" s="41"/>
      <c r="S147" s="41"/>
      <c r="T147" s="43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7" s="42" t="str">
        <f ca="1">IF(Февраль[[#This Row],[УСЛУГ]]&lt;&gt;"",Февраль[[#This Row],[УСЛУГ]]*Февраль[[#This Row],[Периодичность]],"")</f>
        <v/>
      </c>
    </row>
    <row r="148" spans="1:35" ht="47.25" x14ac:dyDescent="0.25">
      <c r="A148" s="35" t="s">
        <v>151</v>
      </c>
      <c r="B148" s="36"/>
      <c r="C148" s="37">
        <v>0</v>
      </c>
      <c r="D148" s="38">
        <v>1</v>
      </c>
      <c r="E148" s="41"/>
      <c r="F148" s="43"/>
      <c r="G148" s="41"/>
      <c r="H148" s="41"/>
      <c r="I148" s="41"/>
      <c r="J148" s="41"/>
      <c r="K148" s="41"/>
      <c r="L148" s="41"/>
      <c r="M148" s="43"/>
      <c r="N148" s="41"/>
      <c r="O148" s="41"/>
      <c r="P148" s="41"/>
      <c r="Q148" s="41"/>
      <c r="R148" s="41"/>
      <c r="S148" s="41"/>
      <c r="T148" s="43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48" s="42">
        <f ca="1">IF(Февраль[[#This Row],[УСЛУГ]]&lt;&gt;"",Февраль[[#This Row],[УСЛУГ]]*Февраль[[#This Row],[Периодичность]],"")</f>
        <v>0</v>
      </c>
    </row>
    <row r="149" spans="1:35" x14ac:dyDescent="0.25">
      <c r="A149" s="35"/>
      <c r="B149" s="36"/>
      <c r="C149" s="37">
        <v>0</v>
      </c>
      <c r="D149" s="38">
        <v>2</v>
      </c>
      <c r="E149" s="41"/>
      <c r="F149" s="43"/>
      <c r="G149" s="41"/>
      <c r="H149" s="41"/>
      <c r="I149" s="41"/>
      <c r="J149" s="41"/>
      <c r="K149" s="41"/>
      <c r="L149" s="41"/>
      <c r="M149" s="43"/>
      <c r="N149" s="41"/>
      <c r="O149" s="41"/>
      <c r="P149" s="41"/>
      <c r="Q149" s="41"/>
      <c r="R149" s="41"/>
      <c r="S149" s="41"/>
      <c r="T149" s="43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49" s="42" t="str">
        <f ca="1">IF(Февраль[[#This Row],[УСЛУГ]]&lt;&gt;"",Февраль[[#This Row],[УСЛУГ]]*Февраль[[#This Row],[Периодичность]],"")</f>
        <v/>
      </c>
    </row>
    <row r="150" spans="1:35" x14ac:dyDescent="0.25">
      <c r="A150" s="35"/>
      <c r="B150" s="36"/>
      <c r="C150" s="37">
        <v>0</v>
      </c>
      <c r="D150" s="38">
        <v>3</v>
      </c>
      <c r="E150" s="41"/>
      <c r="F150" s="43"/>
      <c r="G150" s="41"/>
      <c r="H150" s="41"/>
      <c r="I150" s="41"/>
      <c r="J150" s="41"/>
      <c r="K150" s="41"/>
      <c r="L150" s="41"/>
      <c r="M150" s="43"/>
      <c r="N150" s="41"/>
      <c r="O150" s="41"/>
      <c r="P150" s="41"/>
      <c r="Q150" s="41"/>
      <c r="R150" s="41"/>
      <c r="S150" s="41"/>
      <c r="T150" s="43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0" s="42" t="str">
        <f ca="1">IF(Февраль[[#This Row],[УСЛУГ]]&lt;&gt;"",Февраль[[#This Row],[УСЛУГ]]*Февраль[[#This Row],[Периодичность]],"")</f>
        <v/>
      </c>
    </row>
    <row r="151" spans="1:35" ht="47.25" x14ac:dyDescent="0.25">
      <c r="A151" s="35" t="s">
        <v>75</v>
      </c>
      <c r="B151" s="36"/>
      <c r="C151" s="37">
        <v>0</v>
      </c>
      <c r="D151" s="38">
        <v>1</v>
      </c>
      <c r="E151" s="41"/>
      <c r="F151" s="43"/>
      <c r="G151" s="41"/>
      <c r="H151" s="41"/>
      <c r="I151" s="41"/>
      <c r="J151" s="41"/>
      <c r="K151" s="41"/>
      <c r="L151" s="41"/>
      <c r="M151" s="43"/>
      <c r="N151" s="41"/>
      <c r="O151" s="41"/>
      <c r="P151" s="41"/>
      <c r="Q151" s="41"/>
      <c r="R151" s="41"/>
      <c r="S151" s="41"/>
      <c r="T151" s="43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51" s="42">
        <f ca="1">IF(Февраль[[#This Row],[УСЛУГ]]&lt;&gt;"",Февраль[[#This Row],[УСЛУГ]]*Февраль[[#This Row],[Периодичность]],"")</f>
        <v>0</v>
      </c>
    </row>
    <row r="152" spans="1:35" x14ac:dyDescent="0.25">
      <c r="A152" s="35"/>
      <c r="B152" s="36"/>
      <c r="C152" s="37">
        <v>0</v>
      </c>
      <c r="D152" s="38">
        <v>2</v>
      </c>
      <c r="E152" s="41"/>
      <c r="F152" s="43"/>
      <c r="G152" s="41"/>
      <c r="H152" s="41"/>
      <c r="I152" s="41"/>
      <c r="J152" s="41"/>
      <c r="K152" s="41"/>
      <c r="L152" s="41"/>
      <c r="M152" s="43"/>
      <c r="N152" s="41"/>
      <c r="O152" s="41"/>
      <c r="P152" s="41"/>
      <c r="Q152" s="41"/>
      <c r="R152" s="41"/>
      <c r="S152" s="41"/>
      <c r="T152" s="43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2" s="42" t="str">
        <f ca="1">IF(Февраль[[#This Row],[УСЛУГ]]&lt;&gt;"",Февраль[[#This Row],[УСЛУГ]]*Февраль[[#This Row],[Периодичность]],"")</f>
        <v/>
      </c>
    </row>
    <row r="153" spans="1:35" x14ac:dyDescent="0.25">
      <c r="A153" s="35"/>
      <c r="B153" s="36"/>
      <c r="C153" s="37">
        <v>0</v>
      </c>
      <c r="D153" s="38">
        <v>3</v>
      </c>
      <c r="E153" s="41"/>
      <c r="F153" s="43"/>
      <c r="G153" s="41"/>
      <c r="H153" s="41"/>
      <c r="I153" s="41"/>
      <c r="J153" s="41"/>
      <c r="K153" s="41"/>
      <c r="L153" s="41"/>
      <c r="M153" s="43"/>
      <c r="N153" s="41"/>
      <c r="O153" s="41"/>
      <c r="P153" s="41"/>
      <c r="Q153" s="41"/>
      <c r="R153" s="41"/>
      <c r="S153" s="41"/>
      <c r="T153" s="43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3" s="42" t="str">
        <f ca="1">IF(Февраль[[#This Row],[УСЛУГ]]&lt;&gt;"",Февраль[[#This Row],[УСЛУГ]]*Февраль[[#This Row],[Периодичность]],"")</f>
        <v/>
      </c>
    </row>
    <row r="154" spans="1:35" ht="47.25" x14ac:dyDescent="0.25">
      <c r="A154" s="35" t="s">
        <v>74</v>
      </c>
      <c r="B154" s="36"/>
      <c r="C154" s="37">
        <v>0</v>
      </c>
      <c r="D154" s="38">
        <v>1</v>
      </c>
      <c r="E154" s="41"/>
      <c r="F154" s="43"/>
      <c r="G154" s="41"/>
      <c r="H154" s="41"/>
      <c r="I154" s="41"/>
      <c r="J154" s="41"/>
      <c r="K154" s="41"/>
      <c r="L154" s="41"/>
      <c r="M154" s="43"/>
      <c r="N154" s="41"/>
      <c r="O154" s="41"/>
      <c r="P154" s="41"/>
      <c r="Q154" s="41"/>
      <c r="R154" s="41"/>
      <c r="S154" s="41"/>
      <c r="T154" s="43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54" s="42">
        <f ca="1">IF(Февраль[[#This Row],[УСЛУГ]]&lt;&gt;"",Февраль[[#This Row],[УСЛУГ]]*Февраль[[#This Row],[Периодичность]],"")</f>
        <v>0</v>
      </c>
    </row>
    <row r="155" spans="1:35" x14ac:dyDescent="0.25">
      <c r="A155" s="35"/>
      <c r="B155" s="36"/>
      <c r="C155" s="37">
        <v>0</v>
      </c>
      <c r="D155" s="38">
        <v>2</v>
      </c>
      <c r="E155" s="41"/>
      <c r="F155" s="43"/>
      <c r="G155" s="41"/>
      <c r="H155" s="41"/>
      <c r="I155" s="41"/>
      <c r="J155" s="41"/>
      <c r="K155" s="41"/>
      <c r="L155" s="41"/>
      <c r="M155" s="43"/>
      <c r="N155" s="41"/>
      <c r="O155" s="41"/>
      <c r="P155" s="41"/>
      <c r="Q155" s="41"/>
      <c r="R155" s="41"/>
      <c r="S155" s="41"/>
      <c r="T155" s="43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5" s="42" t="str">
        <f ca="1">IF(Февраль[[#This Row],[УСЛУГ]]&lt;&gt;"",Февраль[[#This Row],[УСЛУГ]]*Февраль[[#This Row],[Периодичность]],"")</f>
        <v/>
      </c>
    </row>
    <row r="156" spans="1:35" x14ac:dyDescent="0.25">
      <c r="A156" s="35"/>
      <c r="B156" s="36"/>
      <c r="C156" s="37">
        <v>0</v>
      </c>
      <c r="D156" s="38">
        <v>3</v>
      </c>
      <c r="E156" s="41"/>
      <c r="F156" s="43"/>
      <c r="G156" s="41"/>
      <c r="H156" s="41"/>
      <c r="I156" s="41"/>
      <c r="J156" s="41"/>
      <c r="K156" s="41"/>
      <c r="L156" s="41"/>
      <c r="M156" s="43"/>
      <c r="N156" s="41"/>
      <c r="O156" s="41"/>
      <c r="P156" s="41"/>
      <c r="Q156" s="41"/>
      <c r="R156" s="41"/>
      <c r="S156" s="41"/>
      <c r="T156" s="43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6" s="42" t="str">
        <f ca="1">IF(Февраль[[#This Row],[УСЛУГ]]&lt;&gt;"",Февраль[[#This Row],[УСЛУГ]]*Февраль[[#This Row],[Периодичность]],"")</f>
        <v/>
      </c>
    </row>
    <row r="157" spans="1:35" ht="47.25" x14ac:dyDescent="0.25">
      <c r="A157" s="35" t="s">
        <v>152</v>
      </c>
      <c r="B157" s="36"/>
      <c r="C157" s="37">
        <v>0</v>
      </c>
      <c r="D157" s="38">
        <v>1</v>
      </c>
      <c r="E157" s="41"/>
      <c r="F157" s="43"/>
      <c r="G157" s="41"/>
      <c r="H157" s="41"/>
      <c r="I157" s="41"/>
      <c r="J157" s="41"/>
      <c r="K157" s="41"/>
      <c r="L157" s="41"/>
      <c r="M157" s="43"/>
      <c r="N157" s="41"/>
      <c r="O157" s="41"/>
      <c r="P157" s="41"/>
      <c r="Q157" s="41"/>
      <c r="R157" s="41"/>
      <c r="S157" s="41"/>
      <c r="T157" s="43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57" s="42">
        <f ca="1">IF(Февраль[[#This Row],[УСЛУГ]]&lt;&gt;"",Февраль[[#This Row],[УСЛУГ]]*Февраль[[#This Row],[Периодичность]],"")</f>
        <v>0</v>
      </c>
    </row>
    <row r="158" spans="1:35" x14ac:dyDescent="0.25">
      <c r="A158" s="35"/>
      <c r="B158" s="36"/>
      <c r="C158" s="37">
        <v>0</v>
      </c>
      <c r="D158" s="38">
        <v>2</v>
      </c>
      <c r="E158" s="41"/>
      <c r="F158" s="43"/>
      <c r="G158" s="41"/>
      <c r="H158" s="41"/>
      <c r="I158" s="41"/>
      <c r="J158" s="41"/>
      <c r="K158" s="41"/>
      <c r="L158" s="41"/>
      <c r="M158" s="43"/>
      <c r="N158" s="41"/>
      <c r="O158" s="41"/>
      <c r="P158" s="41"/>
      <c r="Q158" s="41"/>
      <c r="R158" s="41"/>
      <c r="S158" s="41"/>
      <c r="T158" s="43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8" s="42" t="str">
        <f ca="1">IF(Февраль[[#This Row],[УСЛУГ]]&lt;&gt;"",Февраль[[#This Row],[УСЛУГ]]*Февраль[[#This Row],[Периодичность]],"")</f>
        <v/>
      </c>
    </row>
    <row r="159" spans="1:35" x14ac:dyDescent="0.25">
      <c r="A159" s="35"/>
      <c r="B159" s="36"/>
      <c r="C159" s="37">
        <v>0</v>
      </c>
      <c r="D159" s="38">
        <v>3</v>
      </c>
      <c r="E159" s="41"/>
      <c r="F159" s="43"/>
      <c r="G159" s="41"/>
      <c r="H159" s="41"/>
      <c r="I159" s="41"/>
      <c r="J159" s="41"/>
      <c r="K159" s="41"/>
      <c r="L159" s="41"/>
      <c r="M159" s="43"/>
      <c r="N159" s="41"/>
      <c r="O159" s="41"/>
      <c r="P159" s="41"/>
      <c r="Q159" s="41"/>
      <c r="R159" s="41"/>
      <c r="S159" s="41"/>
      <c r="T159" s="43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59" s="42" t="str">
        <f ca="1">IF(Февраль[[#This Row],[УСЛУГ]]&lt;&gt;"",Февраль[[#This Row],[УСЛУГ]]*Февраль[[#This Row],[Периодичность]],"")</f>
        <v/>
      </c>
    </row>
    <row r="160" spans="1:35" ht="47.25" x14ac:dyDescent="0.25">
      <c r="A160" s="35" t="s">
        <v>153</v>
      </c>
      <c r="B160" s="36"/>
      <c r="C160" s="37">
        <v>0</v>
      </c>
      <c r="D160" s="38">
        <v>1</v>
      </c>
      <c r="E160" s="41"/>
      <c r="F160" s="43"/>
      <c r="G160" s="41"/>
      <c r="H160" s="41"/>
      <c r="I160" s="41"/>
      <c r="J160" s="41"/>
      <c r="K160" s="41"/>
      <c r="L160" s="41"/>
      <c r="M160" s="43"/>
      <c r="N160" s="41"/>
      <c r="O160" s="41"/>
      <c r="P160" s="41"/>
      <c r="Q160" s="41"/>
      <c r="R160" s="41"/>
      <c r="S160" s="41"/>
      <c r="T160" s="43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60" s="42">
        <f ca="1">IF(Февраль[[#This Row],[УСЛУГ]]&lt;&gt;"",Февраль[[#This Row],[УСЛУГ]]*Февраль[[#This Row],[Периодичность]],"")</f>
        <v>0</v>
      </c>
    </row>
    <row r="161" spans="1:35" x14ac:dyDescent="0.25">
      <c r="A161" s="35"/>
      <c r="B161" s="36"/>
      <c r="C161" s="37">
        <v>0</v>
      </c>
      <c r="D161" s="38">
        <v>2</v>
      </c>
      <c r="E161" s="41"/>
      <c r="F161" s="43"/>
      <c r="G161" s="41"/>
      <c r="H161" s="41"/>
      <c r="I161" s="41"/>
      <c r="J161" s="41"/>
      <c r="K161" s="41"/>
      <c r="L161" s="41"/>
      <c r="M161" s="43"/>
      <c r="N161" s="41"/>
      <c r="O161" s="41"/>
      <c r="P161" s="41"/>
      <c r="Q161" s="41"/>
      <c r="R161" s="41"/>
      <c r="S161" s="41"/>
      <c r="T161" s="43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1" s="42" t="str">
        <f ca="1">IF(Февраль[[#This Row],[УСЛУГ]]&lt;&gt;"",Февраль[[#This Row],[УСЛУГ]]*Февраль[[#This Row],[Периодичность]],"")</f>
        <v/>
      </c>
    </row>
    <row r="162" spans="1:35" x14ac:dyDescent="0.25">
      <c r="A162" s="35"/>
      <c r="B162" s="36"/>
      <c r="C162" s="37">
        <v>0</v>
      </c>
      <c r="D162" s="38">
        <v>3</v>
      </c>
      <c r="E162" s="41"/>
      <c r="F162" s="43"/>
      <c r="G162" s="41"/>
      <c r="H162" s="41"/>
      <c r="I162" s="41"/>
      <c r="J162" s="41"/>
      <c r="K162" s="41"/>
      <c r="L162" s="41"/>
      <c r="M162" s="43"/>
      <c r="N162" s="41"/>
      <c r="O162" s="41"/>
      <c r="P162" s="41"/>
      <c r="Q162" s="41"/>
      <c r="R162" s="41"/>
      <c r="S162" s="41"/>
      <c r="T162" s="43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2" s="42" t="str">
        <f ca="1">IF(Февраль[[#This Row],[УСЛУГ]]&lt;&gt;"",Февраль[[#This Row],[УСЛУГ]]*Февраль[[#This Row],[Периодичность]],"")</f>
        <v/>
      </c>
    </row>
    <row r="163" spans="1:35" ht="47.25" x14ac:dyDescent="0.25">
      <c r="A163" s="35" t="s">
        <v>154</v>
      </c>
      <c r="B163" s="36"/>
      <c r="C163" s="37">
        <v>0</v>
      </c>
      <c r="D163" s="38">
        <v>1</v>
      </c>
      <c r="E163" s="41"/>
      <c r="F163" s="43"/>
      <c r="G163" s="41"/>
      <c r="H163" s="41"/>
      <c r="I163" s="41"/>
      <c r="J163" s="41"/>
      <c r="K163" s="41"/>
      <c r="L163" s="41"/>
      <c r="M163" s="43"/>
      <c r="N163" s="41"/>
      <c r="O163" s="41"/>
      <c r="P163" s="41"/>
      <c r="Q163" s="41"/>
      <c r="R163" s="41"/>
      <c r="S163" s="41"/>
      <c r="T163" s="43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63" s="42">
        <f ca="1">IF(Февраль[[#This Row],[УСЛУГ]]&lt;&gt;"",Февраль[[#This Row],[УСЛУГ]]*Февраль[[#This Row],[Периодичность]],"")</f>
        <v>0</v>
      </c>
    </row>
    <row r="164" spans="1:35" x14ac:dyDescent="0.25">
      <c r="A164" s="35"/>
      <c r="B164" s="36"/>
      <c r="C164" s="37">
        <v>0</v>
      </c>
      <c r="D164" s="38">
        <v>2</v>
      </c>
      <c r="E164" s="41"/>
      <c r="F164" s="43"/>
      <c r="G164" s="41"/>
      <c r="H164" s="41"/>
      <c r="I164" s="41"/>
      <c r="J164" s="41"/>
      <c r="K164" s="41"/>
      <c r="L164" s="41"/>
      <c r="M164" s="43"/>
      <c r="N164" s="41"/>
      <c r="O164" s="41"/>
      <c r="P164" s="41"/>
      <c r="Q164" s="41"/>
      <c r="R164" s="41"/>
      <c r="S164" s="41"/>
      <c r="T164" s="43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4" s="42" t="str">
        <f ca="1">IF(Февраль[[#This Row],[УСЛУГ]]&lt;&gt;"",Февраль[[#This Row],[УСЛУГ]]*Февраль[[#This Row],[Периодичность]],"")</f>
        <v/>
      </c>
    </row>
    <row r="165" spans="1:35" x14ac:dyDescent="0.25">
      <c r="A165" s="35"/>
      <c r="B165" s="36"/>
      <c r="C165" s="37">
        <v>0</v>
      </c>
      <c r="D165" s="38">
        <v>3</v>
      </c>
      <c r="E165" s="41"/>
      <c r="F165" s="43"/>
      <c r="G165" s="41"/>
      <c r="H165" s="41"/>
      <c r="I165" s="41"/>
      <c r="J165" s="41"/>
      <c r="K165" s="41"/>
      <c r="L165" s="41"/>
      <c r="M165" s="43"/>
      <c r="N165" s="41"/>
      <c r="O165" s="41"/>
      <c r="P165" s="41"/>
      <c r="Q165" s="41"/>
      <c r="R165" s="41"/>
      <c r="S165" s="41"/>
      <c r="T165" s="43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5" s="42" t="str">
        <f ca="1">IF(Февраль[[#This Row],[УСЛУГ]]&lt;&gt;"",Февраль[[#This Row],[УСЛУГ]]*Февраль[[#This Row],[Периодичность]],"")</f>
        <v/>
      </c>
    </row>
    <row r="166" spans="1:35" ht="47.25" x14ac:dyDescent="0.25">
      <c r="A166" s="35" t="s">
        <v>73</v>
      </c>
      <c r="B166" s="36"/>
      <c r="C166" s="37">
        <v>0</v>
      </c>
      <c r="D166" s="38">
        <v>1</v>
      </c>
      <c r="E166" s="41"/>
      <c r="F166" s="43"/>
      <c r="G166" s="41"/>
      <c r="H166" s="41"/>
      <c r="I166" s="41"/>
      <c r="J166" s="41"/>
      <c r="K166" s="41"/>
      <c r="L166" s="41"/>
      <c r="M166" s="43"/>
      <c r="N166" s="41"/>
      <c r="O166" s="41"/>
      <c r="P166" s="41"/>
      <c r="Q166" s="41"/>
      <c r="R166" s="41"/>
      <c r="S166" s="41"/>
      <c r="T166" s="43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66" s="42">
        <f ca="1">IF(Февраль[[#This Row],[УСЛУГ]]&lt;&gt;"",Февраль[[#This Row],[УСЛУГ]]*Февраль[[#This Row],[Периодичность]],"")</f>
        <v>0</v>
      </c>
    </row>
    <row r="167" spans="1:35" x14ac:dyDescent="0.25">
      <c r="A167" s="35"/>
      <c r="B167" s="36"/>
      <c r="C167" s="37">
        <v>0</v>
      </c>
      <c r="D167" s="38">
        <v>2</v>
      </c>
      <c r="E167" s="41"/>
      <c r="F167" s="43"/>
      <c r="G167" s="41"/>
      <c r="H167" s="41"/>
      <c r="I167" s="41"/>
      <c r="J167" s="41"/>
      <c r="K167" s="41"/>
      <c r="L167" s="41"/>
      <c r="M167" s="43"/>
      <c r="N167" s="41"/>
      <c r="O167" s="41"/>
      <c r="P167" s="41"/>
      <c r="Q167" s="41"/>
      <c r="R167" s="41"/>
      <c r="S167" s="41"/>
      <c r="T167" s="43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7" s="42" t="str">
        <f ca="1">IF(Февраль[[#This Row],[УСЛУГ]]&lt;&gt;"",Февраль[[#This Row],[УСЛУГ]]*Февраль[[#This Row],[Периодичность]],"")</f>
        <v/>
      </c>
    </row>
    <row r="168" spans="1:35" x14ac:dyDescent="0.25">
      <c r="A168" s="35"/>
      <c r="B168" s="36"/>
      <c r="C168" s="37">
        <v>0</v>
      </c>
      <c r="D168" s="38">
        <v>3</v>
      </c>
      <c r="E168" s="41"/>
      <c r="F168" s="43"/>
      <c r="G168" s="41"/>
      <c r="H168" s="41"/>
      <c r="I168" s="41"/>
      <c r="J168" s="41"/>
      <c r="K168" s="41"/>
      <c r="L168" s="41"/>
      <c r="M168" s="43"/>
      <c r="N168" s="41"/>
      <c r="O168" s="41"/>
      <c r="P168" s="41"/>
      <c r="Q168" s="41"/>
      <c r="R168" s="41"/>
      <c r="S168" s="41"/>
      <c r="T168" s="43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68" s="42" t="str">
        <f ca="1">IF(Февраль[[#This Row],[УСЛУГ]]&lt;&gt;"",Февраль[[#This Row],[УСЛУГ]]*Февраль[[#This Row],[Периодичность]],"")</f>
        <v/>
      </c>
    </row>
    <row r="169" spans="1:35" ht="47.25" x14ac:dyDescent="0.25">
      <c r="A169" s="35" t="s">
        <v>155</v>
      </c>
      <c r="B169" s="36"/>
      <c r="C169" s="37">
        <v>0</v>
      </c>
      <c r="D169" s="38">
        <v>1</v>
      </c>
      <c r="E169" s="41"/>
      <c r="F169" s="43"/>
      <c r="G169" s="41"/>
      <c r="H169" s="41"/>
      <c r="I169" s="41"/>
      <c r="J169" s="41"/>
      <c r="K169" s="41"/>
      <c r="L169" s="41"/>
      <c r="M169" s="43"/>
      <c r="N169" s="41"/>
      <c r="O169" s="41"/>
      <c r="P169" s="41"/>
      <c r="Q169" s="41"/>
      <c r="R169" s="41"/>
      <c r="S169" s="41"/>
      <c r="T169" s="43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69" s="42">
        <f ca="1">IF(Февраль[[#This Row],[УСЛУГ]]&lt;&gt;"",Февраль[[#This Row],[УСЛУГ]]*Февраль[[#This Row],[Периодичность]],"")</f>
        <v>0</v>
      </c>
    </row>
    <row r="170" spans="1:35" x14ac:dyDescent="0.25">
      <c r="A170" s="35"/>
      <c r="B170" s="36"/>
      <c r="C170" s="37">
        <v>0</v>
      </c>
      <c r="D170" s="38">
        <v>2</v>
      </c>
      <c r="E170" s="41"/>
      <c r="F170" s="43"/>
      <c r="G170" s="41"/>
      <c r="H170" s="41"/>
      <c r="I170" s="41"/>
      <c r="J170" s="41"/>
      <c r="K170" s="41"/>
      <c r="L170" s="41"/>
      <c r="M170" s="43"/>
      <c r="N170" s="41"/>
      <c r="O170" s="41"/>
      <c r="P170" s="41"/>
      <c r="Q170" s="41"/>
      <c r="R170" s="41"/>
      <c r="S170" s="41"/>
      <c r="T170" s="43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70" s="42" t="str">
        <f ca="1">IF(Февраль[[#This Row],[УСЛУГ]]&lt;&gt;"",Февраль[[#This Row],[УСЛУГ]]*Февраль[[#This Row],[Периодичность]],"")</f>
        <v/>
      </c>
    </row>
    <row r="171" spans="1:35" x14ac:dyDescent="0.25">
      <c r="A171" s="35"/>
      <c r="B171" s="36"/>
      <c r="C171" s="37">
        <v>0</v>
      </c>
      <c r="D171" s="38">
        <v>3</v>
      </c>
      <c r="E171" s="41"/>
      <c r="F171" s="43"/>
      <c r="G171" s="41"/>
      <c r="H171" s="41"/>
      <c r="I171" s="41"/>
      <c r="J171" s="41"/>
      <c r="K171" s="41"/>
      <c r="L171" s="41"/>
      <c r="M171" s="43"/>
      <c r="N171" s="41"/>
      <c r="O171" s="41"/>
      <c r="P171" s="41"/>
      <c r="Q171" s="41"/>
      <c r="R171" s="41"/>
      <c r="S171" s="41"/>
      <c r="T171" s="43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71" s="42" t="str">
        <f ca="1">IF(Февраль[[#This Row],[УСЛУГ]]&lt;&gt;"",Февраль[[#This Row],[УСЛУГ]]*Февраль[[#This Row],[Периодичность]],"")</f>
        <v/>
      </c>
    </row>
    <row r="172" spans="1:35" ht="47.25" x14ac:dyDescent="0.25">
      <c r="A172" s="35" t="s">
        <v>72</v>
      </c>
      <c r="B172" s="36"/>
      <c r="C172" s="37">
        <v>0</v>
      </c>
      <c r="D172" s="38">
        <v>1</v>
      </c>
      <c r="E172" s="41"/>
      <c r="F172" s="43"/>
      <c r="G172" s="41"/>
      <c r="H172" s="41"/>
      <c r="I172" s="41"/>
      <c r="J172" s="41"/>
      <c r="K172" s="41"/>
      <c r="L172" s="41"/>
      <c r="M172" s="43"/>
      <c r="N172" s="41"/>
      <c r="O172" s="41"/>
      <c r="P172" s="41"/>
      <c r="Q172" s="41"/>
      <c r="R172" s="41"/>
      <c r="S172" s="41"/>
      <c r="T172" s="43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2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>0</v>
      </c>
      <c r="AI172" s="42">
        <f ca="1">IF(Февраль[[#This Row],[УСЛУГ]]&lt;&gt;"",Февраль[[#This Row],[УСЛУГ]]*Февраль[[#This Row],[Периодичность]],"")</f>
        <v>0</v>
      </c>
    </row>
    <row r="173" spans="1:35" x14ac:dyDescent="0.25">
      <c r="A173" s="35"/>
      <c r="B173" s="36"/>
      <c r="C173" s="37">
        <v>0</v>
      </c>
      <c r="D173" s="38">
        <v>2</v>
      </c>
      <c r="E173" s="41"/>
      <c r="F173" s="43"/>
      <c r="G173" s="41"/>
      <c r="H173" s="41"/>
      <c r="I173" s="41"/>
      <c r="J173" s="41"/>
      <c r="K173" s="41"/>
      <c r="L173" s="41"/>
      <c r="M173" s="43"/>
      <c r="N173" s="41"/>
      <c r="O173" s="41"/>
      <c r="P173" s="41"/>
      <c r="Q173" s="41"/>
      <c r="R173" s="41"/>
      <c r="S173" s="41"/>
      <c r="T173" s="43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73" s="42" t="str">
        <f ca="1">IF(Февраль[[#This Row],[УСЛУГ]]&lt;&gt;"",Февраль[[#This Row],[УСЛУГ]]*Февраль[[#This Row],[Периодичность]],"")</f>
        <v/>
      </c>
    </row>
    <row r="174" spans="1:35" x14ac:dyDescent="0.25">
      <c r="A174" s="35"/>
      <c r="B174" s="36"/>
      <c r="C174" s="37">
        <v>0</v>
      </c>
      <c r="D174" s="38">
        <v>3</v>
      </c>
      <c r="E174" s="41"/>
      <c r="F174" s="43"/>
      <c r="G174" s="41"/>
      <c r="H174" s="41"/>
      <c r="I174" s="41"/>
      <c r="J174" s="41"/>
      <c r="K174" s="41"/>
      <c r="L174" s="41"/>
      <c r="M174" s="43"/>
      <c r="N174" s="41"/>
      <c r="O174" s="41"/>
      <c r="P174" s="41"/>
      <c r="Q174" s="41"/>
      <c r="R174" s="41"/>
      <c r="S174" s="41"/>
      <c r="T174" s="43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2" t="str">
        <f ca="1">IF(OFFSET(Февраль[[#This Row],[№]],1,)=2,IF(OFFSET(Февраль[[#This Row],[№]],2,)=3,SUM(Февраль[[#This Row],[1]:[29]])+SUM(OFFSET(Февраль[[#This Row],[1]:[29]],1,))+SUM(OFFSET(Февраль[[#This Row],[1]:[29]],2,)),SUM(Февраль[[#This Row],[1]:[29]])+SUM(OFFSET(Февраль[[#This Row],[1]:[29]],1,))),IF(OFFSET(Февраль[[#This Row],[№]],2,)=3,SUM(Февраль[[#This Row],[1]:[29]])+SUM(OFFSET(Февраль[[#This Row],[1]:[29]],2,)),""))</f>
        <v/>
      </c>
      <c r="AI174" s="42" t="str">
        <f ca="1">IF(Февраль[[#This Row],[УСЛУГ]]&lt;&gt;"",Февраль[[#This Row],[УСЛУГ]]*Февраль[[#This Row],[Периодичность]],"")</f>
        <v/>
      </c>
    </row>
  </sheetData>
  <mergeCells count="20">
    <mergeCell ref="AI7:AI11"/>
    <mergeCell ref="A19:A23"/>
    <mergeCell ref="B19:C23"/>
    <mergeCell ref="D19:D23"/>
    <mergeCell ref="AI19:AI23"/>
    <mergeCell ref="A7:A11"/>
    <mergeCell ref="B7:B11"/>
    <mergeCell ref="C7:C11"/>
    <mergeCell ref="D7:D11"/>
    <mergeCell ref="E10:AG11"/>
    <mergeCell ref="E7:AG8"/>
    <mergeCell ref="AH7:AH11"/>
    <mergeCell ref="E22:AG23"/>
    <mergeCell ref="E19:AG20"/>
    <mergeCell ref="AH19:AH23"/>
    <mergeCell ref="A2:AJ2"/>
    <mergeCell ref="A3:AJ3"/>
    <mergeCell ref="J4:L4"/>
    <mergeCell ref="M4:U4"/>
    <mergeCell ref="M5:Q5"/>
  </mergeCells>
  <conditionalFormatting sqref="I9:AG9 E9 I21:AG21 E21">
    <cfRule type="expression" dxfId="1079" priority="2">
      <formula>WEEKDAY(E9:AG9,2)&gt;5</formula>
    </cfRule>
  </conditionalFormatting>
  <conditionalFormatting sqref="F9:H9 F21:H21">
    <cfRule type="expression" dxfId="1078" priority="6">
      <formula>WEEKDAY(F9:AG9,2)&gt;5</formula>
    </cfRule>
  </conditionalFormatting>
  <dataValidations count="2">
    <dataValidation type="list" allowBlank="1" showInputMessage="1" showErrorMessage="1" sqref="D25:D174">
      <formula1>INDIRECT("Посещения")</formula1>
    </dataValidation>
    <dataValidation type="list" allowBlank="1" showInputMessage="1" showErrorMessage="1" sqref="A25:A174">
      <formula1>INDIRECT("Услуги[Кратко]")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Height="0" orientation="landscape" horizontalDpi="300" verticalDpi="300" r:id="rId1"/>
  <ignoredErrors>
    <ignoredError sqref="E13:E17 AH17:AI17 B13:B17" calculatedColumn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74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8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8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8" ht="18.75" x14ac:dyDescent="0.25">
      <c r="L5" s="12" t="s">
        <v>69</v>
      </c>
      <c r="M5" s="68" t="s">
        <v>134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54"/>
      <c r="B7" s="62" t="s">
        <v>115</v>
      </c>
      <c r="C7" s="62" t="s">
        <v>114</v>
      </c>
      <c r="D7" s="63" t="s">
        <v>61</v>
      </c>
      <c r="E7" s="48" t="s">
        <v>55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/>
      <c r="AJ7" s="44" t="s">
        <v>64</v>
      </c>
      <c r="AK7" s="45" t="s">
        <v>64</v>
      </c>
    </row>
    <row r="8" spans="1:38" x14ac:dyDescent="0.25">
      <c r="A8" s="54"/>
      <c r="B8" s="57"/>
      <c r="C8" s="57"/>
      <c r="D8" s="64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60"/>
      <c r="AJ8" s="44"/>
      <c r="AK8" s="46"/>
    </row>
    <row r="9" spans="1:38" x14ac:dyDescent="0.25">
      <c r="A9" s="54"/>
      <c r="B9" s="57"/>
      <c r="C9" s="57"/>
      <c r="D9" s="64"/>
      <c r="E9" s="23">
        <f>Настройки!E9</f>
        <v>44986</v>
      </c>
      <c r="F9" s="23">
        <f>Настройки!F9</f>
        <v>44987</v>
      </c>
      <c r="G9" s="23">
        <f>Настройки!G9</f>
        <v>44988</v>
      </c>
      <c r="H9" s="23">
        <f>Настройки!H9</f>
        <v>44989</v>
      </c>
      <c r="I9" s="23">
        <f>Настройки!I9</f>
        <v>44990</v>
      </c>
      <c r="J9" s="23">
        <f>Настройки!J9</f>
        <v>44991</v>
      </c>
      <c r="K9" s="23">
        <f>Настройки!K9</f>
        <v>44992</v>
      </c>
      <c r="L9" s="23">
        <f>Настройки!L9</f>
        <v>44993</v>
      </c>
      <c r="M9" s="23">
        <f>Настройки!M9</f>
        <v>44994</v>
      </c>
      <c r="N9" s="23">
        <f>Настройки!N9</f>
        <v>44995</v>
      </c>
      <c r="O9" s="23">
        <f>Настройки!O9</f>
        <v>44996</v>
      </c>
      <c r="P9" s="23">
        <f>Настройки!P9</f>
        <v>44997</v>
      </c>
      <c r="Q9" s="23">
        <f>Настройки!Q9</f>
        <v>44998</v>
      </c>
      <c r="R9" s="23">
        <f>Настройки!R9</f>
        <v>44999</v>
      </c>
      <c r="S9" s="23">
        <f>Настройки!S9</f>
        <v>45000</v>
      </c>
      <c r="T9" s="23">
        <f>Настройки!T9</f>
        <v>45001</v>
      </c>
      <c r="U9" s="23">
        <f>Настройки!U9</f>
        <v>45002</v>
      </c>
      <c r="V9" s="23">
        <f>Настройки!V9</f>
        <v>45003</v>
      </c>
      <c r="W9" s="23">
        <f>Настройки!W9</f>
        <v>45004</v>
      </c>
      <c r="X9" s="23">
        <f>Настройки!X9</f>
        <v>45005</v>
      </c>
      <c r="Y9" s="23">
        <f>Настройки!Y9</f>
        <v>45006</v>
      </c>
      <c r="Z9" s="23">
        <f>Настройки!Z9</f>
        <v>45007</v>
      </c>
      <c r="AA9" s="23">
        <f>Настройки!AA9</f>
        <v>45008</v>
      </c>
      <c r="AB9" s="23">
        <f>Настройки!AB9</f>
        <v>45009</v>
      </c>
      <c r="AC9" s="23">
        <f>Настройки!AC9</f>
        <v>45010</v>
      </c>
      <c r="AD9" s="23">
        <f>Настройки!AD9</f>
        <v>45011</v>
      </c>
      <c r="AE9" s="23">
        <f>Настройки!AE9</f>
        <v>45012</v>
      </c>
      <c r="AF9" s="23">
        <f>Настройки!AF9</f>
        <v>45013</v>
      </c>
      <c r="AG9" s="23">
        <f>Настройки!AG9</f>
        <v>45014</v>
      </c>
      <c r="AH9" s="23">
        <f>Настройки!AH9</f>
        <v>45015</v>
      </c>
      <c r="AI9" s="23">
        <f>Настройки!AI9</f>
        <v>45016</v>
      </c>
      <c r="AJ9" s="44"/>
      <c r="AK9" s="46"/>
    </row>
    <row r="10" spans="1:38" x14ac:dyDescent="0.25">
      <c r="A10" s="54"/>
      <c r="B10" s="57"/>
      <c r="C10" s="57"/>
      <c r="D10" s="64"/>
      <c r="E10" s="48" t="s">
        <v>54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44"/>
      <c r="AK10" s="46"/>
    </row>
    <row r="11" spans="1:38" x14ac:dyDescent="0.25">
      <c r="A11" s="62"/>
      <c r="B11" s="57"/>
      <c r="C11" s="57"/>
      <c r="D11" s="64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3"/>
      <c r="AJ11" s="44"/>
      <c r="AK11" s="47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SUMPRODUCT((Настройки!$E$23:$AI$23=1)*E16:AI16)</f>
        <v>0</v>
      </c>
      <c r="D13" s="5">
        <v>1</v>
      </c>
      <c r="E13" s="30">
        <f>SUMPRODUCT((Март[№]=1)*Март[1],Март[Периодичность])</f>
        <v>0</v>
      </c>
      <c r="F13" s="30">
        <f>SUMPRODUCT((Март[№]=1)*Март[2],Март[Периодичность])</f>
        <v>0</v>
      </c>
      <c r="G13" s="30">
        <f>SUMPRODUCT((Март[№]=1)*Март[3],Март[Периодичность])</f>
        <v>0</v>
      </c>
      <c r="H13" s="30">
        <f>SUMPRODUCT((Март[№]=1)*Март[4],Март[Периодичность])</f>
        <v>0</v>
      </c>
      <c r="I13" s="30">
        <f>SUMPRODUCT((Март[№]=1)*Март[5],Март[Периодичность])</f>
        <v>0</v>
      </c>
      <c r="J13" s="30">
        <f>SUMPRODUCT((Март[№]=1)*Март[6],Март[Периодичность])</f>
        <v>0</v>
      </c>
      <c r="K13" s="30">
        <f>SUMPRODUCT((Март[№]=1)*Март[7],Март[Периодичность])</f>
        <v>0</v>
      </c>
      <c r="L13" s="30">
        <f>SUMPRODUCT((Март[№]=1)*Март[8],Март[Периодичность])</f>
        <v>0</v>
      </c>
      <c r="M13" s="30">
        <f>SUMPRODUCT((Март[№]=1)*Март[9],Март[Периодичность])</f>
        <v>0</v>
      </c>
      <c r="N13" s="30">
        <f>SUMPRODUCT((Март[№]=1)*Март[10],Март[Периодичность])</f>
        <v>0</v>
      </c>
      <c r="O13" s="30">
        <f>SUMPRODUCT((Март[№]=1)*Март[11],Март[Периодичность])</f>
        <v>0</v>
      </c>
      <c r="P13" s="30">
        <f>SUMPRODUCT((Март[№]=1)*Март[12],Март[Периодичность])</f>
        <v>0</v>
      </c>
      <c r="Q13" s="30">
        <f>SUMPRODUCT((Март[№]=1)*Март[13],Март[Периодичность])</f>
        <v>0</v>
      </c>
      <c r="R13" s="30">
        <f>SUMPRODUCT((Март[№]=1)*Март[14],Март[Периодичность])</f>
        <v>0</v>
      </c>
      <c r="S13" s="30">
        <f>SUMPRODUCT((Март[№]=1)*Март[15],Март[Периодичность])</f>
        <v>0</v>
      </c>
      <c r="T13" s="30">
        <f>SUMPRODUCT((Март[№]=1)*Март[16],Март[Периодичность])</f>
        <v>0</v>
      </c>
      <c r="U13" s="30">
        <f>SUMPRODUCT((Март[№]=1)*Март[17],Март[Периодичность])</f>
        <v>0</v>
      </c>
      <c r="V13" s="30">
        <f>SUMPRODUCT((Март[№]=1)*Март[18],Март[Периодичность])</f>
        <v>0</v>
      </c>
      <c r="W13" s="30">
        <f>SUMPRODUCT((Март[№]=1)*Март[19],Март[Периодичность])</f>
        <v>0</v>
      </c>
      <c r="X13" s="30">
        <f>SUMPRODUCT((Март[№]=1)*Март[20],Март[Периодичность])</f>
        <v>0</v>
      </c>
      <c r="Y13" s="30">
        <f>SUMPRODUCT((Март[№]=1)*Март[21],Март[Периодичность])</f>
        <v>0</v>
      </c>
      <c r="Z13" s="30">
        <f>SUMPRODUCT((Март[№]=1)*Март[22],Март[Периодичность])</f>
        <v>0</v>
      </c>
      <c r="AA13" s="30">
        <f>SUMPRODUCT((Март[№]=1)*Март[23],Март[Периодичность])</f>
        <v>0</v>
      </c>
      <c r="AB13" s="30">
        <f>SUMPRODUCT((Март[№]=1)*Март[24],Март[Периодичность])</f>
        <v>0</v>
      </c>
      <c r="AC13" s="30">
        <f>SUMPRODUCT((Март[№]=1)*Март[25],Март[Периодичность])</f>
        <v>0</v>
      </c>
      <c r="AD13" s="30">
        <f>SUMPRODUCT((Март[№]=1)*Март[26],Март[Периодичность])</f>
        <v>0</v>
      </c>
      <c r="AE13" s="30">
        <f>SUMPRODUCT((Март[№]=1)*Март[27],Март[Периодичность])</f>
        <v>0</v>
      </c>
      <c r="AF13" s="30">
        <f>SUMPRODUCT((Март[№]=1)*Март[28],Март[Периодичность])</f>
        <v>0</v>
      </c>
      <c r="AG13" s="30">
        <f>SUMPRODUCT((Март[№]=1)*Март[29],Март[Периодичность])</f>
        <v>0</v>
      </c>
      <c r="AH13" s="30">
        <f>SUMPRODUCT((Март[№]=1)*Март[30],Март[Периодичность])</f>
        <v>0</v>
      </c>
      <c r="AI13" s="30">
        <f>SUMPRODUCT((Март[№]=1)*Март[31],Март[Периодичность])</f>
        <v>0</v>
      </c>
      <c r="AL13" s="4"/>
    </row>
    <row r="14" spans="1:38" x14ac:dyDescent="0.25">
      <c r="B14" s="3">
        <f>SUMPRODUCT((Настройки!$E$23:$AI$23=2)*E16:AI16)</f>
        <v>0</v>
      </c>
      <c r="D14" s="5">
        <v>2</v>
      </c>
      <c r="E14" s="30">
        <f>SUMPRODUCT((Март[№]=2)*Март[1],Март[Периодичность])</f>
        <v>0</v>
      </c>
      <c r="F14" s="30">
        <f>SUMPRODUCT((Март[№]=2)*Март[2],Март[Периодичность])</f>
        <v>0</v>
      </c>
      <c r="G14" s="30">
        <f>SUMPRODUCT((Март[№]=2)*Март[3],Март[Периодичность])</f>
        <v>0</v>
      </c>
      <c r="H14" s="30">
        <f>SUMPRODUCT((Март[№]=2)*Март[4],Март[Периодичность])</f>
        <v>0</v>
      </c>
      <c r="I14" s="30">
        <f>SUMPRODUCT((Март[№]=2)*Март[5],Март[Периодичность])</f>
        <v>0</v>
      </c>
      <c r="J14" s="30">
        <f>SUMPRODUCT((Март[№]=2)*Март[6],Март[Периодичность])</f>
        <v>0</v>
      </c>
      <c r="K14" s="30">
        <f>SUMPRODUCT((Март[№]=2)*Март[7],Март[Периодичность])</f>
        <v>0</v>
      </c>
      <c r="L14" s="30">
        <f>SUMPRODUCT((Март[№]=2)*Март[8],Март[Периодичность])</f>
        <v>0</v>
      </c>
      <c r="M14" s="30">
        <f>SUMPRODUCT((Март[№]=2)*Март[9],Март[Периодичность])</f>
        <v>0</v>
      </c>
      <c r="N14" s="30">
        <f>SUMPRODUCT((Март[№]=2)*Март[10],Март[Периодичность])</f>
        <v>0</v>
      </c>
      <c r="O14" s="30">
        <f>SUMPRODUCT((Март[№]=2)*Март[11],Март[Периодичность])</f>
        <v>0</v>
      </c>
      <c r="P14" s="30">
        <f>SUMPRODUCT((Март[№]=2)*Март[12],Март[Периодичность])</f>
        <v>0</v>
      </c>
      <c r="Q14" s="30">
        <f>SUMPRODUCT((Март[№]=2)*Март[13],Март[Периодичность])</f>
        <v>0</v>
      </c>
      <c r="R14" s="30">
        <f>SUMPRODUCT((Март[№]=2)*Март[14],Март[Периодичность])</f>
        <v>0</v>
      </c>
      <c r="S14" s="30">
        <f>SUMPRODUCT((Март[№]=2)*Март[15],Март[Периодичность])</f>
        <v>0</v>
      </c>
      <c r="T14" s="30">
        <f>SUMPRODUCT((Март[№]=2)*Март[16],Март[Периодичность])</f>
        <v>0</v>
      </c>
      <c r="U14" s="30">
        <f>SUMPRODUCT((Март[№]=2)*Март[17],Март[Периодичность])</f>
        <v>0</v>
      </c>
      <c r="V14" s="30">
        <f>SUMPRODUCT((Март[№]=2)*Март[18],Март[Периодичность])</f>
        <v>0</v>
      </c>
      <c r="W14" s="30">
        <f>SUMPRODUCT((Март[№]=2)*Март[19],Март[Периодичность])</f>
        <v>0</v>
      </c>
      <c r="X14" s="30">
        <f>SUMPRODUCT((Март[№]=2)*Март[20],Март[Периодичность])</f>
        <v>0</v>
      </c>
      <c r="Y14" s="30">
        <f>SUMPRODUCT((Март[№]=2)*Март[21],Март[Периодичность])</f>
        <v>0</v>
      </c>
      <c r="Z14" s="30">
        <f>SUMPRODUCT((Март[№]=2)*Март[22],Март[Периодичность])</f>
        <v>0</v>
      </c>
      <c r="AA14" s="30">
        <f>SUMPRODUCT((Март[№]=2)*Март[23],Март[Периодичность])</f>
        <v>0</v>
      </c>
      <c r="AB14" s="30">
        <f>SUMPRODUCT((Март[№]=2)*Март[24],Март[Периодичность])</f>
        <v>0</v>
      </c>
      <c r="AC14" s="30">
        <f>SUMPRODUCT((Март[№]=2)*Март[25],Март[Периодичность])</f>
        <v>0</v>
      </c>
      <c r="AD14" s="30">
        <f>SUMPRODUCT((Март[№]=2)*Март[26],Март[Периодичность])</f>
        <v>0</v>
      </c>
      <c r="AE14" s="30">
        <f>SUMPRODUCT((Март[№]=2)*Март[27],Март[Периодичность])</f>
        <v>0</v>
      </c>
      <c r="AF14" s="30">
        <f>SUMPRODUCT((Март[№]=2)*Март[28],Март[Периодичность])</f>
        <v>0</v>
      </c>
      <c r="AG14" s="30">
        <f>SUMPRODUCT((Март[№]=2)*Март[29],Март[Периодичность])</f>
        <v>0</v>
      </c>
      <c r="AH14" s="30">
        <f>SUMPRODUCT((Март[№]=2)*Март[30],Март[Периодичность])</f>
        <v>0</v>
      </c>
      <c r="AI14" s="30">
        <f>SUMPRODUCT((Март[№]=2)*Март[31],Март[Периодичность])</f>
        <v>0</v>
      </c>
      <c r="AL14" s="4"/>
    </row>
    <row r="15" spans="1:38" x14ac:dyDescent="0.25">
      <c r="B15" s="3">
        <f>SUMPRODUCT((Настройки!$E$23:$AI$23=3)*E16:AI16)</f>
        <v>0</v>
      </c>
      <c r="D15" s="5">
        <v>3</v>
      </c>
      <c r="E15" s="30">
        <f>SUMPRODUCT((Март[№]=3)*Март[1],Март[Периодичность])</f>
        <v>0</v>
      </c>
      <c r="F15" s="30">
        <f>SUMPRODUCT((Март[№]=3)*Март[2],Март[Периодичность])</f>
        <v>0</v>
      </c>
      <c r="G15" s="30">
        <f>SUMPRODUCT((Март[№]=3)*Март[3],Март[Периодичность])</f>
        <v>0</v>
      </c>
      <c r="H15" s="30">
        <f>SUMPRODUCT((Март[№]=3)*Март[4],Март[Периодичность])</f>
        <v>0</v>
      </c>
      <c r="I15" s="30">
        <f>SUMPRODUCT((Март[№]=3)*Март[5],Март[Периодичность])</f>
        <v>0</v>
      </c>
      <c r="J15" s="30">
        <f>SUMPRODUCT((Март[№]=3)*Март[6],Март[Периодичность])</f>
        <v>0</v>
      </c>
      <c r="K15" s="30">
        <f>SUMPRODUCT((Март[№]=3)*Март[7],Март[Периодичность])</f>
        <v>0</v>
      </c>
      <c r="L15" s="30">
        <f>SUMPRODUCT((Март[№]=3)*Март[8],Март[Периодичность])</f>
        <v>0</v>
      </c>
      <c r="M15" s="30">
        <f>SUMPRODUCT((Март[№]=3)*Март[9],Март[Периодичность])</f>
        <v>0</v>
      </c>
      <c r="N15" s="30">
        <f>SUMPRODUCT((Март[№]=3)*Март[10],Март[Периодичность])</f>
        <v>0</v>
      </c>
      <c r="O15" s="30">
        <f>SUMPRODUCT((Март[№]=3)*Март[11],Март[Периодичность])</f>
        <v>0</v>
      </c>
      <c r="P15" s="30">
        <f>SUMPRODUCT((Март[№]=3)*Март[12],Март[Периодичность])</f>
        <v>0</v>
      </c>
      <c r="Q15" s="30">
        <f>SUMPRODUCT((Март[№]=3)*Март[13],Март[Периодичность])</f>
        <v>0</v>
      </c>
      <c r="R15" s="30">
        <f>SUMPRODUCT((Март[№]=3)*Март[14],Март[Периодичность])</f>
        <v>0</v>
      </c>
      <c r="S15" s="30">
        <f>SUMPRODUCT((Март[№]=3)*Март[15],Март[Периодичность])</f>
        <v>0</v>
      </c>
      <c r="T15" s="30">
        <f>SUMPRODUCT((Март[№]=3)*Март[16],Март[Периодичность])</f>
        <v>0</v>
      </c>
      <c r="U15" s="30">
        <f>SUMPRODUCT((Март[№]=3)*Март[17],Март[Периодичность])</f>
        <v>0</v>
      </c>
      <c r="V15" s="30">
        <f>SUMPRODUCT((Март[№]=3)*Март[18],Март[Периодичность])</f>
        <v>0</v>
      </c>
      <c r="W15" s="30">
        <f>SUMPRODUCT((Март[№]=3)*Март[19],Март[Периодичность])</f>
        <v>0</v>
      </c>
      <c r="X15" s="30">
        <f>SUMPRODUCT((Март[№]=3)*Март[20],Март[Периодичность])</f>
        <v>0</v>
      </c>
      <c r="Y15" s="30">
        <f>SUMPRODUCT((Март[№]=3)*Март[21],Март[Периодичность])</f>
        <v>0</v>
      </c>
      <c r="Z15" s="30">
        <f>SUMPRODUCT((Март[№]=3)*Март[22],Март[Периодичность])</f>
        <v>0</v>
      </c>
      <c r="AA15" s="30">
        <f>SUMPRODUCT((Март[№]=3)*Март[23],Март[Периодичность])</f>
        <v>0</v>
      </c>
      <c r="AB15" s="30">
        <f>SUMPRODUCT((Март[№]=3)*Март[24],Март[Периодичность])</f>
        <v>0</v>
      </c>
      <c r="AC15" s="30">
        <f>SUMPRODUCT((Март[№]=3)*Март[25],Март[Периодичность])</f>
        <v>0</v>
      </c>
      <c r="AD15" s="30">
        <f>SUMPRODUCT((Март[№]=3)*Март[26],Март[Периодичность])</f>
        <v>0</v>
      </c>
      <c r="AE15" s="30">
        <f>SUMPRODUCT((Март[№]=3)*Март[27],Март[Периодичность])</f>
        <v>0</v>
      </c>
      <c r="AF15" s="30">
        <f>SUMPRODUCT((Март[№]=3)*Март[28],Март[Периодичность])</f>
        <v>0</v>
      </c>
      <c r="AG15" s="30">
        <f>SUMPRODUCT((Март[№]=3)*Март[29],Март[Периодичность])</f>
        <v>0</v>
      </c>
      <c r="AH15" s="30">
        <f>SUMPRODUCT((Март[№]=3)*Март[30],Март[Периодичность])</f>
        <v>0</v>
      </c>
      <c r="AI15" s="30">
        <f>SUMPRODUCT((Март[№]=3)*Март[31],Март[Периодичность])</f>
        <v>0</v>
      </c>
      <c r="AK15" s="11"/>
    </row>
    <row r="16" spans="1:38" ht="22.5" customHeight="1" x14ac:dyDescent="0.25">
      <c r="B16" s="3">
        <f>SUMPRODUCT((Настройки!$E$23:$AI$23=4)*E16:AI16)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SUMPRODUCT((Настройки!$E$23:$AI$23=5)*E16:AI16)</f>
        <v>0</v>
      </c>
      <c r="C17" s="5">
        <f>МартИтоги[[#This Row],[№]]*60</f>
        <v>0</v>
      </c>
      <c r="D17" s="7">
        <f>SUM(МартИтоги[[#This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SUM(Март[УСЛУГ])</f>
        <v>0</v>
      </c>
      <c r="AK17" s="11">
        <f ca="1">SUM(Март[МИНУТ])</f>
        <v>0</v>
      </c>
    </row>
    <row r="18" spans="1:37" ht="20.25" customHeight="1" x14ac:dyDescent="0.25"/>
    <row r="19" spans="1:37" ht="22.5" customHeight="1" x14ac:dyDescent="0.25">
      <c r="A19" s="54" t="s">
        <v>52</v>
      </c>
      <c r="B19" s="54" t="s">
        <v>53</v>
      </c>
      <c r="C19" s="55"/>
      <c r="D19" s="56" t="s">
        <v>61</v>
      </c>
      <c r="E19" s="48" t="s">
        <v>55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50"/>
      <c r="AJ19" s="44" t="s">
        <v>64</v>
      </c>
      <c r="AK19" s="45" t="s">
        <v>64</v>
      </c>
    </row>
    <row r="20" spans="1:37" ht="18" customHeight="1" x14ac:dyDescent="0.25">
      <c r="A20" s="54"/>
      <c r="B20" s="54"/>
      <c r="C20" s="55"/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60"/>
      <c r="AJ20" s="44"/>
      <c r="AK20" s="46"/>
    </row>
    <row r="21" spans="1:37" ht="21.75" customHeight="1" x14ac:dyDescent="0.25">
      <c r="A21" s="54"/>
      <c r="B21" s="54"/>
      <c r="C21" s="55"/>
      <c r="D21" s="57"/>
      <c r="E21" s="26">
        <f>Настройки!E9</f>
        <v>44986</v>
      </c>
      <c r="F21" s="26">
        <f>Настройки!F9</f>
        <v>44987</v>
      </c>
      <c r="G21" s="26">
        <f>Настройки!G9</f>
        <v>44988</v>
      </c>
      <c r="H21" s="26">
        <f>Настройки!H9</f>
        <v>44989</v>
      </c>
      <c r="I21" s="26">
        <f>Настройки!I9</f>
        <v>44990</v>
      </c>
      <c r="J21" s="26">
        <f>Настройки!J9</f>
        <v>44991</v>
      </c>
      <c r="K21" s="26">
        <f>Настройки!K9</f>
        <v>44992</v>
      </c>
      <c r="L21" s="26">
        <f>Настройки!L9</f>
        <v>44993</v>
      </c>
      <c r="M21" s="26">
        <f>Настройки!M9</f>
        <v>44994</v>
      </c>
      <c r="N21" s="26">
        <f>Настройки!N9</f>
        <v>44995</v>
      </c>
      <c r="O21" s="26">
        <f>Настройки!O9</f>
        <v>44996</v>
      </c>
      <c r="P21" s="26">
        <f>Настройки!P9</f>
        <v>44997</v>
      </c>
      <c r="Q21" s="26">
        <f>Настройки!Q9</f>
        <v>44998</v>
      </c>
      <c r="R21" s="26">
        <f>Настройки!R9</f>
        <v>44999</v>
      </c>
      <c r="S21" s="26">
        <f>Настройки!S9</f>
        <v>45000</v>
      </c>
      <c r="T21" s="26">
        <f>Настройки!T9</f>
        <v>45001</v>
      </c>
      <c r="U21" s="26">
        <f>Настройки!U9</f>
        <v>45002</v>
      </c>
      <c r="V21" s="26">
        <f>Настройки!V9</f>
        <v>45003</v>
      </c>
      <c r="W21" s="26">
        <f>Настройки!W9</f>
        <v>45004</v>
      </c>
      <c r="X21" s="26">
        <f>Настройки!X9</f>
        <v>45005</v>
      </c>
      <c r="Y21" s="26">
        <f>Настройки!Y9</f>
        <v>45006</v>
      </c>
      <c r="Z21" s="26">
        <f>Настройки!Z9</f>
        <v>45007</v>
      </c>
      <c r="AA21" s="26">
        <f>Настройки!AA9</f>
        <v>45008</v>
      </c>
      <c r="AB21" s="26">
        <f>Настройки!AB9</f>
        <v>45009</v>
      </c>
      <c r="AC21" s="26">
        <f>Настройки!AC9</f>
        <v>45010</v>
      </c>
      <c r="AD21" s="26">
        <f>Настройки!AD9</f>
        <v>45011</v>
      </c>
      <c r="AE21" s="26">
        <f>Настройки!AE9</f>
        <v>45012</v>
      </c>
      <c r="AF21" s="26">
        <f>Настройки!AF9</f>
        <v>45013</v>
      </c>
      <c r="AG21" s="26">
        <f>Настройки!AG9</f>
        <v>45014</v>
      </c>
      <c r="AH21" s="26">
        <f>Настройки!AH9</f>
        <v>45015</v>
      </c>
      <c r="AI21" s="26">
        <f>Настройки!AI9</f>
        <v>45016</v>
      </c>
      <c r="AJ21" s="44"/>
      <c r="AK21" s="46"/>
    </row>
    <row r="22" spans="1:37" x14ac:dyDescent="0.25">
      <c r="A22" s="54"/>
      <c r="B22" s="54"/>
      <c r="C22" s="55"/>
      <c r="D22" s="57"/>
      <c r="E22" s="54" t="s">
        <v>54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61"/>
      <c r="AJ22" s="44"/>
      <c r="AK22" s="46"/>
    </row>
    <row r="23" spans="1:37" x14ac:dyDescent="0.25">
      <c r="A23" s="54"/>
      <c r="B23" s="54"/>
      <c r="C23" s="55"/>
      <c r="D23" s="57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61"/>
      <c r="AJ23" s="44"/>
      <c r="AK23" s="47"/>
    </row>
    <row r="24" spans="1:37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112</v>
      </c>
      <c r="AI24" s="3" t="s">
        <v>121</v>
      </c>
      <c r="AJ24" s="3" t="s">
        <v>62</v>
      </c>
      <c r="AK24" s="3" t="s">
        <v>63</v>
      </c>
    </row>
    <row r="25" spans="1:37" ht="31.5" x14ac:dyDescent="0.25">
      <c r="A25" s="16" t="s">
        <v>1</v>
      </c>
      <c r="B25" s="2"/>
      <c r="C25" s="8">
        <v>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25" s="5">
        <f ca="1">IF(Март[[#This Row],[УСЛУГ]]&lt;&gt;"",Март[[#This Row],[УСЛУГ]]*Март[[#This Row],[Периодичность]],"")</f>
        <v>0</v>
      </c>
    </row>
    <row r="26" spans="1:37" x14ac:dyDescent="0.25">
      <c r="A26" s="16"/>
      <c r="B26" s="2"/>
      <c r="C26" s="8">
        <v>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26" s="5" t="str">
        <f ca="1">IF(Март[[#This Row],[УСЛУГ]]&lt;&gt;"",Март[[#This Row],[УСЛУГ]]*Март[[#This Row],[Периодичность]],"")</f>
        <v/>
      </c>
    </row>
    <row r="27" spans="1:37" x14ac:dyDescent="0.25">
      <c r="A27" s="16"/>
      <c r="B27" s="2"/>
      <c r="C27" s="8">
        <v>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27" s="5" t="str">
        <f ca="1">IF(Март[[#This Row],[УСЛУГ]]&lt;&gt;"",Март[[#This Row],[УСЛУГ]]*Март[[#This Row],[Периодичность]],"")</f>
        <v/>
      </c>
    </row>
    <row r="28" spans="1:37" ht="47.25" x14ac:dyDescent="0.25">
      <c r="A28" s="35" t="s">
        <v>2</v>
      </c>
      <c r="B28" s="36"/>
      <c r="C28" s="37">
        <v>0</v>
      </c>
      <c r="D28" s="38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28" s="29">
        <f ca="1">IF(Март[[#This Row],[УСЛУГ]]&lt;&gt;"",Март[[#This Row],[УСЛУГ]]*Март[[#This Row],[Периодичность]],"")</f>
        <v>0</v>
      </c>
    </row>
    <row r="29" spans="1:37" ht="18.75" x14ac:dyDescent="0.25">
      <c r="A29" s="35"/>
      <c r="B29" s="36"/>
      <c r="C29" s="37">
        <v>0</v>
      </c>
      <c r="D29" s="38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29" s="29" t="str">
        <f ca="1">IF(Март[[#This Row],[УСЛУГ]]&lt;&gt;"",Март[[#This Row],[УСЛУГ]]*Март[[#This Row],[Периодичность]],"")</f>
        <v/>
      </c>
    </row>
    <row r="30" spans="1:37" x14ac:dyDescent="0.25">
      <c r="A30" s="35"/>
      <c r="B30" s="36"/>
      <c r="C30" s="37">
        <v>0</v>
      </c>
      <c r="D30" s="38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0" s="29" t="str">
        <f ca="1">IF(Март[[#This Row],[УСЛУГ]]&lt;&gt;"",Март[[#This Row],[УСЛУГ]]*Март[[#This Row],[Периодичность]],"")</f>
        <v/>
      </c>
    </row>
    <row r="31" spans="1:37" ht="31.5" x14ac:dyDescent="0.25">
      <c r="A31" s="35" t="s">
        <v>3</v>
      </c>
      <c r="B31" s="36"/>
      <c r="C31" s="37">
        <v>0</v>
      </c>
      <c r="D31" s="38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31" s="29">
        <f ca="1">IF(Март[[#This Row],[УСЛУГ]]&lt;&gt;"",Март[[#This Row],[УСЛУГ]]*Март[[#This Row],[Периодичность]],"")</f>
        <v>0</v>
      </c>
    </row>
    <row r="32" spans="1:37" x14ac:dyDescent="0.25">
      <c r="A32" s="35"/>
      <c r="B32" s="36"/>
      <c r="C32" s="37">
        <v>0</v>
      </c>
      <c r="D32" s="38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2" s="29" t="str">
        <f ca="1">IF(Март[[#This Row],[УСЛУГ]]&lt;&gt;"",Март[[#This Row],[УСЛУГ]]*Март[[#This Row],[Периодичность]],"")</f>
        <v/>
      </c>
    </row>
    <row r="33" spans="1:37" x14ac:dyDescent="0.25">
      <c r="A33" s="35"/>
      <c r="B33" s="36"/>
      <c r="C33" s="37">
        <v>0</v>
      </c>
      <c r="D33" s="38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3" s="29" t="str">
        <f ca="1">IF(Март[[#This Row],[УСЛУГ]]&lt;&gt;"",Март[[#This Row],[УСЛУГ]]*Март[[#This Row],[Периодичность]],"")</f>
        <v/>
      </c>
    </row>
    <row r="34" spans="1:37" ht="47.25" x14ac:dyDescent="0.25">
      <c r="A34" s="35" t="s">
        <v>4</v>
      </c>
      <c r="B34" s="36"/>
      <c r="C34" s="37">
        <v>0</v>
      </c>
      <c r="D34" s="38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34" s="29">
        <f ca="1">IF(Март[[#This Row],[УСЛУГ]]&lt;&gt;"",Март[[#This Row],[УСЛУГ]]*Март[[#This Row],[Периодичность]],"")</f>
        <v>0</v>
      </c>
    </row>
    <row r="35" spans="1:37" ht="18.75" x14ac:dyDescent="0.25">
      <c r="A35" s="35"/>
      <c r="B35" s="36"/>
      <c r="C35" s="37">
        <v>0</v>
      </c>
      <c r="D35" s="38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5" s="29" t="str">
        <f ca="1">IF(Март[[#This Row],[УСЛУГ]]&lt;&gt;"",Март[[#This Row],[УСЛУГ]]*Март[[#This Row],[Периодичность]],"")</f>
        <v/>
      </c>
    </row>
    <row r="36" spans="1:37" ht="18.75" x14ac:dyDescent="0.25">
      <c r="A36" s="35"/>
      <c r="B36" s="36"/>
      <c r="C36" s="37">
        <v>0</v>
      </c>
      <c r="D36" s="38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6" s="29" t="str">
        <f ca="1">IF(Март[[#This Row],[УСЛУГ]]&lt;&gt;"",Март[[#This Row],[УСЛУГ]]*Март[[#This Row],[Периодичность]],"")</f>
        <v/>
      </c>
    </row>
    <row r="37" spans="1:37" ht="18.75" x14ac:dyDescent="0.25">
      <c r="A37" s="35" t="s">
        <v>5</v>
      </c>
      <c r="B37" s="36"/>
      <c r="C37" s="37">
        <v>0</v>
      </c>
      <c r="D37" s="38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37" s="29">
        <f ca="1">IF(Март[[#This Row],[УСЛУГ]]&lt;&gt;"",Март[[#This Row],[УСЛУГ]]*Март[[#This Row],[Периодичность]],"")</f>
        <v>0</v>
      </c>
    </row>
    <row r="38" spans="1:37" ht="18.75" x14ac:dyDescent="0.25">
      <c r="A38" s="35"/>
      <c r="B38" s="36"/>
      <c r="C38" s="37">
        <v>0</v>
      </c>
      <c r="D38" s="38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8" s="29" t="str">
        <f ca="1">IF(Март[[#This Row],[УСЛУГ]]&lt;&gt;"",Март[[#This Row],[УСЛУГ]]*Март[[#This Row],[Периодичность]],"")</f>
        <v/>
      </c>
    </row>
    <row r="39" spans="1:37" ht="18.75" x14ac:dyDescent="0.25">
      <c r="A39" s="35"/>
      <c r="B39" s="36"/>
      <c r="C39" s="37">
        <v>0</v>
      </c>
      <c r="D39" s="38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39" s="29" t="str">
        <f ca="1">IF(Март[[#This Row],[УСЛУГ]]&lt;&gt;"",Март[[#This Row],[УСЛУГ]]*Март[[#This Row],[Периодичность]],"")</f>
        <v/>
      </c>
    </row>
    <row r="40" spans="1:37" ht="31.5" x14ac:dyDescent="0.25">
      <c r="A40" s="35" t="s">
        <v>6</v>
      </c>
      <c r="B40" s="36"/>
      <c r="C40" s="37">
        <v>0</v>
      </c>
      <c r="D40" s="38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40" s="29">
        <f ca="1">IF(Март[[#This Row],[УСЛУГ]]&lt;&gt;"",Март[[#This Row],[УСЛУГ]]*Март[[#This Row],[Периодичность]],"")</f>
        <v>0</v>
      </c>
    </row>
    <row r="41" spans="1:37" ht="18.75" x14ac:dyDescent="0.25">
      <c r="A41" s="35"/>
      <c r="B41" s="36"/>
      <c r="C41" s="37">
        <v>0</v>
      </c>
      <c r="D41" s="38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1" s="29" t="str">
        <f ca="1">IF(Март[[#This Row],[УСЛУГ]]&lt;&gt;"",Март[[#This Row],[УСЛУГ]]*Март[[#This Row],[Периодичность]],"")</f>
        <v/>
      </c>
    </row>
    <row r="42" spans="1:37" ht="18.75" x14ac:dyDescent="0.25">
      <c r="A42" s="35"/>
      <c r="B42" s="36"/>
      <c r="C42" s="37">
        <v>0</v>
      </c>
      <c r="D42" s="38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2" s="29" t="str">
        <f ca="1">IF(Март[[#This Row],[УСЛУГ]]&lt;&gt;"",Март[[#This Row],[УСЛУГ]]*Март[[#This Row],[Периодичность]],"")</f>
        <v/>
      </c>
    </row>
    <row r="43" spans="1:37" ht="47.25" x14ac:dyDescent="0.25">
      <c r="A43" s="35" t="s">
        <v>79</v>
      </c>
      <c r="B43" s="36"/>
      <c r="C43" s="37">
        <v>0</v>
      </c>
      <c r="D43" s="38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43" s="29">
        <f ca="1">IF(Март[[#This Row],[УСЛУГ]]&lt;&gt;"",Март[[#This Row],[УСЛУГ]]*Март[[#This Row],[Периодичность]],"")</f>
        <v>0</v>
      </c>
    </row>
    <row r="44" spans="1:37" ht="18.75" x14ac:dyDescent="0.25">
      <c r="A44" s="35"/>
      <c r="B44" s="36"/>
      <c r="C44" s="37">
        <v>0</v>
      </c>
      <c r="D44" s="38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4" s="29" t="str">
        <f ca="1">IF(Март[[#This Row],[УСЛУГ]]&lt;&gt;"",Март[[#This Row],[УСЛУГ]]*Март[[#This Row],[Периодичность]],"")</f>
        <v/>
      </c>
    </row>
    <row r="45" spans="1:37" x14ac:dyDescent="0.25">
      <c r="A45" s="35"/>
      <c r="B45" s="36"/>
      <c r="C45" s="37">
        <v>0</v>
      </c>
      <c r="D45" s="38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5" s="29" t="str">
        <f ca="1">IF(Март[[#This Row],[УСЛУГ]]&lt;&gt;"",Март[[#This Row],[УСЛУГ]]*Март[[#This Row],[Периодичность]],"")</f>
        <v/>
      </c>
    </row>
    <row r="46" spans="1:37" ht="18.75" x14ac:dyDescent="0.25">
      <c r="A46" s="35" t="s">
        <v>8</v>
      </c>
      <c r="B46" s="36"/>
      <c r="C46" s="37">
        <v>0</v>
      </c>
      <c r="D46" s="38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46" s="29">
        <f ca="1">IF(Март[[#This Row],[УСЛУГ]]&lt;&gt;"",Март[[#This Row],[УСЛУГ]]*Март[[#This Row],[Периодичность]],"")</f>
        <v>0</v>
      </c>
    </row>
    <row r="47" spans="1:37" ht="18.75" x14ac:dyDescent="0.25">
      <c r="A47" s="35"/>
      <c r="B47" s="36"/>
      <c r="C47" s="37">
        <v>0</v>
      </c>
      <c r="D47" s="38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7" s="29" t="str">
        <f ca="1">IF(Март[[#This Row],[УСЛУГ]]&lt;&gt;"",Март[[#This Row],[УСЛУГ]]*Март[[#This Row],[Периодичность]],"")</f>
        <v/>
      </c>
    </row>
    <row r="48" spans="1:37" ht="18.75" x14ac:dyDescent="0.25">
      <c r="A48" s="35"/>
      <c r="B48" s="36"/>
      <c r="C48" s="37">
        <v>0</v>
      </c>
      <c r="D48" s="38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48" s="29" t="str">
        <f ca="1">IF(Март[[#This Row],[УСЛУГ]]&lt;&gt;"",Март[[#This Row],[УСЛУГ]]*Март[[#This Row],[Периодичность]],"")</f>
        <v/>
      </c>
    </row>
    <row r="49" spans="1:37" ht="31.5" x14ac:dyDescent="0.25">
      <c r="A49" s="35" t="s">
        <v>9</v>
      </c>
      <c r="B49" s="36"/>
      <c r="C49" s="37">
        <v>0</v>
      </c>
      <c r="D49" s="38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49" s="29">
        <f ca="1">IF(Март[[#This Row],[УСЛУГ]]&lt;&gt;"",Март[[#This Row],[УСЛУГ]]*Март[[#This Row],[Периодичность]],"")</f>
        <v>0</v>
      </c>
    </row>
    <row r="50" spans="1:37" x14ac:dyDescent="0.25">
      <c r="A50" s="35"/>
      <c r="B50" s="36"/>
      <c r="C50" s="37">
        <v>0</v>
      </c>
      <c r="D50" s="38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0" s="29" t="str">
        <f ca="1">IF(Март[[#This Row],[УСЛУГ]]&lt;&gt;"",Март[[#This Row],[УСЛУГ]]*Март[[#This Row],[Периодичность]],"")</f>
        <v/>
      </c>
    </row>
    <row r="51" spans="1:37" ht="18.75" x14ac:dyDescent="0.25">
      <c r="A51" s="35"/>
      <c r="B51" s="36"/>
      <c r="C51" s="37">
        <v>0</v>
      </c>
      <c r="D51" s="38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1" s="29" t="str">
        <f ca="1">IF(Март[[#This Row],[УСЛУГ]]&lt;&gt;"",Март[[#This Row],[УСЛУГ]]*Март[[#This Row],[Периодичность]],"")</f>
        <v/>
      </c>
    </row>
    <row r="52" spans="1:37" ht="47.25" x14ac:dyDescent="0.25">
      <c r="A52" s="35" t="s">
        <v>140</v>
      </c>
      <c r="B52" s="36"/>
      <c r="C52" s="37">
        <v>0</v>
      </c>
      <c r="D52" s="38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52" s="29">
        <f ca="1">IF(Март[[#This Row],[УСЛУГ]]&lt;&gt;"",Март[[#This Row],[УСЛУГ]]*Март[[#This Row],[Периодичность]],"")</f>
        <v>0</v>
      </c>
    </row>
    <row r="53" spans="1:37" ht="18.75" x14ac:dyDescent="0.25">
      <c r="A53" s="35"/>
      <c r="B53" s="36"/>
      <c r="C53" s="37">
        <v>0</v>
      </c>
      <c r="D53" s="38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3" s="29" t="str">
        <f ca="1">IF(Март[[#This Row],[УСЛУГ]]&lt;&gt;"",Март[[#This Row],[УСЛУГ]]*Март[[#This Row],[Периодичность]],"")</f>
        <v/>
      </c>
    </row>
    <row r="54" spans="1:37" ht="18.75" x14ac:dyDescent="0.25">
      <c r="A54" s="35"/>
      <c r="B54" s="36"/>
      <c r="C54" s="37">
        <v>0</v>
      </c>
      <c r="D54" s="38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4" s="29" t="str">
        <f ca="1">IF(Март[[#This Row],[УСЛУГ]]&lt;&gt;"",Март[[#This Row],[УСЛУГ]]*Март[[#This Row],[Периодичность]],"")</f>
        <v/>
      </c>
    </row>
    <row r="55" spans="1:37" ht="47.25" x14ac:dyDescent="0.25">
      <c r="A55" s="35" t="s">
        <v>78</v>
      </c>
      <c r="B55" s="36"/>
      <c r="C55" s="37">
        <v>0</v>
      </c>
      <c r="D55" s="38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55" s="29">
        <f ca="1">IF(Март[[#This Row],[УСЛУГ]]&lt;&gt;"",Март[[#This Row],[УСЛУГ]]*Март[[#This Row],[Периодичность]],"")</f>
        <v>0</v>
      </c>
    </row>
    <row r="56" spans="1:37" ht="18.75" x14ac:dyDescent="0.25">
      <c r="A56" s="35"/>
      <c r="B56" s="36"/>
      <c r="C56" s="37">
        <v>0</v>
      </c>
      <c r="D56" s="38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6" s="29" t="str">
        <f ca="1">IF(Март[[#This Row],[УСЛУГ]]&lt;&gt;"",Март[[#This Row],[УСЛУГ]]*Март[[#This Row],[Периодичность]],"")</f>
        <v/>
      </c>
    </row>
    <row r="57" spans="1:37" ht="18.75" x14ac:dyDescent="0.25">
      <c r="A57" s="35"/>
      <c r="B57" s="36"/>
      <c r="C57" s="37">
        <v>0</v>
      </c>
      <c r="D57" s="38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7" s="29" t="str">
        <f ca="1">IF(Март[[#This Row],[УСЛУГ]]&lt;&gt;"",Март[[#This Row],[УСЛУГ]]*Март[[#This Row],[Периодичность]],"")</f>
        <v/>
      </c>
    </row>
    <row r="58" spans="1:37" ht="47.25" x14ac:dyDescent="0.25">
      <c r="A58" s="35" t="s">
        <v>141</v>
      </c>
      <c r="B58" s="36"/>
      <c r="C58" s="37">
        <v>0</v>
      </c>
      <c r="D58" s="38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58" s="29">
        <f ca="1">IF(Март[[#This Row],[УСЛУГ]]&lt;&gt;"",Март[[#This Row],[УСЛУГ]]*Март[[#This Row],[Периодичность]],"")</f>
        <v>0</v>
      </c>
    </row>
    <row r="59" spans="1:37" ht="18.75" x14ac:dyDescent="0.25">
      <c r="A59" s="35"/>
      <c r="B59" s="36"/>
      <c r="C59" s="37">
        <v>0</v>
      </c>
      <c r="D59" s="38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59" s="29" t="str">
        <f ca="1">IF(Март[[#This Row],[УСЛУГ]]&lt;&gt;"",Март[[#This Row],[УСЛУГ]]*Март[[#This Row],[Периодичность]],"")</f>
        <v/>
      </c>
    </row>
    <row r="60" spans="1:37" ht="18.75" x14ac:dyDescent="0.25">
      <c r="A60" s="35"/>
      <c r="B60" s="36"/>
      <c r="C60" s="37">
        <v>0</v>
      </c>
      <c r="D60" s="38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0" s="29" t="str">
        <f ca="1">IF(Март[[#This Row],[УСЛУГ]]&lt;&gt;"",Март[[#This Row],[УСЛУГ]]*Март[[#This Row],[Периодичность]],"")</f>
        <v/>
      </c>
    </row>
    <row r="61" spans="1:37" ht="31.5" x14ac:dyDescent="0.25">
      <c r="A61" s="35" t="s">
        <v>13</v>
      </c>
      <c r="B61" s="36"/>
      <c r="C61" s="37">
        <v>0</v>
      </c>
      <c r="D61" s="38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61" s="29">
        <f ca="1">IF(Март[[#This Row],[УСЛУГ]]&lt;&gt;"",Март[[#This Row],[УСЛУГ]]*Март[[#This Row],[Периодичность]],"")</f>
        <v>0</v>
      </c>
    </row>
    <row r="62" spans="1:37" ht="18.75" x14ac:dyDescent="0.25">
      <c r="A62" s="35"/>
      <c r="B62" s="36"/>
      <c r="C62" s="37">
        <v>0</v>
      </c>
      <c r="D62" s="38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2" s="29" t="str">
        <f ca="1">IF(Март[[#This Row],[УСЛУГ]]&lt;&gt;"",Март[[#This Row],[УСЛУГ]]*Март[[#This Row],[Периодичность]],"")</f>
        <v/>
      </c>
    </row>
    <row r="63" spans="1:37" ht="18.75" x14ac:dyDescent="0.25">
      <c r="A63" s="35"/>
      <c r="B63" s="36"/>
      <c r="C63" s="37">
        <v>0</v>
      </c>
      <c r="D63" s="38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3" s="29" t="str">
        <f ca="1">IF(Март[[#This Row],[УСЛУГ]]&lt;&gt;"",Март[[#This Row],[УСЛУГ]]*Март[[#This Row],[Периодичность]],"")</f>
        <v/>
      </c>
    </row>
    <row r="64" spans="1:37" ht="31.5" x14ac:dyDescent="0.25">
      <c r="A64" s="35" t="s">
        <v>14</v>
      </c>
      <c r="B64" s="36"/>
      <c r="C64" s="37">
        <v>0</v>
      </c>
      <c r="D64" s="38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64" s="29">
        <f ca="1">IF(Март[[#This Row],[УСЛУГ]]&lt;&gt;"",Март[[#This Row],[УСЛУГ]]*Март[[#This Row],[Периодичность]],"")</f>
        <v>0</v>
      </c>
    </row>
    <row r="65" spans="1:37" ht="18.75" x14ac:dyDescent="0.25">
      <c r="A65" s="35"/>
      <c r="B65" s="36"/>
      <c r="C65" s="37">
        <v>0</v>
      </c>
      <c r="D65" s="38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5" s="29" t="str">
        <f ca="1">IF(Март[[#This Row],[УСЛУГ]]&lt;&gt;"",Март[[#This Row],[УСЛУГ]]*Март[[#This Row],[Периодичность]],"")</f>
        <v/>
      </c>
    </row>
    <row r="66" spans="1:37" x14ac:dyDescent="0.25">
      <c r="A66" s="35"/>
      <c r="B66" s="36"/>
      <c r="C66" s="37">
        <v>0</v>
      </c>
      <c r="D66" s="38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6" s="29" t="str">
        <f ca="1">IF(Март[[#This Row],[УСЛУГ]]&lt;&gt;"",Март[[#This Row],[УСЛУГ]]*Март[[#This Row],[Периодичность]],"")</f>
        <v/>
      </c>
    </row>
    <row r="67" spans="1:37" ht="31.5" x14ac:dyDescent="0.25">
      <c r="A67" s="35" t="s">
        <v>15</v>
      </c>
      <c r="B67" s="36"/>
      <c r="C67" s="37">
        <v>0</v>
      </c>
      <c r="D67" s="38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67" s="29">
        <f ca="1">IF(Март[[#This Row],[УСЛУГ]]&lt;&gt;"",Март[[#This Row],[УСЛУГ]]*Март[[#This Row],[Периодичность]],"")</f>
        <v>0</v>
      </c>
    </row>
    <row r="68" spans="1:37" ht="18.75" x14ac:dyDescent="0.25">
      <c r="A68" s="35"/>
      <c r="B68" s="36"/>
      <c r="C68" s="37">
        <v>0</v>
      </c>
      <c r="D68" s="38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8" s="29" t="str">
        <f ca="1">IF(Март[[#This Row],[УСЛУГ]]&lt;&gt;"",Март[[#This Row],[УСЛУГ]]*Март[[#This Row],[Периодичность]],"")</f>
        <v/>
      </c>
    </row>
    <row r="69" spans="1:37" ht="18.75" x14ac:dyDescent="0.25">
      <c r="A69" s="35"/>
      <c r="B69" s="36"/>
      <c r="C69" s="37">
        <v>0</v>
      </c>
      <c r="D69" s="38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69" s="29" t="str">
        <f ca="1">IF(Март[[#This Row],[УСЛУГ]]&lt;&gt;"",Март[[#This Row],[УСЛУГ]]*Март[[#This Row],[Периодичность]],"")</f>
        <v/>
      </c>
    </row>
    <row r="70" spans="1:37" ht="18.75" x14ac:dyDescent="0.25">
      <c r="A70" s="35" t="s">
        <v>16</v>
      </c>
      <c r="B70" s="36"/>
      <c r="C70" s="37">
        <v>0</v>
      </c>
      <c r="D70" s="38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70" s="29">
        <f ca="1">IF(Март[[#This Row],[УСЛУГ]]&lt;&gt;"",Март[[#This Row],[УСЛУГ]]*Март[[#This Row],[Периодичность]],"")</f>
        <v>0</v>
      </c>
    </row>
    <row r="71" spans="1:37" ht="18.75" x14ac:dyDescent="0.25">
      <c r="A71" s="35"/>
      <c r="B71" s="36"/>
      <c r="C71" s="37">
        <v>0</v>
      </c>
      <c r="D71" s="38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1" s="29" t="str">
        <f ca="1">IF(Март[[#This Row],[УСЛУГ]]&lt;&gt;"",Март[[#This Row],[УСЛУГ]]*Март[[#This Row],[Периодичность]],"")</f>
        <v/>
      </c>
    </row>
    <row r="72" spans="1:37" ht="18.75" x14ac:dyDescent="0.25">
      <c r="A72" s="35"/>
      <c r="B72" s="36"/>
      <c r="C72" s="37">
        <v>0</v>
      </c>
      <c r="D72" s="38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2" s="29" t="str">
        <f ca="1">IF(Март[[#This Row],[УСЛУГ]]&lt;&gt;"",Март[[#This Row],[УСЛУГ]]*Март[[#This Row],[Периодичность]],"")</f>
        <v/>
      </c>
    </row>
    <row r="73" spans="1:37" ht="47.25" x14ac:dyDescent="0.25">
      <c r="A73" s="35" t="s">
        <v>142</v>
      </c>
      <c r="B73" s="36"/>
      <c r="C73" s="37">
        <v>0</v>
      </c>
      <c r="D73" s="38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73" s="29">
        <f ca="1">IF(Март[[#This Row],[УСЛУГ]]&lt;&gt;"",Март[[#This Row],[УСЛУГ]]*Март[[#This Row],[Периодичность]],"")</f>
        <v>0</v>
      </c>
    </row>
    <row r="74" spans="1:37" ht="18.75" x14ac:dyDescent="0.25">
      <c r="A74" s="35"/>
      <c r="B74" s="36"/>
      <c r="C74" s="37">
        <v>0</v>
      </c>
      <c r="D74" s="38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4" s="29" t="str">
        <f ca="1">IF(Март[[#This Row],[УСЛУГ]]&lt;&gt;"",Март[[#This Row],[УСЛУГ]]*Март[[#This Row],[Периодичность]],"")</f>
        <v/>
      </c>
    </row>
    <row r="75" spans="1:37" ht="18.75" x14ac:dyDescent="0.25">
      <c r="A75" s="35"/>
      <c r="B75" s="36"/>
      <c r="C75" s="37">
        <v>0</v>
      </c>
      <c r="D75" s="38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5" s="29" t="str">
        <f ca="1">IF(Март[[#This Row],[УСЛУГ]]&lt;&gt;"",Март[[#This Row],[УСЛУГ]]*Март[[#This Row],[Периодичность]],"")</f>
        <v/>
      </c>
    </row>
    <row r="76" spans="1:37" ht="47.25" x14ac:dyDescent="0.25">
      <c r="A76" s="35" t="s">
        <v>143</v>
      </c>
      <c r="B76" s="36"/>
      <c r="C76" s="37">
        <v>0</v>
      </c>
      <c r="D76" s="38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76" s="29">
        <f ca="1">IF(Март[[#This Row],[УСЛУГ]]&lt;&gt;"",Март[[#This Row],[УСЛУГ]]*Март[[#This Row],[Периодичность]],"")</f>
        <v>0</v>
      </c>
    </row>
    <row r="77" spans="1:37" ht="18.75" x14ac:dyDescent="0.25">
      <c r="A77" s="35"/>
      <c r="B77" s="36"/>
      <c r="C77" s="37">
        <v>0</v>
      </c>
      <c r="D77" s="38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7" s="29" t="str">
        <f ca="1">IF(Март[[#This Row],[УСЛУГ]]&lt;&gt;"",Март[[#This Row],[УСЛУГ]]*Март[[#This Row],[Периодичность]],"")</f>
        <v/>
      </c>
    </row>
    <row r="78" spans="1:37" x14ac:dyDescent="0.25">
      <c r="A78" s="35"/>
      <c r="B78" s="36"/>
      <c r="C78" s="37">
        <v>0</v>
      </c>
      <c r="D78" s="38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78" s="29" t="str">
        <f ca="1">IF(Март[[#This Row],[УСЛУГ]]&lt;&gt;"",Март[[#This Row],[УСЛУГ]]*Март[[#This Row],[Периодичность]],"")</f>
        <v/>
      </c>
    </row>
    <row r="79" spans="1:37" x14ac:dyDescent="0.25">
      <c r="A79" s="35" t="s">
        <v>19</v>
      </c>
      <c r="B79" s="36"/>
      <c r="C79" s="37">
        <v>0</v>
      </c>
      <c r="D79" s="38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79" s="29">
        <f ca="1">IF(Март[[#This Row],[УСЛУГ]]&lt;&gt;"",Март[[#This Row],[УСЛУГ]]*Март[[#This Row],[Периодичность]],"")</f>
        <v>0</v>
      </c>
    </row>
    <row r="80" spans="1:37" ht="18.75" x14ac:dyDescent="0.25">
      <c r="A80" s="35"/>
      <c r="B80" s="36"/>
      <c r="C80" s="37">
        <v>0</v>
      </c>
      <c r="D80" s="38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0" s="29" t="str">
        <f ca="1">IF(Март[[#This Row],[УСЛУГ]]&lt;&gt;"",Март[[#This Row],[УСЛУГ]]*Март[[#This Row],[Периодичность]],"")</f>
        <v/>
      </c>
    </row>
    <row r="81" spans="1:37" x14ac:dyDescent="0.25">
      <c r="A81" s="35"/>
      <c r="B81" s="36"/>
      <c r="C81" s="37">
        <v>0</v>
      </c>
      <c r="D81" s="38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1" s="29" t="str">
        <f ca="1">IF(Март[[#This Row],[УСЛУГ]]&lt;&gt;"",Март[[#This Row],[УСЛУГ]]*Март[[#This Row],[Периодичность]],"")</f>
        <v/>
      </c>
    </row>
    <row r="82" spans="1:37" ht="31.5" x14ac:dyDescent="0.25">
      <c r="A82" s="35" t="s">
        <v>20</v>
      </c>
      <c r="B82" s="36"/>
      <c r="C82" s="37">
        <v>0</v>
      </c>
      <c r="D82" s="38">
        <v>1</v>
      </c>
      <c r="E82" s="39"/>
      <c r="F82" s="40"/>
      <c r="G82" s="41"/>
      <c r="H82" s="41"/>
      <c r="I82" s="41"/>
      <c r="J82" s="41"/>
      <c r="K82" s="41"/>
      <c r="L82" s="39"/>
      <c r="M82" s="40"/>
      <c r="N82" s="41"/>
      <c r="O82" s="41"/>
      <c r="P82" s="41"/>
      <c r="Q82" s="41"/>
      <c r="R82" s="41"/>
      <c r="S82" s="39"/>
      <c r="T82" s="40"/>
      <c r="U82" s="41"/>
      <c r="V82" s="41"/>
      <c r="W82" s="41"/>
      <c r="X82" s="41"/>
      <c r="Y82" s="41"/>
      <c r="Z82" s="39"/>
      <c r="AA82" s="39"/>
      <c r="AB82" s="41"/>
      <c r="AC82" s="41"/>
      <c r="AD82" s="41"/>
      <c r="AE82" s="41"/>
      <c r="AF82" s="41"/>
      <c r="AG82" s="39"/>
      <c r="AH82" s="39"/>
      <c r="AI82" s="41"/>
      <c r="AJ82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82" s="42">
        <f ca="1">IF(Март[[#This Row],[УСЛУГ]]&lt;&gt;"",Март[[#This Row],[УСЛУГ]]*Март[[#This Row],[Периодичность]],"")</f>
        <v>0</v>
      </c>
    </row>
    <row r="83" spans="1:37" x14ac:dyDescent="0.25">
      <c r="A83" s="35"/>
      <c r="B83" s="36"/>
      <c r="C83" s="37">
        <v>0</v>
      </c>
      <c r="D83" s="38">
        <v>2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3" s="42" t="str">
        <f ca="1">IF(Март[[#This Row],[УСЛУГ]]&lt;&gt;"",Март[[#This Row],[УСЛУГ]]*Март[[#This Row],[Периодичность]],"")</f>
        <v/>
      </c>
    </row>
    <row r="84" spans="1:37" x14ac:dyDescent="0.25">
      <c r="A84" s="35"/>
      <c r="B84" s="36"/>
      <c r="C84" s="37">
        <v>0</v>
      </c>
      <c r="D84" s="38">
        <v>3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4" s="42" t="str">
        <f ca="1">IF(Март[[#This Row],[УСЛУГ]]&lt;&gt;"",Март[[#This Row],[УСЛУГ]]*Март[[#This Row],[Периодичность]],"")</f>
        <v/>
      </c>
    </row>
    <row r="85" spans="1:37" ht="47.25" x14ac:dyDescent="0.25">
      <c r="A85" s="35" t="s">
        <v>144</v>
      </c>
      <c r="B85" s="36"/>
      <c r="C85" s="37">
        <v>0</v>
      </c>
      <c r="D85" s="38">
        <v>1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85" s="42">
        <f ca="1">IF(Март[[#This Row],[УСЛУГ]]&lt;&gt;"",Март[[#This Row],[УСЛУГ]]*Март[[#This Row],[Периодичность]],"")</f>
        <v>0</v>
      </c>
    </row>
    <row r="86" spans="1:37" x14ac:dyDescent="0.25">
      <c r="A86" s="35"/>
      <c r="B86" s="36"/>
      <c r="C86" s="37">
        <v>0</v>
      </c>
      <c r="D86" s="38">
        <v>2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6" s="42" t="str">
        <f ca="1">IF(Март[[#This Row],[УСЛУГ]]&lt;&gt;"",Март[[#This Row],[УСЛУГ]]*Март[[#This Row],[Периодичность]],"")</f>
        <v/>
      </c>
    </row>
    <row r="87" spans="1:37" x14ac:dyDescent="0.25">
      <c r="A87" s="35"/>
      <c r="B87" s="36"/>
      <c r="C87" s="37">
        <v>0</v>
      </c>
      <c r="D87" s="38">
        <v>3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7" s="42" t="str">
        <f ca="1">IF(Март[[#This Row],[УСЛУГ]]&lt;&gt;"",Март[[#This Row],[УСЛУГ]]*Март[[#This Row],[Периодичность]],"")</f>
        <v/>
      </c>
    </row>
    <row r="88" spans="1:37" ht="47.25" x14ac:dyDescent="0.25">
      <c r="A88" s="35" t="s">
        <v>145</v>
      </c>
      <c r="B88" s="36"/>
      <c r="C88" s="37">
        <v>0</v>
      </c>
      <c r="D88" s="38">
        <v>1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88" s="42">
        <f ca="1">IF(Март[[#This Row],[УСЛУГ]]&lt;&gt;"",Март[[#This Row],[УСЛУГ]]*Март[[#This Row],[Периодичность]],"")</f>
        <v>0</v>
      </c>
    </row>
    <row r="89" spans="1:37" x14ac:dyDescent="0.25">
      <c r="A89" s="35"/>
      <c r="B89" s="36"/>
      <c r="C89" s="37">
        <v>0</v>
      </c>
      <c r="D89" s="38">
        <v>2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89" s="42" t="str">
        <f ca="1">IF(Март[[#This Row],[УСЛУГ]]&lt;&gt;"",Март[[#This Row],[УСЛУГ]]*Март[[#This Row],[Периодичность]],"")</f>
        <v/>
      </c>
    </row>
    <row r="90" spans="1:37" x14ac:dyDescent="0.25">
      <c r="A90" s="35"/>
      <c r="B90" s="36"/>
      <c r="C90" s="37">
        <v>0</v>
      </c>
      <c r="D90" s="38">
        <v>3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0" s="42" t="str">
        <f ca="1">IF(Март[[#This Row],[УСЛУГ]]&lt;&gt;"",Март[[#This Row],[УСЛУГ]]*Март[[#This Row],[Периодичность]],"")</f>
        <v/>
      </c>
    </row>
    <row r="91" spans="1:37" ht="31.5" x14ac:dyDescent="0.25">
      <c r="A91" s="35" t="s">
        <v>23</v>
      </c>
      <c r="B91" s="36"/>
      <c r="C91" s="37">
        <v>0</v>
      </c>
      <c r="D91" s="38">
        <v>1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91" s="42">
        <f ca="1">IF(Март[[#This Row],[УСЛУГ]]&lt;&gt;"",Март[[#This Row],[УСЛУГ]]*Март[[#This Row],[Периодичность]],"")</f>
        <v>0</v>
      </c>
    </row>
    <row r="92" spans="1:37" x14ac:dyDescent="0.25">
      <c r="A92" s="35"/>
      <c r="B92" s="36"/>
      <c r="C92" s="37">
        <v>0</v>
      </c>
      <c r="D92" s="38">
        <v>2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2" s="42" t="str">
        <f ca="1">IF(Март[[#This Row],[УСЛУГ]]&lt;&gt;"",Март[[#This Row],[УСЛУГ]]*Март[[#This Row],[Периодичность]],"")</f>
        <v/>
      </c>
    </row>
    <row r="93" spans="1:37" x14ac:dyDescent="0.25">
      <c r="A93" s="35"/>
      <c r="B93" s="36"/>
      <c r="C93" s="37">
        <v>0</v>
      </c>
      <c r="D93" s="38">
        <v>3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3" s="42" t="str">
        <f ca="1">IF(Март[[#This Row],[УСЛУГ]]&lt;&gt;"",Март[[#This Row],[УСЛУГ]]*Март[[#This Row],[Периодичность]],"")</f>
        <v/>
      </c>
    </row>
    <row r="94" spans="1:37" ht="31.5" x14ac:dyDescent="0.25">
      <c r="A94" s="35" t="s">
        <v>24</v>
      </c>
      <c r="B94" s="36"/>
      <c r="C94" s="37">
        <v>0</v>
      </c>
      <c r="D94" s="38">
        <v>1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94" s="42">
        <f ca="1">IF(Март[[#This Row],[УСЛУГ]]&lt;&gt;"",Март[[#This Row],[УСЛУГ]]*Март[[#This Row],[Периодичность]],"")</f>
        <v>0</v>
      </c>
    </row>
    <row r="95" spans="1:37" x14ac:dyDescent="0.25">
      <c r="A95" s="35"/>
      <c r="B95" s="36"/>
      <c r="C95" s="37">
        <v>0</v>
      </c>
      <c r="D95" s="38">
        <v>2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5" s="42" t="str">
        <f ca="1">IF(Март[[#This Row],[УСЛУГ]]&lt;&gt;"",Март[[#This Row],[УСЛУГ]]*Март[[#This Row],[Периодичность]],"")</f>
        <v/>
      </c>
    </row>
    <row r="96" spans="1:37" x14ac:dyDescent="0.25">
      <c r="A96" s="35"/>
      <c r="B96" s="36"/>
      <c r="C96" s="37">
        <v>0</v>
      </c>
      <c r="D96" s="38">
        <v>3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6" s="42" t="str">
        <f ca="1">IF(Март[[#This Row],[УСЛУГ]]&lt;&gt;"",Март[[#This Row],[УСЛУГ]]*Март[[#This Row],[Периодичность]],"")</f>
        <v/>
      </c>
    </row>
    <row r="97" spans="1:37" ht="31.5" x14ac:dyDescent="0.25">
      <c r="A97" s="35" t="s">
        <v>25</v>
      </c>
      <c r="B97" s="36"/>
      <c r="C97" s="37">
        <v>0</v>
      </c>
      <c r="D97" s="38">
        <v>1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97" s="42">
        <f ca="1">IF(Март[[#This Row],[УСЛУГ]]&lt;&gt;"",Март[[#This Row],[УСЛУГ]]*Март[[#This Row],[Периодичность]],"")</f>
        <v>0</v>
      </c>
    </row>
    <row r="98" spans="1:37" x14ac:dyDescent="0.25">
      <c r="A98" s="35"/>
      <c r="B98" s="36"/>
      <c r="C98" s="37">
        <v>0</v>
      </c>
      <c r="D98" s="38">
        <v>2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8" s="42" t="str">
        <f ca="1">IF(Март[[#This Row],[УСЛУГ]]&lt;&gt;"",Март[[#This Row],[УСЛУГ]]*Март[[#This Row],[Периодичность]],"")</f>
        <v/>
      </c>
    </row>
    <row r="99" spans="1:37" x14ac:dyDescent="0.25">
      <c r="A99" s="35"/>
      <c r="B99" s="36"/>
      <c r="C99" s="37">
        <v>0</v>
      </c>
      <c r="D99" s="38">
        <v>3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99" s="42" t="str">
        <f ca="1">IF(Март[[#This Row],[УСЛУГ]]&lt;&gt;"",Март[[#This Row],[УСЛУГ]]*Март[[#This Row],[Периодичность]],"")</f>
        <v/>
      </c>
    </row>
    <row r="100" spans="1:37" ht="47.25" x14ac:dyDescent="0.25">
      <c r="A100" s="35" t="s">
        <v>26</v>
      </c>
      <c r="B100" s="36"/>
      <c r="C100" s="37">
        <v>0</v>
      </c>
      <c r="D100" s="38">
        <v>1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00" s="42">
        <f ca="1">IF(Март[[#This Row],[УСЛУГ]]&lt;&gt;"",Март[[#This Row],[УСЛУГ]]*Март[[#This Row],[Периодичность]],"")</f>
        <v>0</v>
      </c>
    </row>
    <row r="101" spans="1:37" x14ac:dyDescent="0.25">
      <c r="A101" s="35"/>
      <c r="B101" s="36"/>
      <c r="C101" s="37">
        <v>0</v>
      </c>
      <c r="D101" s="38">
        <v>2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1" s="42" t="str">
        <f ca="1">IF(Март[[#This Row],[УСЛУГ]]&lt;&gt;"",Март[[#This Row],[УСЛУГ]]*Март[[#This Row],[Периодичность]],"")</f>
        <v/>
      </c>
    </row>
    <row r="102" spans="1:37" x14ac:dyDescent="0.25">
      <c r="A102" s="35"/>
      <c r="B102" s="36"/>
      <c r="C102" s="37">
        <v>0</v>
      </c>
      <c r="D102" s="38">
        <v>3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2" s="42" t="str">
        <f ca="1">IF(Март[[#This Row],[УСЛУГ]]&lt;&gt;"",Март[[#This Row],[УСЛУГ]]*Март[[#This Row],[Периодичность]],"")</f>
        <v/>
      </c>
    </row>
    <row r="103" spans="1:37" ht="31.5" x14ac:dyDescent="0.25">
      <c r="A103" s="35" t="s">
        <v>27</v>
      </c>
      <c r="B103" s="36"/>
      <c r="C103" s="37">
        <v>0</v>
      </c>
      <c r="D103" s="38">
        <v>1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03" s="42">
        <f ca="1">IF(Март[[#This Row],[УСЛУГ]]&lt;&gt;"",Март[[#This Row],[УСЛУГ]]*Март[[#This Row],[Периодичность]],"")</f>
        <v>0</v>
      </c>
    </row>
    <row r="104" spans="1:37" x14ac:dyDescent="0.25">
      <c r="A104" s="35"/>
      <c r="B104" s="36"/>
      <c r="C104" s="37">
        <v>0</v>
      </c>
      <c r="D104" s="38">
        <v>2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4" s="42" t="str">
        <f ca="1">IF(Март[[#This Row],[УСЛУГ]]&lt;&gt;"",Март[[#This Row],[УСЛУГ]]*Март[[#This Row],[Периодичность]],"")</f>
        <v/>
      </c>
    </row>
    <row r="105" spans="1:37" x14ac:dyDescent="0.25">
      <c r="A105" s="35"/>
      <c r="B105" s="36"/>
      <c r="C105" s="37">
        <v>0</v>
      </c>
      <c r="D105" s="38">
        <v>3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5" s="42" t="str">
        <f ca="1">IF(Март[[#This Row],[УСЛУГ]]&lt;&gt;"",Март[[#This Row],[УСЛУГ]]*Март[[#This Row],[Периодичность]],"")</f>
        <v/>
      </c>
    </row>
    <row r="106" spans="1:37" ht="47.25" x14ac:dyDescent="0.25">
      <c r="A106" s="35" t="s">
        <v>28</v>
      </c>
      <c r="B106" s="36"/>
      <c r="C106" s="37">
        <v>0</v>
      </c>
      <c r="D106" s="38">
        <v>1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06" s="42">
        <f ca="1">IF(Март[[#This Row],[УСЛУГ]]&lt;&gt;"",Март[[#This Row],[УСЛУГ]]*Март[[#This Row],[Периодичность]],"")</f>
        <v>0</v>
      </c>
    </row>
    <row r="107" spans="1:37" x14ac:dyDescent="0.25">
      <c r="A107" s="35"/>
      <c r="B107" s="36"/>
      <c r="C107" s="37">
        <v>0</v>
      </c>
      <c r="D107" s="38">
        <v>2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7" s="42" t="str">
        <f ca="1">IF(Март[[#This Row],[УСЛУГ]]&lt;&gt;"",Март[[#This Row],[УСЛУГ]]*Март[[#This Row],[Периодичность]],"")</f>
        <v/>
      </c>
    </row>
    <row r="108" spans="1:37" x14ac:dyDescent="0.25">
      <c r="A108" s="35"/>
      <c r="B108" s="36"/>
      <c r="C108" s="37">
        <v>0</v>
      </c>
      <c r="D108" s="38">
        <v>3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08" s="42" t="str">
        <f ca="1">IF(Март[[#This Row],[УСЛУГ]]&lt;&gt;"",Март[[#This Row],[УСЛУГ]]*Март[[#This Row],[Периодичность]],"")</f>
        <v/>
      </c>
    </row>
    <row r="109" spans="1:37" ht="31.5" x14ac:dyDescent="0.25">
      <c r="A109" s="35" t="s">
        <v>29</v>
      </c>
      <c r="B109" s="36"/>
      <c r="C109" s="37">
        <v>0</v>
      </c>
      <c r="D109" s="38">
        <v>1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09" s="42">
        <f ca="1">IF(Март[[#This Row],[УСЛУГ]]&lt;&gt;"",Март[[#This Row],[УСЛУГ]]*Март[[#This Row],[Периодичность]],"")</f>
        <v>0</v>
      </c>
    </row>
    <row r="110" spans="1:37" x14ac:dyDescent="0.25">
      <c r="A110" s="35"/>
      <c r="B110" s="36"/>
      <c r="C110" s="37">
        <v>0</v>
      </c>
      <c r="D110" s="38">
        <v>2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0" s="42" t="str">
        <f ca="1">IF(Март[[#This Row],[УСЛУГ]]&lt;&gt;"",Март[[#This Row],[УСЛУГ]]*Март[[#This Row],[Периодичность]],"")</f>
        <v/>
      </c>
    </row>
    <row r="111" spans="1:37" x14ac:dyDescent="0.25">
      <c r="A111" s="35"/>
      <c r="B111" s="36"/>
      <c r="C111" s="37">
        <v>0</v>
      </c>
      <c r="D111" s="38">
        <v>3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1" s="42" t="str">
        <f ca="1">IF(Март[[#This Row],[УСЛУГ]]&lt;&gt;"",Март[[#This Row],[УСЛУГ]]*Март[[#This Row],[Периодичность]],"")</f>
        <v/>
      </c>
    </row>
    <row r="112" spans="1:37" ht="47.25" x14ac:dyDescent="0.25">
      <c r="A112" s="35" t="s">
        <v>30</v>
      </c>
      <c r="B112" s="36"/>
      <c r="C112" s="37">
        <v>0</v>
      </c>
      <c r="D112" s="38">
        <v>1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12" s="42">
        <f ca="1">IF(Март[[#This Row],[УСЛУГ]]&lt;&gt;"",Март[[#This Row],[УСЛУГ]]*Март[[#This Row],[Периодичность]],"")</f>
        <v>0</v>
      </c>
    </row>
    <row r="113" spans="1:37" x14ac:dyDescent="0.25">
      <c r="A113" s="35"/>
      <c r="B113" s="36"/>
      <c r="C113" s="37">
        <v>0</v>
      </c>
      <c r="D113" s="38">
        <v>2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3" s="42" t="str">
        <f ca="1">IF(Март[[#This Row],[УСЛУГ]]&lt;&gt;"",Март[[#This Row],[УСЛУГ]]*Март[[#This Row],[Периодичность]],"")</f>
        <v/>
      </c>
    </row>
    <row r="114" spans="1:37" x14ac:dyDescent="0.25">
      <c r="A114" s="35"/>
      <c r="B114" s="36"/>
      <c r="C114" s="37">
        <v>0</v>
      </c>
      <c r="D114" s="38">
        <v>3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4" s="42" t="str">
        <f ca="1">IF(Март[[#This Row],[УСЛУГ]]&lt;&gt;"",Март[[#This Row],[УСЛУГ]]*Март[[#This Row],[Периодичность]],"")</f>
        <v/>
      </c>
    </row>
    <row r="115" spans="1:37" ht="47.25" x14ac:dyDescent="0.25">
      <c r="A115" s="35" t="s">
        <v>77</v>
      </c>
      <c r="B115" s="36"/>
      <c r="C115" s="37">
        <v>0</v>
      </c>
      <c r="D115" s="38">
        <v>1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15" s="42">
        <f ca="1">IF(Март[[#This Row],[УСЛУГ]]&lt;&gt;"",Март[[#This Row],[УСЛУГ]]*Март[[#This Row],[Периодичность]],"")</f>
        <v>0</v>
      </c>
    </row>
    <row r="116" spans="1:37" x14ac:dyDescent="0.25">
      <c r="A116" s="35"/>
      <c r="B116" s="36"/>
      <c r="C116" s="37">
        <v>0</v>
      </c>
      <c r="D116" s="38">
        <v>2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6" s="42" t="str">
        <f ca="1">IF(Март[[#This Row],[УСЛУГ]]&lt;&gt;"",Март[[#This Row],[УСЛУГ]]*Март[[#This Row],[Периодичность]],"")</f>
        <v/>
      </c>
    </row>
    <row r="117" spans="1:37" x14ac:dyDescent="0.25">
      <c r="A117" s="35"/>
      <c r="B117" s="36"/>
      <c r="C117" s="37">
        <v>0</v>
      </c>
      <c r="D117" s="38">
        <v>3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7" s="42" t="str">
        <f ca="1">IF(Март[[#This Row],[УСЛУГ]]&lt;&gt;"",Март[[#This Row],[УСЛУГ]]*Март[[#This Row],[Периодичность]],"")</f>
        <v/>
      </c>
    </row>
    <row r="118" spans="1:37" ht="63" x14ac:dyDescent="0.25">
      <c r="A118" s="35" t="s">
        <v>146</v>
      </c>
      <c r="B118" s="36"/>
      <c r="C118" s="37">
        <v>0</v>
      </c>
      <c r="D118" s="38">
        <v>1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18" s="42">
        <f ca="1">IF(Март[[#This Row],[УСЛУГ]]&lt;&gt;"",Март[[#This Row],[УСЛУГ]]*Март[[#This Row],[Периодичность]],"")</f>
        <v>0</v>
      </c>
    </row>
    <row r="119" spans="1:37" x14ac:dyDescent="0.25">
      <c r="A119" s="35"/>
      <c r="B119" s="36"/>
      <c r="C119" s="37">
        <v>0</v>
      </c>
      <c r="D119" s="38">
        <v>2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19" s="42" t="str">
        <f ca="1">IF(Март[[#This Row],[УСЛУГ]]&lt;&gt;"",Март[[#This Row],[УСЛУГ]]*Март[[#This Row],[Периодичность]],"")</f>
        <v/>
      </c>
    </row>
    <row r="120" spans="1:37" x14ac:dyDescent="0.25">
      <c r="A120" s="35"/>
      <c r="B120" s="36"/>
      <c r="C120" s="37">
        <v>0</v>
      </c>
      <c r="D120" s="38">
        <v>3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0" s="42" t="str">
        <f ca="1">IF(Март[[#This Row],[УСЛУГ]]&lt;&gt;"",Март[[#This Row],[УСЛУГ]]*Март[[#This Row],[Периодичность]],"")</f>
        <v/>
      </c>
    </row>
    <row r="121" spans="1:37" ht="47.25" x14ac:dyDescent="0.25">
      <c r="A121" s="35" t="s">
        <v>76</v>
      </c>
      <c r="B121" s="36"/>
      <c r="C121" s="37">
        <v>0</v>
      </c>
      <c r="D121" s="38">
        <v>1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21" s="42">
        <f ca="1">IF(Март[[#This Row],[УСЛУГ]]&lt;&gt;"",Март[[#This Row],[УСЛУГ]]*Март[[#This Row],[Периодичность]],"")</f>
        <v>0</v>
      </c>
    </row>
    <row r="122" spans="1:37" x14ac:dyDescent="0.25">
      <c r="A122" s="35"/>
      <c r="B122" s="36"/>
      <c r="C122" s="37">
        <v>0</v>
      </c>
      <c r="D122" s="38">
        <v>2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2" s="42" t="str">
        <f ca="1">IF(Март[[#This Row],[УСЛУГ]]&lt;&gt;"",Март[[#This Row],[УСЛУГ]]*Март[[#This Row],[Периодичность]],"")</f>
        <v/>
      </c>
    </row>
    <row r="123" spans="1:37" x14ac:dyDescent="0.25">
      <c r="A123" s="35"/>
      <c r="B123" s="36"/>
      <c r="C123" s="37">
        <v>0</v>
      </c>
      <c r="D123" s="38">
        <v>3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3" s="42" t="str">
        <f ca="1">IF(Март[[#This Row],[УСЛУГ]]&lt;&gt;"",Март[[#This Row],[УСЛУГ]]*Март[[#This Row],[Периодичность]],"")</f>
        <v/>
      </c>
    </row>
    <row r="124" spans="1:37" ht="47.25" x14ac:dyDescent="0.25">
      <c r="A124" s="35" t="s">
        <v>147</v>
      </c>
      <c r="B124" s="36"/>
      <c r="C124" s="37">
        <v>0</v>
      </c>
      <c r="D124" s="38">
        <v>1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24" s="42">
        <f ca="1">IF(Март[[#This Row],[УСЛУГ]]&lt;&gt;"",Март[[#This Row],[УСЛУГ]]*Март[[#This Row],[Периодичность]],"")</f>
        <v>0</v>
      </c>
    </row>
    <row r="125" spans="1:37" x14ac:dyDescent="0.25">
      <c r="A125" s="35"/>
      <c r="B125" s="36"/>
      <c r="C125" s="37">
        <v>0</v>
      </c>
      <c r="D125" s="38">
        <v>2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5" s="42" t="str">
        <f ca="1">IF(Март[[#This Row],[УСЛУГ]]&lt;&gt;"",Март[[#This Row],[УСЛУГ]]*Март[[#This Row],[Периодичность]],"")</f>
        <v/>
      </c>
    </row>
    <row r="126" spans="1:37" x14ac:dyDescent="0.25">
      <c r="A126" s="35"/>
      <c r="B126" s="36"/>
      <c r="C126" s="37">
        <v>0</v>
      </c>
      <c r="D126" s="38">
        <v>3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6" s="42" t="str">
        <f ca="1">IF(Март[[#This Row],[УСЛУГ]]&lt;&gt;"",Март[[#This Row],[УСЛУГ]]*Март[[#This Row],[Периодичность]],"")</f>
        <v/>
      </c>
    </row>
    <row r="127" spans="1:37" ht="47.25" x14ac:dyDescent="0.25">
      <c r="A127" s="35" t="s">
        <v>148</v>
      </c>
      <c r="B127" s="36"/>
      <c r="C127" s="37">
        <v>0</v>
      </c>
      <c r="D127" s="38">
        <v>1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27" s="42">
        <f ca="1">IF(Март[[#This Row],[УСЛУГ]]&lt;&gt;"",Март[[#This Row],[УСЛУГ]]*Март[[#This Row],[Периодичность]],"")</f>
        <v>0</v>
      </c>
    </row>
    <row r="128" spans="1:37" x14ac:dyDescent="0.25">
      <c r="A128" s="35"/>
      <c r="B128" s="36"/>
      <c r="C128" s="37">
        <v>0</v>
      </c>
      <c r="D128" s="38">
        <v>2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8" s="42" t="str">
        <f ca="1">IF(Март[[#This Row],[УСЛУГ]]&lt;&gt;"",Март[[#This Row],[УСЛУГ]]*Март[[#This Row],[Периодичность]],"")</f>
        <v/>
      </c>
    </row>
    <row r="129" spans="1:37" x14ac:dyDescent="0.25">
      <c r="A129" s="35"/>
      <c r="B129" s="36"/>
      <c r="C129" s="37">
        <v>0</v>
      </c>
      <c r="D129" s="38">
        <v>3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29" s="42" t="str">
        <f ca="1">IF(Март[[#This Row],[УСЛУГ]]&lt;&gt;"",Март[[#This Row],[УСЛУГ]]*Март[[#This Row],[Периодичность]],"")</f>
        <v/>
      </c>
    </row>
    <row r="130" spans="1:37" ht="31.5" x14ac:dyDescent="0.25">
      <c r="A130" s="35" t="s">
        <v>36</v>
      </c>
      <c r="B130" s="36"/>
      <c r="C130" s="37">
        <v>0</v>
      </c>
      <c r="D130" s="38">
        <v>1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30" s="42">
        <f ca="1">IF(Март[[#This Row],[УСЛУГ]]&lt;&gt;"",Март[[#This Row],[УСЛУГ]]*Март[[#This Row],[Периодичность]],"")</f>
        <v>0</v>
      </c>
    </row>
    <row r="131" spans="1:37" x14ac:dyDescent="0.25">
      <c r="A131" s="35"/>
      <c r="B131" s="36"/>
      <c r="C131" s="37">
        <v>0</v>
      </c>
      <c r="D131" s="38">
        <v>2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1" s="42" t="str">
        <f ca="1">IF(Март[[#This Row],[УСЛУГ]]&lt;&gt;"",Март[[#This Row],[УСЛУГ]]*Март[[#This Row],[Периодичность]],"")</f>
        <v/>
      </c>
    </row>
    <row r="132" spans="1:37" x14ac:dyDescent="0.25">
      <c r="A132" s="35"/>
      <c r="B132" s="36"/>
      <c r="C132" s="37">
        <v>0</v>
      </c>
      <c r="D132" s="38">
        <v>3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2" s="42" t="str">
        <f ca="1">IF(Март[[#This Row],[УСЛУГ]]&lt;&gt;"",Март[[#This Row],[УСЛУГ]]*Март[[#This Row],[Периодичность]],"")</f>
        <v/>
      </c>
    </row>
    <row r="133" spans="1:37" ht="31.5" x14ac:dyDescent="0.25">
      <c r="A133" s="35" t="s">
        <v>37</v>
      </c>
      <c r="B133" s="36"/>
      <c r="C133" s="37">
        <v>0</v>
      </c>
      <c r="D133" s="38">
        <v>1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33" s="42">
        <f ca="1">IF(Март[[#This Row],[УСЛУГ]]&lt;&gt;"",Март[[#This Row],[УСЛУГ]]*Март[[#This Row],[Периодичность]],"")</f>
        <v>0</v>
      </c>
    </row>
    <row r="134" spans="1:37" x14ac:dyDescent="0.25">
      <c r="A134" s="35"/>
      <c r="B134" s="36"/>
      <c r="C134" s="37">
        <v>0</v>
      </c>
      <c r="D134" s="38">
        <v>2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4" s="42" t="str">
        <f ca="1">IF(Март[[#This Row],[УСЛУГ]]&lt;&gt;"",Март[[#This Row],[УСЛУГ]]*Март[[#This Row],[Периодичность]],"")</f>
        <v/>
      </c>
    </row>
    <row r="135" spans="1:37" x14ac:dyDescent="0.25">
      <c r="A135" s="35"/>
      <c r="B135" s="36"/>
      <c r="C135" s="37">
        <v>0</v>
      </c>
      <c r="D135" s="38">
        <v>3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5" s="42" t="str">
        <f ca="1">IF(Март[[#This Row],[УСЛУГ]]&lt;&gt;"",Март[[#This Row],[УСЛУГ]]*Март[[#This Row],[Периодичность]],"")</f>
        <v/>
      </c>
    </row>
    <row r="136" spans="1:37" x14ac:dyDescent="0.25">
      <c r="A136" s="35" t="s">
        <v>38</v>
      </c>
      <c r="B136" s="36"/>
      <c r="C136" s="37">
        <v>0</v>
      </c>
      <c r="D136" s="38">
        <v>1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36" s="42">
        <f ca="1">IF(Март[[#This Row],[УСЛУГ]]&lt;&gt;"",Март[[#This Row],[УСЛУГ]]*Март[[#This Row],[Периодичность]],"")</f>
        <v>0</v>
      </c>
    </row>
    <row r="137" spans="1:37" x14ac:dyDescent="0.25">
      <c r="A137" s="35"/>
      <c r="B137" s="36"/>
      <c r="C137" s="37">
        <v>0</v>
      </c>
      <c r="D137" s="38">
        <v>2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7" s="42" t="str">
        <f ca="1">IF(Март[[#This Row],[УСЛУГ]]&lt;&gt;"",Март[[#This Row],[УСЛУГ]]*Март[[#This Row],[Периодичность]],"")</f>
        <v/>
      </c>
    </row>
    <row r="138" spans="1:37" x14ac:dyDescent="0.25">
      <c r="A138" s="35"/>
      <c r="B138" s="36"/>
      <c r="C138" s="37">
        <v>0</v>
      </c>
      <c r="D138" s="38">
        <v>3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38" s="42" t="str">
        <f ca="1">IF(Март[[#This Row],[УСЛУГ]]&lt;&gt;"",Март[[#This Row],[УСЛУГ]]*Март[[#This Row],[Периодичность]],"")</f>
        <v/>
      </c>
    </row>
    <row r="139" spans="1:37" ht="31.5" x14ac:dyDescent="0.25">
      <c r="A139" s="35" t="s">
        <v>39</v>
      </c>
      <c r="B139" s="36"/>
      <c r="C139" s="37">
        <v>0</v>
      </c>
      <c r="D139" s="38">
        <v>1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39" s="42">
        <f ca="1">IF(Март[[#This Row],[УСЛУГ]]&lt;&gt;"",Март[[#This Row],[УСЛУГ]]*Март[[#This Row],[Периодичность]],"")</f>
        <v>0</v>
      </c>
    </row>
    <row r="140" spans="1:37" x14ac:dyDescent="0.25">
      <c r="A140" s="35"/>
      <c r="B140" s="36"/>
      <c r="C140" s="37">
        <v>0</v>
      </c>
      <c r="D140" s="38">
        <v>2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0" s="42" t="str">
        <f ca="1">IF(Март[[#This Row],[УСЛУГ]]&lt;&gt;"",Март[[#This Row],[УСЛУГ]]*Март[[#This Row],[Периодичность]],"")</f>
        <v/>
      </c>
    </row>
    <row r="141" spans="1:37" x14ac:dyDescent="0.25">
      <c r="A141" s="35"/>
      <c r="B141" s="36"/>
      <c r="C141" s="37">
        <v>0</v>
      </c>
      <c r="D141" s="38">
        <v>3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1" s="42" t="str">
        <f ca="1">IF(Март[[#This Row],[УСЛУГ]]&lt;&gt;"",Март[[#This Row],[УСЛУГ]]*Март[[#This Row],[Периодичность]],"")</f>
        <v/>
      </c>
    </row>
    <row r="142" spans="1:37" ht="47.25" x14ac:dyDescent="0.25">
      <c r="A142" s="35" t="s">
        <v>149</v>
      </c>
      <c r="B142" s="36"/>
      <c r="C142" s="37">
        <v>0</v>
      </c>
      <c r="D142" s="38">
        <v>1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42" s="42">
        <f ca="1">IF(Март[[#This Row],[УСЛУГ]]&lt;&gt;"",Март[[#This Row],[УСЛУГ]]*Март[[#This Row],[Периодичность]],"")</f>
        <v>0</v>
      </c>
    </row>
    <row r="143" spans="1:37" x14ac:dyDescent="0.25">
      <c r="A143" s="35"/>
      <c r="B143" s="36"/>
      <c r="C143" s="37">
        <v>0</v>
      </c>
      <c r="D143" s="38">
        <v>2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3" s="42" t="str">
        <f ca="1">IF(Март[[#This Row],[УСЛУГ]]&lt;&gt;"",Март[[#This Row],[УСЛУГ]]*Март[[#This Row],[Периодичность]],"")</f>
        <v/>
      </c>
    </row>
    <row r="144" spans="1:37" x14ac:dyDescent="0.25">
      <c r="A144" s="35"/>
      <c r="B144" s="36"/>
      <c r="C144" s="37">
        <v>0</v>
      </c>
      <c r="D144" s="38">
        <v>3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4" s="42" t="str">
        <f ca="1">IF(Март[[#This Row],[УСЛУГ]]&lt;&gt;"",Март[[#This Row],[УСЛУГ]]*Март[[#This Row],[Периодичность]],"")</f>
        <v/>
      </c>
    </row>
    <row r="145" spans="1:37" ht="47.25" x14ac:dyDescent="0.25">
      <c r="A145" s="35" t="s">
        <v>150</v>
      </c>
      <c r="B145" s="36"/>
      <c r="C145" s="37">
        <v>0</v>
      </c>
      <c r="D145" s="38">
        <v>1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45" s="42">
        <f ca="1">IF(Март[[#This Row],[УСЛУГ]]&lt;&gt;"",Март[[#This Row],[УСЛУГ]]*Март[[#This Row],[Периодичность]],"")</f>
        <v>0</v>
      </c>
    </row>
    <row r="146" spans="1:37" x14ac:dyDescent="0.25">
      <c r="A146" s="35"/>
      <c r="B146" s="36"/>
      <c r="C146" s="37">
        <v>0</v>
      </c>
      <c r="D146" s="38">
        <v>2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6" s="42" t="str">
        <f ca="1">IF(Март[[#This Row],[УСЛУГ]]&lt;&gt;"",Март[[#This Row],[УСЛУГ]]*Март[[#This Row],[Периодичность]],"")</f>
        <v/>
      </c>
    </row>
    <row r="147" spans="1:37" x14ac:dyDescent="0.25">
      <c r="A147" s="35"/>
      <c r="B147" s="36"/>
      <c r="C147" s="37">
        <v>0</v>
      </c>
      <c r="D147" s="38">
        <v>3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7" s="42" t="str">
        <f ca="1">IF(Март[[#This Row],[УСЛУГ]]&lt;&gt;"",Март[[#This Row],[УСЛУГ]]*Март[[#This Row],[Периодичность]],"")</f>
        <v/>
      </c>
    </row>
    <row r="148" spans="1:37" ht="47.25" x14ac:dyDescent="0.25">
      <c r="A148" s="35" t="s">
        <v>151</v>
      </c>
      <c r="B148" s="36"/>
      <c r="C148" s="37">
        <v>0</v>
      </c>
      <c r="D148" s="38">
        <v>1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48" s="42">
        <f ca="1">IF(Март[[#This Row],[УСЛУГ]]&lt;&gt;"",Март[[#This Row],[УСЛУГ]]*Март[[#This Row],[Периодичность]],"")</f>
        <v>0</v>
      </c>
    </row>
    <row r="149" spans="1:37" x14ac:dyDescent="0.25">
      <c r="A149" s="35"/>
      <c r="B149" s="36"/>
      <c r="C149" s="37">
        <v>0</v>
      </c>
      <c r="D149" s="38">
        <v>2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49" s="42" t="str">
        <f ca="1">IF(Март[[#This Row],[УСЛУГ]]&lt;&gt;"",Март[[#This Row],[УСЛУГ]]*Март[[#This Row],[Периодичность]],"")</f>
        <v/>
      </c>
    </row>
    <row r="150" spans="1:37" x14ac:dyDescent="0.25">
      <c r="A150" s="35"/>
      <c r="B150" s="36"/>
      <c r="C150" s="37">
        <v>0</v>
      </c>
      <c r="D150" s="38">
        <v>3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0" s="42" t="str">
        <f ca="1">IF(Март[[#This Row],[УСЛУГ]]&lt;&gt;"",Март[[#This Row],[УСЛУГ]]*Март[[#This Row],[Периодичность]],"")</f>
        <v/>
      </c>
    </row>
    <row r="151" spans="1:37" ht="47.25" x14ac:dyDescent="0.25">
      <c r="A151" s="35" t="s">
        <v>75</v>
      </c>
      <c r="B151" s="36"/>
      <c r="C151" s="37">
        <v>0</v>
      </c>
      <c r="D151" s="38">
        <v>1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51" s="42">
        <f ca="1">IF(Март[[#This Row],[УСЛУГ]]&lt;&gt;"",Март[[#This Row],[УСЛУГ]]*Март[[#This Row],[Периодичность]],"")</f>
        <v>0</v>
      </c>
    </row>
    <row r="152" spans="1:37" x14ac:dyDescent="0.25">
      <c r="A152" s="35"/>
      <c r="B152" s="36"/>
      <c r="C152" s="37">
        <v>0</v>
      </c>
      <c r="D152" s="38">
        <v>2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2" s="42" t="str">
        <f ca="1">IF(Март[[#This Row],[УСЛУГ]]&lt;&gt;"",Март[[#This Row],[УСЛУГ]]*Март[[#This Row],[Периодичность]],"")</f>
        <v/>
      </c>
    </row>
    <row r="153" spans="1:37" x14ac:dyDescent="0.25">
      <c r="A153" s="35"/>
      <c r="B153" s="36"/>
      <c r="C153" s="37">
        <v>0</v>
      </c>
      <c r="D153" s="38">
        <v>3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3" s="42" t="str">
        <f ca="1">IF(Март[[#This Row],[УСЛУГ]]&lt;&gt;"",Март[[#This Row],[УСЛУГ]]*Март[[#This Row],[Периодичность]],"")</f>
        <v/>
      </c>
    </row>
    <row r="154" spans="1:37" ht="47.25" x14ac:dyDescent="0.25">
      <c r="A154" s="35" t="s">
        <v>74</v>
      </c>
      <c r="B154" s="36"/>
      <c r="C154" s="37">
        <v>0</v>
      </c>
      <c r="D154" s="38">
        <v>1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54" s="42">
        <f ca="1">IF(Март[[#This Row],[УСЛУГ]]&lt;&gt;"",Март[[#This Row],[УСЛУГ]]*Март[[#This Row],[Периодичность]],"")</f>
        <v>0</v>
      </c>
    </row>
    <row r="155" spans="1:37" x14ac:dyDescent="0.25">
      <c r="A155" s="35"/>
      <c r="B155" s="36"/>
      <c r="C155" s="37">
        <v>0</v>
      </c>
      <c r="D155" s="38">
        <v>2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5" s="42" t="str">
        <f ca="1">IF(Март[[#This Row],[УСЛУГ]]&lt;&gt;"",Март[[#This Row],[УСЛУГ]]*Март[[#This Row],[Периодичность]],"")</f>
        <v/>
      </c>
    </row>
    <row r="156" spans="1:37" x14ac:dyDescent="0.25">
      <c r="A156" s="35"/>
      <c r="B156" s="36"/>
      <c r="C156" s="37">
        <v>0</v>
      </c>
      <c r="D156" s="38">
        <v>3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6" s="42" t="str">
        <f ca="1">IF(Март[[#This Row],[УСЛУГ]]&lt;&gt;"",Март[[#This Row],[УСЛУГ]]*Март[[#This Row],[Периодичность]],"")</f>
        <v/>
      </c>
    </row>
    <row r="157" spans="1:37" ht="47.25" x14ac:dyDescent="0.25">
      <c r="A157" s="35" t="s">
        <v>152</v>
      </c>
      <c r="B157" s="36"/>
      <c r="C157" s="37">
        <v>0</v>
      </c>
      <c r="D157" s="38">
        <v>1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57" s="42">
        <f ca="1">IF(Март[[#This Row],[УСЛУГ]]&lt;&gt;"",Март[[#This Row],[УСЛУГ]]*Март[[#This Row],[Периодичность]],"")</f>
        <v>0</v>
      </c>
    </row>
    <row r="158" spans="1:37" x14ac:dyDescent="0.25">
      <c r="A158" s="35"/>
      <c r="B158" s="36"/>
      <c r="C158" s="37">
        <v>0</v>
      </c>
      <c r="D158" s="38">
        <v>2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8" s="42" t="str">
        <f ca="1">IF(Март[[#This Row],[УСЛУГ]]&lt;&gt;"",Март[[#This Row],[УСЛУГ]]*Март[[#This Row],[Периодичность]],"")</f>
        <v/>
      </c>
    </row>
    <row r="159" spans="1:37" x14ac:dyDescent="0.25">
      <c r="A159" s="35"/>
      <c r="B159" s="36"/>
      <c r="C159" s="37">
        <v>0</v>
      </c>
      <c r="D159" s="38">
        <v>3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59" s="42" t="str">
        <f ca="1">IF(Март[[#This Row],[УСЛУГ]]&lt;&gt;"",Март[[#This Row],[УСЛУГ]]*Март[[#This Row],[Периодичность]],"")</f>
        <v/>
      </c>
    </row>
    <row r="160" spans="1:37" ht="47.25" x14ac:dyDescent="0.25">
      <c r="A160" s="35" t="s">
        <v>153</v>
      </c>
      <c r="B160" s="36"/>
      <c r="C160" s="37">
        <v>0</v>
      </c>
      <c r="D160" s="38">
        <v>1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60" s="42">
        <f ca="1">IF(Март[[#This Row],[УСЛУГ]]&lt;&gt;"",Март[[#This Row],[УСЛУГ]]*Март[[#This Row],[Периодичность]],"")</f>
        <v>0</v>
      </c>
    </row>
    <row r="161" spans="1:37" x14ac:dyDescent="0.25">
      <c r="A161" s="35"/>
      <c r="B161" s="36"/>
      <c r="C161" s="37">
        <v>0</v>
      </c>
      <c r="D161" s="38">
        <v>2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1" s="42" t="str">
        <f ca="1">IF(Март[[#This Row],[УСЛУГ]]&lt;&gt;"",Март[[#This Row],[УСЛУГ]]*Март[[#This Row],[Периодичность]],"")</f>
        <v/>
      </c>
    </row>
    <row r="162" spans="1:37" x14ac:dyDescent="0.25">
      <c r="A162" s="35"/>
      <c r="B162" s="36"/>
      <c r="C162" s="37">
        <v>0</v>
      </c>
      <c r="D162" s="38">
        <v>3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2" s="42" t="str">
        <f ca="1">IF(Март[[#This Row],[УСЛУГ]]&lt;&gt;"",Март[[#This Row],[УСЛУГ]]*Март[[#This Row],[Периодичность]],"")</f>
        <v/>
      </c>
    </row>
    <row r="163" spans="1:37" ht="47.25" x14ac:dyDescent="0.25">
      <c r="A163" s="35" t="s">
        <v>154</v>
      </c>
      <c r="B163" s="36"/>
      <c r="C163" s="37">
        <v>0</v>
      </c>
      <c r="D163" s="38">
        <v>1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63" s="42">
        <f ca="1">IF(Март[[#This Row],[УСЛУГ]]&lt;&gt;"",Март[[#This Row],[УСЛУГ]]*Март[[#This Row],[Периодичность]],"")</f>
        <v>0</v>
      </c>
    </row>
    <row r="164" spans="1:37" x14ac:dyDescent="0.25">
      <c r="A164" s="35"/>
      <c r="B164" s="36"/>
      <c r="C164" s="37">
        <v>0</v>
      </c>
      <c r="D164" s="38">
        <v>2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4" s="42" t="str">
        <f ca="1">IF(Март[[#This Row],[УСЛУГ]]&lt;&gt;"",Март[[#This Row],[УСЛУГ]]*Март[[#This Row],[Периодичность]],"")</f>
        <v/>
      </c>
    </row>
    <row r="165" spans="1:37" x14ac:dyDescent="0.25">
      <c r="A165" s="35"/>
      <c r="B165" s="36"/>
      <c r="C165" s="37">
        <v>0</v>
      </c>
      <c r="D165" s="38">
        <v>3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5" s="42" t="str">
        <f ca="1">IF(Март[[#This Row],[УСЛУГ]]&lt;&gt;"",Март[[#This Row],[УСЛУГ]]*Март[[#This Row],[Периодичность]],"")</f>
        <v/>
      </c>
    </row>
    <row r="166" spans="1:37" ht="47.25" x14ac:dyDescent="0.25">
      <c r="A166" s="35" t="s">
        <v>73</v>
      </c>
      <c r="B166" s="36"/>
      <c r="C166" s="37">
        <v>0</v>
      </c>
      <c r="D166" s="38">
        <v>1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66" s="42">
        <f ca="1">IF(Март[[#This Row],[УСЛУГ]]&lt;&gt;"",Март[[#This Row],[УСЛУГ]]*Март[[#This Row],[Периодичность]],"")</f>
        <v>0</v>
      </c>
    </row>
    <row r="167" spans="1:37" x14ac:dyDescent="0.25">
      <c r="A167" s="35"/>
      <c r="B167" s="36"/>
      <c r="C167" s="37">
        <v>0</v>
      </c>
      <c r="D167" s="38">
        <v>2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7" s="42" t="str">
        <f ca="1">IF(Март[[#This Row],[УСЛУГ]]&lt;&gt;"",Март[[#This Row],[УСЛУГ]]*Март[[#This Row],[Периодичность]],"")</f>
        <v/>
      </c>
    </row>
    <row r="168" spans="1:37" x14ac:dyDescent="0.25">
      <c r="A168" s="35"/>
      <c r="B168" s="36"/>
      <c r="C168" s="37">
        <v>0</v>
      </c>
      <c r="D168" s="38">
        <v>3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68" s="42" t="str">
        <f ca="1">IF(Март[[#This Row],[УСЛУГ]]&lt;&gt;"",Март[[#This Row],[УСЛУГ]]*Март[[#This Row],[Периодичность]],"")</f>
        <v/>
      </c>
    </row>
    <row r="169" spans="1:37" ht="47.25" x14ac:dyDescent="0.25">
      <c r="A169" s="35" t="s">
        <v>155</v>
      </c>
      <c r="B169" s="36"/>
      <c r="C169" s="37">
        <v>0</v>
      </c>
      <c r="D169" s="38">
        <v>1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69" s="42">
        <f ca="1">IF(Март[[#This Row],[УСЛУГ]]&lt;&gt;"",Март[[#This Row],[УСЛУГ]]*Март[[#This Row],[Периодичность]],"")</f>
        <v>0</v>
      </c>
    </row>
    <row r="170" spans="1:37" x14ac:dyDescent="0.25">
      <c r="A170" s="35"/>
      <c r="B170" s="36"/>
      <c r="C170" s="37">
        <v>0</v>
      </c>
      <c r="D170" s="38">
        <v>2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70" s="42" t="str">
        <f ca="1">IF(Март[[#This Row],[УСЛУГ]]&lt;&gt;"",Март[[#This Row],[УСЛУГ]]*Март[[#This Row],[Периодичность]],"")</f>
        <v/>
      </c>
    </row>
    <row r="171" spans="1:37" x14ac:dyDescent="0.25">
      <c r="A171" s="35"/>
      <c r="B171" s="36"/>
      <c r="C171" s="37">
        <v>0</v>
      </c>
      <c r="D171" s="38">
        <v>3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71" s="42" t="str">
        <f ca="1">IF(Март[[#This Row],[УСЛУГ]]&lt;&gt;"",Март[[#This Row],[УСЛУГ]]*Март[[#This Row],[Периодичность]],"")</f>
        <v/>
      </c>
    </row>
    <row r="172" spans="1:37" ht="47.25" x14ac:dyDescent="0.25">
      <c r="A172" s="35" t="s">
        <v>72</v>
      </c>
      <c r="B172" s="36"/>
      <c r="C172" s="37">
        <v>0</v>
      </c>
      <c r="D172" s="38">
        <v>1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>0</v>
      </c>
      <c r="AK172" s="42">
        <f ca="1">IF(Март[[#This Row],[УСЛУГ]]&lt;&gt;"",Март[[#This Row],[УСЛУГ]]*Март[[#This Row],[Периодичность]],"")</f>
        <v>0</v>
      </c>
    </row>
    <row r="173" spans="1:37" x14ac:dyDescent="0.25">
      <c r="A173" s="35"/>
      <c r="B173" s="36"/>
      <c r="C173" s="37">
        <v>0</v>
      </c>
      <c r="D173" s="38">
        <v>2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73" s="42" t="str">
        <f ca="1">IF(Март[[#This Row],[УСЛУГ]]&lt;&gt;"",Март[[#This Row],[УСЛУГ]]*Март[[#This Row],[Периодичность]],"")</f>
        <v/>
      </c>
    </row>
    <row r="174" spans="1:37" x14ac:dyDescent="0.25">
      <c r="A174" s="35"/>
      <c r="B174" s="36"/>
      <c r="C174" s="37">
        <v>0</v>
      </c>
      <c r="D174" s="38">
        <v>3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IF(OFFSET(Март[[#This Row],[№]],1,)=2,IF(OFFSET(Март[[#This Row],[№]],2,)=3,SUM(Март[[#This Row],[1]:[31]])+SUM(OFFSET(Март[[#This Row],[1]:[31]],1,))+SUM(OFFSET(Март[[#This Row],[1]:[31]],2,)),SUM(Март[[#This Row],[1]:[31]])+SUM(OFFSET(Март[[#This Row],[1]:[31]],1,))),IF(OFFSET(Март[[#This Row],[№]],2,)=3,SUM(Март[[#This Row],[1]:[31]])+SUM(OFFSET(Март[[#This Row],[1]:[31]],2,)),""))</f>
        <v/>
      </c>
      <c r="AK174" s="42" t="str">
        <f ca="1">IF(Март[[#This Row],[УСЛУГ]]&lt;&gt;"",Март[[#This Row],[УСЛУГ]]*Март[[#This Row],[Периодичность]],"")</f>
        <v/>
      </c>
    </row>
  </sheetData>
  <mergeCells count="20">
    <mergeCell ref="AJ7:AJ11"/>
    <mergeCell ref="AK7:AK11"/>
    <mergeCell ref="E10:AI11"/>
    <mergeCell ref="A19:A23"/>
    <mergeCell ref="B19:C23"/>
    <mergeCell ref="D19:D23"/>
    <mergeCell ref="E19:AI20"/>
    <mergeCell ref="AJ19:AJ23"/>
    <mergeCell ref="AK19:AK23"/>
    <mergeCell ref="E22:AI23"/>
    <mergeCell ref="A7:A11"/>
    <mergeCell ref="B7:B11"/>
    <mergeCell ref="C7:C11"/>
    <mergeCell ref="D7:D11"/>
    <mergeCell ref="E7:AI8"/>
    <mergeCell ref="A2:AJ2"/>
    <mergeCell ref="A3:AJ3"/>
    <mergeCell ref="J4:L4"/>
    <mergeCell ref="M4:U4"/>
    <mergeCell ref="M5:Q5"/>
  </mergeCells>
  <conditionalFormatting sqref="E9:AI9">
    <cfRule type="expression" dxfId="984" priority="2">
      <formula>WEEKDAY(E9:AI9,2)&gt;5</formula>
    </cfRule>
  </conditionalFormatting>
  <conditionalFormatting sqref="E21:AI21">
    <cfRule type="expression" dxfId="983" priority="1">
      <formula>WEEKDAY(E21:AI21,2)&gt;5</formula>
    </cfRule>
  </conditionalFormatting>
  <dataValidations count="2">
    <dataValidation type="list" allowBlank="1" showInputMessage="1" showErrorMessage="1" sqref="A25:A174">
      <formula1>INDIRECT("Услуги[Кратко]")</formula1>
    </dataValidation>
    <dataValidation type="list" allowBlank="1" showInputMessage="1" showErrorMessage="1" sqref="D25:D174">
      <formula1>INDIRECT("Посещения")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Height="0" orientation="landscape" horizontalDpi="300" verticalDpi="300" r:id="rId1"/>
  <ignoredErrors>
    <ignoredError sqref="E13:E17 AI13:AK17 B13:B17" calculatedColumn="1"/>
  </ignoredError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74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7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7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7" ht="18.75" x14ac:dyDescent="0.25">
      <c r="C5" s="17"/>
      <c r="L5" s="12" t="s">
        <v>69</v>
      </c>
      <c r="M5" s="68" t="s">
        <v>124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7" ht="18.75" x14ac:dyDescent="0.25">
      <c r="C6" s="17"/>
      <c r="L6" s="12"/>
      <c r="M6" s="22"/>
      <c r="N6" s="32"/>
      <c r="O6" s="32"/>
      <c r="P6" s="32"/>
      <c r="Q6" s="32"/>
      <c r="R6" s="22"/>
      <c r="S6" s="32"/>
      <c r="T6" s="14"/>
      <c r="U6" s="14"/>
    </row>
    <row r="7" spans="1:37" ht="26.25" customHeight="1" x14ac:dyDescent="0.25">
      <c r="A7" s="54"/>
      <c r="B7" s="62" t="s">
        <v>115</v>
      </c>
      <c r="C7" s="62" t="s">
        <v>114</v>
      </c>
      <c r="D7" s="63" t="s">
        <v>61</v>
      </c>
      <c r="E7" s="48" t="s">
        <v>55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50"/>
      <c r="AI7" s="44" t="s">
        <v>64</v>
      </c>
      <c r="AJ7" s="44" t="s">
        <v>64</v>
      </c>
      <c r="AK7" s="4"/>
    </row>
    <row r="8" spans="1:37" ht="15.75" customHeight="1" x14ac:dyDescent="0.25">
      <c r="A8" s="54"/>
      <c r="B8" s="57"/>
      <c r="C8" s="57"/>
      <c r="D8" s="64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  <c r="AI8" s="44"/>
      <c r="AJ8" s="44"/>
      <c r="AK8" s="4"/>
    </row>
    <row r="9" spans="1:37" x14ac:dyDescent="0.25">
      <c r="A9" s="54"/>
      <c r="B9" s="57"/>
      <c r="C9" s="57"/>
      <c r="D9" s="64"/>
      <c r="E9" s="23">
        <f>Настройки!E10</f>
        <v>45017</v>
      </c>
      <c r="F9" s="23">
        <f>Настройки!F10</f>
        <v>45018</v>
      </c>
      <c r="G9" s="23">
        <f>Настройки!G10</f>
        <v>45019</v>
      </c>
      <c r="H9" s="23">
        <f>Настройки!H10</f>
        <v>45020</v>
      </c>
      <c r="I9" s="23">
        <f>Настройки!I10</f>
        <v>45021</v>
      </c>
      <c r="J9" s="23">
        <f>Настройки!J10</f>
        <v>45022</v>
      </c>
      <c r="K9" s="23">
        <f>Настройки!K10</f>
        <v>45023</v>
      </c>
      <c r="L9" s="23">
        <f>Настройки!L10</f>
        <v>45024</v>
      </c>
      <c r="M9" s="23">
        <f>Настройки!M10</f>
        <v>45025</v>
      </c>
      <c r="N9" s="23">
        <f>Настройки!N10</f>
        <v>45026</v>
      </c>
      <c r="O9" s="23">
        <f>Настройки!O10</f>
        <v>45027</v>
      </c>
      <c r="P9" s="23">
        <f>Настройки!P10</f>
        <v>45028</v>
      </c>
      <c r="Q9" s="23">
        <f>Настройки!Q10</f>
        <v>45029</v>
      </c>
      <c r="R9" s="23">
        <f>Настройки!R10</f>
        <v>45030</v>
      </c>
      <c r="S9" s="23">
        <f>Настройки!S10</f>
        <v>45031</v>
      </c>
      <c r="T9" s="23">
        <f>Настройки!T10</f>
        <v>45032</v>
      </c>
      <c r="U9" s="23">
        <f>Настройки!U10</f>
        <v>45033</v>
      </c>
      <c r="V9" s="23">
        <f>Настройки!V10</f>
        <v>45034</v>
      </c>
      <c r="W9" s="23">
        <f>Настройки!W10</f>
        <v>45035</v>
      </c>
      <c r="X9" s="23">
        <f>Настройки!X10</f>
        <v>45036</v>
      </c>
      <c r="Y9" s="23">
        <f>Настройки!Y10</f>
        <v>45037</v>
      </c>
      <c r="Z9" s="23">
        <f>Настройки!Z10</f>
        <v>45038</v>
      </c>
      <c r="AA9" s="23">
        <f>Настройки!AA10</f>
        <v>45039</v>
      </c>
      <c r="AB9" s="23">
        <f>Настройки!AB10</f>
        <v>45040</v>
      </c>
      <c r="AC9" s="23">
        <f>Настройки!AC10</f>
        <v>45041</v>
      </c>
      <c r="AD9" s="23">
        <f>Настройки!AD10</f>
        <v>45042</v>
      </c>
      <c r="AE9" s="23">
        <f>Настройки!AE10</f>
        <v>45043</v>
      </c>
      <c r="AF9" s="23">
        <f>Настройки!AF10</f>
        <v>45044</v>
      </c>
      <c r="AG9" s="23">
        <f>Настройки!AG10</f>
        <v>45045</v>
      </c>
      <c r="AH9" s="23">
        <f>Настройки!AH10</f>
        <v>45046</v>
      </c>
      <c r="AI9" s="44"/>
      <c r="AJ9" s="44"/>
      <c r="AK9" s="4"/>
    </row>
    <row r="10" spans="1:37" ht="15.75" customHeight="1" x14ac:dyDescent="0.25">
      <c r="A10" s="54"/>
      <c r="B10" s="57"/>
      <c r="C10" s="57"/>
      <c r="D10" s="64"/>
      <c r="E10" s="48" t="s">
        <v>54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74"/>
      <c r="AI10" s="44"/>
      <c r="AJ10" s="44"/>
      <c r="AK10" s="4"/>
    </row>
    <row r="11" spans="1:37" x14ac:dyDescent="0.25">
      <c r="A11" s="62"/>
      <c r="B11" s="57"/>
      <c r="C11" s="57"/>
      <c r="D11" s="64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3"/>
      <c r="AI11" s="44"/>
      <c r="AJ11" s="44"/>
    </row>
    <row r="12" spans="1:37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15" t="s">
        <v>83</v>
      </c>
      <c r="F12" s="15" t="s">
        <v>84</v>
      </c>
      <c r="G12" s="15" t="s">
        <v>85</v>
      </c>
      <c r="H12" s="15" t="s">
        <v>86</v>
      </c>
      <c r="I12" s="15" t="s">
        <v>87</v>
      </c>
      <c r="J12" s="15" t="s">
        <v>88</v>
      </c>
      <c r="K12" s="15" t="s">
        <v>89</v>
      </c>
      <c r="L12" s="15" t="s">
        <v>90</v>
      </c>
      <c r="M12" s="15" t="s">
        <v>91</v>
      </c>
      <c r="N12" s="15" t="s">
        <v>92</v>
      </c>
      <c r="O12" s="15" t="s">
        <v>93</v>
      </c>
      <c r="P12" s="15" t="s">
        <v>94</v>
      </c>
      <c r="Q12" s="15" t="s">
        <v>95</v>
      </c>
      <c r="R12" s="15" t="s">
        <v>96</v>
      </c>
      <c r="S12" s="15" t="s">
        <v>97</v>
      </c>
      <c r="T12" s="15" t="s">
        <v>98</v>
      </c>
      <c r="U12" s="15" t="s">
        <v>99</v>
      </c>
      <c r="V12" s="15" t="s">
        <v>100</v>
      </c>
      <c r="W12" s="15" t="s">
        <v>101</v>
      </c>
      <c r="X12" s="15" t="s">
        <v>102</v>
      </c>
      <c r="Y12" s="15" t="s">
        <v>103</v>
      </c>
      <c r="Z12" s="15" t="s">
        <v>104</v>
      </c>
      <c r="AA12" s="15" t="s">
        <v>105</v>
      </c>
      <c r="AB12" s="15" t="s">
        <v>106</v>
      </c>
      <c r="AC12" s="15" t="s">
        <v>107</v>
      </c>
      <c r="AD12" s="15" t="s">
        <v>108</v>
      </c>
      <c r="AE12" s="15" t="s">
        <v>109</v>
      </c>
      <c r="AF12" s="15" t="s">
        <v>110</v>
      </c>
      <c r="AG12" s="15" t="s">
        <v>111</v>
      </c>
      <c r="AH12" s="15" t="s">
        <v>112</v>
      </c>
      <c r="AI12" s="3" t="s">
        <v>62</v>
      </c>
      <c r="AJ12" s="3" t="s">
        <v>63</v>
      </c>
    </row>
    <row r="13" spans="1:37" ht="22.5" customHeight="1" x14ac:dyDescent="0.25">
      <c r="A13" s="5" t="s">
        <v>56</v>
      </c>
      <c r="B13" s="3">
        <f>SUMPRODUCT((Настройки!$E$24:$AH$24=1)*E16:AH16)</f>
        <v>0</v>
      </c>
      <c r="C13" s="15"/>
      <c r="D13" s="5">
        <v>1</v>
      </c>
      <c r="E13" s="3">
        <f>SUMPRODUCT((Апрель[№]=1)*Апрель[1],Апрель[Периодичность])</f>
        <v>0</v>
      </c>
      <c r="F13" s="30">
        <f>SUMPRODUCT((Апрель[№]=1)*Апрель[2],Апрель[Периодичность])</f>
        <v>0</v>
      </c>
      <c r="G13" s="30">
        <f>SUMPRODUCT((Апрель[№]=1)*Апрель[3],Апрель[Периодичность])</f>
        <v>0</v>
      </c>
      <c r="H13" s="30">
        <f>SUMPRODUCT((Апрель[№]=1)*Апрель[4],Апрель[Периодичность])</f>
        <v>0</v>
      </c>
      <c r="I13" s="30">
        <f>SUMPRODUCT((Апрель[№]=1)*Апрель[5],Апрель[Периодичность])</f>
        <v>0</v>
      </c>
      <c r="J13" s="30">
        <f>SUMPRODUCT((Апрель[№]=1)*Апрель[6],Апрель[Периодичность])</f>
        <v>0</v>
      </c>
      <c r="K13" s="30">
        <f>SUMPRODUCT((Апрель[№]=1)*Апрель[7],Апрель[Периодичность])</f>
        <v>0</v>
      </c>
      <c r="L13" s="30">
        <f>SUMPRODUCT((Апрель[№]=1)*Апрель[8],Апрель[Периодичность])</f>
        <v>0</v>
      </c>
      <c r="M13" s="30">
        <f>SUMPRODUCT((Апрель[№]=1)*Апрель[9],Апрель[Периодичность])</f>
        <v>0</v>
      </c>
      <c r="N13" s="30">
        <f>SUMPRODUCT((Апрель[№]=1)*Апрель[10],Апрель[Периодичность])</f>
        <v>0</v>
      </c>
      <c r="O13" s="30">
        <f>SUMPRODUCT((Апрель[№]=1)*Апрель[11],Апрель[Периодичность])</f>
        <v>0</v>
      </c>
      <c r="P13" s="30">
        <f>SUMPRODUCT((Апрель[№]=1)*Апрель[12],Апрель[Периодичность])</f>
        <v>0</v>
      </c>
      <c r="Q13" s="30">
        <f>SUMPRODUCT((Апрель[№]=1)*Апрель[13],Апрель[Периодичность])</f>
        <v>0</v>
      </c>
      <c r="R13" s="30">
        <f>SUMPRODUCT((Апрель[№]=1)*Апрель[14],Апрель[Периодичность])</f>
        <v>0</v>
      </c>
      <c r="S13" s="30">
        <f>SUMPRODUCT((Апрель[№]=1)*Апрель[15],Апрель[Периодичность])</f>
        <v>0</v>
      </c>
      <c r="T13" s="30">
        <f>SUMPRODUCT((Апрель[№]=1)*Апрель[16],Апрель[Периодичность])</f>
        <v>0</v>
      </c>
      <c r="U13" s="30">
        <f>SUMPRODUCT((Апрель[№]=1)*Апрель[17],Апрель[Периодичность])</f>
        <v>0</v>
      </c>
      <c r="V13" s="30">
        <f>SUMPRODUCT((Апрель[№]=1)*Апрель[18],Апрель[Периодичность])</f>
        <v>0</v>
      </c>
      <c r="W13" s="30">
        <f>SUMPRODUCT((Апрель[№]=1)*Апрель[19],Апрель[Периодичность])</f>
        <v>0</v>
      </c>
      <c r="X13" s="30">
        <f>SUMPRODUCT((Апрель[№]=1)*Апрель[20],Апрель[Периодичность])</f>
        <v>0</v>
      </c>
      <c r="Y13" s="30">
        <f>SUMPRODUCT((Апрель[№]=1)*Апрель[21],Апрель[Периодичность])</f>
        <v>0</v>
      </c>
      <c r="Z13" s="30">
        <f>SUMPRODUCT((Апрель[№]=1)*Апрель[22],Апрель[Периодичность])</f>
        <v>0</v>
      </c>
      <c r="AA13" s="30">
        <f>SUMPRODUCT((Апрель[№]=1)*Апрель[23],Апрель[Периодичность])</f>
        <v>0</v>
      </c>
      <c r="AB13" s="30">
        <f>SUMPRODUCT((Апрель[№]=1)*Апрель[24],Апрель[Периодичность])</f>
        <v>0</v>
      </c>
      <c r="AC13" s="30">
        <f>SUMPRODUCT((Апрель[№]=1)*Апрель[25],Апрель[Периодичность])</f>
        <v>0</v>
      </c>
      <c r="AD13" s="30">
        <f>SUMPRODUCT((Апрель[№]=1)*Апрель[26],Апрель[Периодичность])</f>
        <v>0</v>
      </c>
      <c r="AE13" s="30">
        <f>SUMPRODUCT((Апрель[№]=1)*Апрель[27],Апрель[Периодичность])</f>
        <v>0</v>
      </c>
      <c r="AF13" s="30">
        <f>SUMPRODUCT((Апрель[№]=1)*Апрель[28],Апрель[Периодичность])</f>
        <v>0</v>
      </c>
      <c r="AG13" s="30">
        <f>SUMPRODUCT((Апрель[№]=1)*Апрель[29],Апрель[Периодичность])</f>
        <v>0</v>
      </c>
      <c r="AH13" s="30">
        <f>SUMPRODUCT((Апрель[№]=1)*Апрель[30],Апрель[Периодичность])</f>
        <v>0</v>
      </c>
    </row>
    <row r="14" spans="1:37" ht="20.25" customHeight="1" x14ac:dyDescent="0.25">
      <c r="B14" s="3">
        <f>SUMPRODUCT((Настройки!$E$24:$AH$24=2)*E16:AH16)</f>
        <v>0</v>
      </c>
      <c r="D14" s="5">
        <v>2</v>
      </c>
      <c r="E14" s="3">
        <f>SUMPRODUCT((Апрель[№]=2)*Апрель[1],Апрель[Периодичность])</f>
        <v>0</v>
      </c>
      <c r="F14" s="30">
        <f>SUMPRODUCT((Апрель[№]=2)*Апрель[2],Апрель[Периодичность])</f>
        <v>0</v>
      </c>
      <c r="G14" s="30">
        <f>SUMPRODUCT((Апрель[№]=2)*Апрель[3],Апрель[Периодичность])</f>
        <v>0</v>
      </c>
      <c r="H14" s="30">
        <f>SUMPRODUCT((Апрель[№]=2)*Апрель[4],Апрель[Периодичность])</f>
        <v>0</v>
      </c>
      <c r="I14" s="30">
        <f>SUMPRODUCT((Апрель[№]=2)*Апрель[5],Апрель[Периодичность])</f>
        <v>0</v>
      </c>
      <c r="J14" s="30">
        <f>SUMPRODUCT((Апрель[№]=2)*Апрель[6],Апрель[Периодичность])</f>
        <v>0</v>
      </c>
      <c r="K14" s="30">
        <f>SUMPRODUCT((Апрель[№]=2)*Апрель[7],Апрель[Периодичность])</f>
        <v>0</v>
      </c>
      <c r="L14" s="30">
        <f>SUMPRODUCT((Апрель[№]=2)*Апрель[8],Апрель[Периодичность])</f>
        <v>0</v>
      </c>
      <c r="M14" s="30">
        <f>SUMPRODUCT((Апрель[№]=2)*Апрель[9],Апрель[Периодичность])</f>
        <v>0</v>
      </c>
      <c r="N14" s="30">
        <f>SUMPRODUCT((Апрель[№]=2)*Апрель[10],Апрель[Периодичность])</f>
        <v>0</v>
      </c>
      <c r="O14" s="30">
        <f>SUMPRODUCT((Апрель[№]=2)*Апрель[11],Апрель[Периодичность])</f>
        <v>0</v>
      </c>
      <c r="P14" s="30">
        <f>SUMPRODUCT((Апрель[№]=2)*Апрель[12],Апрель[Периодичность])</f>
        <v>0</v>
      </c>
      <c r="Q14" s="30">
        <f>SUMPRODUCT((Апрель[№]=2)*Апрель[13],Апрель[Периодичность])</f>
        <v>0</v>
      </c>
      <c r="R14" s="30">
        <f>SUMPRODUCT((Апрель[№]=2)*Апрель[14],Апрель[Периодичность])</f>
        <v>0</v>
      </c>
      <c r="S14" s="30">
        <f>SUMPRODUCT((Апрель[№]=2)*Апрель[15],Апрель[Периодичность])</f>
        <v>0</v>
      </c>
      <c r="T14" s="30">
        <f>SUMPRODUCT((Апрель[№]=2)*Апрель[16],Апрель[Периодичность])</f>
        <v>0</v>
      </c>
      <c r="U14" s="30">
        <f>SUMPRODUCT((Апрель[№]=2)*Апрель[17],Апрель[Периодичность])</f>
        <v>0</v>
      </c>
      <c r="V14" s="30">
        <f>SUMPRODUCT((Апрель[№]=2)*Апрель[18],Апрель[Периодичность])</f>
        <v>0</v>
      </c>
      <c r="W14" s="30">
        <f>SUMPRODUCT((Апрель[№]=2)*Апрель[19],Апрель[Периодичность])</f>
        <v>0</v>
      </c>
      <c r="X14" s="30">
        <f>SUMPRODUCT((Апрель[№]=2)*Апрель[20],Апрель[Периодичность])</f>
        <v>0</v>
      </c>
      <c r="Y14" s="30">
        <f>SUMPRODUCT((Апрель[№]=2)*Апрель[21],Апрель[Периодичность])</f>
        <v>0</v>
      </c>
      <c r="Z14" s="30">
        <f>SUMPRODUCT((Апрель[№]=2)*Апрель[22],Апрель[Периодичность])</f>
        <v>0</v>
      </c>
      <c r="AA14" s="30">
        <f>SUMPRODUCT((Апрель[№]=2)*Апрель[23],Апрель[Периодичность])</f>
        <v>0</v>
      </c>
      <c r="AB14" s="30">
        <f>SUMPRODUCT((Апрель[№]=2)*Апрель[24],Апрель[Периодичность])</f>
        <v>0</v>
      </c>
      <c r="AC14" s="30">
        <f>SUMPRODUCT((Апрель[№]=2)*Апрель[25],Апрель[Периодичность])</f>
        <v>0</v>
      </c>
      <c r="AD14" s="30">
        <f>SUMPRODUCT((Апрель[№]=2)*Апрель[26],Апрель[Периодичность])</f>
        <v>0</v>
      </c>
      <c r="AE14" s="30">
        <f>SUMPRODUCT((Апрель[№]=2)*Апрель[27],Апрель[Периодичность])</f>
        <v>0</v>
      </c>
      <c r="AF14" s="30">
        <f>SUMPRODUCT((Апрель[№]=2)*Апрель[28],Апрель[Периодичность])</f>
        <v>0</v>
      </c>
      <c r="AG14" s="30">
        <f>SUMPRODUCT((Апрель[№]=2)*Апрель[29],Апрель[Периодичность])</f>
        <v>0</v>
      </c>
      <c r="AH14" s="30">
        <f>SUMPRODUCT((Апрель[№]=2)*Апрель[30],Апрель[Периодичность])</f>
        <v>0</v>
      </c>
    </row>
    <row r="15" spans="1:37" ht="22.5" customHeight="1" x14ac:dyDescent="0.25">
      <c r="B15" s="3">
        <f>SUMPRODUCT((Настройки!$E$24:$AH$24=3)*E16:AH16)</f>
        <v>0</v>
      </c>
      <c r="D15" s="5">
        <v>3</v>
      </c>
      <c r="E15" s="3">
        <f>SUMPRODUCT((Апрель[№]=3)*Апрель[1],Апрель[Периодичность])</f>
        <v>0</v>
      </c>
      <c r="F15" s="30">
        <f>SUMPRODUCT((Апрель[№]=3)*Апрель[2],Апрель[Периодичность])</f>
        <v>0</v>
      </c>
      <c r="G15" s="30">
        <f>SUMPRODUCT((Апрель[№]=3)*Апрель[3],Апрель[Периодичность])</f>
        <v>0</v>
      </c>
      <c r="H15" s="30">
        <f>SUMPRODUCT((Апрель[№]=3)*Апрель[4],Апрель[Периодичность])</f>
        <v>0</v>
      </c>
      <c r="I15" s="30">
        <f>SUMPRODUCT((Апрель[№]=3)*Апрель[5],Апрель[Периодичность])</f>
        <v>0</v>
      </c>
      <c r="J15" s="30">
        <f>SUMPRODUCT((Апрель[№]=3)*Апрель[6],Апрель[Периодичность])</f>
        <v>0</v>
      </c>
      <c r="K15" s="30">
        <f>SUMPRODUCT((Апрель[№]=3)*Апрель[7],Апрель[Периодичность])</f>
        <v>0</v>
      </c>
      <c r="L15" s="30">
        <f>SUMPRODUCT((Апрель[№]=3)*Апрель[8],Апрель[Периодичность])</f>
        <v>0</v>
      </c>
      <c r="M15" s="30">
        <f>SUMPRODUCT((Апрель[№]=3)*Апрель[9],Апрель[Периодичность])</f>
        <v>0</v>
      </c>
      <c r="N15" s="30">
        <f>SUMPRODUCT((Апрель[№]=3)*Апрель[10],Апрель[Периодичность])</f>
        <v>0</v>
      </c>
      <c r="O15" s="30">
        <f>SUMPRODUCT((Апрель[№]=3)*Апрель[11],Апрель[Периодичность])</f>
        <v>0</v>
      </c>
      <c r="P15" s="30">
        <f>SUMPRODUCT((Апрель[№]=3)*Апрель[12],Апрель[Периодичность])</f>
        <v>0</v>
      </c>
      <c r="Q15" s="30">
        <f>SUMPRODUCT((Апрель[№]=3)*Апрель[13],Апрель[Периодичность])</f>
        <v>0</v>
      </c>
      <c r="R15" s="30">
        <f>SUMPRODUCT((Апрель[№]=3)*Апрель[14],Апрель[Периодичность])</f>
        <v>0</v>
      </c>
      <c r="S15" s="30">
        <f>SUMPRODUCT((Апрель[№]=3)*Апрель[15],Апрель[Периодичность])</f>
        <v>0</v>
      </c>
      <c r="T15" s="30">
        <f>SUMPRODUCT((Апрель[№]=3)*Апрель[16],Апрель[Периодичность])</f>
        <v>0</v>
      </c>
      <c r="U15" s="30">
        <f>SUMPRODUCT((Апрель[№]=3)*Апрель[17],Апрель[Периодичность])</f>
        <v>0</v>
      </c>
      <c r="V15" s="30">
        <f>SUMPRODUCT((Апрель[№]=3)*Апрель[18],Апрель[Периодичность])</f>
        <v>0</v>
      </c>
      <c r="W15" s="30">
        <f>SUMPRODUCT((Апрель[№]=3)*Апрель[19],Апрель[Периодичность])</f>
        <v>0</v>
      </c>
      <c r="X15" s="30">
        <f>SUMPRODUCT((Апрель[№]=3)*Апрель[20],Апрель[Периодичность])</f>
        <v>0</v>
      </c>
      <c r="Y15" s="30">
        <f>SUMPRODUCT((Апрель[№]=3)*Апрель[21],Апрель[Периодичность])</f>
        <v>0</v>
      </c>
      <c r="Z15" s="30">
        <f>SUMPRODUCT((Апрель[№]=3)*Апрель[22],Апрель[Периодичность])</f>
        <v>0</v>
      </c>
      <c r="AA15" s="30">
        <f>SUMPRODUCT((Апрель[№]=3)*Апрель[23],Апрель[Периодичность])</f>
        <v>0</v>
      </c>
      <c r="AB15" s="30">
        <f>SUMPRODUCT((Апрель[№]=3)*Апрель[24],Апрель[Периодичность])</f>
        <v>0</v>
      </c>
      <c r="AC15" s="30">
        <f>SUMPRODUCT((Апрель[№]=3)*Апрель[25],Апрель[Периодичность])</f>
        <v>0</v>
      </c>
      <c r="AD15" s="30">
        <f>SUMPRODUCT((Апрель[№]=3)*Апрель[26],Апрель[Периодичность])</f>
        <v>0</v>
      </c>
      <c r="AE15" s="30">
        <f>SUMPRODUCT((Апрель[№]=3)*Апрель[27],Апрель[Периодичность])</f>
        <v>0</v>
      </c>
      <c r="AF15" s="30">
        <f>SUMPRODUCT((Апрель[№]=3)*Апрель[28],Апрель[Периодичность])</f>
        <v>0</v>
      </c>
      <c r="AG15" s="30">
        <f>SUMPRODUCT((Апрель[№]=3)*Апрель[29],Апрель[Периодичность])</f>
        <v>0</v>
      </c>
      <c r="AH15" s="30">
        <f>SUMPRODUCT((Апрель[№]=3)*Апрель[30],Апрель[Периодичность])</f>
        <v>0</v>
      </c>
      <c r="AJ15" s="11"/>
    </row>
    <row r="16" spans="1:37" ht="18" customHeight="1" x14ac:dyDescent="0.25">
      <c r="B16" s="3">
        <f>SUMPRODUCT((Настройки!$E$24:$AH$24=4)*E16:AH16)</f>
        <v>0</v>
      </c>
      <c r="D16" s="5"/>
      <c r="E16" s="3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SUMPRODUCT((Настройки!$E$24:$AH$24=5)*E16:AH16)</f>
        <v>0</v>
      </c>
      <c r="C17" s="5">
        <f>АпрельИтоги[[#This Row],[№]]*60</f>
        <v>0</v>
      </c>
      <c r="D17" s="7">
        <f>SUM(АпрельИтоги[[#This Row],[1]:[30]])</f>
        <v>0</v>
      </c>
      <c r="E17" s="6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5">
        <f ca="1">SUM(Апрель[УСЛУГ])</f>
        <v>0</v>
      </c>
      <c r="AJ17" s="21">
        <f ca="1">SUM(Апрель[МИНУТ])</f>
        <v>0</v>
      </c>
    </row>
    <row r="19" spans="1:36" x14ac:dyDescent="0.25">
      <c r="A19" s="54" t="s">
        <v>52</v>
      </c>
      <c r="B19" s="54" t="s">
        <v>53</v>
      </c>
      <c r="C19" s="55"/>
      <c r="D19" s="56" t="s">
        <v>61</v>
      </c>
      <c r="E19" s="48" t="s">
        <v>55</v>
      </c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50"/>
      <c r="AI19" s="44" t="s">
        <v>64</v>
      </c>
      <c r="AJ19" s="44" t="s">
        <v>64</v>
      </c>
    </row>
    <row r="20" spans="1:36" ht="15.75" customHeight="1" x14ac:dyDescent="0.25">
      <c r="A20" s="54"/>
      <c r="B20" s="54"/>
      <c r="C20" s="55"/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  <c r="AI20" s="44"/>
      <c r="AJ20" s="44"/>
    </row>
    <row r="21" spans="1:36" x14ac:dyDescent="0.25">
      <c r="A21" s="54"/>
      <c r="B21" s="54"/>
      <c r="C21" s="55"/>
      <c r="D21" s="57"/>
      <c r="E21" s="27">
        <f>Настройки!E10</f>
        <v>45017</v>
      </c>
      <c r="F21" s="27">
        <f>Настройки!F10</f>
        <v>45018</v>
      </c>
      <c r="G21" s="27">
        <f>Настройки!G10</f>
        <v>45019</v>
      </c>
      <c r="H21" s="27">
        <f>Настройки!H10</f>
        <v>45020</v>
      </c>
      <c r="I21" s="27">
        <f>Настройки!I10</f>
        <v>45021</v>
      </c>
      <c r="J21" s="27">
        <f>Настройки!J10</f>
        <v>45022</v>
      </c>
      <c r="K21" s="27">
        <f>Настройки!K10</f>
        <v>45023</v>
      </c>
      <c r="L21" s="27">
        <f>Настройки!L10</f>
        <v>45024</v>
      </c>
      <c r="M21" s="27">
        <f>Настройки!M10</f>
        <v>45025</v>
      </c>
      <c r="N21" s="27">
        <f>Настройки!N10</f>
        <v>45026</v>
      </c>
      <c r="O21" s="27">
        <f>Настройки!O10</f>
        <v>45027</v>
      </c>
      <c r="P21" s="27">
        <f>Настройки!P10</f>
        <v>45028</v>
      </c>
      <c r="Q21" s="27">
        <f>Настройки!Q10</f>
        <v>45029</v>
      </c>
      <c r="R21" s="27">
        <f>Настройки!R10</f>
        <v>45030</v>
      </c>
      <c r="S21" s="27">
        <f>Настройки!S10</f>
        <v>45031</v>
      </c>
      <c r="T21" s="27">
        <f>Настройки!T10</f>
        <v>45032</v>
      </c>
      <c r="U21" s="27">
        <f>Настройки!U10</f>
        <v>45033</v>
      </c>
      <c r="V21" s="27">
        <f>Настройки!V10</f>
        <v>45034</v>
      </c>
      <c r="W21" s="27">
        <f>Настройки!W10</f>
        <v>45035</v>
      </c>
      <c r="X21" s="27">
        <f>Настройки!X10</f>
        <v>45036</v>
      </c>
      <c r="Y21" s="27">
        <f>Настройки!Y10</f>
        <v>45037</v>
      </c>
      <c r="Z21" s="27">
        <f>Настройки!Z10</f>
        <v>45038</v>
      </c>
      <c r="AA21" s="27">
        <f>Настройки!AA10</f>
        <v>45039</v>
      </c>
      <c r="AB21" s="27">
        <f>Настройки!AB10</f>
        <v>45040</v>
      </c>
      <c r="AC21" s="27">
        <f>Настройки!AC10</f>
        <v>45041</v>
      </c>
      <c r="AD21" s="27">
        <f>Настройки!AD10</f>
        <v>45042</v>
      </c>
      <c r="AE21" s="27">
        <f>Настройки!AE10</f>
        <v>45043</v>
      </c>
      <c r="AF21" s="27">
        <f>Настройки!AF10</f>
        <v>45044</v>
      </c>
      <c r="AG21" s="27">
        <f>Настройки!AG10</f>
        <v>45045</v>
      </c>
      <c r="AH21" s="27">
        <f>Настройки!AH10</f>
        <v>45046</v>
      </c>
      <c r="AI21" s="44"/>
      <c r="AJ21" s="44"/>
    </row>
    <row r="22" spans="1:36" x14ac:dyDescent="0.25">
      <c r="A22" s="54"/>
      <c r="B22" s="54"/>
      <c r="C22" s="55"/>
      <c r="D22" s="57"/>
      <c r="E22" s="49" t="s">
        <v>54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74"/>
      <c r="AI22" s="44"/>
      <c r="AJ22" s="44"/>
    </row>
    <row r="23" spans="1:36" x14ac:dyDescent="0.25">
      <c r="A23" s="54"/>
      <c r="B23" s="54"/>
      <c r="C23" s="55"/>
      <c r="D23" s="5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76"/>
      <c r="AI23" s="44"/>
      <c r="AJ23" s="44"/>
    </row>
    <row r="24" spans="1:36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112</v>
      </c>
      <c r="AI24" s="3" t="s">
        <v>62</v>
      </c>
      <c r="AJ24" s="3" t="s">
        <v>63</v>
      </c>
    </row>
    <row r="25" spans="1:36" ht="31.5" x14ac:dyDescent="0.25">
      <c r="A25" s="16" t="s">
        <v>1</v>
      </c>
      <c r="B25" s="2"/>
      <c r="C25" s="8">
        <v>0</v>
      </c>
      <c r="D25" s="11">
        <v>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25" s="5">
        <f ca="1">IF(Апрель[[#This Row],[УСЛУГ]]&lt;&gt;"",Апрель[[#This Row],[УСЛУГ]]*Апрель[[#This Row],[Периодичность]],"")</f>
        <v>0</v>
      </c>
    </row>
    <row r="26" spans="1:36" x14ac:dyDescent="0.25">
      <c r="A26" s="16"/>
      <c r="B26" s="2"/>
      <c r="C26" s="8">
        <v>0</v>
      </c>
      <c r="D26" s="11">
        <v>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26" s="5" t="str">
        <f ca="1">IF(Апрель[[#This Row],[УСЛУГ]]&lt;&gt;"",Апрель[[#This Row],[УСЛУГ]]*Апрель[[#This Row],[Периодичность]],"")</f>
        <v/>
      </c>
    </row>
    <row r="27" spans="1:36" x14ac:dyDescent="0.25">
      <c r="A27" s="16"/>
      <c r="B27" s="2"/>
      <c r="C27" s="8">
        <v>0</v>
      </c>
      <c r="D27" s="11">
        <v>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27" s="5" t="str">
        <f ca="1">IF(Апрель[[#This Row],[УСЛУГ]]&lt;&gt;"",Апрель[[#This Row],[УСЛУГ]]*Апрель[[#This Row],[Периодичность]],"")</f>
        <v/>
      </c>
    </row>
    <row r="28" spans="1:36" ht="47.25" x14ac:dyDescent="0.25">
      <c r="A28" s="35" t="s">
        <v>2</v>
      </c>
      <c r="B28" s="36"/>
      <c r="C28" s="37">
        <v>0</v>
      </c>
      <c r="D28" s="38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28" s="5">
        <f ca="1">IF(Апрель[[#This Row],[УСЛУГ]]&lt;&gt;"",Апрель[[#This Row],[УСЛУГ]]*Апрель[[#This Row],[Периодичность]],"")</f>
        <v>0</v>
      </c>
    </row>
    <row r="29" spans="1:36" x14ac:dyDescent="0.25">
      <c r="A29" s="35"/>
      <c r="B29" s="36"/>
      <c r="C29" s="37">
        <v>0</v>
      </c>
      <c r="D29" s="38">
        <v>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29" s="5" t="str">
        <f ca="1">IF(Апрель[[#This Row],[УСЛУГ]]&lt;&gt;"",Апрель[[#This Row],[УСЛУГ]]*Апрель[[#This Row],[Периодичность]],"")</f>
        <v/>
      </c>
    </row>
    <row r="30" spans="1:36" x14ac:dyDescent="0.25">
      <c r="A30" s="35"/>
      <c r="B30" s="36"/>
      <c r="C30" s="37">
        <v>0</v>
      </c>
      <c r="D30" s="38">
        <v>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0" s="5" t="str">
        <f ca="1">IF(Апрель[[#This Row],[УСЛУГ]]&lt;&gt;"",Апрель[[#This Row],[УСЛУГ]]*Апрель[[#This Row],[Периодичность]],"")</f>
        <v/>
      </c>
    </row>
    <row r="31" spans="1:36" ht="31.5" x14ac:dyDescent="0.25">
      <c r="A31" s="35" t="s">
        <v>3</v>
      </c>
      <c r="B31" s="36"/>
      <c r="C31" s="37">
        <v>0</v>
      </c>
      <c r="D31" s="38">
        <v>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31" s="5">
        <f ca="1">IF(Апрель[[#This Row],[УСЛУГ]]&lt;&gt;"",Апрель[[#This Row],[УСЛУГ]]*Апрель[[#This Row],[Периодичность]],"")</f>
        <v>0</v>
      </c>
    </row>
    <row r="32" spans="1:36" x14ac:dyDescent="0.25">
      <c r="A32" s="35"/>
      <c r="B32" s="36"/>
      <c r="C32" s="37">
        <v>0</v>
      </c>
      <c r="D32" s="38">
        <v>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2" s="5" t="str">
        <f ca="1">IF(Апрель[[#This Row],[УСЛУГ]]&lt;&gt;"",Апрель[[#This Row],[УСЛУГ]]*Апрель[[#This Row],[Периодичность]],"")</f>
        <v/>
      </c>
    </row>
    <row r="33" spans="1:36" x14ac:dyDescent="0.25">
      <c r="A33" s="35"/>
      <c r="B33" s="36"/>
      <c r="C33" s="37">
        <v>0</v>
      </c>
      <c r="D33" s="38">
        <v>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3" s="5" t="str">
        <f ca="1">IF(Апрель[[#This Row],[УСЛУГ]]&lt;&gt;"",Апрель[[#This Row],[УСЛУГ]]*Апрель[[#This Row],[Периодичность]],"")</f>
        <v/>
      </c>
    </row>
    <row r="34" spans="1:36" ht="47.25" x14ac:dyDescent="0.25">
      <c r="A34" s="35" t="s">
        <v>4</v>
      </c>
      <c r="B34" s="36"/>
      <c r="C34" s="37">
        <v>0</v>
      </c>
      <c r="D34" s="38">
        <v>1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34" s="5">
        <f ca="1">IF(Апрель[[#This Row],[УСЛУГ]]&lt;&gt;"",Апрель[[#This Row],[УСЛУГ]]*Апрель[[#This Row],[Периодичность]],"")</f>
        <v>0</v>
      </c>
    </row>
    <row r="35" spans="1:36" x14ac:dyDescent="0.25">
      <c r="A35" s="35"/>
      <c r="B35" s="36"/>
      <c r="C35" s="37">
        <v>0</v>
      </c>
      <c r="D35" s="38">
        <v>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5" s="5" t="str">
        <f ca="1">IF(Апрель[[#This Row],[УСЛУГ]]&lt;&gt;"",Апрель[[#This Row],[УСЛУГ]]*Апрель[[#This Row],[Периодичность]],"")</f>
        <v/>
      </c>
    </row>
    <row r="36" spans="1:36" x14ac:dyDescent="0.25">
      <c r="A36" s="35"/>
      <c r="B36" s="36"/>
      <c r="C36" s="37">
        <v>0</v>
      </c>
      <c r="D36" s="38">
        <v>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6" s="5" t="str">
        <f ca="1">IF(Апрель[[#This Row],[УСЛУГ]]&lt;&gt;"",Апрель[[#This Row],[УСЛУГ]]*Апрель[[#This Row],[Периодичность]],"")</f>
        <v/>
      </c>
    </row>
    <row r="37" spans="1:36" x14ac:dyDescent="0.25">
      <c r="A37" s="35" t="s">
        <v>5</v>
      </c>
      <c r="B37" s="36"/>
      <c r="C37" s="37">
        <v>0</v>
      </c>
      <c r="D37" s="38">
        <v>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37" s="5">
        <f ca="1">IF(Апрель[[#This Row],[УСЛУГ]]&lt;&gt;"",Апрель[[#This Row],[УСЛУГ]]*Апрель[[#This Row],[Периодичность]],"")</f>
        <v>0</v>
      </c>
    </row>
    <row r="38" spans="1:36" x14ac:dyDescent="0.25">
      <c r="A38" s="35"/>
      <c r="B38" s="36"/>
      <c r="C38" s="37">
        <v>0</v>
      </c>
      <c r="D38" s="38">
        <v>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8" s="5" t="str">
        <f ca="1">IF(Апрель[[#This Row],[УСЛУГ]]&lt;&gt;"",Апрель[[#This Row],[УСЛУГ]]*Апрель[[#This Row],[Периодичность]],"")</f>
        <v/>
      </c>
    </row>
    <row r="39" spans="1:36" x14ac:dyDescent="0.25">
      <c r="A39" s="35"/>
      <c r="B39" s="36"/>
      <c r="C39" s="37">
        <v>0</v>
      </c>
      <c r="D39" s="38">
        <v>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39" s="5" t="str">
        <f ca="1">IF(Апрель[[#This Row],[УСЛУГ]]&lt;&gt;"",Апрель[[#This Row],[УСЛУГ]]*Апрель[[#This Row],[Периодичность]],"")</f>
        <v/>
      </c>
    </row>
    <row r="40" spans="1:36" ht="31.5" x14ac:dyDescent="0.25">
      <c r="A40" s="35" t="s">
        <v>6</v>
      </c>
      <c r="B40" s="36"/>
      <c r="C40" s="37">
        <v>0</v>
      </c>
      <c r="D40" s="38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40" s="5">
        <f ca="1">IF(Апрель[[#This Row],[УСЛУГ]]&lt;&gt;"",Апрель[[#This Row],[УСЛУГ]]*Апрель[[#This Row],[Периодичность]],"")</f>
        <v>0</v>
      </c>
    </row>
    <row r="41" spans="1:36" x14ac:dyDescent="0.25">
      <c r="A41" s="35"/>
      <c r="B41" s="36"/>
      <c r="C41" s="37">
        <v>0</v>
      </c>
      <c r="D41" s="38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1" s="5" t="str">
        <f ca="1">IF(Апрель[[#This Row],[УСЛУГ]]&lt;&gt;"",Апрель[[#This Row],[УСЛУГ]]*Апрель[[#This Row],[Периодичность]],"")</f>
        <v/>
      </c>
    </row>
    <row r="42" spans="1:36" x14ac:dyDescent="0.25">
      <c r="A42" s="35"/>
      <c r="B42" s="36"/>
      <c r="C42" s="37">
        <v>0</v>
      </c>
      <c r="D42" s="38">
        <v>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2" s="5" t="str">
        <f ca="1">IF(Апрель[[#This Row],[УСЛУГ]]&lt;&gt;"",Апрель[[#This Row],[УСЛУГ]]*Апрель[[#This Row],[Периодичность]],"")</f>
        <v/>
      </c>
    </row>
    <row r="43" spans="1:36" ht="47.25" x14ac:dyDescent="0.25">
      <c r="A43" s="35" t="s">
        <v>79</v>
      </c>
      <c r="B43" s="36"/>
      <c r="C43" s="37">
        <v>0</v>
      </c>
      <c r="D43" s="38">
        <v>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43" s="5">
        <f ca="1">IF(Апрель[[#This Row],[УСЛУГ]]&lt;&gt;"",Апрель[[#This Row],[УСЛУГ]]*Апрель[[#This Row],[Периодичность]],"")</f>
        <v>0</v>
      </c>
    </row>
    <row r="44" spans="1:36" x14ac:dyDescent="0.25">
      <c r="A44" s="35"/>
      <c r="B44" s="36"/>
      <c r="C44" s="37">
        <v>0</v>
      </c>
      <c r="D44" s="38">
        <v>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4" s="5" t="str">
        <f ca="1">IF(Апрель[[#This Row],[УСЛУГ]]&lt;&gt;"",Апрель[[#This Row],[УСЛУГ]]*Апрель[[#This Row],[Периодичность]],"")</f>
        <v/>
      </c>
    </row>
    <row r="45" spans="1:36" x14ac:dyDescent="0.25">
      <c r="A45" s="35"/>
      <c r="B45" s="36"/>
      <c r="C45" s="37">
        <v>0</v>
      </c>
      <c r="D45" s="38">
        <v>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5" s="5" t="str">
        <f ca="1">IF(Апрель[[#This Row],[УСЛУГ]]&lt;&gt;"",Апрель[[#This Row],[УСЛУГ]]*Апрель[[#This Row],[Периодичность]],"")</f>
        <v/>
      </c>
    </row>
    <row r="46" spans="1:36" x14ac:dyDescent="0.25">
      <c r="A46" s="35" t="s">
        <v>8</v>
      </c>
      <c r="B46" s="36"/>
      <c r="C46" s="37">
        <v>0</v>
      </c>
      <c r="D46" s="38">
        <v>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46" s="5">
        <f ca="1">IF(Апрель[[#This Row],[УСЛУГ]]&lt;&gt;"",Апрель[[#This Row],[УСЛУГ]]*Апрель[[#This Row],[Периодичность]],"")</f>
        <v>0</v>
      </c>
    </row>
    <row r="47" spans="1:36" x14ac:dyDescent="0.25">
      <c r="A47" s="35"/>
      <c r="B47" s="36"/>
      <c r="C47" s="37">
        <v>0</v>
      </c>
      <c r="D47" s="38">
        <v>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7" s="5" t="str">
        <f ca="1">IF(Апрель[[#This Row],[УСЛУГ]]&lt;&gt;"",Апрель[[#This Row],[УСЛУГ]]*Апрель[[#This Row],[Периодичность]],"")</f>
        <v/>
      </c>
    </row>
    <row r="48" spans="1:36" x14ac:dyDescent="0.25">
      <c r="A48" s="35"/>
      <c r="B48" s="36"/>
      <c r="C48" s="37">
        <v>0</v>
      </c>
      <c r="D48" s="38">
        <v>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48" s="5" t="str">
        <f ca="1">IF(Апрель[[#This Row],[УСЛУГ]]&lt;&gt;"",Апрель[[#This Row],[УСЛУГ]]*Апрель[[#This Row],[Периодичность]],"")</f>
        <v/>
      </c>
    </row>
    <row r="49" spans="1:36" ht="31.5" x14ac:dyDescent="0.25">
      <c r="A49" s="35" t="s">
        <v>9</v>
      </c>
      <c r="B49" s="36"/>
      <c r="C49" s="37">
        <v>0</v>
      </c>
      <c r="D49" s="38">
        <v>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49" s="5">
        <f ca="1">IF(Апрель[[#This Row],[УСЛУГ]]&lt;&gt;"",Апрель[[#This Row],[УСЛУГ]]*Апрель[[#This Row],[Периодичность]],"")</f>
        <v>0</v>
      </c>
    </row>
    <row r="50" spans="1:36" x14ac:dyDescent="0.25">
      <c r="A50" s="35"/>
      <c r="B50" s="36"/>
      <c r="C50" s="37">
        <v>0</v>
      </c>
      <c r="D50" s="38">
        <v>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0" s="5" t="str">
        <f ca="1">IF(Апрель[[#This Row],[УСЛУГ]]&lt;&gt;"",Апрель[[#This Row],[УСЛУГ]]*Апрель[[#This Row],[Периодичность]],"")</f>
        <v/>
      </c>
    </row>
    <row r="51" spans="1:36" x14ac:dyDescent="0.25">
      <c r="A51" s="35"/>
      <c r="B51" s="36"/>
      <c r="C51" s="37">
        <v>0</v>
      </c>
      <c r="D51" s="38">
        <v>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1" s="5" t="str">
        <f ca="1">IF(Апрель[[#This Row],[УСЛУГ]]&lt;&gt;"",Апрель[[#This Row],[УСЛУГ]]*Апрель[[#This Row],[Периодичность]],"")</f>
        <v/>
      </c>
    </row>
    <row r="52" spans="1:36" ht="47.25" x14ac:dyDescent="0.25">
      <c r="A52" s="35" t="s">
        <v>140</v>
      </c>
      <c r="B52" s="36"/>
      <c r="C52" s="37">
        <v>0</v>
      </c>
      <c r="D52" s="38">
        <v>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52" s="5">
        <f ca="1">IF(Апрель[[#This Row],[УСЛУГ]]&lt;&gt;"",Апрель[[#This Row],[УСЛУГ]]*Апрель[[#This Row],[Периодичность]],"")</f>
        <v>0</v>
      </c>
    </row>
    <row r="53" spans="1:36" x14ac:dyDescent="0.25">
      <c r="A53" s="35"/>
      <c r="B53" s="36"/>
      <c r="C53" s="37">
        <v>0</v>
      </c>
      <c r="D53" s="38">
        <v>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3" s="5" t="str">
        <f ca="1">IF(Апрель[[#This Row],[УСЛУГ]]&lt;&gt;"",Апрель[[#This Row],[УСЛУГ]]*Апрель[[#This Row],[Периодичность]],"")</f>
        <v/>
      </c>
    </row>
    <row r="54" spans="1:36" x14ac:dyDescent="0.25">
      <c r="A54" s="35"/>
      <c r="B54" s="36"/>
      <c r="C54" s="37">
        <v>0</v>
      </c>
      <c r="D54" s="38">
        <v>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4" s="5" t="str">
        <f ca="1">IF(Апрель[[#This Row],[УСЛУГ]]&lt;&gt;"",Апрель[[#This Row],[УСЛУГ]]*Апрель[[#This Row],[Периодичность]],"")</f>
        <v/>
      </c>
    </row>
    <row r="55" spans="1:36" ht="47.25" x14ac:dyDescent="0.25">
      <c r="A55" s="35" t="s">
        <v>78</v>
      </c>
      <c r="B55" s="36"/>
      <c r="C55" s="37">
        <v>0</v>
      </c>
      <c r="D55" s="38">
        <v>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55" s="5">
        <f ca="1">IF(Апрель[[#This Row],[УСЛУГ]]&lt;&gt;"",Апрель[[#This Row],[УСЛУГ]]*Апрель[[#This Row],[Периодичность]],"")</f>
        <v>0</v>
      </c>
    </row>
    <row r="56" spans="1:36" x14ac:dyDescent="0.25">
      <c r="A56" s="35"/>
      <c r="B56" s="36"/>
      <c r="C56" s="37">
        <v>0</v>
      </c>
      <c r="D56" s="38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6" s="5" t="str">
        <f ca="1">IF(Апрель[[#This Row],[УСЛУГ]]&lt;&gt;"",Апрель[[#This Row],[УСЛУГ]]*Апрель[[#This Row],[Периодичность]],"")</f>
        <v/>
      </c>
    </row>
    <row r="57" spans="1:36" x14ac:dyDescent="0.25">
      <c r="A57" s="35"/>
      <c r="B57" s="36"/>
      <c r="C57" s="37">
        <v>0</v>
      </c>
      <c r="D57" s="38">
        <v>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7" s="5" t="str">
        <f ca="1">IF(Апрель[[#This Row],[УСЛУГ]]&lt;&gt;"",Апрель[[#This Row],[УСЛУГ]]*Апрель[[#This Row],[Периодичность]],"")</f>
        <v/>
      </c>
    </row>
    <row r="58" spans="1:36" ht="47.25" x14ac:dyDescent="0.25">
      <c r="A58" s="35" t="s">
        <v>141</v>
      </c>
      <c r="B58" s="36"/>
      <c r="C58" s="37">
        <v>0</v>
      </c>
      <c r="D58" s="38">
        <v>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58" s="5">
        <f ca="1">IF(Апрель[[#This Row],[УСЛУГ]]&lt;&gt;"",Апрель[[#This Row],[УСЛУГ]]*Апрель[[#This Row],[Периодичность]],"")</f>
        <v>0</v>
      </c>
    </row>
    <row r="59" spans="1:36" x14ac:dyDescent="0.25">
      <c r="A59" s="35"/>
      <c r="B59" s="36"/>
      <c r="C59" s="37">
        <v>0</v>
      </c>
      <c r="D59" s="38">
        <v>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59" s="5" t="str">
        <f ca="1">IF(Апрель[[#This Row],[УСЛУГ]]&lt;&gt;"",Апрель[[#This Row],[УСЛУГ]]*Апрель[[#This Row],[Периодичность]],"")</f>
        <v/>
      </c>
    </row>
    <row r="60" spans="1:36" x14ac:dyDescent="0.25">
      <c r="A60" s="35"/>
      <c r="B60" s="36"/>
      <c r="C60" s="37">
        <v>0</v>
      </c>
      <c r="D60" s="38">
        <v>3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0" s="5" t="str">
        <f ca="1">IF(Апрель[[#This Row],[УСЛУГ]]&lt;&gt;"",Апрель[[#This Row],[УСЛУГ]]*Апрель[[#This Row],[Периодичность]],"")</f>
        <v/>
      </c>
    </row>
    <row r="61" spans="1:36" ht="31.5" x14ac:dyDescent="0.25">
      <c r="A61" s="35" t="s">
        <v>13</v>
      </c>
      <c r="B61" s="36"/>
      <c r="C61" s="37">
        <v>0</v>
      </c>
      <c r="D61" s="38">
        <v>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61" s="5">
        <f ca="1">IF(Апрель[[#This Row],[УСЛУГ]]&lt;&gt;"",Апрель[[#This Row],[УСЛУГ]]*Апрель[[#This Row],[Периодичность]],"")</f>
        <v>0</v>
      </c>
    </row>
    <row r="62" spans="1:36" x14ac:dyDescent="0.25">
      <c r="A62" s="35"/>
      <c r="B62" s="36"/>
      <c r="C62" s="37">
        <v>0</v>
      </c>
      <c r="D62" s="38">
        <v>2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2" s="5" t="str">
        <f ca="1">IF(Апрель[[#This Row],[УСЛУГ]]&lt;&gt;"",Апрель[[#This Row],[УСЛУГ]]*Апрель[[#This Row],[Периодичность]],"")</f>
        <v/>
      </c>
    </row>
    <row r="63" spans="1:36" x14ac:dyDescent="0.25">
      <c r="A63" s="35"/>
      <c r="B63" s="36"/>
      <c r="C63" s="37">
        <v>0</v>
      </c>
      <c r="D63" s="38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3" s="5" t="str">
        <f ca="1">IF(Апрель[[#This Row],[УСЛУГ]]&lt;&gt;"",Апрель[[#This Row],[УСЛУГ]]*Апрель[[#This Row],[Периодичность]],"")</f>
        <v/>
      </c>
    </row>
    <row r="64" spans="1:36" ht="31.5" x14ac:dyDescent="0.25">
      <c r="A64" s="35" t="s">
        <v>14</v>
      </c>
      <c r="B64" s="36"/>
      <c r="C64" s="37">
        <v>0</v>
      </c>
      <c r="D64" s="38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64" s="5">
        <f ca="1">IF(Апрель[[#This Row],[УСЛУГ]]&lt;&gt;"",Апрель[[#This Row],[УСЛУГ]]*Апрель[[#This Row],[Периодичность]],"")</f>
        <v>0</v>
      </c>
    </row>
    <row r="65" spans="1:36" x14ac:dyDescent="0.25">
      <c r="A65" s="35"/>
      <c r="B65" s="36"/>
      <c r="C65" s="37">
        <v>0</v>
      </c>
      <c r="D65" s="38">
        <v>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5" s="5" t="str">
        <f ca="1">IF(Апрель[[#This Row],[УСЛУГ]]&lt;&gt;"",Апрель[[#This Row],[УСЛУГ]]*Апрель[[#This Row],[Периодичность]],"")</f>
        <v/>
      </c>
    </row>
    <row r="66" spans="1:36" x14ac:dyDescent="0.25">
      <c r="A66" s="35"/>
      <c r="B66" s="36"/>
      <c r="C66" s="37">
        <v>0</v>
      </c>
      <c r="D66" s="38">
        <v>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6" s="5" t="str">
        <f ca="1">IF(Апрель[[#This Row],[УСЛУГ]]&lt;&gt;"",Апрель[[#This Row],[УСЛУГ]]*Апрель[[#This Row],[Периодичность]],"")</f>
        <v/>
      </c>
    </row>
    <row r="67" spans="1:36" ht="31.5" x14ac:dyDescent="0.25">
      <c r="A67" s="35" t="s">
        <v>15</v>
      </c>
      <c r="B67" s="36"/>
      <c r="C67" s="37">
        <v>0</v>
      </c>
      <c r="D67" s="38">
        <v>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67" s="5">
        <f ca="1">IF(Апрель[[#This Row],[УСЛУГ]]&lt;&gt;"",Апрель[[#This Row],[УСЛУГ]]*Апрель[[#This Row],[Периодичность]],"")</f>
        <v>0</v>
      </c>
    </row>
    <row r="68" spans="1:36" x14ac:dyDescent="0.25">
      <c r="A68" s="35"/>
      <c r="B68" s="36"/>
      <c r="C68" s="37">
        <v>0</v>
      </c>
      <c r="D68" s="38">
        <v>2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8" s="5" t="str">
        <f ca="1">IF(Апрель[[#This Row],[УСЛУГ]]&lt;&gt;"",Апрель[[#This Row],[УСЛУГ]]*Апрель[[#This Row],[Периодичность]],"")</f>
        <v/>
      </c>
    </row>
    <row r="69" spans="1:36" x14ac:dyDescent="0.25">
      <c r="A69" s="35"/>
      <c r="B69" s="36"/>
      <c r="C69" s="37">
        <v>0</v>
      </c>
      <c r="D69" s="38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69" s="5" t="str">
        <f ca="1">IF(Апрель[[#This Row],[УСЛУГ]]&lt;&gt;"",Апрель[[#This Row],[УСЛУГ]]*Апрель[[#This Row],[Периодичность]],"")</f>
        <v/>
      </c>
    </row>
    <row r="70" spans="1:36" x14ac:dyDescent="0.25">
      <c r="A70" s="35" t="s">
        <v>16</v>
      </c>
      <c r="B70" s="36"/>
      <c r="C70" s="37">
        <v>0</v>
      </c>
      <c r="D70" s="38">
        <v>1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70" s="5">
        <f ca="1">IF(Апрель[[#This Row],[УСЛУГ]]&lt;&gt;"",Апрель[[#This Row],[УСЛУГ]]*Апрель[[#This Row],[Периодичность]],"")</f>
        <v>0</v>
      </c>
    </row>
    <row r="71" spans="1:36" x14ac:dyDescent="0.25">
      <c r="A71" s="35"/>
      <c r="B71" s="36"/>
      <c r="C71" s="37">
        <v>0</v>
      </c>
      <c r="D71" s="38">
        <v>2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1" s="5" t="str">
        <f ca="1">IF(Апрель[[#This Row],[УСЛУГ]]&lt;&gt;"",Апрель[[#This Row],[УСЛУГ]]*Апрель[[#This Row],[Периодичность]],"")</f>
        <v/>
      </c>
    </row>
    <row r="72" spans="1:36" x14ac:dyDescent="0.25">
      <c r="A72" s="35"/>
      <c r="B72" s="36"/>
      <c r="C72" s="37">
        <v>0</v>
      </c>
      <c r="D72" s="38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2" s="5" t="str">
        <f ca="1">IF(Апрель[[#This Row],[УСЛУГ]]&lt;&gt;"",Апрель[[#This Row],[УСЛУГ]]*Апрель[[#This Row],[Периодичность]],"")</f>
        <v/>
      </c>
    </row>
    <row r="73" spans="1:36" ht="47.25" x14ac:dyDescent="0.25">
      <c r="A73" s="35" t="s">
        <v>142</v>
      </c>
      <c r="B73" s="36"/>
      <c r="C73" s="37">
        <v>0</v>
      </c>
      <c r="D73" s="38">
        <v>1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73" s="5">
        <f ca="1">IF(Апрель[[#This Row],[УСЛУГ]]&lt;&gt;"",Апрель[[#This Row],[УСЛУГ]]*Апрель[[#This Row],[Периодичность]],"")</f>
        <v>0</v>
      </c>
    </row>
    <row r="74" spans="1:36" x14ac:dyDescent="0.25">
      <c r="A74" s="35"/>
      <c r="B74" s="36"/>
      <c r="C74" s="37">
        <v>0</v>
      </c>
      <c r="D74" s="38">
        <v>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4" s="5" t="str">
        <f ca="1">IF(Апрель[[#This Row],[УСЛУГ]]&lt;&gt;"",Апрель[[#This Row],[УСЛУГ]]*Апрель[[#This Row],[Периодичность]],"")</f>
        <v/>
      </c>
    </row>
    <row r="75" spans="1:36" x14ac:dyDescent="0.25">
      <c r="A75" s="35"/>
      <c r="B75" s="36"/>
      <c r="C75" s="37">
        <v>0</v>
      </c>
      <c r="D75" s="38">
        <v>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5" s="5" t="str">
        <f ca="1">IF(Апрель[[#This Row],[УСЛУГ]]&lt;&gt;"",Апрель[[#This Row],[УСЛУГ]]*Апрель[[#This Row],[Периодичность]],"")</f>
        <v/>
      </c>
    </row>
    <row r="76" spans="1:36" ht="47.25" x14ac:dyDescent="0.25">
      <c r="A76" s="35" t="s">
        <v>143</v>
      </c>
      <c r="B76" s="36"/>
      <c r="C76" s="37">
        <v>0</v>
      </c>
      <c r="D76" s="38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76" s="5">
        <f ca="1">IF(Апрель[[#This Row],[УСЛУГ]]&lt;&gt;"",Апрель[[#This Row],[УСЛУГ]]*Апрель[[#This Row],[Периодичность]],"")</f>
        <v>0</v>
      </c>
    </row>
    <row r="77" spans="1:36" x14ac:dyDescent="0.25">
      <c r="A77" s="35"/>
      <c r="B77" s="36"/>
      <c r="C77" s="37">
        <v>0</v>
      </c>
      <c r="D77" s="38">
        <v>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7" s="5" t="str">
        <f ca="1">IF(Апрель[[#This Row],[УСЛУГ]]&lt;&gt;"",Апрель[[#This Row],[УСЛУГ]]*Апрель[[#This Row],[Периодичность]],"")</f>
        <v/>
      </c>
    </row>
    <row r="78" spans="1:36" x14ac:dyDescent="0.25">
      <c r="A78" s="35"/>
      <c r="B78" s="36"/>
      <c r="C78" s="37">
        <v>0</v>
      </c>
      <c r="D78" s="38">
        <v>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78" s="5" t="str">
        <f ca="1">IF(Апрель[[#This Row],[УСЛУГ]]&lt;&gt;"",Апрель[[#This Row],[УСЛУГ]]*Апрель[[#This Row],[Периодичность]],"")</f>
        <v/>
      </c>
    </row>
    <row r="79" spans="1:36" x14ac:dyDescent="0.25">
      <c r="A79" s="35" t="s">
        <v>19</v>
      </c>
      <c r="B79" s="36"/>
      <c r="C79" s="37">
        <v>0</v>
      </c>
      <c r="D79" s="38">
        <v>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79" s="5">
        <f ca="1">IF(Апрель[[#This Row],[УСЛУГ]]&lt;&gt;"",Апрель[[#This Row],[УСЛУГ]]*Апрель[[#This Row],[Периодичность]],"")</f>
        <v>0</v>
      </c>
    </row>
    <row r="80" spans="1:36" x14ac:dyDescent="0.25">
      <c r="A80" s="35"/>
      <c r="B80" s="36"/>
      <c r="C80" s="37">
        <v>0</v>
      </c>
      <c r="D80" s="38">
        <v>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0" s="5" t="str">
        <f ca="1">IF(Апрель[[#This Row],[УСЛУГ]]&lt;&gt;"",Апрель[[#This Row],[УСЛУГ]]*Апрель[[#This Row],[Периодичность]],"")</f>
        <v/>
      </c>
    </row>
    <row r="81" spans="1:36" x14ac:dyDescent="0.25">
      <c r="A81" s="35"/>
      <c r="B81" s="36"/>
      <c r="C81" s="37">
        <v>0</v>
      </c>
      <c r="D81" s="38">
        <v>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1" s="5" t="str">
        <f ca="1">IF(Апрель[[#This Row],[УСЛУГ]]&lt;&gt;"",Апрель[[#This Row],[УСЛУГ]]*Апрель[[#This Row],[Периодичность]],"")</f>
        <v/>
      </c>
    </row>
    <row r="82" spans="1:36" ht="31.5" x14ac:dyDescent="0.25">
      <c r="A82" s="35" t="s">
        <v>20</v>
      </c>
      <c r="B82" s="36"/>
      <c r="C82" s="37">
        <v>0</v>
      </c>
      <c r="D82" s="38">
        <v>1</v>
      </c>
      <c r="E82" s="41"/>
      <c r="F82" s="43"/>
      <c r="G82" s="41"/>
      <c r="H82" s="41"/>
      <c r="I82" s="41"/>
      <c r="J82" s="41"/>
      <c r="K82" s="41"/>
      <c r="L82" s="41"/>
      <c r="M82" s="43"/>
      <c r="N82" s="41"/>
      <c r="O82" s="41"/>
      <c r="P82" s="41"/>
      <c r="Q82" s="41"/>
      <c r="R82" s="41"/>
      <c r="S82" s="41"/>
      <c r="T82" s="43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3"/>
      <c r="AI82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82" s="42">
        <f ca="1">IF(Апрель[[#This Row],[УСЛУГ]]&lt;&gt;"",Апрель[[#This Row],[УСЛУГ]]*Апрель[[#This Row],[Периодичность]],"")</f>
        <v>0</v>
      </c>
    </row>
    <row r="83" spans="1:36" x14ac:dyDescent="0.25">
      <c r="A83" s="35"/>
      <c r="B83" s="36"/>
      <c r="C83" s="37">
        <v>0</v>
      </c>
      <c r="D83" s="38">
        <v>2</v>
      </c>
      <c r="E83" s="41"/>
      <c r="F83" s="43"/>
      <c r="G83" s="41"/>
      <c r="H83" s="41"/>
      <c r="I83" s="41"/>
      <c r="J83" s="41"/>
      <c r="K83" s="41"/>
      <c r="L83" s="41"/>
      <c r="M83" s="43"/>
      <c r="N83" s="41"/>
      <c r="O83" s="41"/>
      <c r="P83" s="41"/>
      <c r="Q83" s="41"/>
      <c r="R83" s="41"/>
      <c r="S83" s="41"/>
      <c r="T83" s="43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3"/>
      <c r="AI8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3" s="42" t="str">
        <f ca="1">IF(Апрель[[#This Row],[УСЛУГ]]&lt;&gt;"",Апрель[[#This Row],[УСЛУГ]]*Апрель[[#This Row],[Периодичность]],"")</f>
        <v/>
      </c>
    </row>
    <row r="84" spans="1:36" x14ac:dyDescent="0.25">
      <c r="A84" s="35"/>
      <c r="B84" s="36"/>
      <c r="C84" s="37">
        <v>0</v>
      </c>
      <c r="D84" s="38">
        <v>3</v>
      </c>
      <c r="E84" s="41"/>
      <c r="F84" s="43"/>
      <c r="G84" s="41"/>
      <c r="H84" s="41"/>
      <c r="I84" s="41"/>
      <c r="J84" s="41"/>
      <c r="K84" s="41"/>
      <c r="L84" s="41"/>
      <c r="M84" s="43"/>
      <c r="N84" s="41"/>
      <c r="O84" s="41"/>
      <c r="P84" s="41"/>
      <c r="Q84" s="41"/>
      <c r="R84" s="41"/>
      <c r="S84" s="41"/>
      <c r="T84" s="43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3"/>
      <c r="AI8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4" s="42" t="str">
        <f ca="1">IF(Апрель[[#This Row],[УСЛУГ]]&lt;&gt;"",Апрель[[#This Row],[УСЛУГ]]*Апрель[[#This Row],[Периодичность]],"")</f>
        <v/>
      </c>
    </row>
    <row r="85" spans="1:36" ht="47.25" x14ac:dyDescent="0.25">
      <c r="A85" s="35" t="s">
        <v>144</v>
      </c>
      <c r="B85" s="36"/>
      <c r="C85" s="37">
        <v>0</v>
      </c>
      <c r="D85" s="38">
        <v>1</v>
      </c>
      <c r="E85" s="41"/>
      <c r="F85" s="43"/>
      <c r="G85" s="41"/>
      <c r="H85" s="41"/>
      <c r="I85" s="41"/>
      <c r="J85" s="41"/>
      <c r="K85" s="41"/>
      <c r="L85" s="41"/>
      <c r="M85" s="43"/>
      <c r="N85" s="41"/>
      <c r="O85" s="41"/>
      <c r="P85" s="41"/>
      <c r="Q85" s="41"/>
      <c r="R85" s="41"/>
      <c r="S85" s="41"/>
      <c r="T85" s="43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3"/>
      <c r="AI85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85" s="42">
        <f ca="1">IF(Апрель[[#This Row],[УСЛУГ]]&lt;&gt;"",Апрель[[#This Row],[УСЛУГ]]*Апрель[[#This Row],[Периодичность]],"")</f>
        <v>0</v>
      </c>
    </row>
    <row r="86" spans="1:36" x14ac:dyDescent="0.25">
      <c r="A86" s="35"/>
      <c r="B86" s="36"/>
      <c r="C86" s="37">
        <v>0</v>
      </c>
      <c r="D86" s="38">
        <v>2</v>
      </c>
      <c r="E86" s="41"/>
      <c r="F86" s="43"/>
      <c r="G86" s="41"/>
      <c r="H86" s="41"/>
      <c r="I86" s="41"/>
      <c r="J86" s="41"/>
      <c r="K86" s="41"/>
      <c r="L86" s="41"/>
      <c r="M86" s="43"/>
      <c r="N86" s="41"/>
      <c r="O86" s="41"/>
      <c r="P86" s="41"/>
      <c r="Q86" s="41"/>
      <c r="R86" s="41"/>
      <c r="S86" s="41"/>
      <c r="T86" s="43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3"/>
      <c r="AI8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6" s="42" t="str">
        <f ca="1">IF(Апрель[[#This Row],[УСЛУГ]]&lt;&gt;"",Апрель[[#This Row],[УСЛУГ]]*Апрель[[#This Row],[Периодичность]],"")</f>
        <v/>
      </c>
    </row>
    <row r="87" spans="1:36" x14ac:dyDescent="0.25">
      <c r="A87" s="35"/>
      <c r="B87" s="36"/>
      <c r="C87" s="37">
        <v>0</v>
      </c>
      <c r="D87" s="38">
        <v>3</v>
      </c>
      <c r="E87" s="41"/>
      <c r="F87" s="43"/>
      <c r="G87" s="41"/>
      <c r="H87" s="41"/>
      <c r="I87" s="41"/>
      <c r="J87" s="41"/>
      <c r="K87" s="41"/>
      <c r="L87" s="41"/>
      <c r="M87" s="43"/>
      <c r="N87" s="41"/>
      <c r="O87" s="41"/>
      <c r="P87" s="41"/>
      <c r="Q87" s="41"/>
      <c r="R87" s="41"/>
      <c r="S87" s="41"/>
      <c r="T87" s="43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3"/>
      <c r="AI8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7" s="42" t="str">
        <f ca="1">IF(Апрель[[#This Row],[УСЛУГ]]&lt;&gt;"",Апрель[[#This Row],[УСЛУГ]]*Апрель[[#This Row],[Периодичность]],"")</f>
        <v/>
      </c>
    </row>
    <row r="88" spans="1:36" ht="47.25" x14ac:dyDescent="0.25">
      <c r="A88" s="35" t="s">
        <v>145</v>
      </c>
      <c r="B88" s="36"/>
      <c r="C88" s="37">
        <v>0</v>
      </c>
      <c r="D88" s="38">
        <v>1</v>
      </c>
      <c r="E88" s="41"/>
      <c r="F88" s="43"/>
      <c r="G88" s="41"/>
      <c r="H88" s="41"/>
      <c r="I88" s="41"/>
      <c r="J88" s="41"/>
      <c r="K88" s="41"/>
      <c r="L88" s="41"/>
      <c r="M88" s="43"/>
      <c r="N88" s="41"/>
      <c r="O88" s="41"/>
      <c r="P88" s="41"/>
      <c r="Q88" s="41"/>
      <c r="R88" s="41"/>
      <c r="S88" s="41"/>
      <c r="T88" s="43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3"/>
      <c r="AI88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88" s="42">
        <f ca="1">IF(Апрель[[#This Row],[УСЛУГ]]&lt;&gt;"",Апрель[[#This Row],[УСЛУГ]]*Апрель[[#This Row],[Периодичность]],"")</f>
        <v>0</v>
      </c>
    </row>
    <row r="89" spans="1:36" x14ac:dyDescent="0.25">
      <c r="A89" s="35"/>
      <c r="B89" s="36"/>
      <c r="C89" s="37">
        <v>0</v>
      </c>
      <c r="D89" s="38">
        <v>2</v>
      </c>
      <c r="E89" s="41"/>
      <c r="F89" s="43"/>
      <c r="G89" s="41"/>
      <c r="H89" s="41"/>
      <c r="I89" s="41"/>
      <c r="J89" s="41"/>
      <c r="K89" s="41"/>
      <c r="L89" s="41"/>
      <c r="M89" s="43"/>
      <c r="N89" s="41"/>
      <c r="O89" s="41"/>
      <c r="P89" s="41"/>
      <c r="Q89" s="41"/>
      <c r="R89" s="41"/>
      <c r="S89" s="41"/>
      <c r="T89" s="43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3"/>
      <c r="AI8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89" s="42" t="str">
        <f ca="1">IF(Апрель[[#This Row],[УСЛУГ]]&lt;&gt;"",Апрель[[#This Row],[УСЛУГ]]*Апрель[[#This Row],[Периодичность]],"")</f>
        <v/>
      </c>
    </row>
    <row r="90" spans="1:36" x14ac:dyDescent="0.25">
      <c r="A90" s="35"/>
      <c r="B90" s="36"/>
      <c r="C90" s="37">
        <v>0</v>
      </c>
      <c r="D90" s="38">
        <v>3</v>
      </c>
      <c r="E90" s="41"/>
      <c r="F90" s="43"/>
      <c r="G90" s="41"/>
      <c r="H90" s="41"/>
      <c r="I90" s="41"/>
      <c r="J90" s="41"/>
      <c r="K90" s="41"/>
      <c r="L90" s="41"/>
      <c r="M90" s="43"/>
      <c r="N90" s="41"/>
      <c r="O90" s="41"/>
      <c r="P90" s="41"/>
      <c r="Q90" s="41"/>
      <c r="R90" s="41"/>
      <c r="S90" s="41"/>
      <c r="T90" s="43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3"/>
      <c r="AI9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0" s="42" t="str">
        <f ca="1">IF(Апрель[[#This Row],[УСЛУГ]]&lt;&gt;"",Апрель[[#This Row],[УСЛУГ]]*Апрель[[#This Row],[Периодичность]],"")</f>
        <v/>
      </c>
    </row>
    <row r="91" spans="1:36" ht="31.5" x14ac:dyDescent="0.25">
      <c r="A91" s="35" t="s">
        <v>23</v>
      </c>
      <c r="B91" s="36"/>
      <c r="C91" s="37">
        <v>0</v>
      </c>
      <c r="D91" s="38">
        <v>1</v>
      </c>
      <c r="E91" s="41"/>
      <c r="F91" s="43"/>
      <c r="G91" s="41"/>
      <c r="H91" s="41"/>
      <c r="I91" s="41"/>
      <c r="J91" s="41"/>
      <c r="K91" s="41"/>
      <c r="L91" s="41"/>
      <c r="M91" s="43"/>
      <c r="N91" s="41"/>
      <c r="O91" s="41"/>
      <c r="P91" s="41"/>
      <c r="Q91" s="41"/>
      <c r="R91" s="41"/>
      <c r="S91" s="41"/>
      <c r="T91" s="43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3"/>
      <c r="AI91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91" s="42">
        <f ca="1">IF(Апрель[[#This Row],[УСЛУГ]]&lt;&gt;"",Апрель[[#This Row],[УСЛУГ]]*Апрель[[#This Row],[Периодичность]],"")</f>
        <v>0</v>
      </c>
    </row>
    <row r="92" spans="1:36" x14ac:dyDescent="0.25">
      <c r="A92" s="35"/>
      <c r="B92" s="36"/>
      <c r="C92" s="37">
        <v>0</v>
      </c>
      <c r="D92" s="38">
        <v>2</v>
      </c>
      <c r="E92" s="41"/>
      <c r="F92" s="43"/>
      <c r="G92" s="41"/>
      <c r="H92" s="41"/>
      <c r="I92" s="41"/>
      <c r="J92" s="41"/>
      <c r="K92" s="41"/>
      <c r="L92" s="41"/>
      <c r="M92" s="43"/>
      <c r="N92" s="41"/>
      <c r="O92" s="41"/>
      <c r="P92" s="41"/>
      <c r="Q92" s="41"/>
      <c r="R92" s="41"/>
      <c r="S92" s="41"/>
      <c r="T92" s="43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3"/>
      <c r="AI9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2" s="42" t="str">
        <f ca="1">IF(Апрель[[#This Row],[УСЛУГ]]&lt;&gt;"",Апрель[[#This Row],[УСЛУГ]]*Апрель[[#This Row],[Периодичность]],"")</f>
        <v/>
      </c>
    </row>
    <row r="93" spans="1:36" x14ac:dyDescent="0.25">
      <c r="A93" s="35"/>
      <c r="B93" s="36"/>
      <c r="C93" s="37">
        <v>0</v>
      </c>
      <c r="D93" s="38">
        <v>3</v>
      </c>
      <c r="E93" s="41"/>
      <c r="F93" s="43"/>
      <c r="G93" s="41"/>
      <c r="H93" s="41"/>
      <c r="I93" s="41"/>
      <c r="J93" s="41"/>
      <c r="K93" s="41"/>
      <c r="L93" s="41"/>
      <c r="M93" s="43"/>
      <c r="N93" s="41"/>
      <c r="O93" s="41"/>
      <c r="P93" s="41"/>
      <c r="Q93" s="41"/>
      <c r="R93" s="41"/>
      <c r="S93" s="41"/>
      <c r="T93" s="43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3"/>
      <c r="AI9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3" s="42" t="str">
        <f ca="1">IF(Апрель[[#This Row],[УСЛУГ]]&lt;&gt;"",Апрель[[#This Row],[УСЛУГ]]*Апрель[[#This Row],[Периодичность]],"")</f>
        <v/>
      </c>
    </row>
    <row r="94" spans="1:36" ht="31.5" x14ac:dyDescent="0.25">
      <c r="A94" s="35" t="s">
        <v>24</v>
      </c>
      <c r="B94" s="36"/>
      <c r="C94" s="37">
        <v>0</v>
      </c>
      <c r="D94" s="38">
        <v>1</v>
      </c>
      <c r="E94" s="41"/>
      <c r="F94" s="43"/>
      <c r="G94" s="41"/>
      <c r="H94" s="41"/>
      <c r="I94" s="41"/>
      <c r="J94" s="41"/>
      <c r="K94" s="41"/>
      <c r="L94" s="41"/>
      <c r="M94" s="43"/>
      <c r="N94" s="41"/>
      <c r="O94" s="41"/>
      <c r="P94" s="41"/>
      <c r="Q94" s="41"/>
      <c r="R94" s="41"/>
      <c r="S94" s="41"/>
      <c r="T94" s="43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3"/>
      <c r="AI94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94" s="42">
        <f ca="1">IF(Апрель[[#This Row],[УСЛУГ]]&lt;&gt;"",Апрель[[#This Row],[УСЛУГ]]*Апрель[[#This Row],[Периодичность]],"")</f>
        <v>0</v>
      </c>
    </row>
    <row r="95" spans="1:36" x14ac:dyDescent="0.25">
      <c r="A95" s="35"/>
      <c r="B95" s="36"/>
      <c r="C95" s="37">
        <v>0</v>
      </c>
      <c r="D95" s="38">
        <v>2</v>
      </c>
      <c r="E95" s="41"/>
      <c r="F95" s="43"/>
      <c r="G95" s="41"/>
      <c r="H95" s="41"/>
      <c r="I95" s="41"/>
      <c r="J95" s="41"/>
      <c r="K95" s="41"/>
      <c r="L95" s="41"/>
      <c r="M95" s="43"/>
      <c r="N95" s="41"/>
      <c r="O95" s="41"/>
      <c r="P95" s="41"/>
      <c r="Q95" s="41"/>
      <c r="R95" s="41"/>
      <c r="S95" s="41"/>
      <c r="T95" s="43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3"/>
      <c r="AI9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5" s="42" t="str">
        <f ca="1">IF(Апрель[[#This Row],[УСЛУГ]]&lt;&gt;"",Апрель[[#This Row],[УСЛУГ]]*Апрель[[#This Row],[Периодичность]],"")</f>
        <v/>
      </c>
    </row>
    <row r="96" spans="1:36" x14ac:dyDescent="0.25">
      <c r="A96" s="35"/>
      <c r="B96" s="36"/>
      <c r="C96" s="37">
        <v>0</v>
      </c>
      <c r="D96" s="38">
        <v>3</v>
      </c>
      <c r="E96" s="41"/>
      <c r="F96" s="43"/>
      <c r="G96" s="41"/>
      <c r="H96" s="41"/>
      <c r="I96" s="41"/>
      <c r="J96" s="41"/>
      <c r="K96" s="41"/>
      <c r="L96" s="41"/>
      <c r="M96" s="43"/>
      <c r="N96" s="41"/>
      <c r="O96" s="41"/>
      <c r="P96" s="41"/>
      <c r="Q96" s="41"/>
      <c r="R96" s="41"/>
      <c r="S96" s="41"/>
      <c r="T96" s="43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3"/>
      <c r="AI9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6" s="42" t="str">
        <f ca="1">IF(Апрель[[#This Row],[УСЛУГ]]&lt;&gt;"",Апрель[[#This Row],[УСЛУГ]]*Апрель[[#This Row],[Периодичность]],"")</f>
        <v/>
      </c>
    </row>
    <row r="97" spans="1:36" ht="31.5" x14ac:dyDescent="0.25">
      <c r="A97" s="35" t="s">
        <v>25</v>
      </c>
      <c r="B97" s="36"/>
      <c r="C97" s="37">
        <v>0</v>
      </c>
      <c r="D97" s="38">
        <v>1</v>
      </c>
      <c r="E97" s="41"/>
      <c r="F97" s="43"/>
      <c r="G97" s="41"/>
      <c r="H97" s="41"/>
      <c r="I97" s="41"/>
      <c r="J97" s="41"/>
      <c r="K97" s="41"/>
      <c r="L97" s="41"/>
      <c r="M97" s="43"/>
      <c r="N97" s="41"/>
      <c r="O97" s="41"/>
      <c r="P97" s="41"/>
      <c r="Q97" s="41"/>
      <c r="R97" s="41"/>
      <c r="S97" s="41"/>
      <c r="T97" s="43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3"/>
      <c r="AI97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97" s="42">
        <f ca="1">IF(Апрель[[#This Row],[УСЛУГ]]&lt;&gt;"",Апрель[[#This Row],[УСЛУГ]]*Апрель[[#This Row],[Периодичность]],"")</f>
        <v>0</v>
      </c>
    </row>
    <row r="98" spans="1:36" x14ac:dyDescent="0.25">
      <c r="A98" s="35"/>
      <c r="B98" s="36"/>
      <c r="C98" s="37">
        <v>0</v>
      </c>
      <c r="D98" s="38">
        <v>2</v>
      </c>
      <c r="E98" s="41"/>
      <c r="F98" s="43"/>
      <c r="G98" s="41"/>
      <c r="H98" s="41"/>
      <c r="I98" s="41"/>
      <c r="J98" s="41"/>
      <c r="K98" s="41"/>
      <c r="L98" s="41"/>
      <c r="M98" s="43"/>
      <c r="N98" s="41"/>
      <c r="O98" s="41"/>
      <c r="P98" s="41"/>
      <c r="Q98" s="41"/>
      <c r="R98" s="41"/>
      <c r="S98" s="41"/>
      <c r="T98" s="43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3"/>
      <c r="AI9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8" s="42" t="str">
        <f ca="1">IF(Апрель[[#This Row],[УСЛУГ]]&lt;&gt;"",Апрель[[#This Row],[УСЛУГ]]*Апрель[[#This Row],[Периодичность]],"")</f>
        <v/>
      </c>
    </row>
    <row r="99" spans="1:36" x14ac:dyDescent="0.25">
      <c r="A99" s="35"/>
      <c r="B99" s="36"/>
      <c r="C99" s="37">
        <v>0</v>
      </c>
      <c r="D99" s="38">
        <v>3</v>
      </c>
      <c r="E99" s="41"/>
      <c r="F99" s="43"/>
      <c r="G99" s="41"/>
      <c r="H99" s="41"/>
      <c r="I99" s="41"/>
      <c r="J99" s="41"/>
      <c r="K99" s="41"/>
      <c r="L99" s="41"/>
      <c r="M99" s="43"/>
      <c r="N99" s="41"/>
      <c r="O99" s="41"/>
      <c r="P99" s="41"/>
      <c r="Q99" s="41"/>
      <c r="R99" s="41"/>
      <c r="S99" s="41"/>
      <c r="T99" s="43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3"/>
      <c r="AI9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99" s="42" t="str">
        <f ca="1">IF(Апрель[[#This Row],[УСЛУГ]]&lt;&gt;"",Апрель[[#This Row],[УСЛУГ]]*Апрель[[#This Row],[Периодичность]],"")</f>
        <v/>
      </c>
    </row>
    <row r="100" spans="1:36" ht="47.25" x14ac:dyDescent="0.25">
      <c r="A100" s="35" t="s">
        <v>26</v>
      </c>
      <c r="B100" s="36"/>
      <c r="C100" s="37">
        <v>0</v>
      </c>
      <c r="D100" s="38">
        <v>1</v>
      </c>
      <c r="E100" s="41"/>
      <c r="F100" s="43"/>
      <c r="G100" s="41"/>
      <c r="H100" s="41"/>
      <c r="I100" s="41"/>
      <c r="J100" s="41"/>
      <c r="K100" s="41"/>
      <c r="L100" s="41"/>
      <c r="M100" s="43"/>
      <c r="N100" s="41"/>
      <c r="O100" s="41"/>
      <c r="P100" s="41"/>
      <c r="Q100" s="41"/>
      <c r="R100" s="41"/>
      <c r="S100" s="41"/>
      <c r="T100" s="43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3"/>
      <c r="AI100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00" s="42">
        <f ca="1">IF(Апрель[[#This Row],[УСЛУГ]]&lt;&gt;"",Апрель[[#This Row],[УСЛУГ]]*Апрель[[#This Row],[Периодичность]],"")</f>
        <v>0</v>
      </c>
    </row>
    <row r="101" spans="1:36" x14ac:dyDescent="0.25">
      <c r="A101" s="35"/>
      <c r="B101" s="36"/>
      <c r="C101" s="37">
        <v>0</v>
      </c>
      <c r="D101" s="38">
        <v>2</v>
      </c>
      <c r="E101" s="41"/>
      <c r="F101" s="43"/>
      <c r="G101" s="41"/>
      <c r="H101" s="41"/>
      <c r="I101" s="41"/>
      <c r="J101" s="41"/>
      <c r="K101" s="41"/>
      <c r="L101" s="41"/>
      <c r="M101" s="43"/>
      <c r="N101" s="41"/>
      <c r="O101" s="41"/>
      <c r="P101" s="41"/>
      <c r="Q101" s="41"/>
      <c r="R101" s="41"/>
      <c r="S101" s="41"/>
      <c r="T101" s="43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3"/>
      <c r="AI10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1" s="42" t="str">
        <f ca="1">IF(Апрель[[#This Row],[УСЛУГ]]&lt;&gt;"",Апрель[[#This Row],[УСЛУГ]]*Апрель[[#This Row],[Периодичность]],"")</f>
        <v/>
      </c>
    </row>
    <row r="102" spans="1:36" x14ac:dyDescent="0.25">
      <c r="A102" s="35"/>
      <c r="B102" s="36"/>
      <c r="C102" s="37">
        <v>0</v>
      </c>
      <c r="D102" s="38">
        <v>3</v>
      </c>
      <c r="E102" s="41"/>
      <c r="F102" s="43"/>
      <c r="G102" s="41"/>
      <c r="H102" s="41"/>
      <c r="I102" s="41"/>
      <c r="J102" s="41"/>
      <c r="K102" s="41"/>
      <c r="L102" s="41"/>
      <c r="M102" s="43"/>
      <c r="N102" s="41"/>
      <c r="O102" s="41"/>
      <c r="P102" s="41"/>
      <c r="Q102" s="41"/>
      <c r="R102" s="41"/>
      <c r="S102" s="41"/>
      <c r="T102" s="43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3"/>
      <c r="AI10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2" s="42" t="str">
        <f ca="1">IF(Апрель[[#This Row],[УСЛУГ]]&lt;&gt;"",Апрель[[#This Row],[УСЛУГ]]*Апрель[[#This Row],[Периодичность]],"")</f>
        <v/>
      </c>
    </row>
    <row r="103" spans="1:36" ht="31.5" x14ac:dyDescent="0.25">
      <c r="A103" s="35" t="s">
        <v>27</v>
      </c>
      <c r="B103" s="36"/>
      <c r="C103" s="37">
        <v>0</v>
      </c>
      <c r="D103" s="38">
        <v>1</v>
      </c>
      <c r="E103" s="41"/>
      <c r="F103" s="43"/>
      <c r="G103" s="41"/>
      <c r="H103" s="41"/>
      <c r="I103" s="41"/>
      <c r="J103" s="41"/>
      <c r="K103" s="41"/>
      <c r="L103" s="41"/>
      <c r="M103" s="43"/>
      <c r="N103" s="41"/>
      <c r="O103" s="41"/>
      <c r="P103" s="41"/>
      <c r="Q103" s="41"/>
      <c r="R103" s="41"/>
      <c r="S103" s="41"/>
      <c r="T103" s="43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3"/>
      <c r="AI103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03" s="42">
        <f ca="1">IF(Апрель[[#This Row],[УСЛУГ]]&lt;&gt;"",Апрель[[#This Row],[УСЛУГ]]*Апрель[[#This Row],[Периодичность]],"")</f>
        <v>0</v>
      </c>
    </row>
    <row r="104" spans="1:36" x14ac:dyDescent="0.25">
      <c r="A104" s="35"/>
      <c r="B104" s="36"/>
      <c r="C104" s="37">
        <v>0</v>
      </c>
      <c r="D104" s="38">
        <v>2</v>
      </c>
      <c r="E104" s="41"/>
      <c r="F104" s="43"/>
      <c r="G104" s="41"/>
      <c r="H104" s="41"/>
      <c r="I104" s="41"/>
      <c r="J104" s="41"/>
      <c r="K104" s="41"/>
      <c r="L104" s="41"/>
      <c r="M104" s="43"/>
      <c r="N104" s="41"/>
      <c r="O104" s="41"/>
      <c r="P104" s="41"/>
      <c r="Q104" s="41"/>
      <c r="R104" s="41"/>
      <c r="S104" s="41"/>
      <c r="T104" s="43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3"/>
      <c r="AI10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4" s="42" t="str">
        <f ca="1">IF(Апрель[[#This Row],[УСЛУГ]]&lt;&gt;"",Апрель[[#This Row],[УСЛУГ]]*Апрель[[#This Row],[Периодичность]],"")</f>
        <v/>
      </c>
    </row>
    <row r="105" spans="1:36" x14ac:dyDescent="0.25">
      <c r="A105" s="35"/>
      <c r="B105" s="36"/>
      <c r="C105" s="37">
        <v>0</v>
      </c>
      <c r="D105" s="38">
        <v>3</v>
      </c>
      <c r="E105" s="41"/>
      <c r="F105" s="43"/>
      <c r="G105" s="41"/>
      <c r="H105" s="41"/>
      <c r="I105" s="41"/>
      <c r="J105" s="41"/>
      <c r="K105" s="41"/>
      <c r="L105" s="41"/>
      <c r="M105" s="43"/>
      <c r="N105" s="41"/>
      <c r="O105" s="41"/>
      <c r="P105" s="41"/>
      <c r="Q105" s="41"/>
      <c r="R105" s="41"/>
      <c r="S105" s="41"/>
      <c r="T105" s="43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3"/>
      <c r="AI10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5" s="42" t="str">
        <f ca="1">IF(Апрель[[#This Row],[УСЛУГ]]&lt;&gt;"",Апрель[[#This Row],[УСЛУГ]]*Апрель[[#This Row],[Периодичность]],"")</f>
        <v/>
      </c>
    </row>
    <row r="106" spans="1:36" ht="47.25" x14ac:dyDescent="0.25">
      <c r="A106" s="35" t="s">
        <v>28</v>
      </c>
      <c r="B106" s="36"/>
      <c r="C106" s="37">
        <v>0</v>
      </c>
      <c r="D106" s="38">
        <v>1</v>
      </c>
      <c r="E106" s="41"/>
      <c r="F106" s="43"/>
      <c r="G106" s="41"/>
      <c r="H106" s="41"/>
      <c r="I106" s="41"/>
      <c r="J106" s="41"/>
      <c r="K106" s="41"/>
      <c r="L106" s="41"/>
      <c r="M106" s="43"/>
      <c r="N106" s="41"/>
      <c r="O106" s="41"/>
      <c r="P106" s="41"/>
      <c r="Q106" s="41"/>
      <c r="R106" s="41"/>
      <c r="S106" s="41"/>
      <c r="T106" s="43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3"/>
      <c r="AI106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06" s="42">
        <f ca="1">IF(Апрель[[#This Row],[УСЛУГ]]&lt;&gt;"",Апрель[[#This Row],[УСЛУГ]]*Апрель[[#This Row],[Периодичность]],"")</f>
        <v>0</v>
      </c>
    </row>
    <row r="107" spans="1:36" x14ac:dyDescent="0.25">
      <c r="A107" s="35"/>
      <c r="B107" s="36"/>
      <c r="C107" s="37">
        <v>0</v>
      </c>
      <c r="D107" s="38">
        <v>2</v>
      </c>
      <c r="E107" s="41"/>
      <c r="F107" s="43"/>
      <c r="G107" s="41"/>
      <c r="H107" s="41"/>
      <c r="I107" s="41"/>
      <c r="J107" s="41"/>
      <c r="K107" s="41"/>
      <c r="L107" s="41"/>
      <c r="M107" s="43"/>
      <c r="N107" s="41"/>
      <c r="O107" s="41"/>
      <c r="P107" s="41"/>
      <c r="Q107" s="41"/>
      <c r="R107" s="41"/>
      <c r="S107" s="41"/>
      <c r="T107" s="43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3"/>
      <c r="AI10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7" s="42" t="str">
        <f ca="1">IF(Апрель[[#This Row],[УСЛУГ]]&lt;&gt;"",Апрель[[#This Row],[УСЛУГ]]*Апрель[[#This Row],[Периодичность]],"")</f>
        <v/>
      </c>
    </row>
    <row r="108" spans="1:36" x14ac:dyDescent="0.25">
      <c r="A108" s="35"/>
      <c r="B108" s="36"/>
      <c r="C108" s="37">
        <v>0</v>
      </c>
      <c r="D108" s="38">
        <v>3</v>
      </c>
      <c r="E108" s="41"/>
      <c r="F108" s="43"/>
      <c r="G108" s="41"/>
      <c r="H108" s="41"/>
      <c r="I108" s="41"/>
      <c r="J108" s="41"/>
      <c r="K108" s="41"/>
      <c r="L108" s="41"/>
      <c r="M108" s="43"/>
      <c r="N108" s="41"/>
      <c r="O108" s="41"/>
      <c r="P108" s="41"/>
      <c r="Q108" s="41"/>
      <c r="R108" s="41"/>
      <c r="S108" s="41"/>
      <c r="T108" s="43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3"/>
      <c r="AI10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08" s="42" t="str">
        <f ca="1">IF(Апрель[[#This Row],[УСЛУГ]]&lt;&gt;"",Апрель[[#This Row],[УСЛУГ]]*Апрель[[#This Row],[Периодичность]],"")</f>
        <v/>
      </c>
    </row>
    <row r="109" spans="1:36" ht="31.5" x14ac:dyDescent="0.25">
      <c r="A109" s="35" t="s">
        <v>29</v>
      </c>
      <c r="B109" s="36"/>
      <c r="C109" s="37">
        <v>0</v>
      </c>
      <c r="D109" s="38">
        <v>1</v>
      </c>
      <c r="E109" s="41"/>
      <c r="F109" s="43"/>
      <c r="G109" s="41"/>
      <c r="H109" s="41"/>
      <c r="I109" s="41"/>
      <c r="J109" s="41"/>
      <c r="K109" s="41"/>
      <c r="L109" s="41"/>
      <c r="M109" s="43"/>
      <c r="N109" s="41"/>
      <c r="O109" s="41"/>
      <c r="P109" s="41"/>
      <c r="Q109" s="41"/>
      <c r="R109" s="41"/>
      <c r="S109" s="41"/>
      <c r="T109" s="43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3"/>
      <c r="AI109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09" s="42">
        <f ca="1">IF(Апрель[[#This Row],[УСЛУГ]]&lt;&gt;"",Апрель[[#This Row],[УСЛУГ]]*Апрель[[#This Row],[Периодичность]],"")</f>
        <v>0</v>
      </c>
    </row>
    <row r="110" spans="1:36" x14ac:dyDescent="0.25">
      <c r="A110" s="35"/>
      <c r="B110" s="36"/>
      <c r="C110" s="37">
        <v>0</v>
      </c>
      <c r="D110" s="38">
        <v>2</v>
      </c>
      <c r="E110" s="41"/>
      <c r="F110" s="43"/>
      <c r="G110" s="41"/>
      <c r="H110" s="41"/>
      <c r="I110" s="41"/>
      <c r="J110" s="41"/>
      <c r="K110" s="41"/>
      <c r="L110" s="41"/>
      <c r="M110" s="43"/>
      <c r="N110" s="41"/>
      <c r="O110" s="41"/>
      <c r="P110" s="41"/>
      <c r="Q110" s="41"/>
      <c r="R110" s="41"/>
      <c r="S110" s="41"/>
      <c r="T110" s="43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3"/>
      <c r="AI11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0" s="42" t="str">
        <f ca="1">IF(Апрель[[#This Row],[УСЛУГ]]&lt;&gt;"",Апрель[[#This Row],[УСЛУГ]]*Апрель[[#This Row],[Периодичность]],"")</f>
        <v/>
      </c>
    </row>
    <row r="111" spans="1:36" x14ac:dyDescent="0.25">
      <c r="A111" s="35"/>
      <c r="B111" s="36"/>
      <c r="C111" s="37">
        <v>0</v>
      </c>
      <c r="D111" s="38">
        <v>3</v>
      </c>
      <c r="E111" s="41"/>
      <c r="F111" s="43"/>
      <c r="G111" s="41"/>
      <c r="H111" s="41"/>
      <c r="I111" s="41"/>
      <c r="J111" s="41"/>
      <c r="K111" s="41"/>
      <c r="L111" s="41"/>
      <c r="M111" s="43"/>
      <c r="N111" s="41"/>
      <c r="O111" s="41"/>
      <c r="P111" s="41"/>
      <c r="Q111" s="41"/>
      <c r="R111" s="41"/>
      <c r="S111" s="41"/>
      <c r="T111" s="43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3"/>
      <c r="AI11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1" s="42" t="str">
        <f ca="1">IF(Апрель[[#This Row],[УСЛУГ]]&lt;&gt;"",Апрель[[#This Row],[УСЛУГ]]*Апрель[[#This Row],[Периодичность]],"")</f>
        <v/>
      </c>
    </row>
    <row r="112" spans="1:36" ht="47.25" x14ac:dyDescent="0.25">
      <c r="A112" s="35" t="s">
        <v>30</v>
      </c>
      <c r="B112" s="36"/>
      <c r="C112" s="37">
        <v>0</v>
      </c>
      <c r="D112" s="38">
        <v>1</v>
      </c>
      <c r="E112" s="41"/>
      <c r="F112" s="43"/>
      <c r="G112" s="41"/>
      <c r="H112" s="41"/>
      <c r="I112" s="41"/>
      <c r="J112" s="41"/>
      <c r="K112" s="41"/>
      <c r="L112" s="41"/>
      <c r="M112" s="43"/>
      <c r="N112" s="41"/>
      <c r="O112" s="41"/>
      <c r="P112" s="41"/>
      <c r="Q112" s="41"/>
      <c r="R112" s="41"/>
      <c r="S112" s="41"/>
      <c r="T112" s="43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3"/>
      <c r="AI112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12" s="42">
        <f ca="1">IF(Апрель[[#This Row],[УСЛУГ]]&lt;&gt;"",Апрель[[#This Row],[УСЛУГ]]*Апрель[[#This Row],[Периодичность]],"")</f>
        <v>0</v>
      </c>
    </row>
    <row r="113" spans="1:36" x14ac:dyDescent="0.25">
      <c r="A113" s="35"/>
      <c r="B113" s="36"/>
      <c r="C113" s="37">
        <v>0</v>
      </c>
      <c r="D113" s="38">
        <v>2</v>
      </c>
      <c r="E113" s="41"/>
      <c r="F113" s="43"/>
      <c r="G113" s="41"/>
      <c r="H113" s="41"/>
      <c r="I113" s="41"/>
      <c r="J113" s="41"/>
      <c r="K113" s="41"/>
      <c r="L113" s="41"/>
      <c r="M113" s="43"/>
      <c r="N113" s="41"/>
      <c r="O113" s="41"/>
      <c r="P113" s="41"/>
      <c r="Q113" s="41"/>
      <c r="R113" s="41"/>
      <c r="S113" s="41"/>
      <c r="T113" s="43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3"/>
      <c r="AI11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3" s="42" t="str">
        <f ca="1">IF(Апрель[[#This Row],[УСЛУГ]]&lt;&gt;"",Апрель[[#This Row],[УСЛУГ]]*Апрель[[#This Row],[Периодичность]],"")</f>
        <v/>
      </c>
    </row>
    <row r="114" spans="1:36" x14ac:dyDescent="0.25">
      <c r="A114" s="35"/>
      <c r="B114" s="36"/>
      <c r="C114" s="37">
        <v>0</v>
      </c>
      <c r="D114" s="38">
        <v>3</v>
      </c>
      <c r="E114" s="41"/>
      <c r="F114" s="43"/>
      <c r="G114" s="41"/>
      <c r="H114" s="41"/>
      <c r="I114" s="41"/>
      <c r="J114" s="41"/>
      <c r="K114" s="41"/>
      <c r="L114" s="41"/>
      <c r="M114" s="43"/>
      <c r="N114" s="41"/>
      <c r="O114" s="41"/>
      <c r="P114" s="41"/>
      <c r="Q114" s="41"/>
      <c r="R114" s="41"/>
      <c r="S114" s="41"/>
      <c r="T114" s="43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3"/>
      <c r="AI11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4" s="42" t="str">
        <f ca="1">IF(Апрель[[#This Row],[УСЛУГ]]&lt;&gt;"",Апрель[[#This Row],[УСЛУГ]]*Апрель[[#This Row],[Периодичность]],"")</f>
        <v/>
      </c>
    </row>
    <row r="115" spans="1:36" ht="47.25" x14ac:dyDescent="0.25">
      <c r="A115" s="35" t="s">
        <v>77</v>
      </c>
      <c r="B115" s="36"/>
      <c r="C115" s="37">
        <v>0</v>
      </c>
      <c r="D115" s="38">
        <v>1</v>
      </c>
      <c r="E115" s="41"/>
      <c r="F115" s="43"/>
      <c r="G115" s="41"/>
      <c r="H115" s="41"/>
      <c r="I115" s="41"/>
      <c r="J115" s="41"/>
      <c r="K115" s="41"/>
      <c r="L115" s="41"/>
      <c r="M115" s="43"/>
      <c r="N115" s="41"/>
      <c r="O115" s="41"/>
      <c r="P115" s="41"/>
      <c r="Q115" s="41"/>
      <c r="R115" s="41"/>
      <c r="S115" s="41"/>
      <c r="T115" s="43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3"/>
      <c r="AI115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15" s="42">
        <f ca="1">IF(Апрель[[#This Row],[УСЛУГ]]&lt;&gt;"",Апрель[[#This Row],[УСЛУГ]]*Апрель[[#This Row],[Периодичность]],"")</f>
        <v>0</v>
      </c>
    </row>
    <row r="116" spans="1:36" x14ac:dyDescent="0.25">
      <c r="A116" s="35"/>
      <c r="B116" s="36"/>
      <c r="C116" s="37">
        <v>0</v>
      </c>
      <c r="D116" s="38">
        <v>2</v>
      </c>
      <c r="E116" s="41"/>
      <c r="F116" s="43"/>
      <c r="G116" s="41"/>
      <c r="H116" s="41"/>
      <c r="I116" s="41"/>
      <c r="J116" s="41"/>
      <c r="K116" s="41"/>
      <c r="L116" s="41"/>
      <c r="M116" s="43"/>
      <c r="N116" s="41"/>
      <c r="O116" s="41"/>
      <c r="P116" s="41"/>
      <c r="Q116" s="41"/>
      <c r="R116" s="41"/>
      <c r="S116" s="41"/>
      <c r="T116" s="43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3"/>
      <c r="AI11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6" s="42" t="str">
        <f ca="1">IF(Апрель[[#This Row],[УСЛУГ]]&lt;&gt;"",Апрель[[#This Row],[УСЛУГ]]*Апрель[[#This Row],[Периодичность]],"")</f>
        <v/>
      </c>
    </row>
    <row r="117" spans="1:36" x14ac:dyDescent="0.25">
      <c r="A117" s="35"/>
      <c r="B117" s="36"/>
      <c r="C117" s="37">
        <v>0</v>
      </c>
      <c r="D117" s="38">
        <v>3</v>
      </c>
      <c r="E117" s="41"/>
      <c r="F117" s="43"/>
      <c r="G117" s="41"/>
      <c r="H117" s="41"/>
      <c r="I117" s="41"/>
      <c r="J117" s="41"/>
      <c r="K117" s="41"/>
      <c r="L117" s="41"/>
      <c r="M117" s="43"/>
      <c r="N117" s="41"/>
      <c r="O117" s="41"/>
      <c r="P117" s="41"/>
      <c r="Q117" s="41"/>
      <c r="R117" s="41"/>
      <c r="S117" s="41"/>
      <c r="T117" s="43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3"/>
      <c r="AI11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7" s="42" t="str">
        <f ca="1">IF(Апрель[[#This Row],[УСЛУГ]]&lt;&gt;"",Апрель[[#This Row],[УСЛУГ]]*Апрель[[#This Row],[Периодичность]],"")</f>
        <v/>
      </c>
    </row>
    <row r="118" spans="1:36" ht="63" x14ac:dyDescent="0.25">
      <c r="A118" s="35" t="s">
        <v>146</v>
      </c>
      <c r="B118" s="36"/>
      <c r="C118" s="37">
        <v>0</v>
      </c>
      <c r="D118" s="38">
        <v>1</v>
      </c>
      <c r="E118" s="41"/>
      <c r="F118" s="43"/>
      <c r="G118" s="41"/>
      <c r="H118" s="41"/>
      <c r="I118" s="41"/>
      <c r="J118" s="41"/>
      <c r="K118" s="41"/>
      <c r="L118" s="41"/>
      <c r="M118" s="43"/>
      <c r="N118" s="41"/>
      <c r="O118" s="41"/>
      <c r="P118" s="41"/>
      <c r="Q118" s="41"/>
      <c r="R118" s="41"/>
      <c r="S118" s="41"/>
      <c r="T118" s="43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3"/>
      <c r="AI118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18" s="42">
        <f ca="1">IF(Апрель[[#This Row],[УСЛУГ]]&lt;&gt;"",Апрель[[#This Row],[УСЛУГ]]*Апрель[[#This Row],[Периодичность]],"")</f>
        <v>0</v>
      </c>
    </row>
    <row r="119" spans="1:36" x14ac:dyDescent="0.25">
      <c r="A119" s="35"/>
      <c r="B119" s="36"/>
      <c r="C119" s="37">
        <v>0</v>
      </c>
      <c r="D119" s="38">
        <v>2</v>
      </c>
      <c r="E119" s="41"/>
      <c r="F119" s="43"/>
      <c r="G119" s="41"/>
      <c r="H119" s="41"/>
      <c r="I119" s="41"/>
      <c r="J119" s="41"/>
      <c r="K119" s="41"/>
      <c r="L119" s="41"/>
      <c r="M119" s="43"/>
      <c r="N119" s="41"/>
      <c r="O119" s="41"/>
      <c r="P119" s="41"/>
      <c r="Q119" s="41"/>
      <c r="R119" s="41"/>
      <c r="S119" s="41"/>
      <c r="T119" s="43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3"/>
      <c r="AI11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19" s="42" t="str">
        <f ca="1">IF(Апрель[[#This Row],[УСЛУГ]]&lt;&gt;"",Апрель[[#This Row],[УСЛУГ]]*Апрель[[#This Row],[Периодичность]],"")</f>
        <v/>
      </c>
    </row>
    <row r="120" spans="1:36" x14ac:dyDescent="0.25">
      <c r="A120" s="35"/>
      <c r="B120" s="36"/>
      <c r="C120" s="37">
        <v>0</v>
      </c>
      <c r="D120" s="38">
        <v>3</v>
      </c>
      <c r="E120" s="41"/>
      <c r="F120" s="43"/>
      <c r="G120" s="41"/>
      <c r="H120" s="41"/>
      <c r="I120" s="41"/>
      <c r="J120" s="41"/>
      <c r="K120" s="41"/>
      <c r="L120" s="41"/>
      <c r="M120" s="43"/>
      <c r="N120" s="41"/>
      <c r="O120" s="41"/>
      <c r="P120" s="41"/>
      <c r="Q120" s="41"/>
      <c r="R120" s="41"/>
      <c r="S120" s="41"/>
      <c r="T120" s="43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3"/>
      <c r="AI12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0" s="42" t="str">
        <f ca="1">IF(Апрель[[#This Row],[УСЛУГ]]&lt;&gt;"",Апрель[[#This Row],[УСЛУГ]]*Апрель[[#This Row],[Периодичность]],"")</f>
        <v/>
      </c>
    </row>
    <row r="121" spans="1:36" ht="47.25" x14ac:dyDescent="0.25">
      <c r="A121" s="35" t="s">
        <v>76</v>
      </c>
      <c r="B121" s="36"/>
      <c r="C121" s="37">
        <v>0</v>
      </c>
      <c r="D121" s="38">
        <v>1</v>
      </c>
      <c r="E121" s="41"/>
      <c r="F121" s="43"/>
      <c r="G121" s="41"/>
      <c r="H121" s="41"/>
      <c r="I121" s="41"/>
      <c r="J121" s="41"/>
      <c r="K121" s="41"/>
      <c r="L121" s="41"/>
      <c r="M121" s="43"/>
      <c r="N121" s="41"/>
      <c r="O121" s="41"/>
      <c r="P121" s="41"/>
      <c r="Q121" s="41"/>
      <c r="R121" s="41"/>
      <c r="S121" s="41"/>
      <c r="T121" s="43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3"/>
      <c r="AI121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21" s="42">
        <f ca="1">IF(Апрель[[#This Row],[УСЛУГ]]&lt;&gt;"",Апрель[[#This Row],[УСЛУГ]]*Апрель[[#This Row],[Периодичность]],"")</f>
        <v>0</v>
      </c>
    </row>
    <row r="122" spans="1:36" x14ac:dyDescent="0.25">
      <c r="A122" s="35"/>
      <c r="B122" s="36"/>
      <c r="C122" s="37">
        <v>0</v>
      </c>
      <c r="D122" s="38">
        <v>2</v>
      </c>
      <c r="E122" s="41"/>
      <c r="F122" s="43"/>
      <c r="G122" s="41"/>
      <c r="H122" s="41"/>
      <c r="I122" s="41"/>
      <c r="J122" s="41"/>
      <c r="K122" s="41"/>
      <c r="L122" s="41"/>
      <c r="M122" s="43"/>
      <c r="N122" s="41"/>
      <c r="O122" s="41"/>
      <c r="P122" s="41"/>
      <c r="Q122" s="41"/>
      <c r="R122" s="41"/>
      <c r="S122" s="41"/>
      <c r="T122" s="43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3"/>
      <c r="AI12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2" s="42" t="str">
        <f ca="1">IF(Апрель[[#This Row],[УСЛУГ]]&lt;&gt;"",Апрель[[#This Row],[УСЛУГ]]*Апрель[[#This Row],[Периодичность]],"")</f>
        <v/>
      </c>
    </row>
    <row r="123" spans="1:36" x14ac:dyDescent="0.25">
      <c r="A123" s="35"/>
      <c r="B123" s="36"/>
      <c r="C123" s="37">
        <v>0</v>
      </c>
      <c r="D123" s="38">
        <v>3</v>
      </c>
      <c r="E123" s="41"/>
      <c r="F123" s="43"/>
      <c r="G123" s="41"/>
      <c r="H123" s="41"/>
      <c r="I123" s="41"/>
      <c r="J123" s="41"/>
      <c r="K123" s="41"/>
      <c r="L123" s="41"/>
      <c r="M123" s="43"/>
      <c r="N123" s="41"/>
      <c r="O123" s="41"/>
      <c r="P123" s="41"/>
      <c r="Q123" s="41"/>
      <c r="R123" s="41"/>
      <c r="S123" s="41"/>
      <c r="T123" s="43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3"/>
      <c r="AI12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3" s="42" t="str">
        <f ca="1">IF(Апрель[[#This Row],[УСЛУГ]]&lt;&gt;"",Апрель[[#This Row],[УСЛУГ]]*Апрель[[#This Row],[Периодичность]],"")</f>
        <v/>
      </c>
    </row>
    <row r="124" spans="1:36" ht="47.25" x14ac:dyDescent="0.25">
      <c r="A124" s="35" t="s">
        <v>147</v>
      </c>
      <c r="B124" s="36"/>
      <c r="C124" s="37">
        <v>0</v>
      </c>
      <c r="D124" s="38">
        <v>1</v>
      </c>
      <c r="E124" s="41"/>
      <c r="F124" s="43"/>
      <c r="G124" s="41"/>
      <c r="H124" s="41"/>
      <c r="I124" s="41"/>
      <c r="J124" s="41"/>
      <c r="K124" s="41"/>
      <c r="L124" s="41"/>
      <c r="M124" s="43"/>
      <c r="N124" s="41"/>
      <c r="O124" s="41"/>
      <c r="P124" s="41"/>
      <c r="Q124" s="41"/>
      <c r="R124" s="41"/>
      <c r="S124" s="41"/>
      <c r="T124" s="43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3"/>
      <c r="AI124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24" s="42">
        <f ca="1">IF(Апрель[[#This Row],[УСЛУГ]]&lt;&gt;"",Апрель[[#This Row],[УСЛУГ]]*Апрель[[#This Row],[Периодичность]],"")</f>
        <v>0</v>
      </c>
    </row>
    <row r="125" spans="1:36" x14ac:dyDescent="0.25">
      <c r="A125" s="35"/>
      <c r="B125" s="36"/>
      <c r="C125" s="37">
        <v>0</v>
      </c>
      <c r="D125" s="38">
        <v>2</v>
      </c>
      <c r="E125" s="41"/>
      <c r="F125" s="43"/>
      <c r="G125" s="41"/>
      <c r="H125" s="41"/>
      <c r="I125" s="41"/>
      <c r="J125" s="41"/>
      <c r="K125" s="41"/>
      <c r="L125" s="41"/>
      <c r="M125" s="43"/>
      <c r="N125" s="41"/>
      <c r="O125" s="41"/>
      <c r="P125" s="41"/>
      <c r="Q125" s="41"/>
      <c r="R125" s="41"/>
      <c r="S125" s="41"/>
      <c r="T125" s="43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3"/>
      <c r="AI12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5" s="42" t="str">
        <f ca="1">IF(Апрель[[#This Row],[УСЛУГ]]&lt;&gt;"",Апрель[[#This Row],[УСЛУГ]]*Апрель[[#This Row],[Периодичность]],"")</f>
        <v/>
      </c>
    </row>
    <row r="126" spans="1:36" x14ac:dyDescent="0.25">
      <c r="A126" s="35"/>
      <c r="B126" s="36"/>
      <c r="C126" s="37">
        <v>0</v>
      </c>
      <c r="D126" s="38">
        <v>3</v>
      </c>
      <c r="E126" s="41"/>
      <c r="F126" s="43"/>
      <c r="G126" s="41"/>
      <c r="H126" s="41"/>
      <c r="I126" s="41"/>
      <c r="J126" s="41"/>
      <c r="K126" s="41"/>
      <c r="L126" s="41"/>
      <c r="M126" s="43"/>
      <c r="N126" s="41"/>
      <c r="O126" s="41"/>
      <c r="P126" s="41"/>
      <c r="Q126" s="41"/>
      <c r="R126" s="41"/>
      <c r="S126" s="41"/>
      <c r="T126" s="43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3"/>
      <c r="AI12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6" s="42" t="str">
        <f ca="1">IF(Апрель[[#This Row],[УСЛУГ]]&lt;&gt;"",Апрель[[#This Row],[УСЛУГ]]*Апрель[[#This Row],[Периодичность]],"")</f>
        <v/>
      </c>
    </row>
    <row r="127" spans="1:36" ht="47.25" x14ac:dyDescent="0.25">
      <c r="A127" s="35" t="s">
        <v>148</v>
      </c>
      <c r="B127" s="36"/>
      <c r="C127" s="37">
        <v>0</v>
      </c>
      <c r="D127" s="38">
        <v>1</v>
      </c>
      <c r="E127" s="41"/>
      <c r="F127" s="43"/>
      <c r="G127" s="41"/>
      <c r="H127" s="41"/>
      <c r="I127" s="41"/>
      <c r="J127" s="41"/>
      <c r="K127" s="41"/>
      <c r="L127" s="41"/>
      <c r="M127" s="43"/>
      <c r="N127" s="41"/>
      <c r="O127" s="41"/>
      <c r="P127" s="41"/>
      <c r="Q127" s="41"/>
      <c r="R127" s="41"/>
      <c r="S127" s="41"/>
      <c r="T127" s="43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3"/>
      <c r="AI127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27" s="42">
        <f ca="1">IF(Апрель[[#This Row],[УСЛУГ]]&lt;&gt;"",Апрель[[#This Row],[УСЛУГ]]*Апрель[[#This Row],[Периодичность]],"")</f>
        <v>0</v>
      </c>
    </row>
    <row r="128" spans="1:36" x14ac:dyDescent="0.25">
      <c r="A128" s="35"/>
      <c r="B128" s="36"/>
      <c r="C128" s="37">
        <v>0</v>
      </c>
      <c r="D128" s="38">
        <v>2</v>
      </c>
      <c r="E128" s="41"/>
      <c r="F128" s="43"/>
      <c r="G128" s="41"/>
      <c r="H128" s="41"/>
      <c r="I128" s="41"/>
      <c r="J128" s="41"/>
      <c r="K128" s="41"/>
      <c r="L128" s="41"/>
      <c r="M128" s="43"/>
      <c r="N128" s="41"/>
      <c r="O128" s="41"/>
      <c r="P128" s="41"/>
      <c r="Q128" s="41"/>
      <c r="R128" s="41"/>
      <c r="S128" s="41"/>
      <c r="T128" s="43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3"/>
      <c r="AI12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8" s="42" t="str">
        <f ca="1">IF(Апрель[[#This Row],[УСЛУГ]]&lt;&gt;"",Апрель[[#This Row],[УСЛУГ]]*Апрель[[#This Row],[Периодичность]],"")</f>
        <v/>
      </c>
    </row>
    <row r="129" spans="1:36" x14ac:dyDescent="0.25">
      <c r="A129" s="35"/>
      <c r="B129" s="36"/>
      <c r="C129" s="37">
        <v>0</v>
      </c>
      <c r="D129" s="38">
        <v>3</v>
      </c>
      <c r="E129" s="41"/>
      <c r="F129" s="43"/>
      <c r="G129" s="41"/>
      <c r="H129" s="41"/>
      <c r="I129" s="41"/>
      <c r="J129" s="41"/>
      <c r="K129" s="41"/>
      <c r="L129" s="41"/>
      <c r="M129" s="43"/>
      <c r="N129" s="41"/>
      <c r="O129" s="41"/>
      <c r="P129" s="41"/>
      <c r="Q129" s="41"/>
      <c r="R129" s="41"/>
      <c r="S129" s="41"/>
      <c r="T129" s="43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3"/>
      <c r="AI12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29" s="42" t="str">
        <f ca="1">IF(Апрель[[#This Row],[УСЛУГ]]&lt;&gt;"",Апрель[[#This Row],[УСЛУГ]]*Апрель[[#This Row],[Периодичность]],"")</f>
        <v/>
      </c>
    </row>
    <row r="130" spans="1:36" ht="31.5" x14ac:dyDescent="0.25">
      <c r="A130" s="35" t="s">
        <v>36</v>
      </c>
      <c r="B130" s="36"/>
      <c r="C130" s="37">
        <v>0</v>
      </c>
      <c r="D130" s="38">
        <v>1</v>
      </c>
      <c r="E130" s="41"/>
      <c r="F130" s="43"/>
      <c r="G130" s="41"/>
      <c r="H130" s="41"/>
      <c r="I130" s="41"/>
      <c r="J130" s="41"/>
      <c r="K130" s="41"/>
      <c r="L130" s="41"/>
      <c r="M130" s="43"/>
      <c r="N130" s="41"/>
      <c r="O130" s="41"/>
      <c r="P130" s="41"/>
      <c r="Q130" s="41"/>
      <c r="R130" s="41"/>
      <c r="S130" s="41"/>
      <c r="T130" s="43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3"/>
      <c r="AI130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30" s="42">
        <f ca="1">IF(Апрель[[#This Row],[УСЛУГ]]&lt;&gt;"",Апрель[[#This Row],[УСЛУГ]]*Апрель[[#This Row],[Периодичность]],"")</f>
        <v>0</v>
      </c>
    </row>
    <row r="131" spans="1:36" x14ac:dyDescent="0.25">
      <c r="A131" s="35"/>
      <c r="B131" s="36"/>
      <c r="C131" s="37">
        <v>0</v>
      </c>
      <c r="D131" s="38">
        <v>2</v>
      </c>
      <c r="E131" s="41"/>
      <c r="F131" s="43"/>
      <c r="G131" s="41"/>
      <c r="H131" s="41"/>
      <c r="I131" s="41"/>
      <c r="J131" s="41"/>
      <c r="K131" s="41"/>
      <c r="L131" s="41"/>
      <c r="M131" s="43"/>
      <c r="N131" s="41"/>
      <c r="O131" s="41"/>
      <c r="P131" s="41"/>
      <c r="Q131" s="41"/>
      <c r="R131" s="41"/>
      <c r="S131" s="41"/>
      <c r="T131" s="43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3"/>
      <c r="AI13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1" s="42" t="str">
        <f ca="1">IF(Апрель[[#This Row],[УСЛУГ]]&lt;&gt;"",Апрель[[#This Row],[УСЛУГ]]*Апрель[[#This Row],[Периодичность]],"")</f>
        <v/>
      </c>
    </row>
    <row r="132" spans="1:36" x14ac:dyDescent="0.25">
      <c r="A132" s="35"/>
      <c r="B132" s="36"/>
      <c r="C132" s="37">
        <v>0</v>
      </c>
      <c r="D132" s="38">
        <v>3</v>
      </c>
      <c r="E132" s="41"/>
      <c r="F132" s="43"/>
      <c r="G132" s="41"/>
      <c r="H132" s="41"/>
      <c r="I132" s="41"/>
      <c r="J132" s="41"/>
      <c r="K132" s="41"/>
      <c r="L132" s="41"/>
      <c r="M132" s="43"/>
      <c r="N132" s="41"/>
      <c r="O132" s="41"/>
      <c r="P132" s="41"/>
      <c r="Q132" s="41"/>
      <c r="R132" s="41"/>
      <c r="S132" s="41"/>
      <c r="T132" s="43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3"/>
      <c r="AI13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2" s="42" t="str">
        <f ca="1">IF(Апрель[[#This Row],[УСЛУГ]]&lt;&gt;"",Апрель[[#This Row],[УСЛУГ]]*Апрель[[#This Row],[Периодичность]],"")</f>
        <v/>
      </c>
    </row>
    <row r="133" spans="1:36" ht="31.5" x14ac:dyDescent="0.25">
      <c r="A133" s="35" t="s">
        <v>37</v>
      </c>
      <c r="B133" s="36"/>
      <c r="C133" s="37">
        <v>0</v>
      </c>
      <c r="D133" s="38">
        <v>1</v>
      </c>
      <c r="E133" s="41"/>
      <c r="F133" s="43"/>
      <c r="G133" s="41"/>
      <c r="H133" s="41"/>
      <c r="I133" s="41"/>
      <c r="J133" s="41"/>
      <c r="K133" s="41"/>
      <c r="L133" s="41"/>
      <c r="M133" s="43"/>
      <c r="N133" s="41"/>
      <c r="O133" s="41"/>
      <c r="P133" s="41"/>
      <c r="Q133" s="41"/>
      <c r="R133" s="41"/>
      <c r="S133" s="41"/>
      <c r="T133" s="43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3"/>
      <c r="AI133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33" s="42">
        <f ca="1">IF(Апрель[[#This Row],[УСЛУГ]]&lt;&gt;"",Апрель[[#This Row],[УСЛУГ]]*Апрель[[#This Row],[Периодичность]],"")</f>
        <v>0</v>
      </c>
    </row>
    <row r="134" spans="1:36" x14ac:dyDescent="0.25">
      <c r="A134" s="35"/>
      <c r="B134" s="36"/>
      <c r="C134" s="37">
        <v>0</v>
      </c>
      <c r="D134" s="38">
        <v>2</v>
      </c>
      <c r="E134" s="41"/>
      <c r="F134" s="43"/>
      <c r="G134" s="41"/>
      <c r="H134" s="41"/>
      <c r="I134" s="41"/>
      <c r="J134" s="41"/>
      <c r="K134" s="41"/>
      <c r="L134" s="41"/>
      <c r="M134" s="43"/>
      <c r="N134" s="41"/>
      <c r="O134" s="41"/>
      <c r="P134" s="41"/>
      <c r="Q134" s="41"/>
      <c r="R134" s="41"/>
      <c r="S134" s="41"/>
      <c r="T134" s="43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3"/>
      <c r="AI13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4" s="42" t="str">
        <f ca="1">IF(Апрель[[#This Row],[УСЛУГ]]&lt;&gt;"",Апрель[[#This Row],[УСЛУГ]]*Апрель[[#This Row],[Периодичность]],"")</f>
        <v/>
      </c>
    </row>
    <row r="135" spans="1:36" x14ac:dyDescent="0.25">
      <c r="A135" s="35"/>
      <c r="B135" s="36"/>
      <c r="C135" s="37">
        <v>0</v>
      </c>
      <c r="D135" s="38">
        <v>3</v>
      </c>
      <c r="E135" s="41"/>
      <c r="F135" s="43"/>
      <c r="G135" s="41"/>
      <c r="H135" s="41"/>
      <c r="I135" s="41"/>
      <c r="J135" s="41"/>
      <c r="K135" s="41"/>
      <c r="L135" s="41"/>
      <c r="M135" s="43"/>
      <c r="N135" s="41"/>
      <c r="O135" s="41"/>
      <c r="P135" s="41"/>
      <c r="Q135" s="41"/>
      <c r="R135" s="41"/>
      <c r="S135" s="41"/>
      <c r="T135" s="43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3"/>
      <c r="AI13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5" s="42" t="str">
        <f ca="1">IF(Апрель[[#This Row],[УСЛУГ]]&lt;&gt;"",Апрель[[#This Row],[УСЛУГ]]*Апрель[[#This Row],[Периодичность]],"")</f>
        <v/>
      </c>
    </row>
    <row r="136" spans="1:36" x14ac:dyDescent="0.25">
      <c r="A136" s="35" t="s">
        <v>38</v>
      </c>
      <c r="B136" s="36"/>
      <c r="C136" s="37">
        <v>0</v>
      </c>
      <c r="D136" s="38">
        <v>1</v>
      </c>
      <c r="E136" s="41"/>
      <c r="F136" s="43"/>
      <c r="G136" s="41"/>
      <c r="H136" s="41"/>
      <c r="I136" s="41"/>
      <c r="J136" s="41"/>
      <c r="K136" s="41"/>
      <c r="L136" s="41"/>
      <c r="M136" s="43"/>
      <c r="N136" s="41"/>
      <c r="O136" s="41"/>
      <c r="P136" s="41"/>
      <c r="Q136" s="41"/>
      <c r="R136" s="41"/>
      <c r="S136" s="41"/>
      <c r="T136" s="43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3"/>
      <c r="AI136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36" s="42">
        <f ca="1">IF(Апрель[[#This Row],[УСЛУГ]]&lt;&gt;"",Апрель[[#This Row],[УСЛУГ]]*Апрель[[#This Row],[Периодичность]],"")</f>
        <v>0</v>
      </c>
    </row>
    <row r="137" spans="1:36" x14ac:dyDescent="0.25">
      <c r="A137" s="35"/>
      <c r="B137" s="36"/>
      <c r="C137" s="37">
        <v>0</v>
      </c>
      <c r="D137" s="38">
        <v>2</v>
      </c>
      <c r="E137" s="41"/>
      <c r="F137" s="43"/>
      <c r="G137" s="41"/>
      <c r="H137" s="41"/>
      <c r="I137" s="41"/>
      <c r="J137" s="41"/>
      <c r="K137" s="41"/>
      <c r="L137" s="41"/>
      <c r="M137" s="43"/>
      <c r="N137" s="41"/>
      <c r="O137" s="41"/>
      <c r="P137" s="41"/>
      <c r="Q137" s="41"/>
      <c r="R137" s="41"/>
      <c r="S137" s="41"/>
      <c r="T137" s="43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3"/>
      <c r="AI13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7" s="42" t="str">
        <f ca="1">IF(Апрель[[#This Row],[УСЛУГ]]&lt;&gt;"",Апрель[[#This Row],[УСЛУГ]]*Апрель[[#This Row],[Периодичность]],"")</f>
        <v/>
      </c>
    </row>
    <row r="138" spans="1:36" x14ac:dyDescent="0.25">
      <c r="A138" s="35"/>
      <c r="B138" s="36"/>
      <c r="C138" s="37">
        <v>0</v>
      </c>
      <c r="D138" s="38">
        <v>3</v>
      </c>
      <c r="E138" s="41"/>
      <c r="F138" s="43"/>
      <c r="G138" s="41"/>
      <c r="H138" s="41"/>
      <c r="I138" s="41"/>
      <c r="J138" s="41"/>
      <c r="K138" s="41"/>
      <c r="L138" s="41"/>
      <c r="M138" s="43"/>
      <c r="N138" s="41"/>
      <c r="O138" s="41"/>
      <c r="P138" s="41"/>
      <c r="Q138" s="41"/>
      <c r="R138" s="41"/>
      <c r="S138" s="41"/>
      <c r="T138" s="43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3"/>
      <c r="AI13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38" s="42" t="str">
        <f ca="1">IF(Апрель[[#This Row],[УСЛУГ]]&lt;&gt;"",Апрель[[#This Row],[УСЛУГ]]*Апрель[[#This Row],[Периодичность]],"")</f>
        <v/>
      </c>
    </row>
    <row r="139" spans="1:36" ht="31.5" x14ac:dyDescent="0.25">
      <c r="A139" s="35" t="s">
        <v>39</v>
      </c>
      <c r="B139" s="36"/>
      <c r="C139" s="37">
        <v>0</v>
      </c>
      <c r="D139" s="38">
        <v>1</v>
      </c>
      <c r="E139" s="41"/>
      <c r="F139" s="43"/>
      <c r="G139" s="41"/>
      <c r="H139" s="41"/>
      <c r="I139" s="41"/>
      <c r="J139" s="41"/>
      <c r="K139" s="41"/>
      <c r="L139" s="41"/>
      <c r="M139" s="43"/>
      <c r="N139" s="41"/>
      <c r="O139" s="41"/>
      <c r="P139" s="41"/>
      <c r="Q139" s="41"/>
      <c r="R139" s="41"/>
      <c r="S139" s="41"/>
      <c r="T139" s="43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3"/>
      <c r="AI139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39" s="42">
        <f ca="1">IF(Апрель[[#This Row],[УСЛУГ]]&lt;&gt;"",Апрель[[#This Row],[УСЛУГ]]*Апрель[[#This Row],[Периодичность]],"")</f>
        <v>0</v>
      </c>
    </row>
    <row r="140" spans="1:36" x14ac:dyDescent="0.25">
      <c r="A140" s="35"/>
      <c r="B140" s="36"/>
      <c r="C140" s="37">
        <v>0</v>
      </c>
      <c r="D140" s="38">
        <v>2</v>
      </c>
      <c r="E140" s="41"/>
      <c r="F140" s="43"/>
      <c r="G140" s="41"/>
      <c r="H140" s="41"/>
      <c r="I140" s="41"/>
      <c r="J140" s="41"/>
      <c r="K140" s="41"/>
      <c r="L140" s="41"/>
      <c r="M140" s="43"/>
      <c r="N140" s="41"/>
      <c r="O140" s="41"/>
      <c r="P140" s="41"/>
      <c r="Q140" s="41"/>
      <c r="R140" s="41"/>
      <c r="S140" s="41"/>
      <c r="T140" s="43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3"/>
      <c r="AI14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0" s="42" t="str">
        <f ca="1">IF(Апрель[[#This Row],[УСЛУГ]]&lt;&gt;"",Апрель[[#This Row],[УСЛУГ]]*Апрель[[#This Row],[Периодичность]],"")</f>
        <v/>
      </c>
    </row>
    <row r="141" spans="1:36" x14ac:dyDescent="0.25">
      <c r="A141" s="35"/>
      <c r="B141" s="36"/>
      <c r="C141" s="37">
        <v>0</v>
      </c>
      <c r="D141" s="38">
        <v>3</v>
      </c>
      <c r="E141" s="41"/>
      <c r="F141" s="43"/>
      <c r="G141" s="41"/>
      <c r="H141" s="41"/>
      <c r="I141" s="41"/>
      <c r="J141" s="41"/>
      <c r="K141" s="41"/>
      <c r="L141" s="41"/>
      <c r="M141" s="43"/>
      <c r="N141" s="41"/>
      <c r="O141" s="41"/>
      <c r="P141" s="41"/>
      <c r="Q141" s="41"/>
      <c r="R141" s="41"/>
      <c r="S141" s="41"/>
      <c r="T141" s="43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3"/>
      <c r="AI14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1" s="42" t="str">
        <f ca="1">IF(Апрель[[#This Row],[УСЛУГ]]&lt;&gt;"",Апрель[[#This Row],[УСЛУГ]]*Апрель[[#This Row],[Периодичность]],"")</f>
        <v/>
      </c>
    </row>
    <row r="142" spans="1:36" ht="47.25" x14ac:dyDescent="0.25">
      <c r="A142" s="35" t="s">
        <v>149</v>
      </c>
      <c r="B142" s="36"/>
      <c r="C142" s="37">
        <v>0</v>
      </c>
      <c r="D142" s="38">
        <v>1</v>
      </c>
      <c r="E142" s="41"/>
      <c r="F142" s="43"/>
      <c r="G142" s="41"/>
      <c r="H142" s="41"/>
      <c r="I142" s="41"/>
      <c r="J142" s="41"/>
      <c r="K142" s="41"/>
      <c r="L142" s="41"/>
      <c r="M142" s="43"/>
      <c r="N142" s="41"/>
      <c r="O142" s="41"/>
      <c r="P142" s="41"/>
      <c r="Q142" s="41"/>
      <c r="R142" s="41"/>
      <c r="S142" s="41"/>
      <c r="T142" s="43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3"/>
      <c r="AI142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42" s="42">
        <f ca="1">IF(Апрель[[#This Row],[УСЛУГ]]&lt;&gt;"",Апрель[[#This Row],[УСЛУГ]]*Апрель[[#This Row],[Периодичность]],"")</f>
        <v>0</v>
      </c>
    </row>
    <row r="143" spans="1:36" x14ac:dyDescent="0.25">
      <c r="A143" s="35"/>
      <c r="B143" s="36"/>
      <c r="C143" s="37">
        <v>0</v>
      </c>
      <c r="D143" s="38">
        <v>2</v>
      </c>
      <c r="E143" s="41"/>
      <c r="F143" s="43"/>
      <c r="G143" s="41"/>
      <c r="H143" s="41"/>
      <c r="I143" s="41"/>
      <c r="J143" s="41"/>
      <c r="K143" s="41"/>
      <c r="L143" s="41"/>
      <c r="M143" s="43"/>
      <c r="N143" s="41"/>
      <c r="O143" s="41"/>
      <c r="P143" s="41"/>
      <c r="Q143" s="41"/>
      <c r="R143" s="41"/>
      <c r="S143" s="41"/>
      <c r="T143" s="43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3"/>
      <c r="AI14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3" s="42" t="str">
        <f ca="1">IF(Апрель[[#This Row],[УСЛУГ]]&lt;&gt;"",Апрель[[#This Row],[УСЛУГ]]*Апрель[[#This Row],[Периодичность]],"")</f>
        <v/>
      </c>
    </row>
    <row r="144" spans="1:36" x14ac:dyDescent="0.25">
      <c r="A144" s="35"/>
      <c r="B144" s="36"/>
      <c r="C144" s="37">
        <v>0</v>
      </c>
      <c r="D144" s="38">
        <v>3</v>
      </c>
      <c r="E144" s="41"/>
      <c r="F144" s="43"/>
      <c r="G144" s="41"/>
      <c r="H144" s="41"/>
      <c r="I144" s="41"/>
      <c r="J144" s="41"/>
      <c r="K144" s="41"/>
      <c r="L144" s="41"/>
      <c r="M144" s="43"/>
      <c r="N144" s="41"/>
      <c r="O144" s="41"/>
      <c r="P144" s="41"/>
      <c r="Q144" s="41"/>
      <c r="R144" s="41"/>
      <c r="S144" s="41"/>
      <c r="T144" s="43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3"/>
      <c r="AI14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4" s="42" t="str">
        <f ca="1">IF(Апрель[[#This Row],[УСЛУГ]]&lt;&gt;"",Апрель[[#This Row],[УСЛУГ]]*Апрель[[#This Row],[Периодичность]],"")</f>
        <v/>
      </c>
    </row>
    <row r="145" spans="1:36" ht="47.25" x14ac:dyDescent="0.25">
      <c r="A145" s="35" t="s">
        <v>150</v>
      </c>
      <c r="B145" s="36"/>
      <c r="C145" s="37">
        <v>0</v>
      </c>
      <c r="D145" s="38">
        <v>1</v>
      </c>
      <c r="E145" s="41"/>
      <c r="F145" s="43"/>
      <c r="G145" s="41"/>
      <c r="H145" s="41"/>
      <c r="I145" s="41"/>
      <c r="J145" s="41"/>
      <c r="K145" s="41"/>
      <c r="L145" s="41"/>
      <c r="M145" s="43"/>
      <c r="N145" s="41"/>
      <c r="O145" s="41"/>
      <c r="P145" s="41"/>
      <c r="Q145" s="41"/>
      <c r="R145" s="41"/>
      <c r="S145" s="41"/>
      <c r="T145" s="43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3"/>
      <c r="AI145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45" s="42">
        <f ca="1">IF(Апрель[[#This Row],[УСЛУГ]]&lt;&gt;"",Апрель[[#This Row],[УСЛУГ]]*Апрель[[#This Row],[Периодичность]],"")</f>
        <v>0</v>
      </c>
    </row>
    <row r="146" spans="1:36" x14ac:dyDescent="0.25">
      <c r="A146" s="35"/>
      <c r="B146" s="36"/>
      <c r="C146" s="37">
        <v>0</v>
      </c>
      <c r="D146" s="38">
        <v>2</v>
      </c>
      <c r="E146" s="41"/>
      <c r="F146" s="43"/>
      <c r="G146" s="41"/>
      <c r="H146" s="41"/>
      <c r="I146" s="41"/>
      <c r="J146" s="41"/>
      <c r="K146" s="41"/>
      <c r="L146" s="41"/>
      <c r="M146" s="43"/>
      <c r="N146" s="41"/>
      <c r="O146" s="41"/>
      <c r="P146" s="41"/>
      <c r="Q146" s="41"/>
      <c r="R146" s="41"/>
      <c r="S146" s="41"/>
      <c r="T146" s="43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3"/>
      <c r="AI14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6" s="42" t="str">
        <f ca="1">IF(Апрель[[#This Row],[УСЛУГ]]&lt;&gt;"",Апрель[[#This Row],[УСЛУГ]]*Апрель[[#This Row],[Периодичность]],"")</f>
        <v/>
      </c>
    </row>
    <row r="147" spans="1:36" x14ac:dyDescent="0.25">
      <c r="A147" s="35"/>
      <c r="B147" s="36"/>
      <c r="C147" s="37">
        <v>0</v>
      </c>
      <c r="D147" s="38">
        <v>3</v>
      </c>
      <c r="E147" s="41"/>
      <c r="F147" s="43"/>
      <c r="G147" s="41"/>
      <c r="H147" s="41"/>
      <c r="I147" s="41"/>
      <c r="J147" s="41"/>
      <c r="K147" s="41"/>
      <c r="L147" s="41"/>
      <c r="M147" s="43"/>
      <c r="N147" s="41"/>
      <c r="O147" s="41"/>
      <c r="P147" s="41"/>
      <c r="Q147" s="41"/>
      <c r="R147" s="41"/>
      <c r="S147" s="41"/>
      <c r="T147" s="43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3"/>
      <c r="AI14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7" s="42" t="str">
        <f ca="1">IF(Апрель[[#This Row],[УСЛУГ]]&lt;&gt;"",Апрель[[#This Row],[УСЛУГ]]*Апрель[[#This Row],[Периодичность]],"")</f>
        <v/>
      </c>
    </row>
    <row r="148" spans="1:36" ht="47.25" x14ac:dyDescent="0.25">
      <c r="A148" s="35" t="s">
        <v>151</v>
      </c>
      <c r="B148" s="36"/>
      <c r="C148" s="37">
        <v>0</v>
      </c>
      <c r="D148" s="38">
        <v>1</v>
      </c>
      <c r="E148" s="41"/>
      <c r="F148" s="43"/>
      <c r="G148" s="41"/>
      <c r="H148" s="41"/>
      <c r="I148" s="41"/>
      <c r="J148" s="41"/>
      <c r="K148" s="41"/>
      <c r="L148" s="41"/>
      <c r="M148" s="43"/>
      <c r="N148" s="41"/>
      <c r="O148" s="41"/>
      <c r="P148" s="41"/>
      <c r="Q148" s="41"/>
      <c r="R148" s="41"/>
      <c r="S148" s="41"/>
      <c r="T148" s="43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3"/>
      <c r="AI148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48" s="42">
        <f ca="1">IF(Апрель[[#This Row],[УСЛУГ]]&lt;&gt;"",Апрель[[#This Row],[УСЛУГ]]*Апрель[[#This Row],[Периодичность]],"")</f>
        <v>0</v>
      </c>
    </row>
    <row r="149" spans="1:36" x14ac:dyDescent="0.25">
      <c r="A149" s="35"/>
      <c r="B149" s="36"/>
      <c r="C149" s="37">
        <v>0</v>
      </c>
      <c r="D149" s="38">
        <v>2</v>
      </c>
      <c r="E149" s="41"/>
      <c r="F149" s="43"/>
      <c r="G149" s="41"/>
      <c r="H149" s="41"/>
      <c r="I149" s="41"/>
      <c r="J149" s="41"/>
      <c r="K149" s="41"/>
      <c r="L149" s="41"/>
      <c r="M149" s="43"/>
      <c r="N149" s="41"/>
      <c r="O149" s="41"/>
      <c r="P149" s="41"/>
      <c r="Q149" s="41"/>
      <c r="R149" s="41"/>
      <c r="S149" s="41"/>
      <c r="T149" s="43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3"/>
      <c r="AI14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49" s="42" t="str">
        <f ca="1">IF(Апрель[[#This Row],[УСЛУГ]]&lt;&gt;"",Апрель[[#This Row],[УСЛУГ]]*Апрель[[#This Row],[Периодичность]],"")</f>
        <v/>
      </c>
    </row>
    <row r="150" spans="1:36" x14ac:dyDescent="0.25">
      <c r="A150" s="35"/>
      <c r="B150" s="36"/>
      <c r="C150" s="37">
        <v>0</v>
      </c>
      <c r="D150" s="38">
        <v>3</v>
      </c>
      <c r="E150" s="41"/>
      <c r="F150" s="43"/>
      <c r="G150" s="41"/>
      <c r="H150" s="41"/>
      <c r="I150" s="41"/>
      <c r="J150" s="41"/>
      <c r="K150" s="41"/>
      <c r="L150" s="41"/>
      <c r="M150" s="43"/>
      <c r="N150" s="41"/>
      <c r="O150" s="41"/>
      <c r="P150" s="41"/>
      <c r="Q150" s="41"/>
      <c r="R150" s="41"/>
      <c r="S150" s="41"/>
      <c r="T150" s="43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3"/>
      <c r="AI15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0" s="42" t="str">
        <f ca="1">IF(Апрель[[#This Row],[УСЛУГ]]&lt;&gt;"",Апрель[[#This Row],[УСЛУГ]]*Апрель[[#This Row],[Периодичность]],"")</f>
        <v/>
      </c>
    </row>
    <row r="151" spans="1:36" ht="47.25" x14ac:dyDescent="0.25">
      <c r="A151" s="35" t="s">
        <v>75</v>
      </c>
      <c r="B151" s="36"/>
      <c r="C151" s="37">
        <v>0</v>
      </c>
      <c r="D151" s="38">
        <v>1</v>
      </c>
      <c r="E151" s="41"/>
      <c r="F151" s="43"/>
      <c r="G151" s="41"/>
      <c r="H151" s="41"/>
      <c r="I151" s="41"/>
      <c r="J151" s="41"/>
      <c r="K151" s="41"/>
      <c r="L151" s="41"/>
      <c r="M151" s="43"/>
      <c r="N151" s="41"/>
      <c r="O151" s="41"/>
      <c r="P151" s="41"/>
      <c r="Q151" s="41"/>
      <c r="R151" s="41"/>
      <c r="S151" s="41"/>
      <c r="T151" s="43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3"/>
      <c r="AI151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51" s="42">
        <f ca="1">IF(Апрель[[#This Row],[УСЛУГ]]&lt;&gt;"",Апрель[[#This Row],[УСЛУГ]]*Апрель[[#This Row],[Периодичность]],"")</f>
        <v>0</v>
      </c>
    </row>
    <row r="152" spans="1:36" x14ac:dyDescent="0.25">
      <c r="A152" s="35"/>
      <c r="B152" s="36"/>
      <c r="C152" s="37">
        <v>0</v>
      </c>
      <c r="D152" s="38">
        <v>2</v>
      </c>
      <c r="E152" s="41"/>
      <c r="F152" s="43"/>
      <c r="G152" s="41"/>
      <c r="H152" s="41"/>
      <c r="I152" s="41"/>
      <c r="J152" s="41"/>
      <c r="K152" s="41"/>
      <c r="L152" s="41"/>
      <c r="M152" s="43"/>
      <c r="N152" s="41"/>
      <c r="O152" s="41"/>
      <c r="P152" s="41"/>
      <c r="Q152" s="41"/>
      <c r="R152" s="41"/>
      <c r="S152" s="41"/>
      <c r="T152" s="43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3"/>
      <c r="AI15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2" s="42" t="str">
        <f ca="1">IF(Апрель[[#This Row],[УСЛУГ]]&lt;&gt;"",Апрель[[#This Row],[УСЛУГ]]*Апрель[[#This Row],[Периодичность]],"")</f>
        <v/>
      </c>
    </row>
    <row r="153" spans="1:36" x14ac:dyDescent="0.25">
      <c r="A153" s="35"/>
      <c r="B153" s="36"/>
      <c r="C153" s="37">
        <v>0</v>
      </c>
      <c r="D153" s="38">
        <v>3</v>
      </c>
      <c r="E153" s="41"/>
      <c r="F153" s="43"/>
      <c r="G153" s="41"/>
      <c r="H153" s="41"/>
      <c r="I153" s="41"/>
      <c r="J153" s="41"/>
      <c r="K153" s="41"/>
      <c r="L153" s="41"/>
      <c r="M153" s="43"/>
      <c r="N153" s="41"/>
      <c r="O153" s="41"/>
      <c r="P153" s="41"/>
      <c r="Q153" s="41"/>
      <c r="R153" s="41"/>
      <c r="S153" s="41"/>
      <c r="T153" s="43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3"/>
      <c r="AI15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3" s="42" t="str">
        <f ca="1">IF(Апрель[[#This Row],[УСЛУГ]]&lt;&gt;"",Апрель[[#This Row],[УСЛУГ]]*Апрель[[#This Row],[Периодичность]],"")</f>
        <v/>
      </c>
    </row>
    <row r="154" spans="1:36" ht="47.25" x14ac:dyDescent="0.25">
      <c r="A154" s="35" t="s">
        <v>74</v>
      </c>
      <c r="B154" s="36"/>
      <c r="C154" s="37">
        <v>0</v>
      </c>
      <c r="D154" s="38">
        <v>1</v>
      </c>
      <c r="E154" s="41"/>
      <c r="F154" s="43"/>
      <c r="G154" s="41"/>
      <c r="H154" s="41"/>
      <c r="I154" s="41"/>
      <c r="J154" s="41"/>
      <c r="K154" s="41"/>
      <c r="L154" s="41"/>
      <c r="M154" s="43"/>
      <c r="N154" s="41"/>
      <c r="O154" s="41"/>
      <c r="P154" s="41"/>
      <c r="Q154" s="41"/>
      <c r="R154" s="41"/>
      <c r="S154" s="41"/>
      <c r="T154" s="43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3"/>
      <c r="AI154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54" s="42">
        <f ca="1">IF(Апрель[[#This Row],[УСЛУГ]]&lt;&gt;"",Апрель[[#This Row],[УСЛУГ]]*Апрель[[#This Row],[Периодичность]],"")</f>
        <v>0</v>
      </c>
    </row>
    <row r="155" spans="1:36" x14ac:dyDescent="0.25">
      <c r="A155" s="35"/>
      <c r="B155" s="36"/>
      <c r="C155" s="37">
        <v>0</v>
      </c>
      <c r="D155" s="38">
        <v>2</v>
      </c>
      <c r="E155" s="41"/>
      <c r="F155" s="43"/>
      <c r="G155" s="41"/>
      <c r="H155" s="41"/>
      <c r="I155" s="41"/>
      <c r="J155" s="41"/>
      <c r="K155" s="41"/>
      <c r="L155" s="41"/>
      <c r="M155" s="43"/>
      <c r="N155" s="41"/>
      <c r="O155" s="41"/>
      <c r="P155" s="41"/>
      <c r="Q155" s="41"/>
      <c r="R155" s="41"/>
      <c r="S155" s="41"/>
      <c r="T155" s="43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3"/>
      <c r="AI15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5" s="42" t="str">
        <f ca="1">IF(Апрель[[#This Row],[УСЛУГ]]&lt;&gt;"",Апрель[[#This Row],[УСЛУГ]]*Апрель[[#This Row],[Периодичность]],"")</f>
        <v/>
      </c>
    </row>
    <row r="156" spans="1:36" x14ac:dyDescent="0.25">
      <c r="A156" s="35"/>
      <c r="B156" s="36"/>
      <c r="C156" s="37">
        <v>0</v>
      </c>
      <c r="D156" s="38">
        <v>3</v>
      </c>
      <c r="E156" s="41"/>
      <c r="F156" s="43"/>
      <c r="G156" s="41"/>
      <c r="H156" s="41"/>
      <c r="I156" s="41"/>
      <c r="J156" s="41"/>
      <c r="K156" s="41"/>
      <c r="L156" s="41"/>
      <c r="M156" s="43"/>
      <c r="N156" s="41"/>
      <c r="O156" s="41"/>
      <c r="P156" s="41"/>
      <c r="Q156" s="41"/>
      <c r="R156" s="41"/>
      <c r="S156" s="41"/>
      <c r="T156" s="43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3"/>
      <c r="AI156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6" s="42" t="str">
        <f ca="1">IF(Апрель[[#This Row],[УСЛУГ]]&lt;&gt;"",Апрель[[#This Row],[УСЛУГ]]*Апрель[[#This Row],[Периодичность]],"")</f>
        <v/>
      </c>
    </row>
    <row r="157" spans="1:36" ht="47.25" x14ac:dyDescent="0.25">
      <c r="A157" s="35" t="s">
        <v>152</v>
      </c>
      <c r="B157" s="36"/>
      <c r="C157" s="37">
        <v>0</v>
      </c>
      <c r="D157" s="38">
        <v>1</v>
      </c>
      <c r="E157" s="41"/>
      <c r="F157" s="43"/>
      <c r="G157" s="41"/>
      <c r="H157" s="41"/>
      <c r="I157" s="41"/>
      <c r="J157" s="41"/>
      <c r="K157" s="41"/>
      <c r="L157" s="41"/>
      <c r="M157" s="43"/>
      <c r="N157" s="41"/>
      <c r="O157" s="41"/>
      <c r="P157" s="41"/>
      <c r="Q157" s="41"/>
      <c r="R157" s="41"/>
      <c r="S157" s="41"/>
      <c r="T157" s="43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3"/>
      <c r="AI157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57" s="42">
        <f ca="1">IF(Апрель[[#This Row],[УСЛУГ]]&lt;&gt;"",Апрель[[#This Row],[УСЛУГ]]*Апрель[[#This Row],[Периодичность]],"")</f>
        <v>0</v>
      </c>
    </row>
    <row r="158" spans="1:36" x14ac:dyDescent="0.25">
      <c r="A158" s="35"/>
      <c r="B158" s="36"/>
      <c r="C158" s="37">
        <v>0</v>
      </c>
      <c r="D158" s="38">
        <v>2</v>
      </c>
      <c r="E158" s="41"/>
      <c r="F158" s="43"/>
      <c r="G158" s="41"/>
      <c r="H158" s="41"/>
      <c r="I158" s="41"/>
      <c r="J158" s="41"/>
      <c r="K158" s="41"/>
      <c r="L158" s="41"/>
      <c r="M158" s="43"/>
      <c r="N158" s="41"/>
      <c r="O158" s="41"/>
      <c r="P158" s="41"/>
      <c r="Q158" s="41"/>
      <c r="R158" s="41"/>
      <c r="S158" s="41"/>
      <c r="T158" s="43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3"/>
      <c r="AI15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8" s="42" t="str">
        <f ca="1">IF(Апрель[[#This Row],[УСЛУГ]]&lt;&gt;"",Апрель[[#This Row],[УСЛУГ]]*Апрель[[#This Row],[Периодичность]],"")</f>
        <v/>
      </c>
    </row>
    <row r="159" spans="1:36" x14ac:dyDescent="0.25">
      <c r="A159" s="35"/>
      <c r="B159" s="36"/>
      <c r="C159" s="37">
        <v>0</v>
      </c>
      <c r="D159" s="38">
        <v>3</v>
      </c>
      <c r="E159" s="41"/>
      <c r="F159" s="43"/>
      <c r="G159" s="41"/>
      <c r="H159" s="41"/>
      <c r="I159" s="41"/>
      <c r="J159" s="41"/>
      <c r="K159" s="41"/>
      <c r="L159" s="41"/>
      <c r="M159" s="43"/>
      <c r="N159" s="41"/>
      <c r="O159" s="41"/>
      <c r="P159" s="41"/>
      <c r="Q159" s="41"/>
      <c r="R159" s="41"/>
      <c r="S159" s="41"/>
      <c r="T159" s="43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3"/>
      <c r="AI159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59" s="42" t="str">
        <f ca="1">IF(Апрель[[#This Row],[УСЛУГ]]&lt;&gt;"",Апрель[[#This Row],[УСЛУГ]]*Апрель[[#This Row],[Периодичность]],"")</f>
        <v/>
      </c>
    </row>
    <row r="160" spans="1:36" ht="47.25" x14ac:dyDescent="0.25">
      <c r="A160" s="35" t="s">
        <v>153</v>
      </c>
      <c r="B160" s="36"/>
      <c r="C160" s="37">
        <v>0</v>
      </c>
      <c r="D160" s="38">
        <v>1</v>
      </c>
      <c r="E160" s="41"/>
      <c r="F160" s="43"/>
      <c r="G160" s="41"/>
      <c r="H160" s="41"/>
      <c r="I160" s="41"/>
      <c r="J160" s="41"/>
      <c r="K160" s="41"/>
      <c r="L160" s="41"/>
      <c r="M160" s="43"/>
      <c r="N160" s="41"/>
      <c r="O160" s="41"/>
      <c r="P160" s="41"/>
      <c r="Q160" s="41"/>
      <c r="R160" s="41"/>
      <c r="S160" s="41"/>
      <c r="T160" s="43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3"/>
      <c r="AI160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60" s="42">
        <f ca="1">IF(Апрель[[#This Row],[УСЛУГ]]&lt;&gt;"",Апрель[[#This Row],[УСЛУГ]]*Апрель[[#This Row],[Периодичность]],"")</f>
        <v>0</v>
      </c>
    </row>
    <row r="161" spans="1:36" x14ac:dyDescent="0.25">
      <c r="A161" s="35"/>
      <c r="B161" s="36"/>
      <c r="C161" s="37">
        <v>0</v>
      </c>
      <c r="D161" s="38">
        <v>2</v>
      </c>
      <c r="E161" s="41"/>
      <c r="F161" s="43"/>
      <c r="G161" s="41"/>
      <c r="H161" s="41"/>
      <c r="I161" s="41"/>
      <c r="J161" s="41"/>
      <c r="K161" s="41"/>
      <c r="L161" s="41"/>
      <c r="M161" s="43"/>
      <c r="N161" s="41"/>
      <c r="O161" s="41"/>
      <c r="P161" s="41"/>
      <c r="Q161" s="41"/>
      <c r="R161" s="41"/>
      <c r="S161" s="41"/>
      <c r="T161" s="43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3"/>
      <c r="AI16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1" s="42" t="str">
        <f ca="1">IF(Апрель[[#This Row],[УСЛУГ]]&lt;&gt;"",Апрель[[#This Row],[УСЛУГ]]*Апрель[[#This Row],[Периодичность]],"")</f>
        <v/>
      </c>
    </row>
    <row r="162" spans="1:36" x14ac:dyDescent="0.25">
      <c r="A162" s="35"/>
      <c r="B162" s="36"/>
      <c r="C162" s="37">
        <v>0</v>
      </c>
      <c r="D162" s="38">
        <v>3</v>
      </c>
      <c r="E162" s="41"/>
      <c r="F162" s="43"/>
      <c r="G162" s="41"/>
      <c r="H162" s="41"/>
      <c r="I162" s="41"/>
      <c r="J162" s="41"/>
      <c r="K162" s="41"/>
      <c r="L162" s="41"/>
      <c r="M162" s="43"/>
      <c r="N162" s="41"/>
      <c r="O162" s="41"/>
      <c r="P162" s="41"/>
      <c r="Q162" s="41"/>
      <c r="R162" s="41"/>
      <c r="S162" s="41"/>
      <c r="T162" s="43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3"/>
      <c r="AI162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2" s="42" t="str">
        <f ca="1">IF(Апрель[[#This Row],[УСЛУГ]]&lt;&gt;"",Апрель[[#This Row],[УСЛУГ]]*Апрель[[#This Row],[Периодичность]],"")</f>
        <v/>
      </c>
    </row>
    <row r="163" spans="1:36" ht="47.25" x14ac:dyDescent="0.25">
      <c r="A163" s="35" t="s">
        <v>154</v>
      </c>
      <c r="B163" s="36"/>
      <c r="C163" s="37">
        <v>0</v>
      </c>
      <c r="D163" s="38">
        <v>1</v>
      </c>
      <c r="E163" s="41"/>
      <c r="F163" s="43"/>
      <c r="G163" s="41"/>
      <c r="H163" s="41"/>
      <c r="I163" s="41"/>
      <c r="J163" s="41"/>
      <c r="K163" s="41"/>
      <c r="L163" s="41"/>
      <c r="M163" s="43"/>
      <c r="N163" s="41"/>
      <c r="O163" s="41"/>
      <c r="P163" s="41"/>
      <c r="Q163" s="41"/>
      <c r="R163" s="41"/>
      <c r="S163" s="41"/>
      <c r="T163" s="43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3"/>
      <c r="AI163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63" s="42">
        <f ca="1">IF(Апрель[[#This Row],[УСЛУГ]]&lt;&gt;"",Апрель[[#This Row],[УСЛУГ]]*Апрель[[#This Row],[Периодичность]],"")</f>
        <v>0</v>
      </c>
    </row>
    <row r="164" spans="1:36" x14ac:dyDescent="0.25">
      <c r="A164" s="35"/>
      <c r="B164" s="36"/>
      <c r="C164" s="37">
        <v>0</v>
      </c>
      <c r="D164" s="38">
        <v>2</v>
      </c>
      <c r="E164" s="41"/>
      <c r="F164" s="43"/>
      <c r="G164" s="41"/>
      <c r="H164" s="41"/>
      <c r="I164" s="41"/>
      <c r="J164" s="41"/>
      <c r="K164" s="41"/>
      <c r="L164" s="41"/>
      <c r="M164" s="43"/>
      <c r="N164" s="41"/>
      <c r="O164" s="41"/>
      <c r="P164" s="41"/>
      <c r="Q164" s="41"/>
      <c r="R164" s="41"/>
      <c r="S164" s="41"/>
      <c r="T164" s="43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3"/>
      <c r="AI16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4" s="42" t="str">
        <f ca="1">IF(Апрель[[#This Row],[УСЛУГ]]&lt;&gt;"",Апрель[[#This Row],[УСЛУГ]]*Апрель[[#This Row],[Периодичность]],"")</f>
        <v/>
      </c>
    </row>
    <row r="165" spans="1:36" x14ac:dyDescent="0.25">
      <c r="A165" s="35"/>
      <c r="B165" s="36"/>
      <c r="C165" s="37">
        <v>0</v>
      </c>
      <c r="D165" s="38">
        <v>3</v>
      </c>
      <c r="E165" s="41"/>
      <c r="F165" s="43"/>
      <c r="G165" s="41"/>
      <c r="H165" s="41"/>
      <c r="I165" s="41"/>
      <c r="J165" s="41"/>
      <c r="K165" s="41"/>
      <c r="L165" s="41"/>
      <c r="M165" s="43"/>
      <c r="N165" s="41"/>
      <c r="O165" s="41"/>
      <c r="P165" s="41"/>
      <c r="Q165" s="41"/>
      <c r="R165" s="41"/>
      <c r="S165" s="41"/>
      <c r="T165" s="43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3"/>
      <c r="AI165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5" s="42" t="str">
        <f ca="1">IF(Апрель[[#This Row],[УСЛУГ]]&lt;&gt;"",Апрель[[#This Row],[УСЛУГ]]*Апрель[[#This Row],[Периодичность]],"")</f>
        <v/>
      </c>
    </row>
    <row r="166" spans="1:36" ht="47.25" x14ac:dyDescent="0.25">
      <c r="A166" s="35" t="s">
        <v>73</v>
      </c>
      <c r="B166" s="36"/>
      <c r="C166" s="37">
        <v>0</v>
      </c>
      <c r="D166" s="38">
        <v>1</v>
      </c>
      <c r="E166" s="41"/>
      <c r="F166" s="43"/>
      <c r="G166" s="41"/>
      <c r="H166" s="41"/>
      <c r="I166" s="41"/>
      <c r="J166" s="41"/>
      <c r="K166" s="41"/>
      <c r="L166" s="41"/>
      <c r="M166" s="43"/>
      <c r="N166" s="41"/>
      <c r="O166" s="41"/>
      <c r="P166" s="41"/>
      <c r="Q166" s="41"/>
      <c r="R166" s="41"/>
      <c r="S166" s="41"/>
      <c r="T166" s="43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3"/>
      <c r="AI166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66" s="42">
        <f ca="1">IF(Апрель[[#This Row],[УСЛУГ]]&lt;&gt;"",Апрель[[#This Row],[УСЛУГ]]*Апрель[[#This Row],[Периодичность]],"")</f>
        <v>0</v>
      </c>
    </row>
    <row r="167" spans="1:36" x14ac:dyDescent="0.25">
      <c r="A167" s="35"/>
      <c r="B167" s="36"/>
      <c r="C167" s="37">
        <v>0</v>
      </c>
      <c r="D167" s="38">
        <v>2</v>
      </c>
      <c r="E167" s="41"/>
      <c r="F167" s="43"/>
      <c r="G167" s="41"/>
      <c r="H167" s="41"/>
      <c r="I167" s="41"/>
      <c r="J167" s="41"/>
      <c r="K167" s="41"/>
      <c r="L167" s="41"/>
      <c r="M167" s="43"/>
      <c r="N167" s="41"/>
      <c r="O167" s="41"/>
      <c r="P167" s="41"/>
      <c r="Q167" s="41"/>
      <c r="R167" s="41"/>
      <c r="S167" s="41"/>
      <c r="T167" s="43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3"/>
      <c r="AI167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7" s="42" t="str">
        <f ca="1">IF(Апрель[[#This Row],[УСЛУГ]]&lt;&gt;"",Апрель[[#This Row],[УСЛУГ]]*Апрель[[#This Row],[Периодичность]],"")</f>
        <v/>
      </c>
    </row>
    <row r="168" spans="1:36" x14ac:dyDescent="0.25">
      <c r="A168" s="35"/>
      <c r="B168" s="36"/>
      <c r="C168" s="37">
        <v>0</v>
      </c>
      <c r="D168" s="38">
        <v>3</v>
      </c>
      <c r="E168" s="41"/>
      <c r="F168" s="43"/>
      <c r="G168" s="41"/>
      <c r="H168" s="41"/>
      <c r="I168" s="41"/>
      <c r="J168" s="41"/>
      <c r="K168" s="41"/>
      <c r="L168" s="41"/>
      <c r="M168" s="43"/>
      <c r="N168" s="41"/>
      <c r="O168" s="41"/>
      <c r="P168" s="41"/>
      <c r="Q168" s="41"/>
      <c r="R168" s="41"/>
      <c r="S168" s="41"/>
      <c r="T168" s="43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3"/>
      <c r="AI168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68" s="42" t="str">
        <f ca="1">IF(Апрель[[#This Row],[УСЛУГ]]&lt;&gt;"",Апрель[[#This Row],[УСЛУГ]]*Апрель[[#This Row],[Периодичность]],"")</f>
        <v/>
      </c>
    </row>
    <row r="169" spans="1:36" ht="47.25" x14ac:dyDescent="0.25">
      <c r="A169" s="35" t="s">
        <v>155</v>
      </c>
      <c r="B169" s="36"/>
      <c r="C169" s="37">
        <v>0</v>
      </c>
      <c r="D169" s="38">
        <v>1</v>
      </c>
      <c r="E169" s="41"/>
      <c r="F169" s="43"/>
      <c r="G169" s="41"/>
      <c r="H169" s="41"/>
      <c r="I169" s="41"/>
      <c r="J169" s="41"/>
      <c r="K169" s="41"/>
      <c r="L169" s="41"/>
      <c r="M169" s="43"/>
      <c r="N169" s="41"/>
      <c r="O169" s="41"/>
      <c r="P169" s="41"/>
      <c r="Q169" s="41"/>
      <c r="R169" s="41"/>
      <c r="S169" s="41"/>
      <c r="T169" s="43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3"/>
      <c r="AI169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69" s="42">
        <f ca="1">IF(Апрель[[#This Row],[УСЛУГ]]&lt;&gt;"",Апрель[[#This Row],[УСЛУГ]]*Апрель[[#This Row],[Периодичность]],"")</f>
        <v>0</v>
      </c>
    </row>
    <row r="170" spans="1:36" x14ac:dyDescent="0.25">
      <c r="A170" s="35"/>
      <c r="B170" s="36"/>
      <c r="C170" s="37">
        <v>0</v>
      </c>
      <c r="D170" s="38">
        <v>2</v>
      </c>
      <c r="E170" s="41"/>
      <c r="F170" s="43"/>
      <c r="G170" s="41"/>
      <c r="H170" s="41"/>
      <c r="I170" s="41"/>
      <c r="J170" s="41"/>
      <c r="K170" s="41"/>
      <c r="L170" s="41"/>
      <c r="M170" s="43"/>
      <c r="N170" s="41"/>
      <c r="O170" s="41"/>
      <c r="P170" s="41"/>
      <c r="Q170" s="41"/>
      <c r="R170" s="41"/>
      <c r="S170" s="41"/>
      <c r="T170" s="43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3"/>
      <c r="AI170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70" s="42" t="str">
        <f ca="1">IF(Апрель[[#This Row],[УСЛУГ]]&lt;&gt;"",Апрель[[#This Row],[УСЛУГ]]*Апрель[[#This Row],[Периодичность]],"")</f>
        <v/>
      </c>
    </row>
    <row r="171" spans="1:36" x14ac:dyDescent="0.25">
      <c r="A171" s="35"/>
      <c r="B171" s="36"/>
      <c r="C171" s="37">
        <v>0</v>
      </c>
      <c r="D171" s="38">
        <v>3</v>
      </c>
      <c r="E171" s="41"/>
      <c r="F171" s="43"/>
      <c r="G171" s="41"/>
      <c r="H171" s="41"/>
      <c r="I171" s="41"/>
      <c r="J171" s="41"/>
      <c r="K171" s="41"/>
      <c r="L171" s="41"/>
      <c r="M171" s="43"/>
      <c r="N171" s="41"/>
      <c r="O171" s="41"/>
      <c r="P171" s="41"/>
      <c r="Q171" s="41"/>
      <c r="R171" s="41"/>
      <c r="S171" s="41"/>
      <c r="T171" s="43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3"/>
      <c r="AI171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71" s="42" t="str">
        <f ca="1">IF(Апрель[[#This Row],[УСЛУГ]]&lt;&gt;"",Апрель[[#This Row],[УСЛУГ]]*Апрель[[#This Row],[Периодичность]],"")</f>
        <v/>
      </c>
    </row>
    <row r="172" spans="1:36" ht="47.25" x14ac:dyDescent="0.25">
      <c r="A172" s="35" t="s">
        <v>72</v>
      </c>
      <c r="B172" s="36"/>
      <c r="C172" s="37">
        <v>0</v>
      </c>
      <c r="D172" s="38">
        <v>1</v>
      </c>
      <c r="E172" s="41"/>
      <c r="F172" s="43"/>
      <c r="G172" s="41"/>
      <c r="H172" s="41"/>
      <c r="I172" s="41"/>
      <c r="J172" s="41"/>
      <c r="K172" s="41"/>
      <c r="L172" s="41"/>
      <c r="M172" s="43"/>
      <c r="N172" s="41"/>
      <c r="O172" s="41"/>
      <c r="P172" s="41"/>
      <c r="Q172" s="41"/>
      <c r="R172" s="41"/>
      <c r="S172" s="41"/>
      <c r="T172" s="43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3"/>
      <c r="AI172" s="42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>0</v>
      </c>
      <c r="AJ172" s="42">
        <f ca="1">IF(Апрель[[#This Row],[УСЛУГ]]&lt;&gt;"",Апрель[[#This Row],[УСЛУГ]]*Апрель[[#This Row],[Периодичность]],"")</f>
        <v>0</v>
      </c>
    </row>
    <row r="173" spans="1:36" x14ac:dyDescent="0.25">
      <c r="A173" s="35"/>
      <c r="B173" s="36"/>
      <c r="C173" s="37">
        <v>0</v>
      </c>
      <c r="D173" s="38">
        <v>2</v>
      </c>
      <c r="E173" s="41"/>
      <c r="F173" s="43"/>
      <c r="G173" s="41"/>
      <c r="H173" s="41"/>
      <c r="I173" s="41"/>
      <c r="J173" s="41"/>
      <c r="K173" s="41"/>
      <c r="L173" s="41"/>
      <c r="M173" s="43"/>
      <c r="N173" s="41"/>
      <c r="O173" s="41"/>
      <c r="P173" s="41"/>
      <c r="Q173" s="41"/>
      <c r="R173" s="41"/>
      <c r="S173" s="41"/>
      <c r="T173" s="43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3"/>
      <c r="AI173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73" s="42" t="str">
        <f ca="1">IF(Апрель[[#This Row],[УСЛУГ]]&lt;&gt;"",Апрель[[#This Row],[УСЛУГ]]*Апрель[[#This Row],[Периодичность]],"")</f>
        <v/>
      </c>
    </row>
    <row r="174" spans="1:36" x14ac:dyDescent="0.25">
      <c r="A174" s="35"/>
      <c r="B174" s="36"/>
      <c r="C174" s="37">
        <v>0</v>
      </c>
      <c r="D174" s="38">
        <v>3</v>
      </c>
      <c r="E174" s="41"/>
      <c r="F174" s="43"/>
      <c r="G174" s="41"/>
      <c r="H174" s="41"/>
      <c r="I174" s="41"/>
      <c r="J174" s="41"/>
      <c r="K174" s="41"/>
      <c r="L174" s="41"/>
      <c r="M174" s="43"/>
      <c r="N174" s="41"/>
      <c r="O174" s="41"/>
      <c r="P174" s="41"/>
      <c r="Q174" s="41"/>
      <c r="R174" s="41"/>
      <c r="S174" s="41"/>
      <c r="T174" s="43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3"/>
      <c r="AI174" s="42" t="str">
        <f ca="1">IF(OFFSET(Апрель[[#This Row],[№]],1,)=2,IF(OFFSET(Апрель[[#This Row],[№]],2,)=3,SUM(Апрель[[#This Row],[1]:[30]])+SUM(OFFSET(Апрель[[#This Row],[1]:[30]],1,))+SUM(OFFSET(Апрель[[#This Row],[1]:[30]],2,)),SUM(Апрель[[#This Row],[1]:[30]])+SUM(OFFSET(Апрель[[#This Row],[1]:[30]],1,))),IF(OFFSET(Апрель[[#This Row],[№]],2,)=3,SUM(Апрель[[#This Row],[1]:[30]])+SUM(OFFSET(Апрель[[#This Row],[1]:[30]],2,)),""))</f>
        <v/>
      </c>
      <c r="AJ174" s="42" t="str">
        <f ca="1">IF(Апрель[[#This Row],[УСЛУГ]]&lt;&gt;"",Апрель[[#This Row],[УСЛУГ]]*Апрель[[#This Row],[Периодичность]],"")</f>
        <v/>
      </c>
    </row>
  </sheetData>
  <mergeCells count="20">
    <mergeCell ref="AI7:AI11"/>
    <mergeCell ref="AJ7:AJ11"/>
    <mergeCell ref="E10:AH11"/>
    <mergeCell ref="A19:A23"/>
    <mergeCell ref="B19:C23"/>
    <mergeCell ref="D19:D23"/>
    <mergeCell ref="E19:AH20"/>
    <mergeCell ref="AI19:AI23"/>
    <mergeCell ref="AJ19:AJ23"/>
    <mergeCell ref="E22:AH23"/>
    <mergeCell ref="A7:A11"/>
    <mergeCell ref="B7:B11"/>
    <mergeCell ref="C7:C11"/>
    <mergeCell ref="D7:D11"/>
    <mergeCell ref="E7:AH8"/>
    <mergeCell ref="A2:AJ2"/>
    <mergeCell ref="A3:AJ3"/>
    <mergeCell ref="J4:L4"/>
    <mergeCell ref="M4:U4"/>
    <mergeCell ref="M5:Q5"/>
  </mergeCells>
  <conditionalFormatting sqref="E9:AH9">
    <cfRule type="expression" dxfId="885" priority="2">
      <formula>WEEKDAY(E9:AH9,2)&gt;5</formula>
    </cfRule>
  </conditionalFormatting>
  <conditionalFormatting sqref="E21:AH21">
    <cfRule type="expression" dxfId="884" priority="1">
      <formula>WEEKDAY(E21:AH21,2)&gt;5</formula>
    </cfRule>
  </conditionalFormatting>
  <dataValidations count="2">
    <dataValidation type="list" allowBlank="1" showInputMessage="1" showErrorMessage="1" sqref="A25:A174">
      <formula1>INDIRECT("Услуги[Кратко]")</formula1>
    </dataValidation>
    <dataValidation type="list" allowBlank="1" showInputMessage="1" showErrorMessage="1" sqref="D25:D174">
      <formula1>INDIRECT("Посещения")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0" orientation="landscape" horizontalDpi="300" verticalDpi="300" r:id="rId1"/>
  <ignoredErrors>
    <ignoredError sqref="E13:E17 AI17:AJ17 B13:B17" calculatedColumn="1"/>
  </ignoredErrors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74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8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8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8" ht="18.75" x14ac:dyDescent="0.25">
      <c r="L5" s="12" t="s">
        <v>69</v>
      </c>
      <c r="M5" s="68" t="s">
        <v>133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54"/>
      <c r="B7" s="62" t="s">
        <v>115</v>
      </c>
      <c r="C7" s="62" t="s">
        <v>114</v>
      </c>
      <c r="D7" s="63" t="s">
        <v>61</v>
      </c>
      <c r="E7" s="48" t="s">
        <v>55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/>
      <c r="AJ7" s="44" t="s">
        <v>64</v>
      </c>
      <c r="AK7" s="45" t="s">
        <v>64</v>
      </c>
    </row>
    <row r="8" spans="1:38" x14ac:dyDescent="0.25">
      <c r="A8" s="54"/>
      <c r="B8" s="57"/>
      <c r="C8" s="57"/>
      <c r="D8" s="64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60"/>
      <c r="AJ8" s="44"/>
      <c r="AK8" s="46"/>
    </row>
    <row r="9" spans="1:38" x14ac:dyDescent="0.25">
      <c r="A9" s="54"/>
      <c r="B9" s="57"/>
      <c r="C9" s="57"/>
      <c r="D9" s="64"/>
      <c r="E9" s="23">
        <f>Настройки!E11</f>
        <v>45047</v>
      </c>
      <c r="F9" s="23">
        <f>Настройки!F11</f>
        <v>45048</v>
      </c>
      <c r="G9" s="23">
        <f>Настройки!G11</f>
        <v>45049</v>
      </c>
      <c r="H9" s="23">
        <f>Настройки!H11</f>
        <v>45050</v>
      </c>
      <c r="I9" s="23">
        <f>Настройки!I11</f>
        <v>45051</v>
      </c>
      <c r="J9" s="23">
        <f>Настройки!J11</f>
        <v>45052</v>
      </c>
      <c r="K9" s="23">
        <f>Настройки!K11</f>
        <v>45053</v>
      </c>
      <c r="L9" s="23">
        <f>Настройки!L11</f>
        <v>45054</v>
      </c>
      <c r="M9" s="23">
        <f>Настройки!M11</f>
        <v>45055</v>
      </c>
      <c r="N9" s="23">
        <f>Настройки!N11</f>
        <v>45056</v>
      </c>
      <c r="O9" s="23">
        <f>Настройки!O11</f>
        <v>45057</v>
      </c>
      <c r="P9" s="23">
        <f>Настройки!P11</f>
        <v>45058</v>
      </c>
      <c r="Q9" s="23">
        <f>Настройки!Q11</f>
        <v>45059</v>
      </c>
      <c r="R9" s="23">
        <f>Настройки!R11</f>
        <v>45060</v>
      </c>
      <c r="S9" s="23">
        <f>Настройки!S11</f>
        <v>45061</v>
      </c>
      <c r="T9" s="23">
        <f>Настройки!T11</f>
        <v>45062</v>
      </c>
      <c r="U9" s="23">
        <f>Настройки!U11</f>
        <v>45063</v>
      </c>
      <c r="V9" s="23">
        <f>Настройки!V11</f>
        <v>45064</v>
      </c>
      <c r="W9" s="23">
        <f>Настройки!W11</f>
        <v>45065</v>
      </c>
      <c r="X9" s="23">
        <f>Настройки!X11</f>
        <v>45066</v>
      </c>
      <c r="Y9" s="23">
        <f>Настройки!Y11</f>
        <v>45067</v>
      </c>
      <c r="Z9" s="23">
        <f>Настройки!Z11</f>
        <v>45068</v>
      </c>
      <c r="AA9" s="23">
        <f>Настройки!AA11</f>
        <v>45069</v>
      </c>
      <c r="AB9" s="23">
        <f>Настройки!AB11</f>
        <v>45070</v>
      </c>
      <c r="AC9" s="23">
        <f>Настройки!AC11</f>
        <v>45071</v>
      </c>
      <c r="AD9" s="23">
        <f>Настройки!AD11</f>
        <v>45072</v>
      </c>
      <c r="AE9" s="23">
        <f>Настройки!AE11</f>
        <v>45073</v>
      </c>
      <c r="AF9" s="23">
        <f>Настройки!AF11</f>
        <v>45074</v>
      </c>
      <c r="AG9" s="23">
        <f>Настройки!AG11</f>
        <v>45075</v>
      </c>
      <c r="AH9" s="23">
        <f>Настройки!AH11</f>
        <v>45076</v>
      </c>
      <c r="AI9" s="23">
        <f>Настройки!AI11</f>
        <v>45077</v>
      </c>
      <c r="AJ9" s="44"/>
      <c r="AK9" s="46"/>
    </row>
    <row r="10" spans="1:38" x14ac:dyDescent="0.25">
      <c r="A10" s="54"/>
      <c r="B10" s="57"/>
      <c r="C10" s="57"/>
      <c r="D10" s="64"/>
      <c r="E10" s="48" t="s">
        <v>54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44"/>
      <c r="AK10" s="46"/>
    </row>
    <row r="11" spans="1:38" x14ac:dyDescent="0.25">
      <c r="A11" s="62"/>
      <c r="B11" s="57"/>
      <c r="C11" s="57"/>
      <c r="D11" s="64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3"/>
      <c r="AJ11" s="44"/>
      <c r="AK11" s="47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SUMPRODUCT((Настройки!$E$25:$AI$25=1)*E16:AI16)</f>
        <v>0</v>
      </c>
      <c r="D13" s="5">
        <v>1</v>
      </c>
      <c r="E13" s="30">
        <f>SUMPRODUCT((Май[№]=1)*Май[1],Май[Периодичность])</f>
        <v>0</v>
      </c>
      <c r="F13" s="30">
        <f>SUMPRODUCT((Май[№]=1)*Май[2],Май[Периодичность])</f>
        <v>0</v>
      </c>
      <c r="G13" s="30">
        <f>SUMPRODUCT((Май[№]=1)*Май[3],Май[Периодичность])</f>
        <v>0</v>
      </c>
      <c r="H13" s="30">
        <f>SUMPRODUCT((Май[№]=1)*Май[4],Май[Периодичность])</f>
        <v>0</v>
      </c>
      <c r="I13" s="30">
        <f>SUMPRODUCT((Май[№]=1)*Май[5],Май[Периодичность])</f>
        <v>0</v>
      </c>
      <c r="J13" s="30">
        <f>SUMPRODUCT((Май[№]=1)*Май[6],Май[Периодичность])</f>
        <v>0</v>
      </c>
      <c r="K13" s="30">
        <f>SUMPRODUCT((Май[№]=1)*Май[7],Май[Периодичность])</f>
        <v>0</v>
      </c>
      <c r="L13" s="30">
        <f>SUMPRODUCT((Май[№]=1)*Май[8],Май[Периодичность])</f>
        <v>0</v>
      </c>
      <c r="M13" s="30">
        <f>SUMPRODUCT((Май[№]=1)*Май[9],Май[Периодичность])</f>
        <v>0</v>
      </c>
      <c r="N13" s="30">
        <f>SUMPRODUCT((Май[№]=1)*Май[10],Май[Периодичность])</f>
        <v>0</v>
      </c>
      <c r="O13" s="30">
        <f>SUMPRODUCT((Май[№]=1)*Май[11],Май[Периодичность])</f>
        <v>0</v>
      </c>
      <c r="P13" s="30">
        <f>SUMPRODUCT((Май[№]=1)*Май[12],Май[Периодичность])</f>
        <v>0</v>
      </c>
      <c r="Q13" s="30">
        <f>SUMPRODUCT((Май[№]=1)*Май[13],Май[Периодичность])</f>
        <v>0</v>
      </c>
      <c r="R13" s="30">
        <f>SUMPRODUCT((Май[№]=1)*Май[14],Май[Периодичность])</f>
        <v>0</v>
      </c>
      <c r="S13" s="30">
        <f>SUMPRODUCT((Май[№]=1)*Май[15],Май[Периодичность])</f>
        <v>0</v>
      </c>
      <c r="T13" s="30">
        <f>SUMPRODUCT((Май[№]=1)*Май[16],Май[Периодичность])</f>
        <v>0</v>
      </c>
      <c r="U13" s="30">
        <f>SUMPRODUCT((Май[№]=1)*Май[17],Май[Периодичность])</f>
        <v>0</v>
      </c>
      <c r="V13" s="30">
        <f>SUMPRODUCT((Май[№]=1)*Май[18],Май[Периодичность])</f>
        <v>0</v>
      </c>
      <c r="W13" s="30">
        <f>SUMPRODUCT((Май[№]=1)*Май[19],Май[Периодичность])</f>
        <v>0</v>
      </c>
      <c r="X13" s="30">
        <f>SUMPRODUCT((Май[№]=1)*Май[20],Май[Периодичность])</f>
        <v>0</v>
      </c>
      <c r="Y13" s="30">
        <f>SUMPRODUCT((Май[№]=1)*Май[21],Май[Периодичность])</f>
        <v>0</v>
      </c>
      <c r="Z13" s="30">
        <f>SUMPRODUCT((Май[№]=1)*Май[22],Май[Периодичность])</f>
        <v>0</v>
      </c>
      <c r="AA13" s="30">
        <f>SUMPRODUCT((Май[№]=1)*Май[23],Май[Периодичность])</f>
        <v>0</v>
      </c>
      <c r="AB13" s="30">
        <f>SUMPRODUCT((Май[№]=1)*Май[24],Май[Периодичность])</f>
        <v>0</v>
      </c>
      <c r="AC13" s="30">
        <f>SUMPRODUCT((Май[№]=1)*Май[25],Май[Периодичность])</f>
        <v>0</v>
      </c>
      <c r="AD13" s="30">
        <f>SUMPRODUCT((Май[№]=1)*Май[26],Май[Периодичность])</f>
        <v>0</v>
      </c>
      <c r="AE13" s="30">
        <f>SUMPRODUCT((Май[№]=1)*Май[27],Май[Периодичность])</f>
        <v>0</v>
      </c>
      <c r="AF13" s="30">
        <f>SUMPRODUCT((Май[№]=1)*Май[28],Май[Периодичность])</f>
        <v>0</v>
      </c>
      <c r="AG13" s="30">
        <f>SUMPRODUCT((Май[№]=1)*Май[29],Май[Периодичность])</f>
        <v>0</v>
      </c>
      <c r="AH13" s="30">
        <f>SUMPRODUCT((Май[№]=1)*Май[30],Май[Периодичность])</f>
        <v>0</v>
      </c>
      <c r="AI13" s="30">
        <f>SUMPRODUCT((Май[№]=1)*Май[31],Май[Периодичность])</f>
        <v>0</v>
      </c>
      <c r="AL13" s="4"/>
    </row>
    <row r="14" spans="1:38" x14ac:dyDescent="0.25">
      <c r="B14" s="3">
        <f>SUMPRODUCT((Настройки!$E$25:$AI$25=2)*E16:AI16)</f>
        <v>0</v>
      </c>
      <c r="D14" s="5">
        <v>2</v>
      </c>
      <c r="E14" s="30">
        <f>SUMPRODUCT((Май[№]=2)*Май[1],Май[Периодичность])</f>
        <v>0</v>
      </c>
      <c r="F14" s="30">
        <f>SUMPRODUCT((Май[№]=2)*Май[2],Май[Периодичность])</f>
        <v>0</v>
      </c>
      <c r="G14" s="30">
        <f>SUMPRODUCT((Май[№]=2)*Май[3],Май[Периодичность])</f>
        <v>0</v>
      </c>
      <c r="H14" s="30">
        <f>SUMPRODUCT((Май[№]=2)*Май[4],Май[Периодичность])</f>
        <v>0</v>
      </c>
      <c r="I14" s="30">
        <f>SUMPRODUCT((Май[№]=2)*Май[5],Май[Периодичность])</f>
        <v>0</v>
      </c>
      <c r="J14" s="30">
        <f>SUMPRODUCT((Май[№]=2)*Май[6],Май[Периодичность])</f>
        <v>0</v>
      </c>
      <c r="K14" s="30">
        <f>SUMPRODUCT((Май[№]=2)*Май[7],Май[Периодичность])</f>
        <v>0</v>
      </c>
      <c r="L14" s="30">
        <f>SUMPRODUCT((Май[№]=2)*Май[8],Май[Периодичность])</f>
        <v>0</v>
      </c>
      <c r="M14" s="30">
        <f>SUMPRODUCT((Май[№]=2)*Май[9],Май[Периодичность])</f>
        <v>0</v>
      </c>
      <c r="N14" s="30">
        <f>SUMPRODUCT((Май[№]=2)*Май[10],Май[Периодичность])</f>
        <v>0</v>
      </c>
      <c r="O14" s="30">
        <f>SUMPRODUCT((Май[№]=2)*Май[11],Май[Периодичность])</f>
        <v>0</v>
      </c>
      <c r="P14" s="30">
        <f>SUMPRODUCT((Май[№]=2)*Май[12],Май[Периодичность])</f>
        <v>0</v>
      </c>
      <c r="Q14" s="30">
        <f>SUMPRODUCT((Май[№]=2)*Май[13],Май[Периодичность])</f>
        <v>0</v>
      </c>
      <c r="R14" s="30">
        <f>SUMPRODUCT((Май[№]=2)*Май[14],Май[Периодичность])</f>
        <v>0</v>
      </c>
      <c r="S14" s="30">
        <f>SUMPRODUCT((Май[№]=2)*Май[15],Май[Периодичность])</f>
        <v>0</v>
      </c>
      <c r="T14" s="30">
        <f>SUMPRODUCT((Май[№]=2)*Май[16],Май[Периодичность])</f>
        <v>0</v>
      </c>
      <c r="U14" s="30">
        <f>SUMPRODUCT((Май[№]=2)*Май[17],Май[Периодичность])</f>
        <v>0</v>
      </c>
      <c r="V14" s="30">
        <f>SUMPRODUCT((Май[№]=2)*Май[18],Май[Периодичность])</f>
        <v>0</v>
      </c>
      <c r="W14" s="30">
        <f>SUMPRODUCT((Май[№]=2)*Май[19],Май[Периодичность])</f>
        <v>0</v>
      </c>
      <c r="X14" s="30">
        <f>SUMPRODUCT((Май[№]=2)*Май[20],Май[Периодичность])</f>
        <v>0</v>
      </c>
      <c r="Y14" s="30">
        <f>SUMPRODUCT((Май[№]=2)*Май[21],Май[Периодичность])</f>
        <v>0</v>
      </c>
      <c r="Z14" s="30">
        <f>SUMPRODUCT((Май[№]=2)*Май[22],Май[Периодичность])</f>
        <v>0</v>
      </c>
      <c r="AA14" s="30">
        <f>SUMPRODUCT((Май[№]=2)*Май[23],Май[Периодичность])</f>
        <v>0</v>
      </c>
      <c r="AB14" s="30">
        <f>SUMPRODUCT((Май[№]=2)*Май[24],Май[Периодичность])</f>
        <v>0</v>
      </c>
      <c r="AC14" s="30">
        <f>SUMPRODUCT((Май[№]=2)*Май[25],Май[Периодичность])</f>
        <v>0</v>
      </c>
      <c r="AD14" s="30">
        <f>SUMPRODUCT((Май[№]=2)*Май[26],Май[Периодичность])</f>
        <v>0</v>
      </c>
      <c r="AE14" s="30">
        <f>SUMPRODUCT((Май[№]=2)*Май[27],Май[Периодичность])</f>
        <v>0</v>
      </c>
      <c r="AF14" s="30">
        <f>SUMPRODUCT((Май[№]=2)*Май[28],Май[Периодичность])</f>
        <v>0</v>
      </c>
      <c r="AG14" s="30">
        <f>SUMPRODUCT((Май[№]=2)*Май[29],Май[Периодичность])</f>
        <v>0</v>
      </c>
      <c r="AH14" s="30">
        <f>SUMPRODUCT((Май[№]=2)*Май[30],Май[Периодичность])</f>
        <v>0</v>
      </c>
      <c r="AI14" s="30">
        <f>SUMPRODUCT((Май[№]=2)*Май[31],Май[Периодичность])</f>
        <v>0</v>
      </c>
      <c r="AL14" s="4"/>
    </row>
    <row r="15" spans="1:38" x14ac:dyDescent="0.25">
      <c r="B15" s="3">
        <f>SUMPRODUCT((Настройки!$E$25:$AI$25=3)*E16:AI16)</f>
        <v>0</v>
      </c>
      <c r="D15" s="5">
        <v>3</v>
      </c>
      <c r="E15" s="30">
        <f>SUMPRODUCT((Май[№]=3)*Май[1],Май[Периодичность])</f>
        <v>0</v>
      </c>
      <c r="F15" s="30">
        <f>SUMPRODUCT((Май[№]=3)*Май[2],Май[Периодичность])</f>
        <v>0</v>
      </c>
      <c r="G15" s="30">
        <f>SUMPRODUCT((Май[№]=3)*Май[3],Май[Периодичность])</f>
        <v>0</v>
      </c>
      <c r="H15" s="30">
        <f>SUMPRODUCT((Май[№]=3)*Май[4],Май[Периодичность])</f>
        <v>0</v>
      </c>
      <c r="I15" s="30">
        <f>SUMPRODUCT((Май[№]=3)*Май[5],Май[Периодичность])</f>
        <v>0</v>
      </c>
      <c r="J15" s="30">
        <f>SUMPRODUCT((Май[№]=3)*Май[6],Май[Периодичность])</f>
        <v>0</v>
      </c>
      <c r="K15" s="30">
        <f>SUMPRODUCT((Май[№]=3)*Май[7],Май[Периодичность])</f>
        <v>0</v>
      </c>
      <c r="L15" s="30">
        <f>SUMPRODUCT((Май[№]=3)*Май[8],Май[Периодичность])</f>
        <v>0</v>
      </c>
      <c r="M15" s="30">
        <f>SUMPRODUCT((Май[№]=3)*Май[9],Май[Периодичность])</f>
        <v>0</v>
      </c>
      <c r="N15" s="30">
        <f>SUMPRODUCT((Май[№]=3)*Май[10],Май[Периодичность])</f>
        <v>0</v>
      </c>
      <c r="O15" s="30">
        <f>SUMPRODUCT((Май[№]=3)*Май[11],Май[Периодичность])</f>
        <v>0</v>
      </c>
      <c r="P15" s="30">
        <f>SUMPRODUCT((Май[№]=3)*Май[12],Май[Периодичность])</f>
        <v>0</v>
      </c>
      <c r="Q15" s="30">
        <f>SUMPRODUCT((Май[№]=3)*Май[13],Май[Периодичность])</f>
        <v>0</v>
      </c>
      <c r="R15" s="30">
        <f>SUMPRODUCT((Май[№]=3)*Май[14],Май[Периодичность])</f>
        <v>0</v>
      </c>
      <c r="S15" s="30">
        <f>SUMPRODUCT((Май[№]=3)*Май[15],Май[Периодичность])</f>
        <v>0</v>
      </c>
      <c r="T15" s="30">
        <f>SUMPRODUCT((Май[№]=3)*Май[16],Май[Периодичность])</f>
        <v>0</v>
      </c>
      <c r="U15" s="30">
        <f>SUMPRODUCT((Май[№]=3)*Май[17],Май[Периодичность])</f>
        <v>0</v>
      </c>
      <c r="V15" s="30">
        <f>SUMPRODUCT((Май[№]=3)*Май[18],Май[Периодичность])</f>
        <v>0</v>
      </c>
      <c r="W15" s="30">
        <f>SUMPRODUCT((Май[№]=3)*Май[19],Май[Периодичность])</f>
        <v>0</v>
      </c>
      <c r="X15" s="30">
        <f>SUMPRODUCT((Май[№]=3)*Май[20],Май[Периодичность])</f>
        <v>0</v>
      </c>
      <c r="Y15" s="30">
        <f>SUMPRODUCT((Май[№]=3)*Май[21],Май[Периодичность])</f>
        <v>0</v>
      </c>
      <c r="Z15" s="30">
        <f>SUMPRODUCT((Май[№]=3)*Май[22],Май[Периодичность])</f>
        <v>0</v>
      </c>
      <c r="AA15" s="30">
        <f>SUMPRODUCT((Май[№]=3)*Май[23],Май[Периодичность])</f>
        <v>0</v>
      </c>
      <c r="AB15" s="30">
        <f>SUMPRODUCT((Май[№]=3)*Май[24],Май[Периодичность])</f>
        <v>0</v>
      </c>
      <c r="AC15" s="30">
        <f>SUMPRODUCT((Май[№]=3)*Май[25],Май[Периодичность])</f>
        <v>0</v>
      </c>
      <c r="AD15" s="30">
        <f>SUMPRODUCT((Май[№]=3)*Май[26],Май[Периодичность])</f>
        <v>0</v>
      </c>
      <c r="AE15" s="30">
        <f>SUMPRODUCT((Май[№]=3)*Май[27],Май[Периодичность])</f>
        <v>0</v>
      </c>
      <c r="AF15" s="30">
        <f>SUMPRODUCT((Май[№]=3)*Май[28],Май[Периодичность])</f>
        <v>0</v>
      </c>
      <c r="AG15" s="30">
        <f>SUMPRODUCT((Май[№]=3)*Май[29],Май[Периодичность])</f>
        <v>0</v>
      </c>
      <c r="AH15" s="30">
        <f>SUMPRODUCT((Май[№]=3)*Май[30],Май[Периодичность])</f>
        <v>0</v>
      </c>
      <c r="AI15" s="30">
        <f>SUMPRODUCT((Май[№]=3)*Май[31],Май[Периодичность])</f>
        <v>0</v>
      </c>
      <c r="AK15" s="11"/>
    </row>
    <row r="16" spans="1:38" ht="22.5" customHeight="1" x14ac:dyDescent="0.25">
      <c r="B16" s="3">
        <f>SUMPRODUCT((Настройки!$E$25:$AI$25=4)*E16:AI16)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SUMPRODUCT((Настройки!$E$25:$AI$25=5)*E16:AI16)</f>
        <v>0</v>
      </c>
      <c r="C17" s="5">
        <f>МайИтоги[[#This Row],[№]]*60</f>
        <v>0</v>
      </c>
      <c r="D17" s="7">
        <f>SUM(МайИтоги[[#This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SUM(Май[УСЛУГ])</f>
        <v>0</v>
      </c>
      <c r="AK17" s="11">
        <f ca="1">SUM(Май[МИНУТ])</f>
        <v>0</v>
      </c>
    </row>
    <row r="18" spans="1:37" ht="20.25" customHeight="1" x14ac:dyDescent="0.25"/>
    <row r="19" spans="1:37" ht="22.5" customHeight="1" x14ac:dyDescent="0.25">
      <c r="A19" s="54" t="s">
        <v>52</v>
      </c>
      <c r="B19" s="54" t="s">
        <v>53</v>
      </c>
      <c r="C19" s="55"/>
      <c r="D19" s="56" t="s">
        <v>61</v>
      </c>
      <c r="E19" s="48" t="s">
        <v>55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50"/>
      <c r="AJ19" s="44" t="s">
        <v>64</v>
      </c>
      <c r="AK19" s="45" t="s">
        <v>64</v>
      </c>
    </row>
    <row r="20" spans="1:37" ht="18" customHeight="1" x14ac:dyDescent="0.25">
      <c r="A20" s="54"/>
      <c r="B20" s="54"/>
      <c r="C20" s="55"/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60"/>
      <c r="AJ20" s="44"/>
      <c r="AK20" s="46"/>
    </row>
    <row r="21" spans="1:37" ht="21.75" customHeight="1" x14ac:dyDescent="0.25">
      <c r="A21" s="54"/>
      <c r="B21" s="54"/>
      <c r="C21" s="55"/>
      <c r="D21" s="57"/>
      <c r="E21" s="26">
        <f>Настройки!E11</f>
        <v>45047</v>
      </c>
      <c r="F21" s="26">
        <f>Настройки!F11</f>
        <v>45048</v>
      </c>
      <c r="G21" s="26">
        <f>Настройки!G11</f>
        <v>45049</v>
      </c>
      <c r="H21" s="26">
        <f>Настройки!H11</f>
        <v>45050</v>
      </c>
      <c r="I21" s="26">
        <f>Настройки!I11</f>
        <v>45051</v>
      </c>
      <c r="J21" s="26">
        <f>Настройки!J11</f>
        <v>45052</v>
      </c>
      <c r="K21" s="26">
        <f>Настройки!K11</f>
        <v>45053</v>
      </c>
      <c r="L21" s="26">
        <f>Настройки!L11</f>
        <v>45054</v>
      </c>
      <c r="M21" s="26">
        <f>Настройки!M11</f>
        <v>45055</v>
      </c>
      <c r="N21" s="26">
        <f>Настройки!N11</f>
        <v>45056</v>
      </c>
      <c r="O21" s="26">
        <f>Настройки!O11</f>
        <v>45057</v>
      </c>
      <c r="P21" s="26">
        <f>Настройки!P11</f>
        <v>45058</v>
      </c>
      <c r="Q21" s="26">
        <f>Настройки!Q11</f>
        <v>45059</v>
      </c>
      <c r="R21" s="26">
        <f>Настройки!R11</f>
        <v>45060</v>
      </c>
      <c r="S21" s="26">
        <f>Настройки!S11</f>
        <v>45061</v>
      </c>
      <c r="T21" s="26">
        <f>Настройки!T11</f>
        <v>45062</v>
      </c>
      <c r="U21" s="26">
        <f>Настройки!U11</f>
        <v>45063</v>
      </c>
      <c r="V21" s="26">
        <f>Настройки!V11</f>
        <v>45064</v>
      </c>
      <c r="W21" s="26">
        <f>Настройки!W11</f>
        <v>45065</v>
      </c>
      <c r="X21" s="26">
        <f>Настройки!X11</f>
        <v>45066</v>
      </c>
      <c r="Y21" s="26">
        <f>Настройки!Y11</f>
        <v>45067</v>
      </c>
      <c r="Z21" s="26">
        <f>Настройки!Z11</f>
        <v>45068</v>
      </c>
      <c r="AA21" s="26">
        <f>Настройки!AA11</f>
        <v>45069</v>
      </c>
      <c r="AB21" s="26">
        <f>Настройки!AB11</f>
        <v>45070</v>
      </c>
      <c r="AC21" s="26">
        <f>Настройки!AC11</f>
        <v>45071</v>
      </c>
      <c r="AD21" s="26">
        <f>Настройки!AD11</f>
        <v>45072</v>
      </c>
      <c r="AE21" s="26">
        <f>Настройки!AE11</f>
        <v>45073</v>
      </c>
      <c r="AF21" s="26">
        <f>Настройки!AF11</f>
        <v>45074</v>
      </c>
      <c r="AG21" s="26">
        <f>Настройки!AG11</f>
        <v>45075</v>
      </c>
      <c r="AH21" s="26">
        <f>Настройки!AH11</f>
        <v>45076</v>
      </c>
      <c r="AI21" s="26">
        <f>Настройки!AI11</f>
        <v>45077</v>
      </c>
      <c r="AJ21" s="44"/>
      <c r="AK21" s="46"/>
    </row>
    <row r="22" spans="1:37" x14ac:dyDescent="0.25">
      <c r="A22" s="54"/>
      <c r="B22" s="54"/>
      <c r="C22" s="55"/>
      <c r="D22" s="57"/>
      <c r="E22" s="54" t="s">
        <v>54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61"/>
      <c r="AJ22" s="44"/>
      <c r="AK22" s="46"/>
    </row>
    <row r="23" spans="1:37" x14ac:dyDescent="0.25">
      <c r="A23" s="54"/>
      <c r="B23" s="54"/>
      <c r="C23" s="55"/>
      <c r="D23" s="57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61"/>
      <c r="AJ23" s="44"/>
      <c r="AK23" s="47"/>
    </row>
    <row r="24" spans="1:37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112</v>
      </c>
      <c r="AI24" s="3" t="s">
        <v>121</v>
      </c>
      <c r="AJ24" s="3" t="s">
        <v>62</v>
      </c>
      <c r="AK24" s="3" t="s">
        <v>63</v>
      </c>
    </row>
    <row r="25" spans="1:37" ht="31.5" x14ac:dyDescent="0.25">
      <c r="A25" s="16" t="s">
        <v>1</v>
      </c>
      <c r="B25" s="2"/>
      <c r="C25" s="8">
        <v>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25" s="5">
        <f ca="1">IF(Май[[#This Row],[УСЛУГ]]&lt;&gt;"",Май[[#This Row],[УСЛУГ]]*Май[[#This Row],[Периодичность]],"")</f>
        <v>0</v>
      </c>
    </row>
    <row r="26" spans="1:37" x14ac:dyDescent="0.25">
      <c r="A26" s="16"/>
      <c r="B26" s="2"/>
      <c r="C26" s="8">
        <v>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26" s="5" t="str">
        <f ca="1">IF(Май[[#This Row],[УСЛУГ]]&lt;&gt;"",Май[[#This Row],[УСЛУГ]]*Май[[#This Row],[Периодичность]],"")</f>
        <v/>
      </c>
    </row>
    <row r="27" spans="1:37" x14ac:dyDescent="0.25">
      <c r="A27" s="16"/>
      <c r="B27" s="2"/>
      <c r="C27" s="8">
        <v>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27" s="5" t="str">
        <f ca="1">IF(Май[[#This Row],[УСЛУГ]]&lt;&gt;"",Май[[#This Row],[УСЛУГ]]*Май[[#This Row],[Периодичность]],"")</f>
        <v/>
      </c>
    </row>
    <row r="28" spans="1:37" ht="47.25" x14ac:dyDescent="0.25">
      <c r="A28" s="35" t="s">
        <v>2</v>
      </c>
      <c r="B28" s="36"/>
      <c r="C28" s="37">
        <v>0</v>
      </c>
      <c r="D28" s="38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28" s="29">
        <f ca="1">IF(Май[[#This Row],[УСЛУГ]]&lt;&gt;"",Май[[#This Row],[УСЛУГ]]*Май[[#This Row],[Периодичность]],"")</f>
        <v>0</v>
      </c>
    </row>
    <row r="29" spans="1:37" ht="18.75" x14ac:dyDescent="0.25">
      <c r="A29" s="35"/>
      <c r="B29" s="36"/>
      <c r="C29" s="37">
        <v>0</v>
      </c>
      <c r="D29" s="38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29" s="29" t="str">
        <f ca="1">IF(Май[[#This Row],[УСЛУГ]]&lt;&gt;"",Май[[#This Row],[УСЛУГ]]*Май[[#This Row],[Периодичность]],"")</f>
        <v/>
      </c>
    </row>
    <row r="30" spans="1:37" x14ac:dyDescent="0.25">
      <c r="A30" s="35"/>
      <c r="B30" s="36"/>
      <c r="C30" s="37">
        <v>0</v>
      </c>
      <c r="D30" s="38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0" s="29" t="str">
        <f ca="1">IF(Май[[#This Row],[УСЛУГ]]&lt;&gt;"",Май[[#This Row],[УСЛУГ]]*Май[[#This Row],[Периодичность]],"")</f>
        <v/>
      </c>
    </row>
    <row r="31" spans="1:37" ht="31.5" x14ac:dyDescent="0.25">
      <c r="A31" s="35" t="s">
        <v>3</v>
      </c>
      <c r="B31" s="36"/>
      <c r="C31" s="37">
        <v>0</v>
      </c>
      <c r="D31" s="38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31" s="29">
        <f ca="1">IF(Май[[#This Row],[УСЛУГ]]&lt;&gt;"",Май[[#This Row],[УСЛУГ]]*Май[[#This Row],[Периодичность]],"")</f>
        <v>0</v>
      </c>
    </row>
    <row r="32" spans="1:37" x14ac:dyDescent="0.25">
      <c r="A32" s="35"/>
      <c r="B32" s="36"/>
      <c r="C32" s="37">
        <v>0</v>
      </c>
      <c r="D32" s="38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2" s="29" t="str">
        <f ca="1">IF(Май[[#This Row],[УСЛУГ]]&lt;&gt;"",Май[[#This Row],[УСЛУГ]]*Май[[#This Row],[Периодичность]],"")</f>
        <v/>
      </c>
    </row>
    <row r="33" spans="1:37" x14ac:dyDescent="0.25">
      <c r="A33" s="35"/>
      <c r="B33" s="36"/>
      <c r="C33" s="37">
        <v>0</v>
      </c>
      <c r="D33" s="38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3" s="29" t="str">
        <f ca="1">IF(Май[[#This Row],[УСЛУГ]]&lt;&gt;"",Май[[#This Row],[УСЛУГ]]*Май[[#This Row],[Периодичность]],"")</f>
        <v/>
      </c>
    </row>
    <row r="34" spans="1:37" ht="47.25" x14ac:dyDescent="0.25">
      <c r="A34" s="35" t="s">
        <v>4</v>
      </c>
      <c r="B34" s="36"/>
      <c r="C34" s="37">
        <v>0</v>
      </c>
      <c r="D34" s="38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34" s="29">
        <f ca="1">IF(Май[[#This Row],[УСЛУГ]]&lt;&gt;"",Май[[#This Row],[УСЛУГ]]*Май[[#This Row],[Периодичность]],"")</f>
        <v>0</v>
      </c>
    </row>
    <row r="35" spans="1:37" ht="18.75" x14ac:dyDescent="0.25">
      <c r="A35" s="35"/>
      <c r="B35" s="36"/>
      <c r="C35" s="37">
        <v>0</v>
      </c>
      <c r="D35" s="38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5" s="29" t="str">
        <f ca="1">IF(Май[[#This Row],[УСЛУГ]]&lt;&gt;"",Май[[#This Row],[УСЛУГ]]*Май[[#This Row],[Периодичность]],"")</f>
        <v/>
      </c>
    </row>
    <row r="36" spans="1:37" ht="18.75" x14ac:dyDescent="0.25">
      <c r="A36" s="35"/>
      <c r="B36" s="36"/>
      <c r="C36" s="37">
        <v>0</v>
      </c>
      <c r="D36" s="38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6" s="29" t="str">
        <f ca="1">IF(Май[[#This Row],[УСЛУГ]]&lt;&gt;"",Май[[#This Row],[УСЛУГ]]*Май[[#This Row],[Периодичность]],"")</f>
        <v/>
      </c>
    </row>
    <row r="37" spans="1:37" ht="18.75" x14ac:dyDescent="0.25">
      <c r="A37" s="35" t="s">
        <v>5</v>
      </c>
      <c r="B37" s="36"/>
      <c r="C37" s="37">
        <v>0</v>
      </c>
      <c r="D37" s="38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37" s="29">
        <f ca="1">IF(Май[[#This Row],[УСЛУГ]]&lt;&gt;"",Май[[#This Row],[УСЛУГ]]*Май[[#This Row],[Периодичность]],"")</f>
        <v>0</v>
      </c>
    </row>
    <row r="38" spans="1:37" ht="18.75" x14ac:dyDescent="0.25">
      <c r="A38" s="35"/>
      <c r="B38" s="36"/>
      <c r="C38" s="37">
        <v>0</v>
      </c>
      <c r="D38" s="38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8" s="29" t="str">
        <f ca="1">IF(Май[[#This Row],[УСЛУГ]]&lt;&gt;"",Май[[#This Row],[УСЛУГ]]*Май[[#This Row],[Периодичность]],"")</f>
        <v/>
      </c>
    </row>
    <row r="39" spans="1:37" ht="18.75" x14ac:dyDescent="0.25">
      <c r="A39" s="35"/>
      <c r="B39" s="36"/>
      <c r="C39" s="37">
        <v>0</v>
      </c>
      <c r="D39" s="38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39" s="29" t="str">
        <f ca="1">IF(Май[[#This Row],[УСЛУГ]]&lt;&gt;"",Май[[#This Row],[УСЛУГ]]*Май[[#This Row],[Периодичность]],"")</f>
        <v/>
      </c>
    </row>
    <row r="40" spans="1:37" ht="31.5" x14ac:dyDescent="0.25">
      <c r="A40" s="35" t="s">
        <v>6</v>
      </c>
      <c r="B40" s="36"/>
      <c r="C40" s="37">
        <v>0</v>
      </c>
      <c r="D40" s="38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40" s="29">
        <f ca="1">IF(Май[[#This Row],[УСЛУГ]]&lt;&gt;"",Май[[#This Row],[УСЛУГ]]*Май[[#This Row],[Периодичность]],"")</f>
        <v>0</v>
      </c>
    </row>
    <row r="41" spans="1:37" ht="18.75" x14ac:dyDescent="0.25">
      <c r="A41" s="35"/>
      <c r="B41" s="36"/>
      <c r="C41" s="37">
        <v>0</v>
      </c>
      <c r="D41" s="38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1" s="29" t="str">
        <f ca="1">IF(Май[[#This Row],[УСЛУГ]]&lt;&gt;"",Май[[#This Row],[УСЛУГ]]*Май[[#This Row],[Периодичность]],"")</f>
        <v/>
      </c>
    </row>
    <row r="42" spans="1:37" ht="18.75" x14ac:dyDescent="0.25">
      <c r="A42" s="35"/>
      <c r="B42" s="36"/>
      <c r="C42" s="37">
        <v>0</v>
      </c>
      <c r="D42" s="38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2" s="29" t="str">
        <f ca="1">IF(Май[[#This Row],[УСЛУГ]]&lt;&gt;"",Май[[#This Row],[УСЛУГ]]*Май[[#This Row],[Периодичность]],"")</f>
        <v/>
      </c>
    </row>
    <row r="43" spans="1:37" ht="47.25" x14ac:dyDescent="0.25">
      <c r="A43" s="35" t="s">
        <v>79</v>
      </c>
      <c r="B43" s="36"/>
      <c r="C43" s="37">
        <v>0</v>
      </c>
      <c r="D43" s="38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43" s="29">
        <f ca="1">IF(Май[[#This Row],[УСЛУГ]]&lt;&gt;"",Май[[#This Row],[УСЛУГ]]*Май[[#This Row],[Периодичность]],"")</f>
        <v>0</v>
      </c>
    </row>
    <row r="44" spans="1:37" ht="18.75" x14ac:dyDescent="0.25">
      <c r="A44" s="35"/>
      <c r="B44" s="36"/>
      <c r="C44" s="37">
        <v>0</v>
      </c>
      <c r="D44" s="38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4" s="29" t="str">
        <f ca="1">IF(Май[[#This Row],[УСЛУГ]]&lt;&gt;"",Май[[#This Row],[УСЛУГ]]*Май[[#This Row],[Периодичность]],"")</f>
        <v/>
      </c>
    </row>
    <row r="45" spans="1:37" x14ac:dyDescent="0.25">
      <c r="A45" s="35"/>
      <c r="B45" s="36"/>
      <c r="C45" s="37">
        <v>0</v>
      </c>
      <c r="D45" s="38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5" s="29" t="str">
        <f ca="1">IF(Май[[#This Row],[УСЛУГ]]&lt;&gt;"",Май[[#This Row],[УСЛУГ]]*Май[[#This Row],[Периодичность]],"")</f>
        <v/>
      </c>
    </row>
    <row r="46" spans="1:37" ht="18.75" x14ac:dyDescent="0.25">
      <c r="A46" s="35" t="s">
        <v>8</v>
      </c>
      <c r="B46" s="36"/>
      <c r="C46" s="37">
        <v>0</v>
      </c>
      <c r="D46" s="38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46" s="29">
        <f ca="1">IF(Май[[#This Row],[УСЛУГ]]&lt;&gt;"",Май[[#This Row],[УСЛУГ]]*Май[[#This Row],[Периодичность]],"")</f>
        <v>0</v>
      </c>
    </row>
    <row r="47" spans="1:37" ht="18.75" x14ac:dyDescent="0.25">
      <c r="A47" s="35"/>
      <c r="B47" s="36"/>
      <c r="C47" s="37">
        <v>0</v>
      </c>
      <c r="D47" s="38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7" s="29" t="str">
        <f ca="1">IF(Май[[#This Row],[УСЛУГ]]&lt;&gt;"",Май[[#This Row],[УСЛУГ]]*Май[[#This Row],[Периодичность]],"")</f>
        <v/>
      </c>
    </row>
    <row r="48" spans="1:37" ht="18.75" x14ac:dyDescent="0.25">
      <c r="A48" s="35"/>
      <c r="B48" s="36"/>
      <c r="C48" s="37">
        <v>0</v>
      </c>
      <c r="D48" s="38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48" s="29" t="str">
        <f ca="1">IF(Май[[#This Row],[УСЛУГ]]&lt;&gt;"",Май[[#This Row],[УСЛУГ]]*Май[[#This Row],[Периодичность]],"")</f>
        <v/>
      </c>
    </row>
    <row r="49" spans="1:37" ht="31.5" x14ac:dyDescent="0.25">
      <c r="A49" s="35" t="s">
        <v>9</v>
      </c>
      <c r="B49" s="36"/>
      <c r="C49" s="37">
        <v>0</v>
      </c>
      <c r="D49" s="38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49" s="29">
        <f ca="1">IF(Май[[#This Row],[УСЛУГ]]&lt;&gt;"",Май[[#This Row],[УСЛУГ]]*Май[[#This Row],[Периодичность]],"")</f>
        <v>0</v>
      </c>
    </row>
    <row r="50" spans="1:37" x14ac:dyDescent="0.25">
      <c r="A50" s="35"/>
      <c r="B50" s="36"/>
      <c r="C50" s="37">
        <v>0</v>
      </c>
      <c r="D50" s="38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0" s="29" t="str">
        <f ca="1">IF(Май[[#This Row],[УСЛУГ]]&lt;&gt;"",Май[[#This Row],[УСЛУГ]]*Май[[#This Row],[Периодичность]],"")</f>
        <v/>
      </c>
    </row>
    <row r="51" spans="1:37" ht="18.75" x14ac:dyDescent="0.25">
      <c r="A51" s="35"/>
      <c r="B51" s="36"/>
      <c r="C51" s="37">
        <v>0</v>
      </c>
      <c r="D51" s="38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1" s="29" t="str">
        <f ca="1">IF(Май[[#This Row],[УСЛУГ]]&lt;&gt;"",Май[[#This Row],[УСЛУГ]]*Май[[#This Row],[Периодичность]],"")</f>
        <v/>
      </c>
    </row>
    <row r="52" spans="1:37" ht="47.25" x14ac:dyDescent="0.25">
      <c r="A52" s="35" t="s">
        <v>140</v>
      </c>
      <c r="B52" s="36"/>
      <c r="C52" s="37">
        <v>0</v>
      </c>
      <c r="D52" s="38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52" s="29">
        <f ca="1">IF(Май[[#This Row],[УСЛУГ]]&lt;&gt;"",Май[[#This Row],[УСЛУГ]]*Май[[#This Row],[Периодичность]],"")</f>
        <v>0</v>
      </c>
    </row>
    <row r="53" spans="1:37" ht="18.75" x14ac:dyDescent="0.25">
      <c r="A53" s="35"/>
      <c r="B53" s="36"/>
      <c r="C53" s="37">
        <v>0</v>
      </c>
      <c r="D53" s="38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3" s="29" t="str">
        <f ca="1">IF(Май[[#This Row],[УСЛУГ]]&lt;&gt;"",Май[[#This Row],[УСЛУГ]]*Май[[#This Row],[Периодичность]],"")</f>
        <v/>
      </c>
    </row>
    <row r="54" spans="1:37" ht="18.75" x14ac:dyDescent="0.25">
      <c r="A54" s="35"/>
      <c r="B54" s="36"/>
      <c r="C54" s="37">
        <v>0</v>
      </c>
      <c r="D54" s="38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4" s="29" t="str">
        <f ca="1">IF(Май[[#This Row],[УСЛУГ]]&lt;&gt;"",Май[[#This Row],[УСЛУГ]]*Май[[#This Row],[Периодичность]],"")</f>
        <v/>
      </c>
    </row>
    <row r="55" spans="1:37" ht="47.25" x14ac:dyDescent="0.25">
      <c r="A55" s="35" t="s">
        <v>78</v>
      </c>
      <c r="B55" s="36"/>
      <c r="C55" s="37">
        <v>0</v>
      </c>
      <c r="D55" s="38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55" s="29">
        <f ca="1">IF(Май[[#This Row],[УСЛУГ]]&lt;&gt;"",Май[[#This Row],[УСЛУГ]]*Май[[#This Row],[Периодичность]],"")</f>
        <v>0</v>
      </c>
    </row>
    <row r="56" spans="1:37" ht="18.75" x14ac:dyDescent="0.25">
      <c r="A56" s="35"/>
      <c r="B56" s="36"/>
      <c r="C56" s="37">
        <v>0</v>
      </c>
      <c r="D56" s="38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6" s="29" t="str">
        <f ca="1">IF(Май[[#This Row],[УСЛУГ]]&lt;&gt;"",Май[[#This Row],[УСЛУГ]]*Май[[#This Row],[Периодичность]],"")</f>
        <v/>
      </c>
    </row>
    <row r="57" spans="1:37" ht="18.75" x14ac:dyDescent="0.25">
      <c r="A57" s="35"/>
      <c r="B57" s="36"/>
      <c r="C57" s="37">
        <v>0</v>
      </c>
      <c r="D57" s="38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7" s="29" t="str">
        <f ca="1">IF(Май[[#This Row],[УСЛУГ]]&lt;&gt;"",Май[[#This Row],[УСЛУГ]]*Май[[#This Row],[Периодичность]],"")</f>
        <v/>
      </c>
    </row>
    <row r="58" spans="1:37" ht="47.25" x14ac:dyDescent="0.25">
      <c r="A58" s="35" t="s">
        <v>141</v>
      </c>
      <c r="B58" s="36"/>
      <c r="C58" s="37">
        <v>0</v>
      </c>
      <c r="D58" s="38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58" s="29">
        <f ca="1">IF(Май[[#This Row],[УСЛУГ]]&lt;&gt;"",Май[[#This Row],[УСЛУГ]]*Май[[#This Row],[Периодичность]],"")</f>
        <v>0</v>
      </c>
    </row>
    <row r="59" spans="1:37" ht="18.75" x14ac:dyDescent="0.25">
      <c r="A59" s="35"/>
      <c r="B59" s="36"/>
      <c r="C59" s="37">
        <v>0</v>
      </c>
      <c r="D59" s="38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59" s="29" t="str">
        <f ca="1">IF(Май[[#This Row],[УСЛУГ]]&lt;&gt;"",Май[[#This Row],[УСЛУГ]]*Май[[#This Row],[Периодичность]],"")</f>
        <v/>
      </c>
    </row>
    <row r="60" spans="1:37" ht="18.75" x14ac:dyDescent="0.25">
      <c r="A60" s="35"/>
      <c r="B60" s="36"/>
      <c r="C60" s="37">
        <v>0</v>
      </c>
      <c r="D60" s="38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0" s="29" t="str">
        <f ca="1">IF(Май[[#This Row],[УСЛУГ]]&lt;&gt;"",Май[[#This Row],[УСЛУГ]]*Май[[#This Row],[Периодичность]],"")</f>
        <v/>
      </c>
    </row>
    <row r="61" spans="1:37" ht="31.5" x14ac:dyDescent="0.25">
      <c r="A61" s="35" t="s">
        <v>13</v>
      </c>
      <c r="B61" s="36"/>
      <c r="C61" s="37">
        <v>0</v>
      </c>
      <c r="D61" s="38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61" s="29">
        <f ca="1">IF(Май[[#This Row],[УСЛУГ]]&lt;&gt;"",Май[[#This Row],[УСЛУГ]]*Май[[#This Row],[Периодичность]],"")</f>
        <v>0</v>
      </c>
    </row>
    <row r="62" spans="1:37" ht="18.75" x14ac:dyDescent="0.25">
      <c r="A62" s="35"/>
      <c r="B62" s="36"/>
      <c r="C62" s="37">
        <v>0</v>
      </c>
      <c r="D62" s="38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2" s="29" t="str">
        <f ca="1">IF(Май[[#This Row],[УСЛУГ]]&lt;&gt;"",Май[[#This Row],[УСЛУГ]]*Май[[#This Row],[Периодичность]],"")</f>
        <v/>
      </c>
    </row>
    <row r="63" spans="1:37" ht="18.75" x14ac:dyDescent="0.25">
      <c r="A63" s="35"/>
      <c r="B63" s="36"/>
      <c r="C63" s="37">
        <v>0</v>
      </c>
      <c r="D63" s="38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3" s="29" t="str">
        <f ca="1">IF(Май[[#This Row],[УСЛУГ]]&lt;&gt;"",Май[[#This Row],[УСЛУГ]]*Май[[#This Row],[Периодичность]],"")</f>
        <v/>
      </c>
    </row>
    <row r="64" spans="1:37" ht="31.5" x14ac:dyDescent="0.25">
      <c r="A64" s="35" t="s">
        <v>14</v>
      </c>
      <c r="B64" s="36"/>
      <c r="C64" s="37">
        <v>0</v>
      </c>
      <c r="D64" s="38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64" s="29">
        <f ca="1">IF(Май[[#This Row],[УСЛУГ]]&lt;&gt;"",Май[[#This Row],[УСЛУГ]]*Май[[#This Row],[Периодичность]],"")</f>
        <v>0</v>
      </c>
    </row>
    <row r="65" spans="1:37" ht="18.75" x14ac:dyDescent="0.25">
      <c r="A65" s="35"/>
      <c r="B65" s="36"/>
      <c r="C65" s="37">
        <v>0</v>
      </c>
      <c r="D65" s="38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5" s="29" t="str">
        <f ca="1">IF(Май[[#This Row],[УСЛУГ]]&lt;&gt;"",Май[[#This Row],[УСЛУГ]]*Май[[#This Row],[Периодичность]],"")</f>
        <v/>
      </c>
    </row>
    <row r="66" spans="1:37" x14ac:dyDescent="0.25">
      <c r="A66" s="35"/>
      <c r="B66" s="36"/>
      <c r="C66" s="37">
        <v>0</v>
      </c>
      <c r="D66" s="38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6" s="29" t="str">
        <f ca="1">IF(Май[[#This Row],[УСЛУГ]]&lt;&gt;"",Май[[#This Row],[УСЛУГ]]*Май[[#This Row],[Периодичность]],"")</f>
        <v/>
      </c>
    </row>
    <row r="67" spans="1:37" ht="31.5" x14ac:dyDescent="0.25">
      <c r="A67" s="35" t="s">
        <v>15</v>
      </c>
      <c r="B67" s="36"/>
      <c r="C67" s="37">
        <v>0</v>
      </c>
      <c r="D67" s="38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67" s="29">
        <f ca="1">IF(Май[[#This Row],[УСЛУГ]]&lt;&gt;"",Май[[#This Row],[УСЛУГ]]*Май[[#This Row],[Периодичность]],"")</f>
        <v>0</v>
      </c>
    </row>
    <row r="68" spans="1:37" ht="18.75" x14ac:dyDescent="0.25">
      <c r="A68" s="35"/>
      <c r="B68" s="36"/>
      <c r="C68" s="37">
        <v>0</v>
      </c>
      <c r="D68" s="38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8" s="29" t="str">
        <f ca="1">IF(Май[[#This Row],[УСЛУГ]]&lt;&gt;"",Май[[#This Row],[УСЛУГ]]*Май[[#This Row],[Периодичность]],"")</f>
        <v/>
      </c>
    </row>
    <row r="69" spans="1:37" ht="18.75" x14ac:dyDescent="0.25">
      <c r="A69" s="35"/>
      <c r="B69" s="36"/>
      <c r="C69" s="37">
        <v>0</v>
      </c>
      <c r="D69" s="38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69" s="29" t="str">
        <f ca="1">IF(Май[[#This Row],[УСЛУГ]]&lt;&gt;"",Май[[#This Row],[УСЛУГ]]*Май[[#This Row],[Периодичность]],"")</f>
        <v/>
      </c>
    </row>
    <row r="70" spans="1:37" ht="18.75" x14ac:dyDescent="0.25">
      <c r="A70" s="35" t="s">
        <v>16</v>
      </c>
      <c r="B70" s="36"/>
      <c r="C70" s="37">
        <v>0</v>
      </c>
      <c r="D70" s="38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70" s="29">
        <f ca="1">IF(Май[[#This Row],[УСЛУГ]]&lt;&gt;"",Май[[#This Row],[УСЛУГ]]*Май[[#This Row],[Периодичность]],"")</f>
        <v>0</v>
      </c>
    </row>
    <row r="71" spans="1:37" ht="18.75" x14ac:dyDescent="0.25">
      <c r="A71" s="35"/>
      <c r="B71" s="36"/>
      <c r="C71" s="37">
        <v>0</v>
      </c>
      <c r="D71" s="38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1" s="29" t="str">
        <f ca="1">IF(Май[[#This Row],[УСЛУГ]]&lt;&gt;"",Май[[#This Row],[УСЛУГ]]*Май[[#This Row],[Периодичность]],"")</f>
        <v/>
      </c>
    </row>
    <row r="72" spans="1:37" ht="18.75" x14ac:dyDescent="0.25">
      <c r="A72" s="35"/>
      <c r="B72" s="36"/>
      <c r="C72" s="37">
        <v>0</v>
      </c>
      <c r="D72" s="38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2" s="29" t="str">
        <f ca="1">IF(Май[[#This Row],[УСЛУГ]]&lt;&gt;"",Май[[#This Row],[УСЛУГ]]*Май[[#This Row],[Периодичность]],"")</f>
        <v/>
      </c>
    </row>
    <row r="73" spans="1:37" ht="47.25" x14ac:dyDescent="0.25">
      <c r="A73" s="35" t="s">
        <v>142</v>
      </c>
      <c r="B73" s="36"/>
      <c r="C73" s="37">
        <v>0</v>
      </c>
      <c r="D73" s="38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73" s="29">
        <f ca="1">IF(Май[[#This Row],[УСЛУГ]]&lt;&gt;"",Май[[#This Row],[УСЛУГ]]*Май[[#This Row],[Периодичность]],"")</f>
        <v>0</v>
      </c>
    </row>
    <row r="74" spans="1:37" ht="18.75" x14ac:dyDescent="0.25">
      <c r="A74" s="35"/>
      <c r="B74" s="36"/>
      <c r="C74" s="37">
        <v>0</v>
      </c>
      <c r="D74" s="38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4" s="29" t="str">
        <f ca="1">IF(Май[[#This Row],[УСЛУГ]]&lt;&gt;"",Май[[#This Row],[УСЛУГ]]*Май[[#This Row],[Периодичность]],"")</f>
        <v/>
      </c>
    </row>
    <row r="75" spans="1:37" ht="18.75" x14ac:dyDescent="0.25">
      <c r="A75" s="35"/>
      <c r="B75" s="36"/>
      <c r="C75" s="37">
        <v>0</v>
      </c>
      <c r="D75" s="38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5" s="29" t="str">
        <f ca="1">IF(Май[[#This Row],[УСЛУГ]]&lt;&gt;"",Май[[#This Row],[УСЛУГ]]*Май[[#This Row],[Периодичность]],"")</f>
        <v/>
      </c>
    </row>
    <row r="76" spans="1:37" ht="47.25" x14ac:dyDescent="0.25">
      <c r="A76" s="35" t="s">
        <v>143</v>
      </c>
      <c r="B76" s="36"/>
      <c r="C76" s="37">
        <v>0</v>
      </c>
      <c r="D76" s="38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76" s="29">
        <f ca="1">IF(Май[[#This Row],[УСЛУГ]]&lt;&gt;"",Май[[#This Row],[УСЛУГ]]*Май[[#This Row],[Периодичность]],"")</f>
        <v>0</v>
      </c>
    </row>
    <row r="77" spans="1:37" ht="18.75" x14ac:dyDescent="0.25">
      <c r="A77" s="35"/>
      <c r="B77" s="36"/>
      <c r="C77" s="37">
        <v>0</v>
      </c>
      <c r="D77" s="38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7" s="29" t="str">
        <f ca="1">IF(Май[[#This Row],[УСЛУГ]]&lt;&gt;"",Май[[#This Row],[УСЛУГ]]*Май[[#This Row],[Периодичность]],"")</f>
        <v/>
      </c>
    </row>
    <row r="78" spans="1:37" x14ac:dyDescent="0.25">
      <c r="A78" s="35"/>
      <c r="B78" s="36"/>
      <c r="C78" s="37">
        <v>0</v>
      </c>
      <c r="D78" s="38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78" s="29" t="str">
        <f ca="1">IF(Май[[#This Row],[УСЛУГ]]&lt;&gt;"",Май[[#This Row],[УСЛУГ]]*Май[[#This Row],[Периодичность]],"")</f>
        <v/>
      </c>
    </row>
    <row r="79" spans="1:37" x14ac:dyDescent="0.25">
      <c r="A79" s="35" t="s">
        <v>19</v>
      </c>
      <c r="B79" s="36"/>
      <c r="C79" s="37">
        <v>0</v>
      </c>
      <c r="D79" s="38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79" s="29">
        <f ca="1">IF(Май[[#This Row],[УСЛУГ]]&lt;&gt;"",Май[[#This Row],[УСЛУГ]]*Май[[#This Row],[Периодичность]],"")</f>
        <v>0</v>
      </c>
    </row>
    <row r="80" spans="1:37" ht="18.75" x14ac:dyDescent="0.25">
      <c r="A80" s="35"/>
      <c r="B80" s="36"/>
      <c r="C80" s="37">
        <v>0</v>
      </c>
      <c r="D80" s="38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0" s="29" t="str">
        <f ca="1">IF(Май[[#This Row],[УСЛУГ]]&lt;&gt;"",Май[[#This Row],[УСЛУГ]]*Май[[#This Row],[Периодичность]],"")</f>
        <v/>
      </c>
    </row>
    <row r="81" spans="1:37" x14ac:dyDescent="0.25">
      <c r="A81" s="35"/>
      <c r="B81" s="36"/>
      <c r="C81" s="37">
        <v>0</v>
      </c>
      <c r="D81" s="38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1" s="29" t="str">
        <f ca="1">IF(Май[[#This Row],[УСЛУГ]]&lt;&gt;"",Май[[#This Row],[УСЛУГ]]*Май[[#This Row],[Периодичность]],"")</f>
        <v/>
      </c>
    </row>
    <row r="82" spans="1:37" ht="31.5" x14ac:dyDescent="0.25">
      <c r="A82" s="35" t="s">
        <v>20</v>
      </c>
      <c r="B82" s="36"/>
      <c r="C82" s="37">
        <v>0</v>
      </c>
      <c r="D82" s="38">
        <v>1</v>
      </c>
      <c r="E82" s="39"/>
      <c r="F82" s="40"/>
      <c r="G82" s="41"/>
      <c r="H82" s="41"/>
      <c r="I82" s="41"/>
      <c r="J82" s="41"/>
      <c r="K82" s="41"/>
      <c r="L82" s="39"/>
      <c r="M82" s="40"/>
      <c r="N82" s="41"/>
      <c r="O82" s="41"/>
      <c r="P82" s="41"/>
      <c r="Q82" s="41"/>
      <c r="R82" s="41"/>
      <c r="S82" s="39"/>
      <c r="T82" s="40"/>
      <c r="U82" s="41"/>
      <c r="V82" s="41"/>
      <c r="W82" s="41"/>
      <c r="X82" s="41"/>
      <c r="Y82" s="41"/>
      <c r="Z82" s="39"/>
      <c r="AA82" s="39"/>
      <c r="AB82" s="41"/>
      <c r="AC82" s="41"/>
      <c r="AD82" s="41"/>
      <c r="AE82" s="41"/>
      <c r="AF82" s="41"/>
      <c r="AG82" s="39"/>
      <c r="AH82" s="39"/>
      <c r="AI82" s="41"/>
      <c r="AJ82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82" s="42">
        <f ca="1">IF(Май[[#This Row],[УСЛУГ]]&lt;&gt;"",Май[[#This Row],[УСЛУГ]]*Май[[#This Row],[Периодичность]],"")</f>
        <v>0</v>
      </c>
    </row>
    <row r="83" spans="1:37" x14ac:dyDescent="0.25">
      <c r="A83" s="35"/>
      <c r="B83" s="36"/>
      <c r="C83" s="37">
        <v>0</v>
      </c>
      <c r="D83" s="38">
        <v>2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3" s="42" t="str">
        <f ca="1">IF(Май[[#This Row],[УСЛУГ]]&lt;&gt;"",Май[[#This Row],[УСЛУГ]]*Май[[#This Row],[Периодичность]],"")</f>
        <v/>
      </c>
    </row>
    <row r="84" spans="1:37" x14ac:dyDescent="0.25">
      <c r="A84" s="35"/>
      <c r="B84" s="36"/>
      <c r="C84" s="37">
        <v>0</v>
      </c>
      <c r="D84" s="38">
        <v>3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4" s="42" t="str">
        <f ca="1">IF(Май[[#This Row],[УСЛУГ]]&lt;&gt;"",Май[[#This Row],[УСЛУГ]]*Май[[#This Row],[Периодичность]],"")</f>
        <v/>
      </c>
    </row>
    <row r="85" spans="1:37" ht="47.25" x14ac:dyDescent="0.25">
      <c r="A85" s="35" t="s">
        <v>144</v>
      </c>
      <c r="B85" s="36"/>
      <c r="C85" s="37">
        <v>0</v>
      </c>
      <c r="D85" s="38">
        <v>1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85" s="42">
        <f ca="1">IF(Май[[#This Row],[УСЛУГ]]&lt;&gt;"",Май[[#This Row],[УСЛУГ]]*Май[[#This Row],[Периодичность]],"")</f>
        <v>0</v>
      </c>
    </row>
    <row r="86" spans="1:37" x14ac:dyDescent="0.25">
      <c r="A86" s="35"/>
      <c r="B86" s="36"/>
      <c r="C86" s="37">
        <v>0</v>
      </c>
      <c r="D86" s="38">
        <v>2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6" s="42" t="str">
        <f ca="1">IF(Май[[#This Row],[УСЛУГ]]&lt;&gt;"",Май[[#This Row],[УСЛУГ]]*Май[[#This Row],[Периодичность]],"")</f>
        <v/>
      </c>
    </row>
    <row r="87" spans="1:37" x14ac:dyDescent="0.25">
      <c r="A87" s="35"/>
      <c r="B87" s="36"/>
      <c r="C87" s="37">
        <v>0</v>
      </c>
      <c r="D87" s="38">
        <v>3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7" s="42" t="str">
        <f ca="1">IF(Май[[#This Row],[УСЛУГ]]&lt;&gt;"",Май[[#This Row],[УСЛУГ]]*Май[[#This Row],[Периодичность]],"")</f>
        <v/>
      </c>
    </row>
    <row r="88" spans="1:37" ht="47.25" x14ac:dyDescent="0.25">
      <c r="A88" s="35" t="s">
        <v>145</v>
      </c>
      <c r="B88" s="36"/>
      <c r="C88" s="37">
        <v>0</v>
      </c>
      <c r="D88" s="38">
        <v>1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88" s="42">
        <f ca="1">IF(Май[[#This Row],[УСЛУГ]]&lt;&gt;"",Май[[#This Row],[УСЛУГ]]*Май[[#This Row],[Периодичность]],"")</f>
        <v>0</v>
      </c>
    </row>
    <row r="89" spans="1:37" x14ac:dyDescent="0.25">
      <c r="A89" s="35"/>
      <c r="B89" s="36"/>
      <c r="C89" s="37">
        <v>0</v>
      </c>
      <c r="D89" s="38">
        <v>2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89" s="42" t="str">
        <f ca="1">IF(Май[[#This Row],[УСЛУГ]]&lt;&gt;"",Май[[#This Row],[УСЛУГ]]*Май[[#This Row],[Периодичность]],"")</f>
        <v/>
      </c>
    </row>
    <row r="90" spans="1:37" x14ac:dyDescent="0.25">
      <c r="A90" s="35"/>
      <c r="B90" s="36"/>
      <c r="C90" s="37">
        <v>0</v>
      </c>
      <c r="D90" s="38">
        <v>3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0" s="42" t="str">
        <f ca="1">IF(Май[[#This Row],[УСЛУГ]]&lt;&gt;"",Май[[#This Row],[УСЛУГ]]*Май[[#This Row],[Периодичность]],"")</f>
        <v/>
      </c>
    </row>
    <row r="91" spans="1:37" ht="31.5" x14ac:dyDescent="0.25">
      <c r="A91" s="35" t="s">
        <v>23</v>
      </c>
      <c r="B91" s="36"/>
      <c r="C91" s="37">
        <v>0</v>
      </c>
      <c r="D91" s="38">
        <v>1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91" s="42">
        <f ca="1">IF(Май[[#This Row],[УСЛУГ]]&lt;&gt;"",Май[[#This Row],[УСЛУГ]]*Май[[#This Row],[Периодичность]],"")</f>
        <v>0</v>
      </c>
    </row>
    <row r="92" spans="1:37" x14ac:dyDescent="0.25">
      <c r="A92" s="35"/>
      <c r="B92" s="36"/>
      <c r="C92" s="37">
        <v>0</v>
      </c>
      <c r="D92" s="38">
        <v>2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2" s="42" t="str">
        <f ca="1">IF(Май[[#This Row],[УСЛУГ]]&lt;&gt;"",Май[[#This Row],[УСЛУГ]]*Май[[#This Row],[Периодичность]],"")</f>
        <v/>
      </c>
    </row>
    <row r="93" spans="1:37" x14ac:dyDescent="0.25">
      <c r="A93" s="35"/>
      <c r="B93" s="36"/>
      <c r="C93" s="37">
        <v>0</v>
      </c>
      <c r="D93" s="38">
        <v>3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3" s="42" t="str">
        <f ca="1">IF(Май[[#This Row],[УСЛУГ]]&lt;&gt;"",Май[[#This Row],[УСЛУГ]]*Май[[#This Row],[Периодичность]],"")</f>
        <v/>
      </c>
    </row>
    <row r="94" spans="1:37" ht="31.5" x14ac:dyDescent="0.25">
      <c r="A94" s="35" t="s">
        <v>24</v>
      </c>
      <c r="B94" s="36"/>
      <c r="C94" s="37">
        <v>0</v>
      </c>
      <c r="D94" s="38">
        <v>1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94" s="42">
        <f ca="1">IF(Май[[#This Row],[УСЛУГ]]&lt;&gt;"",Май[[#This Row],[УСЛУГ]]*Май[[#This Row],[Периодичность]],"")</f>
        <v>0</v>
      </c>
    </row>
    <row r="95" spans="1:37" x14ac:dyDescent="0.25">
      <c r="A95" s="35"/>
      <c r="B95" s="36"/>
      <c r="C95" s="37">
        <v>0</v>
      </c>
      <c r="D95" s="38">
        <v>2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5" s="42" t="str">
        <f ca="1">IF(Май[[#This Row],[УСЛУГ]]&lt;&gt;"",Май[[#This Row],[УСЛУГ]]*Май[[#This Row],[Периодичность]],"")</f>
        <v/>
      </c>
    </row>
    <row r="96" spans="1:37" x14ac:dyDescent="0.25">
      <c r="A96" s="35"/>
      <c r="B96" s="36"/>
      <c r="C96" s="37">
        <v>0</v>
      </c>
      <c r="D96" s="38">
        <v>3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6" s="42" t="str">
        <f ca="1">IF(Май[[#This Row],[УСЛУГ]]&lt;&gt;"",Май[[#This Row],[УСЛУГ]]*Май[[#This Row],[Периодичность]],"")</f>
        <v/>
      </c>
    </row>
    <row r="97" spans="1:37" ht="31.5" x14ac:dyDescent="0.25">
      <c r="A97" s="35" t="s">
        <v>25</v>
      </c>
      <c r="B97" s="36"/>
      <c r="C97" s="37">
        <v>0</v>
      </c>
      <c r="D97" s="38">
        <v>1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97" s="42">
        <f ca="1">IF(Май[[#This Row],[УСЛУГ]]&lt;&gt;"",Май[[#This Row],[УСЛУГ]]*Май[[#This Row],[Периодичность]],"")</f>
        <v>0</v>
      </c>
    </row>
    <row r="98" spans="1:37" x14ac:dyDescent="0.25">
      <c r="A98" s="35"/>
      <c r="B98" s="36"/>
      <c r="C98" s="37">
        <v>0</v>
      </c>
      <c r="D98" s="38">
        <v>2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8" s="42" t="str">
        <f ca="1">IF(Май[[#This Row],[УСЛУГ]]&lt;&gt;"",Май[[#This Row],[УСЛУГ]]*Май[[#This Row],[Периодичность]],"")</f>
        <v/>
      </c>
    </row>
    <row r="99" spans="1:37" x14ac:dyDescent="0.25">
      <c r="A99" s="35"/>
      <c r="B99" s="36"/>
      <c r="C99" s="37">
        <v>0</v>
      </c>
      <c r="D99" s="38">
        <v>3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99" s="42" t="str">
        <f ca="1">IF(Май[[#This Row],[УСЛУГ]]&lt;&gt;"",Май[[#This Row],[УСЛУГ]]*Май[[#This Row],[Периодичность]],"")</f>
        <v/>
      </c>
    </row>
    <row r="100" spans="1:37" ht="47.25" x14ac:dyDescent="0.25">
      <c r="A100" s="35" t="s">
        <v>26</v>
      </c>
      <c r="B100" s="36"/>
      <c r="C100" s="37">
        <v>0</v>
      </c>
      <c r="D100" s="38">
        <v>1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00" s="42">
        <f ca="1">IF(Май[[#This Row],[УСЛУГ]]&lt;&gt;"",Май[[#This Row],[УСЛУГ]]*Май[[#This Row],[Периодичность]],"")</f>
        <v>0</v>
      </c>
    </row>
    <row r="101" spans="1:37" x14ac:dyDescent="0.25">
      <c r="A101" s="35"/>
      <c r="B101" s="36"/>
      <c r="C101" s="37">
        <v>0</v>
      </c>
      <c r="D101" s="38">
        <v>2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1" s="42" t="str">
        <f ca="1">IF(Май[[#This Row],[УСЛУГ]]&lt;&gt;"",Май[[#This Row],[УСЛУГ]]*Май[[#This Row],[Периодичность]],"")</f>
        <v/>
      </c>
    </row>
    <row r="102" spans="1:37" x14ac:dyDescent="0.25">
      <c r="A102" s="35"/>
      <c r="B102" s="36"/>
      <c r="C102" s="37">
        <v>0</v>
      </c>
      <c r="D102" s="38">
        <v>3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2" s="42" t="str">
        <f ca="1">IF(Май[[#This Row],[УСЛУГ]]&lt;&gt;"",Май[[#This Row],[УСЛУГ]]*Май[[#This Row],[Периодичность]],"")</f>
        <v/>
      </c>
    </row>
    <row r="103" spans="1:37" ht="31.5" x14ac:dyDescent="0.25">
      <c r="A103" s="35" t="s">
        <v>27</v>
      </c>
      <c r="B103" s="36"/>
      <c r="C103" s="37">
        <v>0</v>
      </c>
      <c r="D103" s="38">
        <v>1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03" s="42">
        <f ca="1">IF(Май[[#This Row],[УСЛУГ]]&lt;&gt;"",Май[[#This Row],[УСЛУГ]]*Май[[#This Row],[Периодичность]],"")</f>
        <v>0</v>
      </c>
    </row>
    <row r="104" spans="1:37" x14ac:dyDescent="0.25">
      <c r="A104" s="35"/>
      <c r="B104" s="36"/>
      <c r="C104" s="37">
        <v>0</v>
      </c>
      <c r="D104" s="38">
        <v>2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4" s="42" t="str">
        <f ca="1">IF(Май[[#This Row],[УСЛУГ]]&lt;&gt;"",Май[[#This Row],[УСЛУГ]]*Май[[#This Row],[Периодичность]],"")</f>
        <v/>
      </c>
    </row>
    <row r="105" spans="1:37" x14ac:dyDescent="0.25">
      <c r="A105" s="35"/>
      <c r="B105" s="36"/>
      <c r="C105" s="37">
        <v>0</v>
      </c>
      <c r="D105" s="38">
        <v>3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5" s="42" t="str">
        <f ca="1">IF(Май[[#This Row],[УСЛУГ]]&lt;&gt;"",Май[[#This Row],[УСЛУГ]]*Май[[#This Row],[Периодичность]],"")</f>
        <v/>
      </c>
    </row>
    <row r="106" spans="1:37" ht="47.25" x14ac:dyDescent="0.25">
      <c r="A106" s="35" t="s">
        <v>28</v>
      </c>
      <c r="B106" s="36"/>
      <c r="C106" s="37">
        <v>0</v>
      </c>
      <c r="D106" s="38">
        <v>1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06" s="42">
        <f ca="1">IF(Май[[#This Row],[УСЛУГ]]&lt;&gt;"",Май[[#This Row],[УСЛУГ]]*Май[[#This Row],[Периодичность]],"")</f>
        <v>0</v>
      </c>
    </row>
    <row r="107" spans="1:37" x14ac:dyDescent="0.25">
      <c r="A107" s="35"/>
      <c r="B107" s="36"/>
      <c r="C107" s="37">
        <v>0</v>
      </c>
      <c r="D107" s="38">
        <v>2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7" s="42" t="str">
        <f ca="1">IF(Май[[#This Row],[УСЛУГ]]&lt;&gt;"",Май[[#This Row],[УСЛУГ]]*Май[[#This Row],[Периодичность]],"")</f>
        <v/>
      </c>
    </row>
    <row r="108" spans="1:37" x14ac:dyDescent="0.25">
      <c r="A108" s="35"/>
      <c r="B108" s="36"/>
      <c r="C108" s="37">
        <v>0</v>
      </c>
      <c r="D108" s="38">
        <v>3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08" s="42" t="str">
        <f ca="1">IF(Май[[#This Row],[УСЛУГ]]&lt;&gt;"",Май[[#This Row],[УСЛУГ]]*Май[[#This Row],[Периодичность]],"")</f>
        <v/>
      </c>
    </row>
    <row r="109" spans="1:37" ht="31.5" x14ac:dyDescent="0.25">
      <c r="A109" s="35" t="s">
        <v>29</v>
      </c>
      <c r="B109" s="36"/>
      <c r="C109" s="37">
        <v>0</v>
      </c>
      <c r="D109" s="38">
        <v>1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09" s="42">
        <f ca="1">IF(Май[[#This Row],[УСЛУГ]]&lt;&gt;"",Май[[#This Row],[УСЛУГ]]*Май[[#This Row],[Периодичность]],"")</f>
        <v>0</v>
      </c>
    </row>
    <row r="110" spans="1:37" x14ac:dyDescent="0.25">
      <c r="A110" s="35"/>
      <c r="B110" s="36"/>
      <c r="C110" s="37">
        <v>0</v>
      </c>
      <c r="D110" s="38">
        <v>2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0" s="42" t="str">
        <f ca="1">IF(Май[[#This Row],[УСЛУГ]]&lt;&gt;"",Май[[#This Row],[УСЛУГ]]*Май[[#This Row],[Периодичность]],"")</f>
        <v/>
      </c>
    </row>
    <row r="111" spans="1:37" x14ac:dyDescent="0.25">
      <c r="A111" s="35"/>
      <c r="B111" s="36"/>
      <c r="C111" s="37">
        <v>0</v>
      </c>
      <c r="D111" s="38">
        <v>3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1" s="42" t="str">
        <f ca="1">IF(Май[[#This Row],[УСЛУГ]]&lt;&gt;"",Май[[#This Row],[УСЛУГ]]*Май[[#This Row],[Периодичность]],"")</f>
        <v/>
      </c>
    </row>
    <row r="112" spans="1:37" ht="47.25" x14ac:dyDescent="0.25">
      <c r="A112" s="35" t="s">
        <v>30</v>
      </c>
      <c r="B112" s="36"/>
      <c r="C112" s="37">
        <v>0</v>
      </c>
      <c r="D112" s="38">
        <v>1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12" s="42">
        <f ca="1">IF(Май[[#This Row],[УСЛУГ]]&lt;&gt;"",Май[[#This Row],[УСЛУГ]]*Май[[#This Row],[Периодичность]],"")</f>
        <v>0</v>
      </c>
    </row>
    <row r="113" spans="1:37" x14ac:dyDescent="0.25">
      <c r="A113" s="35"/>
      <c r="B113" s="36"/>
      <c r="C113" s="37">
        <v>0</v>
      </c>
      <c r="D113" s="38">
        <v>2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3" s="42" t="str">
        <f ca="1">IF(Май[[#This Row],[УСЛУГ]]&lt;&gt;"",Май[[#This Row],[УСЛУГ]]*Май[[#This Row],[Периодичность]],"")</f>
        <v/>
      </c>
    </row>
    <row r="114" spans="1:37" x14ac:dyDescent="0.25">
      <c r="A114" s="35"/>
      <c r="B114" s="36"/>
      <c r="C114" s="37">
        <v>0</v>
      </c>
      <c r="D114" s="38">
        <v>3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4" s="42" t="str">
        <f ca="1">IF(Май[[#This Row],[УСЛУГ]]&lt;&gt;"",Май[[#This Row],[УСЛУГ]]*Май[[#This Row],[Периодичность]],"")</f>
        <v/>
      </c>
    </row>
    <row r="115" spans="1:37" ht="47.25" x14ac:dyDescent="0.25">
      <c r="A115" s="35" t="s">
        <v>77</v>
      </c>
      <c r="B115" s="36"/>
      <c r="C115" s="37">
        <v>0</v>
      </c>
      <c r="D115" s="38">
        <v>1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15" s="42">
        <f ca="1">IF(Май[[#This Row],[УСЛУГ]]&lt;&gt;"",Май[[#This Row],[УСЛУГ]]*Май[[#This Row],[Периодичность]],"")</f>
        <v>0</v>
      </c>
    </row>
    <row r="116" spans="1:37" x14ac:dyDescent="0.25">
      <c r="A116" s="35"/>
      <c r="B116" s="36"/>
      <c r="C116" s="37">
        <v>0</v>
      </c>
      <c r="D116" s="38">
        <v>2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6" s="42" t="str">
        <f ca="1">IF(Май[[#This Row],[УСЛУГ]]&lt;&gt;"",Май[[#This Row],[УСЛУГ]]*Май[[#This Row],[Периодичность]],"")</f>
        <v/>
      </c>
    </row>
    <row r="117" spans="1:37" x14ac:dyDescent="0.25">
      <c r="A117" s="35"/>
      <c r="B117" s="36"/>
      <c r="C117" s="37">
        <v>0</v>
      </c>
      <c r="D117" s="38">
        <v>3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7" s="42" t="str">
        <f ca="1">IF(Май[[#This Row],[УСЛУГ]]&lt;&gt;"",Май[[#This Row],[УСЛУГ]]*Май[[#This Row],[Периодичность]],"")</f>
        <v/>
      </c>
    </row>
    <row r="118" spans="1:37" ht="63" x14ac:dyDescent="0.25">
      <c r="A118" s="35" t="s">
        <v>146</v>
      </c>
      <c r="B118" s="36"/>
      <c r="C118" s="37">
        <v>0</v>
      </c>
      <c r="D118" s="38">
        <v>1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18" s="42">
        <f ca="1">IF(Май[[#This Row],[УСЛУГ]]&lt;&gt;"",Май[[#This Row],[УСЛУГ]]*Май[[#This Row],[Периодичность]],"")</f>
        <v>0</v>
      </c>
    </row>
    <row r="119" spans="1:37" x14ac:dyDescent="0.25">
      <c r="A119" s="35"/>
      <c r="B119" s="36"/>
      <c r="C119" s="37">
        <v>0</v>
      </c>
      <c r="D119" s="38">
        <v>2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19" s="42" t="str">
        <f ca="1">IF(Май[[#This Row],[УСЛУГ]]&lt;&gt;"",Май[[#This Row],[УСЛУГ]]*Май[[#This Row],[Периодичность]],"")</f>
        <v/>
      </c>
    </row>
    <row r="120" spans="1:37" x14ac:dyDescent="0.25">
      <c r="A120" s="35"/>
      <c r="B120" s="36"/>
      <c r="C120" s="37">
        <v>0</v>
      </c>
      <c r="D120" s="38">
        <v>3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0" s="42" t="str">
        <f ca="1">IF(Май[[#This Row],[УСЛУГ]]&lt;&gt;"",Май[[#This Row],[УСЛУГ]]*Май[[#This Row],[Периодичность]],"")</f>
        <v/>
      </c>
    </row>
    <row r="121" spans="1:37" ht="47.25" x14ac:dyDescent="0.25">
      <c r="A121" s="35" t="s">
        <v>76</v>
      </c>
      <c r="B121" s="36"/>
      <c r="C121" s="37">
        <v>0</v>
      </c>
      <c r="D121" s="38">
        <v>1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21" s="42">
        <f ca="1">IF(Май[[#This Row],[УСЛУГ]]&lt;&gt;"",Май[[#This Row],[УСЛУГ]]*Май[[#This Row],[Периодичность]],"")</f>
        <v>0</v>
      </c>
    </row>
    <row r="122" spans="1:37" x14ac:dyDescent="0.25">
      <c r="A122" s="35"/>
      <c r="B122" s="36"/>
      <c r="C122" s="37">
        <v>0</v>
      </c>
      <c r="D122" s="38">
        <v>2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2" s="42" t="str">
        <f ca="1">IF(Май[[#This Row],[УСЛУГ]]&lt;&gt;"",Май[[#This Row],[УСЛУГ]]*Май[[#This Row],[Периодичность]],"")</f>
        <v/>
      </c>
    </row>
    <row r="123" spans="1:37" x14ac:dyDescent="0.25">
      <c r="A123" s="35"/>
      <c r="B123" s="36"/>
      <c r="C123" s="37">
        <v>0</v>
      </c>
      <c r="D123" s="38">
        <v>3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3" s="42" t="str">
        <f ca="1">IF(Май[[#This Row],[УСЛУГ]]&lt;&gt;"",Май[[#This Row],[УСЛУГ]]*Май[[#This Row],[Периодичность]],"")</f>
        <v/>
      </c>
    </row>
    <row r="124" spans="1:37" ht="47.25" x14ac:dyDescent="0.25">
      <c r="A124" s="35" t="s">
        <v>147</v>
      </c>
      <c r="B124" s="36"/>
      <c r="C124" s="37">
        <v>0</v>
      </c>
      <c r="D124" s="38">
        <v>1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24" s="42">
        <f ca="1">IF(Май[[#This Row],[УСЛУГ]]&lt;&gt;"",Май[[#This Row],[УСЛУГ]]*Май[[#This Row],[Периодичность]],"")</f>
        <v>0</v>
      </c>
    </row>
    <row r="125" spans="1:37" x14ac:dyDescent="0.25">
      <c r="A125" s="35"/>
      <c r="B125" s="36"/>
      <c r="C125" s="37">
        <v>0</v>
      </c>
      <c r="D125" s="38">
        <v>2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5" s="42" t="str">
        <f ca="1">IF(Май[[#This Row],[УСЛУГ]]&lt;&gt;"",Май[[#This Row],[УСЛУГ]]*Май[[#This Row],[Периодичность]],"")</f>
        <v/>
      </c>
    </row>
    <row r="126" spans="1:37" x14ac:dyDescent="0.25">
      <c r="A126" s="35"/>
      <c r="B126" s="36"/>
      <c r="C126" s="37">
        <v>0</v>
      </c>
      <c r="D126" s="38">
        <v>3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6" s="42" t="str">
        <f ca="1">IF(Май[[#This Row],[УСЛУГ]]&lt;&gt;"",Май[[#This Row],[УСЛУГ]]*Май[[#This Row],[Периодичность]],"")</f>
        <v/>
      </c>
    </row>
    <row r="127" spans="1:37" ht="47.25" x14ac:dyDescent="0.25">
      <c r="A127" s="35" t="s">
        <v>148</v>
      </c>
      <c r="B127" s="36"/>
      <c r="C127" s="37">
        <v>0</v>
      </c>
      <c r="D127" s="38">
        <v>1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27" s="42">
        <f ca="1">IF(Май[[#This Row],[УСЛУГ]]&lt;&gt;"",Май[[#This Row],[УСЛУГ]]*Май[[#This Row],[Периодичность]],"")</f>
        <v>0</v>
      </c>
    </row>
    <row r="128" spans="1:37" x14ac:dyDescent="0.25">
      <c r="A128" s="35"/>
      <c r="B128" s="36"/>
      <c r="C128" s="37">
        <v>0</v>
      </c>
      <c r="D128" s="38">
        <v>2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8" s="42" t="str">
        <f ca="1">IF(Май[[#This Row],[УСЛУГ]]&lt;&gt;"",Май[[#This Row],[УСЛУГ]]*Май[[#This Row],[Периодичность]],"")</f>
        <v/>
      </c>
    </row>
    <row r="129" spans="1:37" x14ac:dyDescent="0.25">
      <c r="A129" s="35"/>
      <c r="B129" s="36"/>
      <c r="C129" s="37">
        <v>0</v>
      </c>
      <c r="D129" s="38">
        <v>3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29" s="42" t="str">
        <f ca="1">IF(Май[[#This Row],[УСЛУГ]]&lt;&gt;"",Май[[#This Row],[УСЛУГ]]*Май[[#This Row],[Периодичность]],"")</f>
        <v/>
      </c>
    </row>
    <row r="130" spans="1:37" ht="31.5" x14ac:dyDescent="0.25">
      <c r="A130" s="35" t="s">
        <v>36</v>
      </c>
      <c r="B130" s="36"/>
      <c r="C130" s="37">
        <v>0</v>
      </c>
      <c r="D130" s="38">
        <v>1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30" s="42">
        <f ca="1">IF(Май[[#This Row],[УСЛУГ]]&lt;&gt;"",Май[[#This Row],[УСЛУГ]]*Май[[#This Row],[Периодичность]],"")</f>
        <v>0</v>
      </c>
    </row>
    <row r="131" spans="1:37" x14ac:dyDescent="0.25">
      <c r="A131" s="35"/>
      <c r="B131" s="36"/>
      <c r="C131" s="37">
        <v>0</v>
      </c>
      <c r="D131" s="38">
        <v>2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1" s="42" t="str">
        <f ca="1">IF(Май[[#This Row],[УСЛУГ]]&lt;&gt;"",Май[[#This Row],[УСЛУГ]]*Май[[#This Row],[Периодичность]],"")</f>
        <v/>
      </c>
    </row>
    <row r="132" spans="1:37" x14ac:dyDescent="0.25">
      <c r="A132" s="35"/>
      <c r="B132" s="36"/>
      <c r="C132" s="37">
        <v>0</v>
      </c>
      <c r="D132" s="38">
        <v>3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2" s="42" t="str">
        <f ca="1">IF(Май[[#This Row],[УСЛУГ]]&lt;&gt;"",Май[[#This Row],[УСЛУГ]]*Май[[#This Row],[Периодичность]],"")</f>
        <v/>
      </c>
    </row>
    <row r="133" spans="1:37" ht="31.5" x14ac:dyDescent="0.25">
      <c r="A133" s="35" t="s">
        <v>37</v>
      </c>
      <c r="B133" s="36"/>
      <c r="C133" s="37">
        <v>0</v>
      </c>
      <c r="D133" s="38">
        <v>1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33" s="42">
        <f ca="1">IF(Май[[#This Row],[УСЛУГ]]&lt;&gt;"",Май[[#This Row],[УСЛУГ]]*Май[[#This Row],[Периодичность]],"")</f>
        <v>0</v>
      </c>
    </row>
    <row r="134" spans="1:37" x14ac:dyDescent="0.25">
      <c r="A134" s="35"/>
      <c r="B134" s="36"/>
      <c r="C134" s="37">
        <v>0</v>
      </c>
      <c r="D134" s="38">
        <v>2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4" s="42" t="str">
        <f ca="1">IF(Май[[#This Row],[УСЛУГ]]&lt;&gt;"",Май[[#This Row],[УСЛУГ]]*Май[[#This Row],[Периодичность]],"")</f>
        <v/>
      </c>
    </row>
    <row r="135" spans="1:37" x14ac:dyDescent="0.25">
      <c r="A135" s="35"/>
      <c r="B135" s="36"/>
      <c r="C135" s="37">
        <v>0</v>
      </c>
      <c r="D135" s="38">
        <v>3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5" s="42" t="str">
        <f ca="1">IF(Май[[#This Row],[УСЛУГ]]&lt;&gt;"",Май[[#This Row],[УСЛУГ]]*Май[[#This Row],[Периодичность]],"")</f>
        <v/>
      </c>
    </row>
    <row r="136" spans="1:37" x14ac:dyDescent="0.25">
      <c r="A136" s="35" t="s">
        <v>38</v>
      </c>
      <c r="B136" s="36"/>
      <c r="C136" s="37">
        <v>0</v>
      </c>
      <c r="D136" s="38">
        <v>1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36" s="42">
        <f ca="1">IF(Май[[#This Row],[УСЛУГ]]&lt;&gt;"",Май[[#This Row],[УСЛУГ]]*Май[[#This Row],[Периодичность]],"")</f>
        <v>0</v>
      </c>
    </row>
    <row r="137" spans="1:37" x14ac:dyDescent="0.25">
      <c r="A137" s="35"/>
      <c r="B137" s="36"/>
      <c r="C137" s="37">
        <v>0</v>
      </c>
      <c r="D137" s="38">
        <v>2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7" s="42" t="str">
        <f ca="1">IF(Май[[#This Row],[УСЛУГ]]&lt;&gt;"",Май[[#This Row],[УСЛУГ]]*Май[[#This Row],[Периодичность]],"")</f>
        <v/>
      </c>
    </row>
    <row r="138" spans="1:37" x14ac:dyDescent="0.25">
      <c r="A138" s="35"/>
      <c r="B138" s="36"/>
      <c r="C138" s="37">
        <v>0</v>
      </c>
      <c r="D138" s="38">
        <v>3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38" s="42" t="str">
        <f ca="1">IF(Май[[#This Row],[УСЛУГ]]&lt;&gt;"",Май[[#This Row],[УСЛУГ]]*Май[[#This Row],[Периодичность]],"")</f>
        <v/>
      </c>
    </row>
    <row r="139" spans="1:37" ht="31.5" x14ac:dyDescent="0.25">
      <c r="A139" s="35" t="s">
        <v>39</v>
      </c>
      <c r="B139" s="36"/>
      <c r="C139" s="37">
        <v>0</v>
      </c>
      <c r="D139" s="38">
        <v>1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39" s="42">
        <f ca="1">IF(Май[[#This Row],[УСЛУГ]]&lt;&gt;"",Май[[#This Row],[УСЛУГ]]*Май[[#This Row],[Периодичность]],"")</f>
        <v>0</v>
      </c>
    </row>
    <row r="140" spans="1:37" x14ac:dyDescent="0.25">
      <c r="A140" s="35"/>
      <c r="B140" s="36"/>
      <c r="C140" s="37">
        <v>0</v>
      </c>
      <c r="D140" s="38">
        <v>2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0" s="42" t="str">
        <f ca="1">IF(Май[[#This Row],[УСЛУГ]]&lt;&gt;"",Май[[#This Row],[УСЛУГ]]*Май[[#This Row],[Периодичность]],"")</f>
        <v/>
      </c>
    </row>
    <row r="141" spans="1:37" x14ac:dyDescent="0.25">
      <c r="A141" s="35"/>
      <c r="B141" s="36"/>
      <c r="C141" s="37">
        <v>0</v>
      </c>
      <c r="D141" s="38">
        <v>3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1" s="42" t="str">
        <f ca="1">IF(Май[[#This Row],[УСЛУГ]]&lt;&gt;"",Май[[#This Row],[УСЛУГ]]*Май[[#This Row],[Периодичность]],"")</f>
        <v/>
      </c>
    </row>
    <row r="142" spans="1:37" ht="47.25" x14ac:dyDescent="0.25">
      <c r="A142" s="35" t="s">
        <v>149</v>
      </c>
      <c r="B142" s="36"/>
      <c r="C142" s="37">
        <v>0</v>
      </c>
      <c r="D142" s="38">
        <v>1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42" s="42">
        <f ca="1">IF(Май[[#This Row],[УСЛУГ]]&lt;&gt;"",Май[[#This Row],[УСЛУГ]]*Май[[#This Row],[Периодичность]],"")</f>
        <v>0</v>
      </c>
    </row>
    <row r="143" spans="1:37" x14ac:dyDescent="0.25">
      <c r="A143" s="35"/>
      <c r="B143" s="36"/>
      <c r="C143" s="37">
        <v>0</v>
      </c>
      <c r="D143" s="38">
        <v>2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3" s="42" t="str">
        <f ca="1">IF(Май[[#This Row],[УСЛУГ]]&lt;&gt;"",Май[[#This Row],[УСЛУГ]]*Май[[#This Row],[Периодичность]],"")</f>
        <v/>
      </c>
    </row>
    <row r="144" spans="1:37" x14ac:dyDescent="0.25">
      <c r="A144" s="35"/>
      <c r="B144" s="36"/>
      <c r="C144" s="37">
        <v>0</v>
      </c>
      <c r="D144" s="38">
        <v>3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4" s="42" t="str">
        <f ca="1">IF(Май[[#This Row],[УСЛУГ]]&lt;&gt;"",Май[[#This Row],[УСЛУГ]]*Май[[#This Row],[Периодичность]],"")</f>
        <v/>
      </c>
    </row>
    <row r="145" spans="1:37" ht="47.25" x14ac:dyDescent="0.25">
      <c r="A145" s="35" t="s">
        <v>150</v>
      </c>
      <c r="B145" s="36"/>
      <c r="C145" s="37">
        <v>0</v>
      </c>
      <c r="D145" s="38">
        <v>1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45" s="42">
        <f ca="1">IF(Май[[#This Row],[УСЛУГ]]&lt;&gt;"",Май[[#This Row],[УСЛУГ]]*Май[[#This Row],[Периодичность]],"")</f>
        <v>0</v>
      </c>
    </row>
    <row r="146" spans="1:37" x14ac:dyDescent="0.25">
      <c r="A146" s="35"/>
      <c r="B146" s="36"/>
      <c r="C146" s="37">
        <v>0</v>
      </c>
      <c r="D146" s="38">
        <v>2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6" s="42" t="str">
        <f ca="1">IF(Май[[#This Row],[УСЛУГ]]&lt;&gt;"",Май[[#This Row],[УСЛУГ]]*Май[[#This Row],[Периодичность]],"")</f>
        <v/>
      </c>
    </row>
    <row r="147" spans="1:37" x14ac:dyDescent="0.25">
      <c r="A147" s="35"/>
      <c r="B147" s="36"/>
      <c r="C147" s="37">
        <v>0</v>
      </c>
      <c r="D147" s="38">
        <v>3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7" s="42" t="str">
        <f ca="1">IF(Май[[#This Row],[УСЛУГ]]&lt;&gt;"",Май[[#This Row],[УСЛУГ]]*Май[[#This Row],[Периодичность]],"")</f>
        <v/>
      </c>
    </row>
    <row r="148" spans="1:37" ht="47.25" x14ac:dyDescent="0.25">
      <c r="A148" s="35" t="s">
        <v>151</v>
      </c>
      <c r="B148" s="36"/>
      <c r="C148" s="37">
        <v>0</v>
      </c>
      <c r="D148" s="38">
        <v>1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48" s="42">
        <f ca="1">IF(Май[[#This Row],[УСЛУГ]]&lt;&gt;"",Май[[#This Row],[УСЛУГ]]*Май[[#This Row],[Периодичность]],"")</f>
        <v>0</v>
      </c>
    </row>
    <row r="149" spans="1:37" x14ac:dyDescent="0.25">
      <c r="A149" s="35"/>
      <c r="B149" s="36"/>
      <c r="C149" s="37">
        <v>0</v>
      </c>
      <c r="D149" s="38">
        <v>2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49" s="42" t="str">
        <f ca="1">IF(Май[[#This Row],[УСЛУГ]]&lt;&gt;"",Май[[#This Row],[УСЛУГ]]*Май[[#This Row],[Периодичность]],"")</f>
        <v/>
      </c>
    </row>
    <row r="150" spans="1:37" x14ac:dyDescent="0.25">
      <c r="A150" s="35"/>
      <c r="B150" s="36"/>
      <c r="C150" s="37">
        <v>0</v>
      </c>
      <c r="D150" s="38">
        <v>3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0" s="42" t="str">
        <f ca="1">IF(Май[[#This Row],[УСЛУГ]]&lt;&gt;"",Май[[#This Row],[УСЛУГ]]*Май[[#This Row],[Периодичность]],"")</f>
        <v/>
      </c>
    </row>
    <row r="151" spans="1:37" ht="47.25" x14ac:dyDescent="0.25">
      <c r="A151" s="35" t="s">
        <v>75</v>
      </c>
      <c r="B151" s="36"/>
      <c r="C151" s="37">
        <v>0</v>
      </c>
      <c r="D151" s="38">
        <v>1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51" s="42">
        <f ca="1">IF(Май[[#This Row],[УСЛУГ]]&lt;&gt;"",Май[[#This Row],[УСЛУГ]]*Май[[#This Row],[Периодичность]],"")</f>
        <v>0</v>
      </c>
    </row>
    <row r="152" spans="1:37" x14ac:dyDescent="0.25">
      <c r="A152" s="35"/>
      <c r="B152" s="36"/>
      <c r="C152" s="37">
        <v>0</v>
      </c>
      <c r="D152" s="38">
        <v>2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2" s="42" t="str">
        <f ca="1">IF(Май[[#This Row],[УСЛУГ]]&lt;&gt;"",Май[[#This Row],[УСЛУГ]]*Май[[#This Row],[Периодичность]],"")</f>
        <v/>
      </c>
    </row>
    <row r="153" spans="1:37" x14ac:dyDescent="0.25">
      <c r="A153" s="35"/>
      <c r="B153" s="36"/>
      <c r="C153" s="37">
        <v>0</v>
      </c>
      <c r="D153" s="38">
        <v>3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3" s="42" t="str">
        <f ca="1">IF(Май[[#This Row],[УСЛУГ]]&lt;&gt;"",Май[[#This Row],[УСЛУГ]]*Май[[#This Row],[Периодичность]],"")</f>
        <v/>
      </c>
    </row>
    <row r="154" spans="1:37" ht="47.25" x14ac:dyDescent="0.25">
      <c r="A154" s="35" t="s">
        <v>74</v>
      </c>
      <c r="B154" s="36"/>
      <c r="C154" s="37">
        <v>0</v>
      </c>
      <c r="D154" s="38">
        <v>1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54" s="42">
        <f ca="1">IF(Май[[#This Row],[УСЛУГ]]&lt;&gt;"",Май[[#This Row],[УСЛУГ]]*Май[[#This Row],[Периодичность]],"")</f>
        <v>0</v>
      </c>
    </row>
    <row r="155" spans="1:37" x14ac:dyDescent="0.25">
      <c r="A155" s="35"/>
      <c r="B155" s="36"/>
      <c r="C155" s="37">
        <v>0</v>
      </c>
      <c r="D155" s="38">
        <v>2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5" s="42" t="str">
        <f ca="1">IF(Май[[#This Row],[УСЛУГ]]&lt;&gt;"",Май[[#This Row],[УСЛУГ]]*Май[[#This Row],[Периодичность]],"")</f>
        <v/>
      </c>
    </row>
    <row r="156" spans="1:37" x14ac:dyDescent="0.25">
      <c r="A156" s="35"/>
      <c r="B156" s="36"/>
      <c r="C156" s="37">
        <v>0</v>
      </c>
      <c r="D156" s="38">
        <v>3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6" s="42" t="str">
        <f ca="1">IF(Май[[#This Row],[УСЛУГ]]&lt;&gt;"",Май[[#This Row],[УСЛУГ]]*Май[[#This Row],[Периодичность]],"")</f>
        <v/>
      </c>
    </row>
    <row r="157" spans="1:37" ht="47.25" x14ac:dyDescent="0.25">
      <c r="A157" s="35" t="s">
        <v>152</v>
      </c>
      <c r="B157" s="36"/>
      <c r="C157" s="37">
        <v>0</v>
      </c>
      <c r="D157" s="38">
        <v>1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57" s="42">
        <f ca="1">IF(Май[[#This Row],[УСЛУГ]]&lt;&gt;"",Май[[#This Row],[УСЛУГ]]*Май[[#This Row],[Периодичность]],"")</f>
        <v>0</v>
      </c>
    </row>
    <row r="158" spans="1:37" x14ac:dyDescent="0.25">
      <c r="A158" s="35"/>
      <c r="B158" s="36"/>
      <c r="C158" s="37">
        <v>0</v>
      </c>
      <c r="D158" s="38">
        <v>2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8" s="42" t="str">
        <f ca="1">IF(Май[[#This Row],[УСЛУГ]]&lt;&gt;"",Май[[#This Row],[УСЛУГ]]*Май[[#This Row],[Периодичность]],"")</f>
        <v/>
      </c>
    </row>
    <row r="159" spans="1:37" x14ac:dyDescent="0.25">
      <c r="A159" s="35"/>
      <c r="B159" s="36"/>
      <c r="C159" s="37">
        <v>0</v>
      </c>
      <c r="D159" s="38">
        <v>3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59" s="42" t="str">
        <f ca="1">IF(Май[[#This Row],[УСЛУГ]]&lt;&gt;"",Май[[#This Row],[УСЛУГ]]*Май[[#This Row],[Периодичность]],"")</f>
        <v/>
      </c>
    </row>
    <row r="160" spans="1:37" ht="47.25" x14ac:dyDescent="0.25">
      <c r="A160" s="35" t="s">
        <v>153</v>
      </c>
      <c r="B160" s="36"/>
      <c r="C160" s="37">
        <v>0</v>
      </c>
      <c r="D160" s="38">
        <v>1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60" s="42">
        <f ca="1">IF(Май[[#This Row],[УСЛУГ]]&lt;&gt;"",Май[[#This Row],[УСЛУГ]]*Май[[#This Row],[Периодичность]],"")</f>
        <v>0</v>
      </c>
    </row>
    <row r="161" spans="1:37" x14ac:dyDescent="0.25">
      <c r="A161" s="35"/>
      <c r="B161" s="36"/>
      <c r="C161" s="37">
        <v>0</v>
      </c>
      <c r="D161" s="38">
        <v>2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1" s="42" t="str">
        <f ca="1">IF(Май[[#This Row],[УСЛУГ]]&lt;&gt;"",Май[[#This Row],[УСЛУГ]]*Май[[#This Row],[Периодичность]],"")</f>
        <v/>
      </c>
    </row>
    <row r="162" spans="1:37" x14ac:dyDescent="0.25">
      <c r="A162" s="35"/>
      <c r="B162" s="36"/>
      <c r="C162" s="37">
        <v>0</v>
      </c>
      <c r="D162" s="38">
        <v>3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2" s="42" t="str">
        <f ca="1">IF(Май[[#This Row],[УСЛУГ]]&lt;&gt;"",Май[[#This Row],[УСЛУГ]]*Май[[#This Row],[Периодичность]],"")</f>
        <v/>
      </c>
    </row>
    <row r="163" spans="1:37" ht="47.25" x14ac:dyDescent="0.25">
      <c r="A163" s="35" t="s">
        <v>154</v>
      </c>
      <c r="B163" s="36"/>
      <c r="C163" s="37">
        <v>0</v>
      </c>
      <c r="D163" s="38">
        <v>1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63" s="42">
        <f ca="1">IF(Май[[#This Row],[УСЛУГ]]&lt;&gt;"",Май[[#This Row],[УСЛУГ]]*Май[[#This Row],[Периодичность]],"")</f>
        <v>0</v>
      </c>
    </row>
    <row r="164" spans="1:37" x14ac:dyDescent="0.25">
      <c r="A164" s="35"/>
      <c r="B164" s="36"/>
      <c r="C164" s="37">
        <v>0</v>
      </c>
      <c r="D164" s="38">
        <v>2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4" s="42" t="str">
        <f ca="1">IF(Май[[#This Row],[УСЛУГ]]&lt;&gt;"",Май[[#This Row],[УСЛУГ]]*Май[[#This Row],[Периодичность]],"")</f>
        <v/>
      </c>
    </row>
    <row r="165" spans="1:37" x14ac:dyDescent="0.25">
      <c r="A165" s="35"/>
      <c r="B165" s="36"/>
      <c r="C165" s="37">
        <v>0</v>
      </c>
      <c r="D165" s="38">
        <v>3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5" s="42" t="str">
        <f ca="1">IF(Май[[#This Row],[УСЛУГ]]&lt;&gt;"",Май[[#This Row],[УСЛУГ]]*Май[[#This Row],[Периодичность]],"")</f>
        <v/>
      </c>
    </row>
    <row r="166" spans="1:37" ht="47.25" x14ac:dyDescent="0.25">
      <c r="A166" s="35" t="s">
        <v>73</v>
      </c>
      <c r="B166" s="36"/>
      <c r="C166" s="37">
        <v>0</v>
      </c>
      <c r="D166" s="38">
        <v>1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66" s="42">
        <f ca="1">IF(Май[[#This Row],[УСЛУГ]]&lt;&gt;"",Май[[#This Row],[УСЛУГ]]*Май[[#This Row],[Периодичность]],"")</f>
        <v>0</v>
      </c>
    </row>
    <row r="167" spans="1:37" x14ac:dyDescent="0.25">
      <c r="A167" s="35"/>
      <c r="B167" s="36"/>
      <c r="C167" s="37">
        <v>0</v>
      </c>
      <c r="D167" s="38">
        <v>2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7" s="42" t="str">
        <f ca="1">IF(Май[[#This Row],[УСЛУГ]]&lt;&gt;"",Май[[#This Row],[УСЛУГ]]*Май[[#This Row],[Периодичность]],"")</f>
        <v/>
      </c>
    </row>
    <row r="168" spans="1:37" x14ac:dyDescent="0.25">
      <c r="A168" s="35"/>
      <c r="B168" s="36"/>
      <c r="C168" s="37">
        <v>0</v>
      </c>
      <c r="D168" s="38">
        <v>3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68" s="42" t="str">
        <f ca="1">IF(Май[[#This Row],[УСЛУГ]]&lt;&gt;"",Май[[#This Row],[УСЛУГ]]*Май[[#This Row],[Периодичность]],"")</f>
        <v/>
      </c>
    </row>
    <row r="169" spans="1:37" ht="47.25" x14ac:dyDescent="0.25">
      <c r="A169" s="35" t="s">
        <v>155</v>
      </c>
      <c r="B169" s="36"/>
      <c r="C169" s="37">
        <v>0</v>
      </c>
      <c r="D169" s="38">
        <v>1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69" s="42">
        <f ca="1">IF(Май[[#This Row],[УСЛУГ]]&lt;&gt;"",Май[[#This Row],[УСЛУГ]]*Май[[#This Row],[Периодичность]],"")</f>
        <v>0</v>
      </c>
    </row>
    <row r="170" spans="1:37" x14ac:dyDescent="0.25">
      <c r="A170" s="35"/>
      <c r="B170" s="36"/>
      <c r="C170" s="37">
        <v>0</v>
      </c>
      <c r="D170" s="38">
        <v>2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70" s="42" t="str">
        <f ca="1">IF(Май[[#This Row],[УСЛУГ]]&lt;&gt;"",Май[[#This Row],[УСЛУГ]]*Май[[#This Row],[Периодичность]],"")</f>
        <v/>
      </c>
    </row>
    <row r="171" spans="1:37" x14ac:dyDescent="0.25">
      <c r="A171" s="35"/>
      <c r="B171" s="36"/>
      <c r="C171" s="37">
        <v>0</v>
      </c>
      <c r="D171" s="38">
        <v>3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71" s="42" t="str">
        <f ca="1">IF(Май[[#This Row],[УСЛУГ]]&lt;&gt;"",Май[[#This Row],[УСЛУГ]]*Май[[#This Row],[Периодичность]],"")</f>
        <v/>
      </c>
    </row>
    <row r="172" spans="1:37" ht="47.25" x14ac:dyDescent="0.25">
      <c r="A172" s="35" t="s">
        <v>72</v>
      </c>
      <c r="B172" s="36"/>
      <c r="C172" s="37">
        <v>0</v>
      </c>
      <c r="D172" s="38">
        <v>1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>0</v>
      </c>
      <c r="AK172" s="42">
        <f ca="1">IF(Май[[#This Row],[УСЛУГ]]&lt;&gt;"",Май[[#This Row],[УСЛУГ]]*Май[[#This Row],[Периодичность]],"")</f>
        <v>0</v>
      </c>
    </row>
    <row r="173" spans="1:37" x14ac:dyDescent="0.25">
      <c r="A173" s="35"/>
      <c r="B173" s="36"/>
      <c r="C173" s="37">
        <v>0</v>
      </c>
      <c r="D173" s="38">
        <v>2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73" s="42" t="str">
        <f ca="1">IF(Май[[#This Row],[УСЛУГ]]&lt;&gt;"",Май[[#This Row],[УСЛУГ]]*Май[[#This Row],[Периодичность]],"")</f>
        <v/>
      </c>
    </row>
    <row r="174" spans="1:37" x14ac:dyDescent="0.25">
      <c r="A174" s="35"/>
      <c r="B174" s="36"/>
      <c r="C174" s="37">
        <v>0</v>
      </c>
      <c r="D174" s="38">
        <v>3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IF(OFFSET(Май[[#This Row],[№]],1,)=2,IF(OFFSET(Май[[#This Row],[№]],2,)=3,SUM(Май[[#This Row],[1]:[31]])+SUM(OFFSET(Май[[#This Row],[1]:[31]],1,))+SUM(OFFSET(Май[[#This Row],[1]:[31]],2,)),SUM(Май[[#This Row],[1]:[31]])+SUM(OFFSET(Май[[#This Row],[1]:[31]],1,))),IF(OFFSET(Май[[#This Row],[№]],2,)=3,SUM(Май[[#This Row],[1]:[31]])+SUM(OFFSET(Май[[#This Row],[1]:[31]],2,)),""))</f>
        <v/>
      </c>
      <c r="AK174" s="42" t="str">
        <f ca="1">IF(Май[[#This Row],[УСЛУГ]]&lt;&gt;"",Май[[#This Row],[УСЛУГ]]*Май[[#This Row],[Периодичность]],"")</f>
        <v/>
      </c>
    </row>
  </sheetData>
  <mergeCells count="20">
    <mergeCell ref="AJ7:AJ11"/>
    <mergeCell ref="AK7:AK11"/>
    <mergeCell ref="E10:AI11"/>
    <mergeCell ref="A19:A23"/>
    <mergeCell ref="B19:C23"/>
    <mergeCell ref="D19:D23"/>
    <mergeCell ref="E19:AI20"/>
    <mergeCell ref="AJ19:AJ23"/>
    <mergeCell ref="AK19:AK23"/>
    <mergeCell ref="E22:AI23"/>
    <mergeCell ref="A7:A11"/>
    <mergeCell ref="B7:B11"/>
    <mergeCell ref="C7:C11"/>
    <mergeCell ref="D7:D11"/>
    <mergeCell ref="E7:AI8"/>
    <mergeCell ref="A2:AJ2"/>
    <mergeCell ref="A3:AJ3"/>
    <mergeCell ref="J4:L4"/>
    <mergeCell ref="M4:U4"/>
    <mergeCell ref="M5:Q5"/>
  </mergeCells>
  <conditionalFormatting sqref="E9:AI9">
    <cfRule type="expression" dxfId="788" priority="2">
      <formula>WEEKDAY(E9:AI9,2)&gt;5</formula>
    </cfRule>
  </conditionalFormatting>
  <conditionalFormatting sqref="E21:AI21">
    <cfRule type="expression" dxfId="787" priority="1">
      <formula>WEEKDAY(E21:AI21,2)&gt;5</formula>
    </cfRule>
  </conditionalFormatting>
  <dataValidations count="2">
    <dataValidation type="list" allowBlank="1" showInputMessage="1" showErrorMessage="1" sqref="D25:D174">
      <formula1>INDIRECT("Посещения")</formula1>
    </dataValidation>
    <dataValidation type="list" allowBlank="1" showInputMessage="1" showErrorMessage="1" sqref="A25:A174">
      <formula1>INDIRECT("Услуги[Кратко]")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Height="0" orientation="landscape" horizontalDpi="300" verticalDpi="300" r:id="rId1"/>
  <ignoredErrors>
    <ignoredError sqref="E13:E17 AI13:AK17 B13:B17" calculatedColum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174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140625" style="3" customWidth="1"/>
    <col min="3" max="3" width="17.5703125" style="3" customWidth="1"/>
    <col min="4" max="4" width="9.28515625" style="3" customWidth="1"/>
    <col min="5" max="5" width="11.28515625" style="3" bestFit="1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7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7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7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7" ht="18.75" x14ac:dyDescent="0.25">
      <c r="C5" s="17"/>
      <c r="L5" s="12" t="s">
        <v>69</v>
      </c>
      <c r="M5" s="68" t="s">
        <v>131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7" ht="18.75" x14ac:dyDescent="0.25">
      <c r="C6" s="17"/>
      <c r="L6" s="12"/>
      <c r="M6" s="22"/>
      <c r="N6" s="32"/>
      <c r="O6" s="32"/>
      <c r="P6" s="32"/>
      <c r="Q6" s="32"/>
      <c r="R6" s="22"/>
      <c r="S6" s="32"/>
      <c r="T6" s="14"/>
      <c r="U6" s="14"/>
    </row>
    <row r="7" spans="1:37" ht="26.25" customHeight="1" x14ac:dyDescent="0.25">
      <c r="A7" s="54"/>
      <c r="B7" s="62" t="s">
        <v>115</v>
      </c>
      <c r="C7" s="62" t="s">
        <v>114</v>
      </c>
      <c r="D7" s="63" t="s">
        <v>61</v>
      </c>
      <c r="E7" s="48" t="s">
        <v>55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50"/>
      <c r="AI7" s="44" t="s">
        <v>64</v>
      </c>
      <c r="AJ7" s="44" t="s">
        <v>64</v>
      </c>
      <c r="AK7" s="4"/>
    </row>
    <row r="8" spans="1:37" ht="15.75" customHeight="1" x14ac:dyDescent="0.25">
      <c r="A8" s="54"/>
      <c r="B8" s="57"/>
      <c r="C8" s="57"/>
      <c r="D8" s="64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  <c r="AI8" s="44"/>
      <c r="AJ8" s="44"/>
      <c r="AK8" s="4"/>
    </row>
    <row r="9" spans="1:37" x14ac:dyDescent="0.25">
      <c r="A9" s="54"/>
      <c r="B9" s="57"/>
      <c r="C9" s="57"/>
      <c r="D9" s="64"/>
      <c r="E9" s="23">
        <f>Настройки!E12</f>
        <v>45078</v>
      </c>
      <c r="F9" s="23">
        <f>Настройки!F12</f>
        <v>45079</v>
      </c>
      <c r="G9" s="23">
        <f>Настройки!G12</f>
        <v>45080</v>
      </c>
      <c r="H9" s="23">
        <f>Настройки!H12</f>
        <v>45081</v>
      </c>
      <c r="I9" s="23">
        <f>Настройки!I12</f>
        <v>45082</v>
      </c>
      <c r="J9" s="23">
        <f>Настройки!J12</f>
        <v>45083</v>
      </c>
      <c r="K9" s="23">
        <f>Настройки!K12</f>
        <v>45084</v>
      </c>
      <c r="L9" s="23">
        <f>Настройки!L12</f>
        <v>45085</v>
      </c>
      <c r="M9" s="23">
        <f>Настройки!M12</f>
        <v>45086</v>
      </c>
      <c r="N9" s="23">
        <f>Настройки!N12</f>
        <v>45087</v>
      </c>
      <c r="O9" s="23">
        <f>Настройки!O12</f>
        <v>45088</v>
      </c>
      <c r="P9" s="23">
        <f>Настройки!P12</f>
        <v>45089</v>
      </c>
      <c r="Q9" s="23">
        <f>Настройки!Q12</f>
        <v>45090</v>
      </c>
      <c r="R9" s="23">
        <f>Настройки!R12</f>
        <v>45091</v>
      </c>
      <c r="S9" s="23">
        <f>Настройки!S12</f>
        <v>45092</v>
      </c>
      <c r="T9" s="23">
        <f>Настройки!T12</f>
        <v>45093</v>
      </c>
      <c r="U9" s="23">
        <f>Настройки!U12</f>
        <v>45094</v>
      </c>
      <c r="V9" s="23">
        <f>Настройки!V12</f>
        <v>45095</v>
      </c>
      <c r="W9" s="23">
        <f>Настройки!W12</f>
        <v>45096</v>
      </c>
      <c r="X9" s="23">
        <f>Настройки!X12</f>
        <v>45097</v>
      </c>
      <c r="Y9" s="23">
        <f>Настройки!Y12</f>
        <v>45098</v>
      </c>
      <c r="Z9" s="23">
        <f>Настройки!Z12</f>
        <v>45099</v>
      </c>
      <c r="AA9" s="23">
        <f>Настройки!AA12</f>
        <v>45100</v>
      </c>
      <c r="AB9" s="23">
        <f>Настройки!AB12</f>
        <v>45101</v>
      </c>
      <c r="AC9" s="23">
        <f>Настройки!AC12</f>
        <v>45102</v>
      </c>
      <c r="AD9" s="23">
        <f>Настройки!AD12</f>
        <v>45103</v>
      </c>
      <c r="AE9" s="23">
        <f>Настройки!AE12</f>
        <v>45104</v>
      </c>
      <c r="AF9" s="23">
        <f>Настройки!AF12</f>
        <v>45105</v>
      </c>
      <c r="AG9" s="23">
        <f>Настройки!AG12</f>
        <v>45106</v>
      </c>
      <c r="AH9" s="23">
        <f>Настройки!AH12</f>
        <v>45107</v>
      </c>
      <c r="AI9" s="44"/>
      <c r="AJ9" s="44"/>
      <c r="AK9" s="4"/>
    </row>
    <row r="10" spans="1:37" ht="15.75" customHeight="1" x14ac:dyDescent="0.25">
      <c r="A10" s="54"/>
      <c r="B10" s="57"/>
      <c r="C10" s="57"/>
      <c r="D10" s="64"/>
      <c r="E10" s="48" t="s">
        <v>54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74"/>
      <c r="AI10" s="44"/>
      <c r="AJ10" s="44"/>
      <c r="AK10" s="4"/>
    </row>
    <row r="11" spans="1:37" x14ac:dyDescent="0.25">
      <c r="A11" s="62"/>
      <c r="B11" s="57"/>
      <c r="C11" s="57"/>
      <c r="D11" s="64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3"/>
      <c r="AI11" s="44"/>
      <c r="AJ11" s="44"/>
    </row>
    <row r="12" spans="1:37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15" t="s">
        <v>83</v>
      </c>
      <c r="F12" s="15" t="s">
        <v>84</v>
      </c>
      <c r="G12" s="15" t="s">
        <v>85</v>
      </c>
      <c r="H12" s="15" t="s">
        <v>86</v>
      </c>
      <c r="I12" s="15" t="s">
        <v>87</v>
      </c>
      <c r="J12" s="15" t="s">
        <v>88</v>
      </c>
      <c r="K12" s="15" t="s">
        <v>89</v>
      </c>
      <c r="L12" s="15" t="s">
        <v>90</v>
      </c>
      <c r="M12" s="15" t="s">
        <v>91</v>
      </c>
      <c r="N12" s="15" t="s">
        <v>92</v>
      </c>
      <c r="O12" s="15" t="s">
        <v>93</v>
      </c>
      <c r="P12" s="15" t="s">
        <v>94</v>
      </c>
      <c r="Q12" s="15" t="s">
        <v>95</v>
      </c>
      <c r="R12" s="15" t="s">
        <v>96</v>
      </c>
      <c r="S12" s="15" t="s">
        <v>97</v>
      </c>
      <c r="T12" s="15" t="s">
        <v>98</v>
      </c>
      <c r="U12" s="15" t="s">
        <v>99</v>
      </c>
      <c r="V12" s="15" t="s">
        <v>100</v>
      </c>
      <c r="W12" s="15" t="s">
        <v>101</v>
      </c>
      <c r="X12" s="15" t="s">
        <v>102</v>
      </c>
      <c r="Y12" s="15" t="s">
        <v>103</v>
      </c>
      <c r="Z12" s="15" t="s">
        <v>104</v>
      </c>
      <c r="AA12" s="15" t="s">
        <v>105</v>
      </c>
      <c r="AB12" s="15" t="s">
        <v>106</v>
      </c>
      <c r="AC12" s="15" t="s">
        <v>107</v>
      </c>
      <c r="AD12" s="15" t="s">
        <v>108</v>
      </c>
      <c r="AE12" s="15" t="s">
        <v>109</v>
      </c>
      <c r="AF12" s="15" t="s">
        <v>110</v>
      </c>
      <c r="AG12" s="15" t="s">
        <v>111</v>
      </c>
      <c r="AH12" s="15" t="s">
        <v>112</v>
      </c>
      <c r="AI12" s="3" t="s">
        <v>62</v>
      </c>
      <c r="AJ12" s="3" t="s">
        <v>63</v>
      </c>
    </row>
    <row r="13" spans="1:37" ht="22.5" customHeight="1" x14ac:dyDescent="0.25">
      <c r="A13" s="5" t="s">
        <v>56</v>
      </c>
      <c r="B13" s="3">
        <f>SUMPRODUCT((Настройки!$E$26:$AH$26=1)*E16:AH16)</f>
        <v>0</v>
      </c>
      <c r="C13" s="15"/>
      <c r="D13" s="5">
        <v>1</v>
      </c>
      <c r="E13" s="3">
        <f>SUMPRODUCT((Июнь[№]=1)*Июнь[1],Июнь[Периодичность])</f>
        <v>0</v>
      </c>
      <c r="F13" s="30">
        <f>SUMPRODUCT((Июнь[№]=1)*Июнь[2],Июнь[Периодичность])</f>
        <v>0</v>
      </c>
      <c r="G13" s="30">
        <f>SUMPRODUCT((Июнь[№]=1)*Июнь[3],Июнь[Периодичность])</f>
        <v>0</v>
      </c>
      <c r="H13" s="30">
        <f>SUMPRODUCT((Июнь[№]=1)*Июнь[4],Июнь[Периодичность])</f>
        <v>0</v>
      </c>
      <c r="I13" s="30">
        <f>SUMPRODUCT((Июнь[№]=1)*Июнь[5],Июнь[Периодичность])</f>
        <v>0</v>
      </c>
      <c r="J13" s="30">
        <f>SUMPRODUCT((Июнь[№]=1)*Июнь[6],Июнь[Периодичность])</f>
        <v>0</v>
      </c>
      <c r="K13" s="30">
        <f>SUMPRODUCT((Июнь[№]=1)*Июнь[7],Июнь[Периодичность])</f>
        <v>0</v>
      </c>
      <c r="L13" s="30">
        <f>SUMPRODUCT((Июнь[№]=1)*Июнь[8],Июнь[Периодичность])</f>
        <v>0</v>
      </c>
      <c r="M13" s="30">
        <f>SUMPRODUCT((Июнь[№]=1)*Июнь[9],Июнь[Периодичность])</f>
        <v>0</v>
      </c>
      <c r="N13" s="30">
        <f>SUMPRODUCT((Июнь[№]=1)*Июнь[10],Июнь[Периодичность])</f>
        <v>0</v>
      </c>
      <c r="O13" s="30">
        <f>SUMPRODUCT((Июнь[№]=1)*Июнь[11],Июнь[Периодичность])</f>
        <v>0</v>
      </c>
      <c r="P13" s="30">
        <f>SUMPRODUCT((Июнь[№]=1)*Июнь[12],Июнь[Периодичность])</f>
        <v>0</v>
      </c>
      <c r="Q13" s="30">
        <f>SUMPRODUCT((Июнь[№]=1)*Июнь[13],Июнь[Периодичность])</f>
        <v>0</v>
      </c>
      <c r="R13" s="30">
        <f>SUMPRODUCT((Июнь[№]=1)*Июнь[14],Июнь[Периодичность])</f>
        <v>0</v>
      </c>
      <c r="S13" s="30">
        <f>SUMPRODUCT((Июнь[№]=1)*Июнь[15],Июнь[Периодичность])</f>
        <v>0</v>
      </c>
      <c r="T13" s="30">
        <f>SUMPRODUCT((Июнь[№]=1)*Июнь[16],Июнь[Периодичность])</f>
        <v>0</v>
      </c>
      <c r="U13" s="30">
        <f>SUMPRODUCT((Июнь[№]=1)*Июнь[17],Июнь[Периодичность])</f>
        <v>0</v>
      </c>
      <c r="V13" s="30">
        <f>SUMPRODUCT((Июнь[№]=1)*Июнь[18],Июнь[Периодичность])</f>
        <v>0</v>
      </c>
      <c r="W13" s="30">
        <f>SUMPRODUCT((Июнь[№]=1)*Июнь[19],Июнь[Периодичность])</f>
        <v>0</v>
      </c>
      <c r="X13" s="30">
        <f>SUMPRODUCT((Июнь[№]=1)*Июнь[20],Июнь[Периодичность])</f>
        <v>0</v>
      </c>
      <c r="Y13" s="30">
        <f>SUMPRODUCT((Июнь[№]=1)*Июнь[21],Июнь[Периодичность])</f>
        <v>0</v>
      </c>
      <c r="Z13" s="30">
        <f>SUMPRODUCT((Июнь[№]=1)*Июнь[22],Июнь[Периодичность])</f>
        <v>0</v>
      </c>
      <c r="AA13" s="30">
        <f>SUMPRODUCT((Июнь[№]=1)*Июнь[23],Июнь[Периодичность])</f>
        <v>0</v>
      </c>
      <c r="AB13" s="30">
        <f>SUMPRODUCT((Июнь[№]=1)*Июнь[24],Июнь[Периодичность])</f>
        <v>0</v>
      </c>
      <c r="AC13" s="30">
        <f>SUMPRODUCT((Июнь[№]=1)*Июнь[25],Июнь[Периодичность])</f>
        <v>0</v>
      </c>
      <c r="AD13" s="30">
        <f>SUMPRODUCT((Июнь[№]=1)*Июнь[26],Июнь[Периодичность])</f>
        <v>0</v>
      </c>
      <c r="AE13" s="30">
        <f>SUMPRODUCT((Июнь[№]=1)*Июнь[27],Июнь[Периодичность])</f>
        <v>0</v>
      </c>
      <c r="AF13" s="30">
        <f>SUMPRODUCT((Июнь[№]=1)*Июнь[28],Июнь[Периодичность])</f>
        <v>0</v>
      </c>
      <c r="AG13" s="30">
        <f>SUMPRODUCT((Июнь[№]=1)*Июнь[29],Июнь[Периодичность])</f>
        <v>0</v>
      </c>
      <c r="AH13" s="30">
        <f>SUMPRODUCT((Июнь[№]=1)*Июнь[30],Июнь[Периодичность])</f>
        <v>0</v>
      </c>
    </row>
    <row r="14" spans="1:37" ht="20.25" customHeight="1" x14ac:dyDescent="0.25">
      <c r="B14" s="3">
        <f>SUMPRODUCT((Настройки!$E$26:$AH$26=2)*E16:AH16)</f>
        <v>0</v>
      </c>
      <c r="D14" s="5">
        <v>2</v>
      </c>
      <c r="E14" s="3">
        <f>SUMPRODUCT((Июнь[№]=2)*Июнь[1],Июнь[Периодичность])</f>
        <v>0</v>
      </c>
      <c r="F14" s="30">
        <f>SUMPRODUCT((Июнь[№]=2)*Июнь[2],Июнь[Периодичность])</f>
        <v>0</v>
      </c>
      <c r="G14" s="30">
        <f>SUMPRODUCT((Июнь[№]=2)*Июнь[3],Июнь[Периодичность])</f>
        <v>0</v>
      </c>
      <c r="H14" s="30">
        <f>SUMPRODUCT((Июнь[№]=2)*Июнь[4],Июнь[Периодичность])</f>
        <v>0</v>
      </c>
      <c r="I14" s="30">
        <f>SUMPRODUCT((Июнь[№]=2)*Июнь[5],Июнь[Периодичность])</f>
        <v>0</v>
      </c>
      <c r="J14" s="30">
        <f>SUMPRODUCT((Июнь[№]=2)*Июнь[6],Июнь[Периодичность])</f>
        <v>0</v>
      </c>
      <c r="K14" s="30">
        <f>SUMPRODUCT((Июнь[№]=2)*Июнь[7],Июнь[Периодичность])</f>
        <v>0</v>
      </c>
      <c r="L14" s="30">
        <f>SUMPRODUCT((Июнь[№]=2)*Июнь[8],Июнь[Периодичность])</f>
        <v>0</v>
      </c>
      <c r="M14" s="30">
        <f>SUMPRODUCT((Июнь[№]=2)*Июнь[9],Июнь[Периодичность])</f>
        <v>0</v>
      </c>
      <c r="N14" s="30">
        <f>SUMPRODUCT((Июнь[№]=2)*Июнь[10],Июнь[Периодичность])</f>
        <v>0</v>
      </c>
      <c r="O14" s="30">
        <f>SUMPRODUCT((Июнь[№]=2)*Июнь[11],Июнь[Периодичность])</f>
        <v>0</v>
      </c>
      <c r="P14" s="30">
        <f>SUMPRODUCT((Июнь[№]=2)*Июнь[12],Июнь[Периодичность])</f>
        <v>0</v>
      </c>
      <c r="Q14" s="30">
        <f>SUMPRODUCT((Июнь[№]=2)*Июнь[13],Июнь[Периодичность])</f>
        <v>0</v>
      </c>
      <c r="R14" s="30">
        <f>SUMPRODUCT((Июнь[№]=2)*Июнь[14],Июнь[Периодичность])</f>
        <v>0</v>
      </c>
      <c r="S14" s="30">
        <f>SUMPRODUCT((Июнь[№]=2)*Июнь[15],Июнь[Периодичность])</f>
        <v>0</v>
      </c>
      <c r="T14" s="30">
        <f>SUMPRODUCT((Июнь[№]=2)*Июнь[16],Июнь[Периодичность])</f>
        <v>0</v>
      </c>
      <c r="U14" s="30">
        <f>SUMPRODUCT((Июнь[№]=2)*Июнь[17],Июнь[Периодичность])</f>
        <v>0</v>
      </c>
      <c r="V14" s="30">
        <f>SUMPRODUCT((Июнь[№]=2)*Июнь[18],Июнь[Периодичность])</f>
        <v>0</v>
      </c>
      <c r="W14" s="30">
        <f>SUMPRODUCT((Июнь[№]=2)*Июнь[19],Июнь[Периодичность])</f>
        <v>0</v>
      </c>
      <c r="X14" s="30">
        <f>SUMPRODUCT((Июнь[№]=2)*Июнь[20],Июнь[Периодичность])</f>
        <v>0</v>
      </c>
      <c r="Y14" s="30">
        <f>SUMPRODUCT((Июнь[№]=2)*Июнь[21],Июнь[Периодичность])</f>
        <v>0</v>
      </c>
      <c r="Z14" s="30">
        <f>SUMPRODUCT((Июнь[№]=2)*Июнь[22],Июнь[Периодичность])</f>
        <v>0</v>
      </c>
      <c r="AA14" s="30">
        <f>SUMPRODUCT((Июнь[№]=2)*Июнь[23],Июнь[Периодичность])</f>
        <v>0</v>
      </c>
      <c r="AB14" s="30">
        <f>SUMPRODUCT((Июнь[№]=2)*Июнь[24],Июнь[Периодичность])</f>
        <v>0</v>
      </c>
      <c r="AC14" s="30">
        <f>SUMPRODUCT((Июнь[№]=2)*Июнь[25],Июнь[Периодичность])</f>
        <v>0</v>
      </c>
      <c r="AD14" s="30">
        <f>SUMPRODUCT((Июнь[№]=2)*Июнь[26],Июнь[Периодичность])</f>
        <v>0</v>
      </c>
      <c r="AE14" s="30">
        <f>SUMPRODUCT((Июнь[№]=2)*Июнь[27],Июнь[Периодичность])</f>
        <v>0</v>
      </c>
      <c r="AF14" s="30">
        <f>SUMPRODUCT((Июнь[№]=2)*Июнь[28],Июнь[Периодичность])</f>
        <v>0</v>
      </c>
      <c r="AG14" s="30">
        <f>SUMPRODUCT((Июнь[№]=2)*Июнь[29],Июнь[Периодичность])</f>
        <v>0</v>
      </c>
      <c r="AH14" s="30">
        <f>SUMPRODUCT((Июнь[№]=2)*Июнь[30],Июнь[Периодичность])</f>
        <v>0</v>
      </c>
    </row>
    <row r="15" spans="1:37" ht="22.5" customHeight="1" x14ac:dyDescent="0.25">
      <c r="B15" s="3">
        <f>SUMPRODUCT((Настройки!$E$26:$AH$26=3)*E16:AH16)</f>
        <v>0</v>
      </c>
      <c r="D15" s="5">
        <v>3</v>
      </c>
      <c r="E15" s="3">
        <f>SUMPRODUCT((Июнь[№]=3)*Июнь[1],Июнь[Периодичность])</f>
        <v>0</v>
      </c>
      <c r="F15" s="30">
        <f>SUMPRODUCT((Июнь[№]=3)*Июнь[2],Июнь[Периодичность])</f>
        <v>0</v>
      </c>
      <c r="G15" s="30">
        <f>SUMPRODUCT((Июнь[№]=3)*Июнь[3],Июнь[Периодичность])</f>
        <v>0</v>
      </c>
      <c r="H15" s="30">
        <f>SUMPRODUCT((Июнь[№]=3)*Июнь[4],Июнь[Периодичность])</f>
        <v>0</v>
      </c>
      <c r="I15" s="30">
        <f>SUMPRODUCT((Июнь[№]=3)*Июнь[5],Июнь[Периодичность])</f>
        <v>0</v>
      </c>
      <c r="J15" s="30">
        <f>SUMPRODUCT((Июнь[№]=3)*Июнь[6],Июнь[Периодичность])</f>
        <v>0</v>
      </c>
      <c r="K15" s="30">
        <f>SUMPRODUCT((Июнь[№]=3)*Июнь[7],Июнь[Периодичность])</f>
        <v>0</v>
      </c>
      <c r="L15" s="30">
        <f>SUMPRODUCT((Июнь[№]=3)*Июнь[8],Июнь[Периодичность])</f>
        <v>0</v>
      </c>
      <c r="M15" s="30">
        <f>SUMPRODUCT((Июнь[№]=3)*Июнь[9],Июнь[Периодичность])</f>
        <v>0</v>
      </c>
      <c r="N15" s="30">
        <f>SUMPRODUCT((Июнь[№]=3)*Июнь[10],Июнь[Периодичность])</f>
        <v>0</v>
      </c>
      <c r="O15" s="30">
        <f>SUMPRODUCT((Июнь[№]=3)*Июнь[11],Июнь[Периодичность])</f>
        <v>0</v>
      </c>
      <c r="P15" s="30">
        <f>SUMPRODUCT((Июнь[№]=3)*Июнь[12],Июнь[Периодичность])</f>
        <v>0</v>
      </c>
      <c r="Q15" s="30">
        <f>SUMPRODUCT((Июнь[№]=3)*Июнь[13],Июнь[Периодичность])</f>
        <v>0</v>
      </c>
      <c r="R15" s="30">
        <f>SUMPRODUCT((Июнь[№]=3)*Июнь[14],Июнь[Периодичность])</f>
        <v>0</v>
      </c>
      <c r="S15" s="30">
        <f>SUMPRODUCT((Июнь[№]=3)*Июнь[15],Июнь[Периодичность])</f>
        <v>0</v>
      </c>
      <c r="T15" s="30">
        <f>SUMPRODUCT((Июнь[№]=3)*Июнь[16],Июнь[Периодичность])</f>
        <v>0</v>
      </c>
      <c r="U15" s="30">
        <f>SUMPRODUCT((Июнь[№]=3)*Июнь[17],Июнь[Периодичность])</f>
        <v>0</v>
      </c>
      <c r="V15" s="30">
        <f>SUMPRODUCT((Июнь[№]=3)*Июнь[18],Июнь[Периодичность])</f>
        <v>0</v>
      </c>
      <c r="W15" s="30">
        <f>SUMPRODUCT((Июнь[№]=3)*Июнь[19],Июнь[Периодичность])</f>
        <v>0</v>
      </c>
      <c r="X15" s="30">
        <f>SUMPRODUCT((Июнь[№]=3)*Июнь[20],Июнь[Периодичность])</f>
        <v>0</v>
      </c>
      <c r="Y15" s="30">
        <f>SUMPRODUCT((Июнь[№]=3)*Июнь[21],Июнь[Периодичность])</f>
        <v>0</v>
      </c>
      <c r="Z15" s="30">
        <f>SUMPRODUCT((Июнь[№]=3)*Июнь[22],Июнь[Периодичность])</f>
        <v>0</v>
      </c>
      <c r="AA15" s="30">
        <f>SUMPRODUCT((Июнь[№]=3)*Июнь[23],Июнь[Периодичность])</f>
        <v>0</v>
      </c>
      <c r="AB15" s="30">
        <f>SUMPRODUCT((Июнь[№]=3)*Июнь[24],Июнь[Периодичность])</f>
        <v>0</v>
      </c>
      <c r="AC15" s="30">
        <f>SUMPRODUCT((Июнь[№]=3)*Июнь[25],Июнь[Периодичность])</f>
        <v>0</v>
      </c>
      <c r="AD15" s="30">
        <f>SUMPRODUCT((Июнь[№]=3)*Июнь[26],Июнь[Периодичность])</f>
        <v>0</v>
      </c>
      <c r="AE15" s="30">
        <f>SUMPRODUCT((Июнь[№]=3)*Июнь[27],Июнь[Периодичность])</f>
        <v>0</v>
      </c>
      <c r="AF15" s="30">
        <f>SUMPRODUCT((Июнь[№]=3)*Июнь[28],Июнь[Периодичность])</f>
        <v>0</v>
      </c>
      <c r="AG15" s="30">
        <f>SUMPRODUCT((Июнь[№]=3)*Июнь[29],Июнь[Периодичность])</f>
        <v>0</v>
      </c>
      <c r="AH15" s="30">
        <f>SUMPRODUCT((Июнь[№]=3)*Июнь[30],Июнь[Периодичность])</f>
        <v>0</v>
      </c>
      <c r="AJ15" s="11"/>
    </row>
    <row r="16" spans="1:37" ht="18" customHeight="1" x14ac:dyDescent="0.25">
      <c r="B16" s="3">
        <f>SUMPRODUCT((Настройки!$E$26:$AH$26=4)*E16:AH16)</f>
        <v>0</v>
      </c>
      <c r="D16" s="5"/>
      <c r="E16" s="3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J16" s="11"/>
    </row>
    <row r="17" spans="1:36" ht="21.75" customHeight="1" x14ac:dyDescent="0.25">
      <c r="B17" s="3">
        <f>SUMPRODUCT((Настройки!$E$26:$AH$26=5)*E16:AH16)</f>
        <v>0</v>
      </c>
      <c r="C17" s="5">
        <f>ИюньИтоги[[#This Row],[№]]*60</f>
        <v>0</v>
      </c>
      <c r="D17" s="7">
        <f>SUM(ИюньИтоги[[#This Row],[1]:[30]])</f>
        <v>0</v>
      </c>
      <c r="E17" s="6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5">
        <f ca="1">SUM(Июнь[УСЛУГ])</f>
        <v>0</v>
      </c>
      <c r="AJ17" s="21">
        <f ca="1">SUM(Июнь[МИНУТ])</f>
        <v>0</v>
      </c>
    </row>
    <row r="19" spans="1:36" x14ac:dyDescent="0.25">
      <c r="A19" s="54" t="s">
        <v>52</v>
      </c>
      <c r="B19" s="54" t="s">
        <v>53</v>
      </c>
      <c r="C19" s="55"/>
      <c r="D19" s="56" t="s">
        <v>61</v>
      </c>
      <c r="E19" s="48" t="s">
        <v>55</v>
      </c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50"/>
      <c r="AI19" s="44" t="s">
        <v>64</v>
      </c>
      <c r="AJ19" s="44" t="s">
        <v>64</v>
      </c>
    </row>
    <row r="20" spans="1:36" ht="15.75" customHeight="1" x14ac:dyDescent="0.25">
      <c r="A20" s="54"/>
      <c r="B20" s="54"/>
      <c r="C20" s="55"/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  <c r="AI20" s="44"/>
      <c r="AJ20" s="44"/>
    </row>
    <row r="21" spans="1:36" x14ac:dyDescent="0.25">
      <c r="A21" s="54"/>
      <c r="B21" s="54"/>
      <c r="C21" s="55"/>
      <c r="D21" s="57"/>
      <c r="E21" s="27">
        <f>Настройки!E12</f>
        <v>45078</v>
      </c>
      <c r="F21" s="27">
        <f>Настройки!F12</f>
        <v>45079</v>
      </c>
      <c r="G21" s="27">
        <f>Настройки!G12</f>
        <v>45080</v>
      </c>
      <c r="H21" s="27">
        <f>Настройки!H12</f>
        <v>45081</v>
      </c>
      <c r="I21" s="27">
        <f>Настройки!I12</f>
        <v>45082</v>
      </c>
      <c r="J21" s="27">
        <f>Настройки!J12</f>
        <v>45083</v>
      </c>
      <c r="K21" s="27">
        <f>Настройки!K12</f>
        <v>45084</v>
      </c>
      <c r="L21" s="27">
        <f>Настройки!L12</f>
        <v>45085</v>
      </c>
      <c r="M21" s="27">
        <f>Настройки!M12</f>
        <v>45086</v>
      </c>
      <c r="N21" s="27">
        <f>Настройки!N12</f>
        <v>45087</v>
      </c>
      <c r="O21" s="27">
        <f>Настройки!O12</f>
        <v>45088</v>
      </c>
      <c r="P21" s="27">
        <f>Настройки!P12</f>
        <v>45089</v>
      </c>
      <c r="Q21" s="27">
        <f>Настройки!Q12</f>
        <v>45090</v>
      </c>
      <c r="R21" s="27">
        <f>Настройки!R12</f>
        <v>45091</v>
      </c>
      <c r="S21" s="27">
        <f>Настройки!S12</f>
        <v>45092</v>
      </c>
      <c r="T21" s="27">
        <f>Настройки!T12</f>
        <v>45093</v>
      </c>
      <c r="U21" s="27">
        <f>Настройки!U12</f>
        <v>45094</v>
      </c>
      <c r="V21" s="27">
        <f>Настройки!V12</f>
        <v>45095</v>
      </c>
      <c r="W21" s="27">
        <f>Настройки!W12</f>
        <v>45096</v>
      </c>
      <c r="X21" s="27">
        <f>Настройки!X12</f>
        <v>45097</v>
      </c>
      <c r="Y21" s="27">
        <f>Настройки!Y12</f>
        <v>45098</v>
      </c>
      <c r="Z21" s="27">
        <f>Настройки!Z12</f>
        <v>45099</v>
      </c>
      <c r="AA21" s="27">
        <f>Настройки!AA12</f>
        <v>45100</v>
      </c>
      <c r="AB21" s="27">
        <f>Настройки!AB12</f>
        <v>45101</v>
      </c>
      <c r="AC21" s="27">
        <f>Настройки!AC12</f>
        <v>45102</v>
      </c>
      <c r="AD21" s="27">
        <f>Настройки!AD12</f>
        <v>45103</v>
      </c>
      <c r="AE21" s="27">
        <f>Настройки!AE12</f>
        <v>45104</v>
      </c>
      <c r="AF21" s="27">
        <f>Настройки!AF12</f>
        <v>45105</v>
      </c>
      <c r="AG21" s="27">
        <f>Настройки!AG12</f>
        <v>45106</v>
      </c>
      <c r="AH21" s="27">
        <f>Настройки!AH12</f>
        <v>45107</v>
      </c>
      <c r="AI21" s="44"/>
      <c r="AJ21" s="44"/>
    </row>
    <row r="22" spans="1:36" x14ac:dyDescent="0.25">
      <c r="A22" s="54"/>
      <c r="B22" s="54"/>
      <c r="C22" s="55"/>
      <c r="D22" s="57"/>
      <c r="E22" s="49" t="s">
        <v>54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74"/>
      <c r="AI22" s="44"/>
      <c r="AJ22" s="44"/>
    </row>
    <row r="23" spans="1:36" x14ac:dyDescent="0.25">
      <c r="A23" s="54"/>
      <c r="B23" s="54"/>
      <c r="C23" s="55"/>
      <c r="D23" s="5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76"/>
      <c r="AI23" s="44"/>
      <c r="AJ23" s="44"/>
    </row>
    <row r="24" spans="1:36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112</v>
      </c>
      <c r="AI24" s="3" t="s">
        <v>62</v>
      </c>
      <c r="AJ24" s="3" t="s">
        <v>63</v>
      </c>
    </row>
    <row r="25" spans="1:36" ht="31.5" x14ac:dyDescent="0.25">
      <c r="A25" s="16" t="s">
        <v>1</v>
      </c>
      <c r="B25" s="2"/>
      <c r="C25" s="8">
        <v>0</v>
      </c>
      <c r="D25" s="11">
        <v>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25" s="5">
        <f ca="1">IF(Июнь[[#This Row],[УСЛУГ]]&lt;&gt;"",Июнь[[#This Row],[УСЛУГ]]*Июнь[[#This Row],[Периодичность]],"")</f>
        <v>0</v>
      </c>
    </row>
    <row r="26" spans="1:36" x14ac:dyDescent="0.25">
      <c r="A26" s="16"/>
      <c r="B26" s="2"/>
      <c r="C26" s="8">
        <v>0</v>
      </c>
      <c r="D26" s="11">
        <v>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26" s="5" t="str">
        <f ca="1">IF(Июнь[[#This Row],[УСЛУГ]]&lt;&gt;"",Июнь[[#This Row],[УСЛУГ]]*Июнь[[#This Row],[Периодичность]],"")</f>
        <v/>
      </c>
    </row>
    <row r="27" spans="1:36" x14ac:dyDescent="0.25">
      <c r="A27" s="16"/>
      <c r="B27" s="2"/>
      <c r="C27" s="8">
        <v>0</v>
      </c>
      <c r="D27" s="11">
        <v>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27" s="5" t="str">
        <f ca="1">IF(Июнь[[#This Row],[УСЛУГ]]&lt;&gt;"",Июнь[[#This Row],[УСЛУГ]]*Июнь[[#This Row],[Периодичность]],"")</f>
        <v/>
      </c>
    </row>
    <row r="28" spans="1:36" ht="47.25" x14ac:dyDescent="0.25">
      <c r="A28" s="35" t="s">
        <v>2</v>
      </c>
      <c r="B28" s="36"/>
      <c r="C28" s="37">
        <v>0</v>
      </c>
      <c r="D28" s="38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28" s="5">
        <f ca="1">IF(Июнь[[#This Row],[УСЛУГ]]&lt;&gt;"",Июнь[[#This Row],[УСЛУГ]]*Июнь[[#This Row],[Периодичность]],"")</f>
        <v>0</v>
      </c>
    </row>
    <row r="29" spans="1:36" x14ac:dyDescent="0.25">
      <c r="A29" s="35"/>
      <c r="B29" s="36"/>
      <c r="C29" s="37">
        <v>0</v>
      </c>
      <c r="D29" s="38">
        <v>2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29" s="5" t="str">
        <f ca="1">IF(Июнь[[#This Row],[УСЛУГ]]&lt;&gt;"",Июнь[[#This Row],[УСЛУГ]]*Июнь[[#This Row],[Периодичность]],"")</f>
        <v/>
      </c>
    </row>
    <row r="30" spans="1:36" x14ac:dyDescent="0.25">
      <c r="A30" s="35"/>
      <c r="B30" s="36"/>
      <c r="C30" s="37">
        <v>0</v>
      </c>
      <c r="D30" s="38">
        <v>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0" s="5" t="str">
        <f ca="1">IF(Июнь[[#This Row],[УСЛУГ]]&lt;&gt;"",Июнь[[#This Row],[УСЛУГ]]*Июнь[[#This Row],[Периодичность]],"")</f>
        <v/>
      </c>
    </row>
    <row r="31" spans="1:36" ht="31.5" x14ac:dyDescent="0.25">
      <c r="A31" s="35" t="s">
        <v>3</v>
      </c>
      <c r="B31" s="36"/>
      <c r="C31" s="37">
        <v>0</v>
      </c>
      <c r="D31" s="38">
        <v>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31" s="5">
        <f ca="1">IF(Июнь[[#This Row],[УСЛУГ]]&lt;&gt;"",Июнь[[#This Row],[УСЛУГ]]*Июнь[[#This Row],[Периодичность]],"")</f>
        <v>0</v>
      </c>
    </row>
    <row r="32" spans="1:36" x14ac:dyDescent="0.25">
      <c r="A32" s="35"/>
      <c r="B32" s="36"/>
      <c r="C32" s="37">
        <v>0</v>
      </c>
      <c r="D32" s="38">
        <v>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2" s="5" t="str">
        <f ca="1">IF(Июнь[[#This Row],[УСЛУГ]]&lt;&gt;"",Июнь[[#This Row],[УСЛУГ]]*Июнь[[#This Row],[Периодичность]],"")</f>
        <v/>
      </c>
    </row>
    <row r="33" spans="1:36" x14ac:dyDescent="0.25">
      <c r="A33" s="35"/>
      <c r="B33" s="36"/>
      <c r="C33" s="37">
        <v>0</v>
      </c>
      <c r="D33" s="38">
        <v>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3" s="5" t="str">
        <f ca="1">IF(Июнь[[#This Row],[УСЛУГ]]&lt;&gt;"",Июнь[[#This Row],[УСЛУГ]]*Июнь[[#This Row],[Периодичность]],"")</f>
        <v/>
      </c>
    </row>
    <row r="34" spans="1:36" ht="47.25" x14ac:dyDescent="0.25">
      <c r="A34" s="35" t="s">
        <v>4</v>
      </c>
      <c r="B34" s="36"/>
      <c r="C34" s="37">
        <v>0</v>
      </c>
      <c r="D34" s="38">
        <v>1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34" s="5">
        <f ca="1">IF(Июнь[[#This Row],[УСЛУГ]]&lt;&gt;"",Июнь[[#This Row],[УСЛУГ]]*Июнь[[#This Row],[Периодичность]],"")</f>
        <v>0</v>
      </c>
    </row>
    <row r="35" spans="1:36" x14ac:dyDescent="0.25">
      <c r="A35" s="35"/>
      <c r="B35" s="36"/>
      <c r="C35" s="37">
        <v>0</v>
      </c>
      <c r="D35" s="38">
        <v>2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5" s="5" t="str">
        <f ca="1">IF(Июнь[[#This Row],[УСЛУГ]]&lt;&gt;"",Июнь[[#This Row],[УСЛУГ]]*Июнь[[#This Row],[Периодичность]],"")</f>
        <v/>
      </c>
    </row>
    <row r="36" spans="1:36" x14ac:dyDescent="0.25">
      <c r="A36" s="35"/>
      <c r="B36" s="36"/>
      <c r="C36" s="37">
        <v>0</v>
      </c>
      <c r="D36" s="38">
        <v>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6" s="5" t="str">
        <f ca="1">IF(Июнь[[#This Row],[УСЛУГ]]&lt;&gt;"",Июнь[[#This Row],[УСЛУГ]]*Июнь[[#This Row],[Периодичность]],"")</f>
        <v/>
      </c>
    </row>
    <row r="37" spans="1:36" x14ac:dyDescent="0.25">
      <c r="A37" s="35" t="s">
        <v>5</v>
      </c>
      <c r="B37" s="36"/>
      <c r="C37" s="37">
        <v>0</v>
      </c>
      <c r="D37" s="38">
        <v>1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37" s="5">
        <f ca="1">IF(Июнь[[#This Row],[УСЛУГ]]&lt;&gt;"",Июнь[[#This Row],[УСЛУГ]]*Июнь[[#This Row],[Периодичность]],"")</f>
        <v>0</v>
      </c>
    </row>
    <row r="38" spans="1:36" x14ac:dyDescent="0.25">
      <c r="A38" s="35"/>
      <c r="B38" s="36"/>
      <c r="C38" s="37">
        <v>0</v>
      </c>
      <c r="D38" s="38">
        <v>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8" s="5" t="str">
        <f ca="1">IF(Июнь[[#This Row],[УСЛУГ]]&lt;&gt;"",Июнь[[#This Row],[УСЛУГ]]*Июнь[[#This Row],[Периодичность]],"")</f>
        <v/>
      </c>
    </row>
    <row r="39" spans="1:36" x14ac:dyDescent="0.25">
      <c r="A39" s="35"/>
      <c r="B39" s="36"/>
      <c r="C39" s="37">
        <v>0</v>
      </c>
      <c r="D39" s="38">
        <v>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39" s="5" t="str">
        <f ca="1">IF(Июнь[[#This Row],[УСЛУГ]]&lt;&gt;"",Июнь[[#This Row],[УСЛУГ]]*Июнь[[#This Row],[Периодичность]],"")</f>
        <v/>
      </c>
    </row>
    <row r="40" spans="1:36" ht="31.5" x14ac:dyDescent="0.25">
      <c r="A40" s="35" t="s">
        <v>6</v>
      </c>
      <c r="B40" s="36"/>
      <c r="C40" s="37">
        <v>0</v>
      </c>
      <c r="D40" s="38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40" s="5">
        <f ca="1">IF(Июнь[[#This Row],[УСЛУГ]]&lt;&gt;"",Июнь[[#This Row],[УСЛУГ]]*Июнь[[#This Row],[Периодичность]],"")</f>
        <v>0</v>
      </c>
    </row>
    <row r="41" spans="1:36" x14ac:dyDescent="0.25">
      <c r="A41" s="35"/>
      <c r="B41" s="36"/>
      <c r="C41" s="37">
        <v>0</v>
      </c>
      <c r="D41" s="38">
        <v>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1" s="5" t="str">
        <f ca="1">IF(Июнь[[#This Row],[УСЛУГ]]&lt;&gt;"",Июнь[[#This Row],[УСЛУГ]]*Июнь[[#This Row],[Периодичность]],"")</f>
        <v/>
      </c>
    </row>
    <row r="42" spans="1:36" x14ac:dyDescent="0.25">
      <c r="A42" s="35"/>
      <c r="B42" s="36"/>
      <c r="C42" s="37">
        <v>0</v>
      </c>
      <c r="D42" s="38">
        <v>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2" s="5" t="str">
        <f ca="1">IF(Июнь[[#This Row],[УСЛУГ]]&lt;&gt;"",Июнь[[#This Row],[УСЛУГ]]*Июнь[[#This Row],[Периодичность]],"")</f>
        <v/>
      </c>
    </row>
    <row r="43" spans="1:36" ht="47.25" x14ac:dyDescent="0.25">
      <c r="A43" s="35" t="s">
        <v>79</v>
      </c>
      <c r="B43" s="36"/>
      <c r="C43" s="37">
        <v>0</v>
      </c>
      <c r="D43" s="38">
        <v>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43" s="5">
        <f ca="1">IF(Июнь[[#This Row],[УСЛУГ]]&lt;&gt;"",Июнь[[#This Row],[УСЛУГ]]*Июнь[[#This Row],[Периодичность]],"")</f>
        <v>0</v>
      </c>
    </row>
    <row r="44" spans="1:36" x14ac:dyDescent="0.25">
      <c r="A44" s="35"/>
      <c r="B44" s="36"/>
      <c r="C44" s="37">
        <v>0</v>
      </c>
      <c r="D44" s="38">
        <v>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4" s="5" t="str">
        <f ca="1">IF(Июнь[[#This Row],[УСЛУГ]]&lt;&gt;"",Июнь[[#This Row],[УСЛУГ]]*Июнь[[#This Row],[Периодичность]],"")</f>
        <v/>
      </c>
    </row>
    <row r="45" spans="1:36" x14ac:dyDescent="0.25">
      <c r="A45" s="35"/>
      <c r="B45" s="36"/>
      <c r="C45" s="37">
        <v>0</v>
      </c>
      <c r="D45" s="38">
        <v>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5" s="5" t="str">
        <f ca="1">IF(Июнь[[#This Row],[УСЛУГ]]&lt;&gt;"",Июнь[[#This Row],[УСЛУГ]]*Июнь[[#This Row],[Периодичность]],"")</f>
        <v/>
      </c>
    </row>
    <row r="46" spans="1:36" x14ac:dyDescent="0.25">
      <c r="A46" s="35" t="s">
        <v>8</v>
      </c>
      <c r="B46" s="36"/>
      <c r="C46" s="37">
        <v>0</v>
      </c>
      <c r="D46" s="38">
        <v>1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46" s="5">
        <f ca="1">IF(Июнь[[#This Row],[УСЛУГ]]&lt;&gt;"",Июнь[[#This Row],[УСЛУГ]]*Июнь[[#This Row],[Периодичность]],"")</f>
        <v>0</v>
      </c>
    </row>
    <row r="47" spans="1:36" x14ac:dyDescent="0.25">
      <c r="A47" s="35"/>
      <c r="B47" s="36"/>
      <c r="C47" s="37">
        <v>0</v>
      </c>
      <c r="D47" s="38">
        <v>2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7" s="5" t="str">
        <f ca="1">IF(Июнь[[#This Row],[УСЛУГ]]&lt;&gt;"",Июнь[[#This Row],[УСЛУГ]]*Июнь[[#This Row],[Периодичность]],"")</f>
        <v/>
      </c>
    </row>
    <row r="48" spans="1:36" x14ac:dyDescent="0.25">
      <c r="A48" s="35"/>
      <c r="B48" s="36"/>
      <c r="C48" s="37">
        <v>0</v>
      </c>
      <c r="D48" s="38">
        <v>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48" s="5" t="str">
        <f ca="1">IF(Июнь[[#This Row],[УСЛУГ]]&lt;&gt;"",Июнь[[#This Row],[УСЛУГ]]*Июнь[[#This Row],[Периодичность]],"")</f>
        <v/>
      </c>
    </row>
    <row r="49" spans="1:36" ht="31.5" x14ac:dyDescent="0.25">
      <c r="A49" s="35" t="s">
        <v>9</v>
      </c>
      <c r="B49" s="36"/>
      <c r="C49" s="37">
        <v>0</v>
      </c>
      <c r="D49" s="38">
        <v>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49" s="5">
        <f ca="1">IF(Июнь[[#This Row],[УСЛУГ]]&lt;&gt;"",Июнь[[#This Row],[УСЛУГ]]*Июнь[[#This Row],[Периодичность]],"")</f>
        <v>0</v>
      </c>
    </row>
    <row r="50" spans="1:36" x14ac:dyDescent="0.25">
      <c r="A50" s="35"/>
      <c r="B50" s="36"/>
      <c r="C50" s="37">
        <v>0</v>
      </c>
      <c r="D50" s="38">
        <v>2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0" s="5" t="str">
        <f ca="1">IF(Июнь[[#This Row],[УСЛУГ]]&lt;&gt;"",Июнь[[#This Row],[УСЛУГ]]*Июнь[[#This Row],[Периодичность]],"")</f>
        <v/>
      </c>
    </row>
    <row r="51" spans="1:36" x14ac:dyDescent="0.25">
      <c r="A51" s="35"/>
      <c r="B51" s="36"/>
      <c r="C51" s="37">
        <v>0</v>
      </c>
      <c r="D51" s="38">
        <v>3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1" s="5" t="str">
        <f ca="1">IF(Июнь[[#This Row],[УСЛУГ]]&lt;&gt;"",Июнь[[#This Row],[УСЛУГ]]*Июнь[[#This Row],[Периодичность]],"")</f>
        <v/>
      </c>
    </row>
    <row r="52" spans="1:36" ht="47.25" x14ac:dyDescent="0.25">
      <c r="A52" s="35" t="s">
        <v>140</v>
      </c>
      <c r="B52" s="36"/>
      <c r="C52" s="37">
        <v>0</v>
      </c>
      <c r="D52" s="38">
        <v>1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52" s="5">
        <f ca="1">IF(Июнь[[#This Row],[УСЛУГ]]&lt;&gt;"",Июнь[[#This Row],[УСЛУГ]]*Июнь[[#This Row],[Периодичность]],"")</f>
        <v>0</v>
      </c>
    </row>
    <row r="53" spans="1:36" x14ac:dyDescent="0.25">
      <c r="A53" s="35"/>
      <c r="B53" s="36"/>
      <c r="C53" s="37">
        <v>0</v>
      </c>
      <c r="D53" s="38">
        <v>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3" s="5" t="str">
        <f ca="1">IF(Июнь[[#This Row],[УСЛУГ]]&lt;&gt;"",Июнь[[#This Row],[УСЛУГ]]*Июнь[[#This Row],[Периодичность]],"")</f>
        <v/>
      </c>
    </row>
    <row r="54" spans="1:36" x14ac:dyDescent="0.25">
      <c r="A54" s="35"/>
      <c r="B54" s="36"/>
      <c r="C54" s="37">
        <v>0</v>
      </c>
      <c r="D54" s="38">
        <v>3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4" s="5" t="str">
        <f ca="1">IF(Июнь[[#This Row],[УСЛУГ]]&lt;&gt;"",Июнь[[#This Row],[УСЛУГ]]*Июнь[[#This Row],[Периодичность]],"")</f>
        <v/>
      </c>
    </row>
    <row r="55" spans="1:36" ht="47.25" x14ac:dyDescent="0.25">
      <c r="A55" s="35" t="s">
        <v>78</v>
      </c>
      <c r="B55" s="36"/>
      <c r="C55" s="37">
        <v>0</v>
      </c>
      <c r="D55" s="38">
        <v>1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55" s="5">
        <f ca="1">IF(Июнь[[#This Row],[УСЛУГ]]&lt;&gt;"",Июнь[[#This Row],[УСЛУГ]]*Июнь[[#This Row],[Периодичность]],"")</f>
        <v>0</v>
      </c>
    </row>
    <row r="56" spans="1:36" x14ac:dyDescent="0.25">
      <c r="A56" s="35"/>
      <c r="B56" s="36"/>
      <c r="C56" s="37">
        <v>0</v>
      </c>
      <c r="D56" s="38">
        <v>2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6" s="5" t="str">
        <f ca="1">IF(Июнь[[#This Row],[УСЛУГ]]&lt;&gt;"",Июнь[[#This Row],[УСЛУГ]]*Июнь[[#This Row],[Периодичность]],"")</f>
        <v/>
      </c>
    </row>
    <row r="57" spans="1:36" x14ac:dyDescent="0.25">
      <c r="A57" s="35"/>
      <c r="B57" s="36"/>
      <c r="C57" s="37">
        <v>0</v>
      </c>
      <c r="D57" s="38">
        <v>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7" s="5" t="str">
        <f ca="1">IF(Июнь[[#This Row],[УСЛУГ]]&lt;&gt;"",Июнь[[#This Row],[УСЛУГ]]*Июнь[[#This Row],[Периодичность]],"")</f>
        <v/>
      </c>
    </row>
    <row r="58" spans="1:36" ht="47.25" x14ac:dyDescent="0.25">
      <c r="A58" s="35" t="s">
        <v>141</v>
      </c>
      <c r="B58" s="36"/>
      <c r="C58" s="37">
        <v>0</v>
      </c>
      <c r="D58" s="38">
        <v>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58" s="5">
        <f ca="1">IF(Июнь[[#This Row],[УСЛУГ]]&lt;&gt;"",Июнь[[#This Row],[УСЛУГ]]*Июнь[[#This Row],[Периодичность]],"")</f>
        <v>0</v>
      </c>
    </row>
    <row r="59" spans="1:36" x14ac:dyDescent="0.25">
      <c r="A59" s="35"/>
      <c r="B59" s="36"/>
      <c r="C59" s="37">
        <v>0</v>
      </c>
      <c r="D59" s="38">
        <v>2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59" s="5" t="str">
        <f ca="1">IF(Июнь[[#This Row],[УСЛУГ]]&lt;&gt;"",Июнь[[#This Row],[УСЛУГ]]*Июнь[[#This Row],[Периодичность]],"")</f>
        <v/>
      </c>
    </row>
    <row r="60" spans="1:36" x14ac:dyDescent="0.25">
      <c r="A60" s="35"/>
      <c r="B60" s="36"/>
      <c r="C60" s="37">
        <v>0</v>
      </c>
      <c r="D60" s="38">
        <v>3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0" s="5" t="str">
        <f ca="1">IF(Июнь[[#This Row],[УСЛУГ]]&lt;&gt;"",Июнь[[#This Row],[УСЛУГ]]*Июнь[[#This Row],[Периодичность]],"")</f>
        <v/>
      </c>
    </row>
    <row r="61" spans="1:36" ht="31.5" x14ac:dyDescent="0.25">
      <c r="A61" s="35" t="s">
        <v>13</v>
      </c>
      <c r="B61" s="36"/>
      <c r="C61" s="37">
        <v>0</v>
      </c>
      <c r="D61" s="38">
        <v>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61" s="5">
        <f ca="1">IF(Июнь[[#This Row],[УСЛУГ]]&lt;&gt;"",Июнь[[#This Row],[УСЛУГ]]*Июнь[[#This Row],[Периодичность]],"")</f>
        <v>0</v>
      </c>
    </row>
    <row r="62" spans="1:36" x14ac:dyDescent="0.25">
      <c r="A62" s="35"/>
      <c r="B62" s="36"/>
      <c r="C62" s="37">
        <v>0</v>
      </c>
      <c r="D62" s="38">
        <v>2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2" s="5" t="str">
        <f ca="1">IF(Июнь[[#This Row],[УСЛУГ]]&lt;&gt;"",Июнь[[#This Row],[УСЛУГ]]*Июнь[[#This Row],[Периодичность]],"")</f>
        <v/>
      </c>
    </row>
    <row r="63" spans="1:36" x14ac:dyDescent="0.25">
      <c r="A63" s="35"/>
      <c r="B63" s="36"/>
      <c r="C63" s="37">
        <v>0</v>
      </c>
      <c r="D63" s="38">
        <v>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3" s="5" t="str">
        <f ca="1">IF(Июнь[[#This Row],[УСЛУГ]]&lt;&gt;"",Июнь[[#This Row],[УСЛУГ]]*Июнь[[#This Row],[Периодичность]],"")</f>
        <v/>
      </c>
    </row>
    <row r="64" spans="1:36" ht="31.5" x14ac:dyDescent="0.25">
      <c r="A64" s="35" t="s">
        <v>14</v>
      </c>
      <c r="B64" s="36"/>
      <c r="C64" s="37">
        <v>0</v>
      </c>
      <c r="D64" s="38">
        <v>1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64" s="5">
        <f ca="1">IF(Июнь[[#This Row],[УСЛУГ]]&lt;&gt;"",Июнь[[#This Row],[УСЛУГ]]*Июнь[[#This Row],[Периодичность]],"")</f>
        <v>0</v>
      </c>
    </row>
    <row r="65" spans="1:36" x14ac:dyDescent="0.25">
      <c r="A65" s="35"/>
      <c r="B65" s="36"/>
      <c r="C65" s="37">
        <v>0</v>
      </c>
      <c r="D65" s="38">
        <v>2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5" s="5" t="str">
        <f ca="1">IF(Июнь[[#This Row],[УСЛУГ]]&lt;&gt;"",Июнь[[#This Row],[УСЛУГ]]*Июнь[[#This Row],[Периодичность]],"")</f>
        <v/>
      </c>
    </row>
    <row r="66" spans="1:36" x14ac:dyDescent="0.25">
      <c r="A66" s="35"/>
      <c r="B66" s="36"/>
      <c r="C66" s="37">
        <v>0</v>
      </c>
      <c r="D66" s="38">
        <v>3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6" s="5" t="str">
        <f ca="1">IF(Июнь[[#This Row],[УСЛУГ]]&lt;&gt;"",Июнь[[#This Row],[УСЛУГ]]*Июнь[[#This Row],[Периодичность]],"")</f>
        <v/>
      </c>
    </row>
    <row r="67" spans="1:36" ht="31.5" x14ac:dyDescent="0.25">
      <c r="A67" s="35" t="s">
        <v>15</v>
      </c>
      <c r="B67" s="36"/>
      <c r="C67" s="37">
        <v>0</v>
      </c>
      <c r="D67" s="38">
        <v>1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67" s="5">
        <f ca="1">IF(Июнь[[#This Row],[УСЛУГ]]&lt;&gt;"",Июнь[[#This Row],[УСЛУГ]]*Июнь[[#This Row],[Периодичность]],"")</f>
        <v>0</v>
      </c>
    </row>
    <row r="68" spans="1:36" x14ac:dyDescent="0.25">
      <c r="A68" s="35"/>
      <c r="B68" s="36"/>
      <c r="C68" s="37">
        <v>0</v>
      </c>
      <c r="D68" s="38">
        <v>2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8" s="5" t="str">
        <f ca="1">IF(Июнь[[#This Row],[УСЛУГ]]&lt;&gt;"",Июнь[[#This Row],[УСЛУГ]]*Июнь[[#This Row],[Периодичность]],"")</f>
        <v/>
      </c>
    </row>
    <row r="69" spans="1:36" x14ac:dyDescent="0.25">
      <c r="A69" s="35"/>
      <c r="B69" s="36"/>
      <c r="C69" s="37">
        <v>0</v>
      </c>
      <c r="D69" s="38">
        <v>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69" s="5" t="str">
        <f ca="1">IF(Июнь[[#This Row],[УСЛУГ]]&lt;&gt;"",Июнь[[#This Row],[УСЛУГ]]*Июнь[[#This Row],[Периодичность]],"")</f>
        <v/>
      </c>
    </row>
    <row r="70" spans="1:36" x14ac:dyDescent="0.25">
      <c r="A70" s="35" t="s">
        <v>16</v>
      </c>
      <c r="B70" s="36"/>
      <c r="C70" s="37">
        <v>0</v>
      </c>
      <c r="D70" s="38">
        <v>1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70" s="5">
        <f ca="1">IF(Июнь[[#This Row],[УСЛУГ]]&lt;&gt;"",Июнь[[#This Row],[УСЛУГ]]*Июнь[[#This Row],[Периодичность]],"")</f>
        <v>0</v>
      </c>
    </row>
    <row r="71" spans="1:36" x14ac:dyDescent="0.25">
      <c r="A71" s="35"/>
      <c r="B71" s="36"/>
      <c r="C71" s="37">
        <v>0</v>
      </c>
      <c r="D71" s="38">
        <v>2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1" s="5" t="str">
        <f ca="1">IF(Июнь[[#This Row],[УСЛУГ]]&lt;&gt;"",Июнь[[#This Row],[УСЛУГ]]*Июнь[[#This Row],[Периодичность]],"")</f>
        <v/>
      </c>
    </row>
    <row r="72" spans="1:36" x14ac:dyDescent="0.25">
      <c r="A72" s="35"/>
      <c r="B72" s="36"/>
      <c r="C72" s="37">
        <v>0</v>
      </c>
      <c r="D72" s="38">
        <v>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2" s="5" t="str">
        <f ca="1">IF(Июнь[[#This Row],[УСЛУГ]]&lt;&gt;"",Июнь[[#This Row],[УСЛУГ]]*Июнь[[#This Row],[Периодичность]],"")</f>
        <v/>
      </c>
    </row>
    <row r="73" spans="1:36" ht="47.25" x14ac:dyDescent="0.25">
      <c r="A73" s="35" t="s">
        <v>142</v>
      </c>
      <c r="B73" s="36"/>
      <c r="C73" s="37">
        <v>0</v>
      </c>
      <c r="D73" s="38">
        <v>1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73" s="5">
        <f ca="1">IF(Июнь[[#This Row],[УСЛУГ]]&lt;&gt;"",Июнь[[#This Row],[УСЛУГ]]*Июнь[[#This Row],[Периодичность]],"")</f>
        <v>0</v>
      </c>
    </row>
    <row r="74" spans="1:36" x14ac:dyDescent="0.25">
      <c r="A74" s="35"/>
      <c r="B74" s="36"/>
      <c r="C74" s="37">
        <v>0</v>
      </c>
      <c r="D74" s="38">
        <v>2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4" s="5" t="str">
        <f ca="1">IF(Июнь[[#This Row],[УСЛУГ]]&lt;&gt;"",Июнь[[#This Row],[УСЛУГ]]*Июнь[[#This Row],[Периодичность]],"")</f>
        <v/>
      </c>
    </row>
    <row r="75" spans="1:36" x14ac:dyDescent="0.25">
      <c r="A75" s="35"/>
      <c r="B75" s="36"/>
      <c r="C75" s="37">
        <v>0</v>
      </c>
      <c r="D75" s="38">
        <v>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5" s="5" t="str">
        <f ca="1">IF(Июнь[[#This Row],[УСЛУГ]]&lt;&gt;"",Июнь[[#This Row],[УСЛУГ]]*Июнь[[#This Row],[Периодичность]],"")</f>
        <v/>
      </c>
    </row>
    <row r="76" spans="1:36" ht="47.25" x14ac:dyDescent="0.25">
      <c r="A76" s="35" t="s">
        <v>143</v>
      </c>
      <c r="B76" s="36"/>
      <c r="C76" s="37">
        <v>0</v>
      </c>
      <c r="D76" s="38">
        <v>1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76" s="5">
        <f ca="1">IF(Июнь[[#This Row],[УСЛУГ]]&lt;&gt;"",Июнь[[#This Row],[УСЛУГ]]*Июнь[[#This Row],[Периодичность]],"")</f>
        <v>0</v>
      </c>
    </row>
    <row r="77" spans="1:36" x14ac:dyDescent="0.25">
      <c r="A77" s="35"/>
      <c r="B77" s="36"/>
      <c r="C77" s="37">
        <v>0</v>
      </c>
      <c r="D77" s="38">
        <v>2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7" s="5" t="str">
        <f ca="1">IF(Июнь[[#This Row],[УСЛУГ]]&lt;&gt;"",Июнь[[#This Row],[УСЛУГ]]*Июнь[[#This Row],[Периодичность]],"")</f>
        <v/>
      </c>
    </row>
    <row r="78" spans="1:36" x14ac:dyDescent="0.25">
      <c r="A78" s="35"/>
      <c r="B78" s="36"/>
      <c r="C78" s="37">
        <v>0</v>
      </c>
      <c r="D78" s="38">
        <v>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78" s="5" t="str">
        <f ca="1">IF(Июнь[[#This Row],[УСЛУГ]]&lt;&gt;"",Июнь[[#This Row],[УСЛУГ]]*Июнь[[#This Row],[Периодичность]],"")</f>
        <v/>
      </c>
    </row>
    <row r="79" spans="1:36" x14ac:dyDescent="0.25">
      <c r="A79" s="35" t="s">
        <v>19</v>
      </c>
      <c r="B79" s="36"/>
      <c r="C79" s="37">
        <v>0</v>
      </c>
      <c r="D79" s="38">
        <v>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79" s="5">
        <f ca="1">IF(Июнь[[#This Row],[УСЛУГ]]&lt;&gt;"",Июнь[[#This Row],[УСЛУГ]]*Июнь[[#This Row],[Периодичность]],"")</f>
        <v>0</v>
      </c>
    </row>
    <row r="80" spans="1:36" x14ac:dyDescent="0.25">
      <c r="A80" s="35"/>
      <c r="B80" s="36"/>
      <c r="C80" s="37">
        <v>0</v>
      </c>
      <c r="D80" s="38">
        <v>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0" s="5" t="str">
        <f ca="1">IF(Июнь[[#This Row],[УСЛУГ]]&lt;&gt;"",Июнь[[#This Row],[УСЛУГ]]*Июнь[[#This Row],[Периодичность]],"")</f>
        <v/>
      </c>
    </row>
    <row r="81" spans="1:36" x14ac:dyDescent="0.25">
      <c r="A81" s="35"/>
      <c r="B81" s="36"/>
      <c r="C81" s="37">
        <v>0</v>
      </c>
      <c r="D81" s="38">
        <v>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1" s="5" t="str">
        <f ca="1">IF(Июнь[[#This Row],[УСЛУГ]]&lt;&gt;"",Июнь[[#This Row],[УСЛУГ]]*Июнь[[#This Row],[Периодичность]],"")</f>
        <v/>
      </c>
    </row>
    <row r="82" spans="1:36" ht="31.5" x14ac:dyDescent="0.25">
      <c r="A82" s="35" t="s">
        <v>20</v>
      </c>
      <c r="B82" s="36"/>
      <c r="C82" s="37">
        <v>0</v>
      </c>
      <c r="D82" s="38">
        <v>1</v>
      </c>
      <c r="E82" s="41"/>
      <c r="F82" s="43"/>
      <c r="G82" s="41"/>
      <c r="H82" s="41"/>
      <c r="I82" s="41"/>
      <c r="J82" s="41"/>
      <c r="K82" s="41"/>
      <c r="L82" s="41"/>
      <c r="M82" s="43"/>
      <c r="N82" s="41"/>
      <c r="O82" s="41"/>
      <c r="P82" s="41"/>
      <c r="Q82" s="41"/>
      <c r="R82" s="41"/>
      <c r="S82" s="41"/>
      <c r="T82" s="43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3"/>
      <c r="AI82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82" s="42">
        <f ca="1">IF(Июнь[[#This Row],[УСЛУГ]]&lt;&gt;"",Июнь[[#This Row],[УСЛУГ]]*Июнь[[#This Row],[Периодичность]],"")</f>
        <v>0</v>
      </c>
    </row>
    <row r="83" spans="1:36" x14ac:dyDescent="0.25">
      <c r="A83" s="35"/>
      <c r="B83" s="36"/>
      <c r="C83" s="37">
        <v>0</v>
      </c>
      <c r="D83" s="38">
        <v>2</v>
      </c>
      <c r="E83" s="41"/>
      <c r="F83" s="43"/>
      <c r="G83" s="41"/>
      <c r="H83" s="41"/>
      <c r="I83" s="41"/>
      <c r="J83" s="41"/>
      <c r="K83" s="41"/>
      <c r="L83" s="41"/>
      <c r="M83" s="43"/>
      <c r="N83" s="41"/>
      <c r="O83" s="41"/>
      <c r="P83" s="41"/>
      <c r="Q83" s="41"/>
      <c r="R83" s="41"/>
      <c r="S83" s="41"/>
      <c r="T83" s="43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3"/>
      <c r="AI8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3" s="42" t="str">
        <f ca="1">IF(Июнь[[#This Row],[УСЛУГ]]&lt;&gt;"",Июнь[[#This Row],[УСЛУГ]]*Июнь[[#This Row],[Периодичность]],"")</f>
        <v/>
      </c>
    </row>
    <row r="84" spans="1:36" x14ac:dyDescent="0.25">
      <c r="A84" s="35"/>
      <c r="B84" s="36"/>
      <c r="C84" s="37">
        <v>0</v>
      </c>
      <c r="D84" s="38">
        <v>3</v>
      </c>
      <c r="E84" s="41"/>
      <c r="F84" s="43"/>
      <c r="G84" s="41"/>
      <c r="H84" s="41"/>
      <c r="I84" s="41"/>
      <c r="J84" s="41"/>
      <c r="K84" s="41"/>
      <c r="L84" s="41"/>
      <c r="M84" s="43"/>
      <c r="N84" s="41"/>
      <c r="O84" s="41"/>
      <c r="P84" s="41"/>
      <c r="Q84" s="41"/>
      <c r="R84" s="41"/>
      <c r="S84" s="41"/>
      <c r="T84" s="43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3"/>
      <c r="AI8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4" s="42" t="str">
        <f ca="1">IF(Июнь[[#This Row],[УСЛУГ]]&lt;&gt;"",Июнь[[#This Row],[УСЛУГ]]*Июнь[[#This Row],[Периодичность]],"")</f>
        <v/>
      </c>
    </row>
    <row r="85" spans="1:36" ht="47.25" x14ac:dyDescent="0.25">
      <c r="A85" s="35" t="s">
        <v>144</v>
      </c>
      <c r="B85" s="36"/>
      <c r="C85" s="37">
        <v>0</v>
      </c>
      <c r="D85" s="38">
        <v>1</v>
      </c>
      <c r="E85" s="41"/>
      <c r="F85" s="43"/>
      <c r="G85" s="41"/>
      <c r="H85" s="41"/>
      <c r="I85" s="41"/>
      <c r="J85" s="41"/>
      <c r="K85" s="41"/>
      <c r="L85" s="41"/>
      <c r="M85" s="43"/>
      <c r="N85" s="41"/>
      <c r="O85" s="41"/>
      <c r="P85" s="41"/>
      <c r="Q85" s="41"/>
      <c r="R85" s="41"/>
      <c r="S85" s="41"/>
      <c r="T85" s="43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3"/>
      <c r="AI85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85" s="42">
        <f ca="1">IF(Июнь[[#This Row],[УСЛУГ]]&lt;&gt;"",Июнь[[#This Row],[УСЛУГ]]*Июнь[[#This Row],[Периодичность]],"")</f>
        <v>0</v>
      </c>
    </row>
    <row r="86" spans="1:36" x14ac:dyDescent="0.25">
      <c r="A86" s="35"/>
      <c r="B86" s="36"/>
      <c r="C86" s="37">
        <v>0</v>
      </c>
      <c r="D86" s="38">
        <v>2</v>
      </c>
      <c r="E86" s="41"/>
      <c r="F86" s="43"/>
      <c r="G86" s="41"/>
      <c r="H86" s="41"/>
      <c r="I86" s="41"/>
      <c r="J86" s="41"/>
      <c r="K86" s="41"/>
      <c r="L86" s="41"/>
      <c r="M86" s="43"/>
      <c r="N86" s="41"/>
      <c r="O86" s="41"/>
      <c r="P86" s="41"/>
      <c r="Q86" s="41"/>
      <c r="R86" s="41"/>
      <c r="S86" s="41"/>
      <c r="T86" s="43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3"/>
      <c r="AI8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6" s="42" t="str">
        <f ca="1">IF(Июнь[[#This Row],[УСЛУГ]]&lt;&gt;"",Июнь[[#This Row],[УСЛУГ]]*Июнь[[#This Row],[Периодичность]],"")</f>
        <v/>
      </c>
    </row>
    <row r="87" spans="1:36" x14ac:dyDescent="0.25">
      <c r="A87" s="35"/>
      <c r="B87" s="36"/>
      <c r="C87" s="37">
        <v>0</v>
      </c>
      <c r="D87" s="38">
        <v>3</v>
      </c>
      <c r="E87" s="41"/>
      <c r="F87" s="43"/>
      <c r="G87" s="41"/>
      <c r="H87" s="41"/>
      <c r="I87" s="41"/>
      <c r="J87" s="41"/>
      <c r="K87" s="41"/>
      <c r="L87" s="41"/>
      <c r="M87" s="43"/>
      <c r="N87" s="41"/>
      <c r="O87" s="41"/>
      <c r="P87" s="41"/>
      <c r="Q87" s="41"/>
      <c r="R87" s="41"/>
      <c r="S87" s="41"/>
      <c r="T87" s="43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3"/>
      <c r="AI8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7" s="42" t="str">
        <f ca="1">IF(Июнь[[#This Row],[УСЛУГ]]&lt;&gt;"",Июнь[[#This Row],[УСЛУГ]]*Июнь[[#This Row],[Периодичность]],"")</f>
        <v/>
      </c>
    </row>
    <row r="88" spans="1:36" ht="47.25" x14ac:dyDescent="0.25">
      <c r="A88" s="35" t="s">
        <v>145</v>
      </c>
      <c r="B88" s="36"/>
      <c r="C88" s="37">
        <v>0</v>
      </c>
      <c r="D88" s="38">
        <v>1</v>
      </c>
      <c r="E88" s="41"/>
      <c r="F88" s="43"/>
      <c r="G88" s="41"/>
      <c r="H88" s="41"/>
      <c r="I88" s="41"/>
      <c r="J88" s="41"/>
      <c r="K88" s="41"/>
      <c r="L88" s="41"/>
      <c r="M88" s="43"/>
      <c r="N88" s="41"/>
      <c r="O88" s="41"/>
      <c r="P88" s="41"/>
      <c r="Q88" s="41"/>
      <c r="R88" s="41"/>
      <c r="S88" s="41"/>
      <c r="T88" s="43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3"/>
      <c r="AI88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88" s="42">
        <f ca="1">IF(Июнь[[#This Row],[УСЛУГ]]&lt;&gt;"",Июнь[[#This Row],[УСЛУГ]]*Июнь[[#This Row],[Периодичность]],"")</f>
        <v>0</v>
      </c>
    </row>
    <row r="89" spans="1:36" x14ac:dyDescent="0.25">
      <c r="A89" s="35"/>
      <c r="B89" s="36"/>
      <c r="C89" s="37">
        <v>0</v>
      </c>
      <c r="D89" s="38">
        <v>2</v>
      </c>
      <c r="E89" s="41"/>
      <c r="F89" s="43"/>
      <c r="G89" s="41"/>
      <c r="H89" s="41"/>
      <c r="I89" s="41"/>
      <c r="J89" s="41"/>
      <c r="K89" s="41"/>
      <c r="L89" s="41"/>
      <c r="M89" s="43"/>
      <c r="N89" s="41"/>
      <c r="O89" s="41"/>
      <c r="P89" s="41"/>
      <c r="Q89" s="41"/>
      <c r="R89" s="41"/>
      <c r="S89" s="41"/>
      <c r="T89" s="43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3"/>
      <c r="AI8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89" s="42" t="str">
        <f ca="1">IF(Июнь[[#This Row],[УСЛУГ]]&lt;&gt;"",Июнь[[#This Row],[УСЛУГ]]*Июнь[[#This Row],[Периодичность]],"")</f>
        <v/>
      </c>
    </row>
    <row r="90" spans="1:36" x14ac:dyDescent="0.25">
      <c r="A90" s="35"/>
      <c r="B90" s="36"/>
      <c r="C90" s="37">
        <v>0</v>
      </c>
      <c r="D90" s="38">
        <v>3</v>
      </c>
      <c r="E90" s="41"/>
      <c r="F90" s="43"/>
      <c r="G90" s="41"/>
      <c r="H90" s="41"/>
      <c r="I90" s="41"/>
      <c r="J90" s="41"/>
      <c r="K90" s="41"/>
      <c r="L90" s="41"/>
      <c r="M90" s="43"/>
      <c r="N90" s="41"/>
      <c r="O90" s="41"/>
      <c r="P90" s="41"/>
      <c r="Q90" s="41"/>
      <c r="R90" s="41"/>
      <c r="S90" s="41"/>
      <c r="T90" s="43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3"/>
      <c r="AI9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0" s="42" t="str">
        <f ca="1">IF(Июнь[[#This Row],[УСЛУГ]]&lt;&gt;"",Июнь[[#This Row],[УСЛУГ]]*Июнь[[#This Row],[Периодичность]],"")</f>
        <v/>
      </c>
    </row>
    <row r="91" spans="1:36" ht="31.5" x14ac:dyDescent="0.25">
      <c r="A91" s="35" t="s">
        <v>23</v>
      </c>
      <c r="B91" s="36"/>
      <c r="C91" s="37">
        <v>0</v>
      </c>
      <c r="D91" s="38">
        <v>1</v>
      </c>
      <c r="E91" s="41"/>
      <c r="F91" s="43"/>
      <c r="G91" s="41"/>
      <c r="H91" s="41"/>
      <c r="I91" s="41"/>
      <c r="J91" s="41"/>
      <c r="K91" s="41"/>
      <c r="L91" s="41"/>
      <c r="M91" s="43"/>
      <c r="N91" s="41"/>
      <c r="O91" s="41"/>
      <c r="P91" s="41"/>
      <c r="Q91" s="41"/>
      <c r="R91" s="41"/>
      <c r="S91" s="41"/>
      <c r="T91" s="43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3"/>
      <c r="AI91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91" s="42">
        <f ca="1">IF(Июнь[[#This Row],[УСЛУГ]]&lt;&gt;"",Июнь[[#This Row],[УСЛУГ]]*Июнь[[#This Row],[Периодичность]],"")</f>
        <v>0</v>
      </c>
    </row>
    <row r="92" spans="1:36" x14ac:dyDescent="0.25">
      <c r="A92" s="35"/>
      <c r="B92" s="36"/>
      <c r="C92" s="37">
        <v>0</v>
      </c>
      <c r="D92" s="38">
        <v>2</v>
      </c>
      <c r="E92" s="41"/>
      <c r="F92" s="43"/>
      <c r="G92" s="41"/>
      <c r="H92" s="41"/>
      <c r="I92" s="41"/>
      <c r="J92" s="41"/>
      <c r="K92" s="41"/>
      <c r="L92" s="41"/>
      <c r="M92" s="43"/>
      <c r="N92" s="41"/>
      <c r="O92" s="41"/>
      <c r="P92" s="41"/>
      <c r="Q92" s="41"/>
      <c r="R92" s="41"/>
      <c r="S92" s="41"/>
      <c r="T92" s="43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3"/>
      <c r="AI9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2" s="42" t="str">
        <f ca="1">IF(Июнь[[#This Row],[УСЛУГ]]&lt;&gt;"",Июнь[[#This Row],[УСЛУГ]]*Июнь[[#This Row],[Периодичность]],"")</f>
        <v/>
      </c>
    </row>
    <row r="93" spans="1:36" x14ac:dyDescent="0.25">
      <c r="A93" s="35"/>
      <c r="B93" s="36"/>
      <c r="C93" s="37">
        <v>0</v>
      </c>
      <c r="D93" s="38">
        <v>3</v>
      </c>
      <c r="E93" s="41"/>
      <c r="F93" s="43"/>
      <c r="G93" s="41"/>
      <c r="H93" s="41"/>
      <c r="I93" s="41"/>
      <c r="J93" s="41"/>
      <c r="K93" s="41"/>
      <c r="L93" s="41"/>
      <c r="M93" s="43"/>
      <c r="N93" s="41"/>
      <c r="O93" s="41"/>
      <c r="P93" s="41"/>
      <c r="Q93" s="41"/>
      <c r="R93" s="41"/>
      <c r="S93" s="41"/>
      <c r="T93" s="43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3"/>
      <c r="AI9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3" s="42" t="str">
        <f ca="1">IF(Июнь[[#This Row],[УСЛУГ]]&lt;&gt;"",Июнь[[#This Row],[УСЛУГ]]*Июнь[[#This Row],[Периодичность]],"")</f>
        <v/>
      </c>
    </row>
    <row r="94" spans="1:36" ht="31.5" x14ac:dyDescent="0.25">
      <c r="A94" s="35" t="s">
        <v>24</v>
      </c>
      <c r="B94" s="36"/>
      <c r="C94" s="37">
        <v>0</v>
      </c>
      <c r="D94" s="38">
        <v>1</v>
      </c>
      <c r="E94" s="41"/>
      <c r="F94" s="43"/>
      <c r="G94" s="41"/>
      <c r="H94" s="41"/>
      <c r="I94" s="41"/>
      <c r="J94" s="41"/>
      <c r="K94" s="41"/>
      <c r="L94" s="41"/>
      <c r="M94" s="43"/>
      <c r="N94" s="41"/>
      <c r="O94" s="41"/>
      <c r="P94" s="41"/>
      <c r="Q94" s="41"/>
      <c r="R94" s="41"/>
      <c r="S94" s="41"/>
      <c r="T94" s="43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3"/>
      <c r="AI94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94" s="42">
        <f ca="1">IF(Июнь[[#This Row],[УСЛУГ]]&lt;&gt;"",Июнь[[#This Row],[УСЛУГ]]*Июнь[[#This Row],[Периодичность]],"")</f>
        <v>0</v>
      </c>
    </row>
    <row r="95" spans="1:36" x14ac:dyDescent="0.25">
      <c r="A95" s="35"/>
      <c r="B95" s="36"/>
      <c r="C95" s="37">
        <v>0</v>
      </c>
      <c r="D95" s="38">
        <v>2</v>
      </c>
      <c r="E95" s="41"/>
      <c r="F95" s="43"/>
      <c r="G95" s="41"/>
      <c r="H95" s="41"/>
      <c r="I95" s="41"/>
      <c r="J95" s="41"/>
      <c r="K95" s="41"/>
      <c r="L95" s="41"/>
      <c r="M95" s="43"/>
      <c r="N95" s="41"/>
      <c r="O95" s="41"/>
      <c r="P95" s="41"/>
      <c r="Q95" s="41"/>
      <c r="R95" s="41"/>
      <c r="S95" s="41"/>
      <c r="T95" s="43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3"/>
      <c r="AI9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5" s="42" t="str">
        <f ca="1">IF(Июнь[[#This Row],[УСЛУГ]]&lt;&gt;"",Июнь[[#This Row],[УСЛУГ]]*Июнь[[#This Row],[Периодичность]],"")</f>
        <v/>
      </c>
    </row>
    <row r="96" spans="1:36" x14ac:dyDescent="0.25">
      <c r="A96" s="35"/>
      <c r="B96" s="36"/>
      <c r="C96" s="37">
        <v>0</v>
      </c>
      <c r="D96" s="38">
        <v>3</v>
      </c>
      <c r="E96" s="41"/>
      <c r="F96" s="43"/>
      <c r="G96" s="41"/>
      <c r="H96" s="41"/>
      <c r="I96" s="41"/>
      <c r="J96" s="41"/>
      <c r="K96" s="41"/>
      <c r="L96" s="41"/>
      <c r="M96" s="43"/>
      <c r="N96" s="41"/>
      <c r="O96" s="41"/>
      <c r="P96" s="41"/>
      <c r="Q96" s="41"/>
      <c r="R96" s="41"/>
      <c r="S96" s="41"/>
      <c r="T96" s="43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3"/>
      <c r="AI9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6" s="42" t="str">
        <f ca="1">IF(Июнь[[#This Row],[УСЛУГ]]&lt;&gt;"",Июнь[[#This Row],[УСЛУГ]]*Июнь[[#This Row],[Периодичность]],"")</f>
        <v/>
      </c>
    </row>
    <row r="97" spans="1:36" ht="31.5" x14ac:dyDescent="0.25">
      <c r="A97" s="35" t="s">
        <v>25</v>
      </c>
      <c r="B97" s="36"/>
      <c r="C97" s="37">
        <v>0</v>
      </c>
      <c r="D97" s="38">
        <v>1</v>
      </c>
      <c r="E97" s="41"/>
      <c r="F97" s="43"/>
      <c r="G97" s="41"/>
      <c r="H97" s="41"/>
      <c r="I97" s="41"/>
      <c r="J97" s="41"/>
      <c r="K97" s="41"/>
      <c r="L97" s="41"/>
      <c r="M97" s="43"/>
      <c r="N97" s="41"/>
      <c r="O97" s="41"/>
      <c r="P97" s="41"/>
      <c r="Q97" s="41"/>
      <c r="R97" s="41"/>
      <c r="S97" s="41"/>
      <c r="T97" s="43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3"/>
      <c r="AI97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97" s="42">
        <f ca="1">IF(Июнь[[#This Row],[УСЛУГ]]&lt;&gt;"",Июнь[[#This Row],[УСЛУГ]]*Июнь[[#This Row],[Периодичность]],"")</f>
        <v>0</v>
      </c>
    </row>
    <row r="98" spans="1:36" x14ac:dyDescent="0.25">
      <c r="A98" s="35"/>
      <c r="B98" s="36"/>
      <c r="C98" s="37">
        <v>0</v>
      </c>
      <c r="D98" s="38">
        <v>2</v>
      </c>
      <c r="E98" s="41"/>
      <c r="F98" s="43"/>
      <c r="G98" s="41"/>
      <c r="H98" s="41"/>
      <c r="I98" s="41"/>
      <c r="J98" s="41"/>
      <c r="K98" s="41"/>
      <c r="L98" s="41"/>
      <c r="M98" s="43"/>
      <c r="N98" s="41"/>
      <c r="O98" s="41"/>
      <c r="P98" s="41"/>
      <c r="Q98" s="41"/>
      <c r="R98" s="41"/>
      <c r="S98" s="41"/>
      <c r="T98" s="43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3"/>
      <c r="AI9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8" s="42" t="str">
        <f ca="1">IF(Июнь[[#This Row],[УСЛУГ]]&lt;&gt;"",Июнь[[#This Row],[УСЛУГ]]*Июнь[[#This Row],[Периодичность]],"")</f>
        <v/>
      </c>
    </row>
    <row r="99" spans="1:36" x14ac:dyDescent="0.25">
      <c r="A99" s="35"/>
      <c r="B99" s="36"/>
      <c r="C99" s="37">
        <v>0</v>
      </c>
      <c r="D99" s="38">
        <v>3</v>
      </c>
      <c r="E99" s="41"/>
      <c r="F99" s="43"/>
      <c r="G99" s="41"/>
      <c r="H99" s="41"/>
      <c r="I99" s="41"/>
      <c r="J99" s="41"/>
      <c r="K99" s="41"/>
      <c r="L99" s="41"/>
      <c r="M99" s="43"/>
      <c r="N99" s="41"/>
      <c r="O99" s="41"/>
      <c r="P99" s="41"/>
      <c r="Q99" s="41"/>
      <c r="R99" s="41"/>
      <c r="S99" s="41"/>
      <c r="T99" s="43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3"/>
      <c r="AI9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99" s="42" t="str">
        <f ca="1">IF(Июнь[[#This Row],[УСЛУГ]]&lt;&gt;"",Июнь[[#This Row],[УСЛУГ]]*Июнь[[#This Row],[Периодичность]],"")</f>
        <v/>
      </c>
    </row>
    <row r="100" spans="1:36" ht="47.25" x14ac:dyDescent="0.25">
      <c r="A100" s="35" t="s">
        <v>26</v>
      </c>
      <c r="B100" s="36"/>
      <c r="C100" s="37">
        <v>0</v>
      </c>
      <c r="D100" s="38">
        <v>1</v>
      </c>
      <c r="E100" s="41"/>
      <c r="F100" s="43"/>
      <c r="G100" s="41"/>
      <c r="H100" s="41"/>
      <c r="I100" s="41"/>
      <c r="J100" s="41"/>
      <c r="K100" s="41"/>
      <c r="L100" s="41"/>
      <c r="M100" s="43"/>
      <c r="N100" s="41"/>
      <c r="O100" s="41"/>
      <c r="P100" s="41"/>
      <c r="Q100" s="41"/>
      <c r="R100" s="41"/>
      <c r="S100" s="41"/>
      <c r="T100" s="43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3"/>
      <c r="AI100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00" s="42">
        <f ca="1">IF(Июнь[[#This Row],[УСЛУГ]]&lt;&gt;"",Июнь[[#This Row],[УСЛУГ]]*Июнь[[#This Row],[Периодичность]],"")</f>
        <v>0</v>
      </c>
    </row>
    <row r="101" spans="1:36" x14ac:dyDescent="0.25">
      <c r="A101" s="35"/>
      <c r="B101" s="36"/>
      <c r="C101" s="37">
        <v>0</v>
      </c>
      <c r="D101" s="38">
        <v>2</v>
      </c>
      <c r="E101" s="41"/>
      <c r="F101" s="43"/>
      <c r="G101" s="41"/>
      <c r="H101" s="41"/>
      <c r="I101" s="41"/>
      <c r="J101" s="41"/>
      <c r="K101" s="41"/>
      <c r="L101" s="41"/>
      <c r="M101" s="43"/>
      <c r="N101" s="41"/>
      <c r="O101" s="41"/>
      <c r="P101" s="41"/>
      <c r="Q101" s="41"/>
      <c r="R101" s="41"/>
      <c r="S101" s="41"/>
      <c r="T101" s="43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3"/>
      <c r="AI10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1" s="42" t="str">
        <f ca="1">IF(Июнь[[#This Row],[УСЛУГ]]&lt;&gt;"",Июнь[[#This Row],[УСЛУГ]]*Июнь[[#This Row],[Периодичность]],"")</f>
        <v/>
      </c>
    </row>
    <row r="102" spans="1:36" x14ac:dyDescent="0.25">
      <c r="A102" s="35"/>
      <c r="B102" s="36"/>
      <c r="C102" s="37">
        <v>0</v>
      </c>
      <c r="D102" s="38">
        <v>3</v>
      </c>
      <c r="E102" s="41"/>
      <c r="F102" s="43"/>
      <c r="G102" s="41"/>
      <c r="H102" s="41"/>
      <c r="I102" s="41"/>
      <c r="J102" s="41"/>
      <c r="K102" s="41"/>
      <c r="L102" s="41"/>
      <c r="M102" s="43"/>
      <c r="N102" s="41"/>
      <c r="O102" s="41"/>
      <c r="P102" s="41"/>
      <c r="Q102" s="41"/>
      <c r="R102" s="41"/>
      <c r="S102" s="41"/>
      <c r="T102" s="43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3"/>
      <c r="AI10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2" s="42" t="str">
        <f ca="1">IF(Июнь[[#This Row],[УСЛУГ]]&lt;&gt;"",Июнь[[#This Row],[УСЛУГ]]*Июнь[[#This Row],[Периодичность]],"")</f>
        <v/>
      </c>
    </row>
    <row r="103" spans="1:36" ht="31.5" x14ac:dyDescent="0.25">
      <c r="A103" s="35" t="s">
        <v>27</v>
      </c>
      <c r="B103" s="36"/>
      <c r="C103" s="37">
        <v>0</v>
      </c>
      <c r="D103" s="38">
        <v>1</v>
      </c>
      <c r="E103" s="41"/>
      <c r="F103" s="43"/>
      <c r="G103" s="41"/>
      <c r="H103" s="41"/>
      <c r="I103" s="41"/>
      <c r="J103" s="41"/>
      <c r="K103" s="41"/>
      <c r="L103" s="41"/>
      <c r="M103" s="43"/>
      <c r="N103" s="41"/>
      <c r="O103" s="41"/>
      <c r="P103" s="41"/>
      <c r="Q103" s="41"/>
      <c r="R103" s="41"/>
      <c r="S103" s="41"/>
      <c r="T103" s="43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3"/>
      <c r="AI103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03" s="42">
        <f ca="1">IF(Июнь[[#This Row],[УСЛУГ]]&lt;&gt;"",Июнь[[#This Row],[УСЛУГ]]*Июнь[[#This Row],[Периодичность]],"")</f>
        <v>0</v>
      </c>
    </row>
    <row r="104" spans="1:36" x14ac:dyDescent="0.25">
      <c r="A104" s="35"/>
      <c r="B104" s="36"/>
      <c r="C104" s="37">
        <v>0</v>
      </c>
      <c r="D104" s="38">
        <v>2</v>
      </c>
      <c r="E104" s="41"/>
      <c r="F104" s="43"/>
      <c r="G104" s="41"/>
      <c r="H104" s="41"/>
      <c r="I104" s="41"/>
      <c r="J104" s="41"/>
      <c r="K104" s="41"/>
      <c r="L104" s="41"/>
      <c r="M104" s="43"/>
      <c r="N104" s="41"/>
      <c r="O104" s="41"/>
      <c r="P104" s="41"/>
      <c r="Q104" s="41"/>
      <c r="R104" s="41"/>
      <c r="S104" s="41"/>
      <c r="T104" s="43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3"/>
      <c r="AI10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4" s="42" t="str">
        <f ca="1">IF(Июнь[[#This Row],[УСЛУГ]]&lt;&gt;"",Июнь[[#This Row],[УСЛУГ]]*Июнь[[#This Row],[Периодичность]],"")</f>
        <v/>
      </c>
    </row>
    <row r="105" spans="1:36" x14ac:dyDescent="0.25">
      <c r="A105" s="35"/>
      <c r="B105" s="36"/>
      <c r="C105" s="37">
        <v>0</v>
      </c>
      <c r="D105" s="38">
        <v>3</v>
      </c>
      <c r="E105" s="41"/>
      <c r="F105" s="43"/>
      <c r="G105" s="41"/>
      <c r="H105" s="41"/>
      <c r="I105" s="41"/>
      <c r="J105" s="41"/>
      <c r="K105" s="41"/>
      <c r="L105" s="41"/>
      <c r="M105" s="43"/>
      <c r="N105" s="41"/>
      <c r="O105" s="41"/>
      <c r="P105" s="41"/>
      <c r="Q105" s="41"/>
      <c r="R105" s="41"/>
      <c r="S105" s="41"/>
      <c r="T105" s="43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3"/>
      <c r="AI10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5" s="42" t="str">
        <f ca="1">IF(Июнь[[#This Row],[УСЛУГ]]&lt;&gt;"",Июнь[[#This Row],[УСЛУГ]]*Июнь[[#This Row],[Периодичность]],"")</f>
        <v/>
      </c>
    </row>
    <row r="106" spans="1:36" ht="47.25" x14ac:dyDescent="0.25">
      <c r="A106" s="35" t="s">
        <v>28</v>
      </c>
      <c r="B106" s="36"/>
      <c r="C106" s="37">
        <v>0</v>
      </c>
      <c r="D106" s="38">
        <v>1</v>
      </c>
      <c r="E106" s="41"/>
      <c r="F106" s="43"/>
      <c r="G106" s="41"/>
      <c r="H106" s="41"/>
      <c r="I106" s="41"/>
      <c r="J106" s="41"/>
      <c r="K106" s="41"/>
      <c r="L106" s="41"/>
      <c r="M106" s="43"/>
      <c r="N106" s="41"/>
      <c r="O106" s="41"/>
      <c r="P106" s="41"/>
      <c r="Q106" s="41"/>
      <c r="R106" s="41"/>
      <c r="S106" s="41"/>
      <c r="T106" s="43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3"/>
      <c r="AI106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06" s="42">
        <f ca="1">IF(Июнь[[#This Row],[УСЛУГ]]&lt;&gt;"",Июнь[[#This Row],[УСЛУГ]]*Июнь[[#This Row],[Периодичность]],"")</f>
        <v>0</v>
      </c>
    </row>
    <row r="107" spans="1:36" x14ac:dyDescent="0.25">
      <c r="A107" s="35"/>
      <c r="B107" s="36"/>
      <c r="C107" s="37">
        <v>0</v>
      </c>
      <c r="D107" s="38">
        <v>2</v>
      </c>
      <c r="E107" s="41"/>
      <c r="F107" s="43"/>
      <c r="G107" s="41"/>
      <c r="H107" s="41"/>
      <c r="I107" s="41"/>
      <c r="J107" s="41"/>
      <c r="K107" s="41"/>
      <c r="L107" s="41"/>
      <c r="M107" s="43"/>
      <c r="N107" s="41"/>
      <c r="O107" s="41"/>
      <c r="P107" s="41"/>
      <c r="Q107" s="41"/>
      <c r="R107" s="41"/>
      <c r="S107" s="41"/>
      <c r="T107" s="43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3"/>
      <c r="AI10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7" s="42" t="str">
        <f ca="1">IF(Июнь[[#This Row],[УСЛУГ]]&lt;&gt;"",Июнь[[#This Row],[УСЛУГ]]*Июнь[[#This Row],[Периодичность]],"")</f>
        <v/>
      </c>
    </row>
    <row r="108" spans="1:36" x14ac:dyDescent="0.25">
      <c r="A108" s="35"/>
      <c r="B108" s="36"/>
      <c r="C108" s="37">
        <v>0</v>
      </c>
      <c r="D108" s="38">
        <v>3</v>
      </c>
      <c r="E108" s="41"/>
      <c r="F108" s="43"/>
      <c r="G108" s="41"/>
      <c r="H108" s="41"/>
      <c r="I108" s="41"/>
      <c r="J108" s="41"/>
      <c r="K108" s="41"/>
      <c r="L108" s="41"/>
      <c r="M108" s="43"/>
      <c r="N108" s="41"/>
      <c r="O108" s="41"/>
      <c r="P108" s="41"/>
      <c r="Q108" s="41"/>
      <c r="R108" s="41"/>
      <c r="S108" s="41"/>
      <c r="T108" s="43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3"/>
      <c r="AI10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08" s="42" t="str">
        <f ca="1">IF(Июнь[[#This Row],[УСЛУГ]]&lt;&gt;"",Июнь[[#This Row],[УСЛУГ]]*Июнь[[#This Row],[Периодичность]],"")</f>
        <v/>
      </c>
    </row>
    <row r="109" spans="1:36" ht="31.5" x14ac:dyDescent="0.25">
      <c r="A109" s="35" t="s">
        <v>29</v>
      </c>
      <c r="B109" s="36"/>
      <c r="C109" s="37">
        <v>0</v>
      </c>
      <c r="D109" s="38">
        <v>1</v>
      </c>
      <c r="E109" s="41"/>
      <c r="F109" s="43"/>
      <c r="G109" s="41"/>
      <c r="H109" s="41"/>
      <c r="I109" s="41"/>
      <c r="J109" s="41"/>
      <c r="K109" s="41"/>
      <c r="L109" s="41"/>
      <c r="M109" s="43"/>
      <c r="N109" s="41"/>
      <c r="O109" s="41"/>
      <c r="P109" s="41"/>
      <c r="Q109" s="41"/>
      <c r="R109" s="41"/>
      <c r="S109" s="41"/>
      <c r="T109" s="43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3"/>
      <c r="AI109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09" s="42">
        <f ca="1">IF(Июнь[[#This Row],[УСЛУГ]]&lt;&gt;"",Июнь[[#This Row],[УСЛУГ]]*Июнь[[#This Row],[Периодичность]],"")</f>
        <v>0</v>
      </c>
    </row>
    <row r="110" spans="1:36" x14ac:dyDescent="0.25">
      <c r="A110" s="35"/>
      <c r="B110" s="36"/>
      <c r="C110" s="37">
        <v>0</v>
      </c>
      <c r="D110" s="38">
        <v>2</v>
      </c>
      <c r="E110" s="41"/>
      <c r="F110" s="43"/>
      <c r="G110" s="41"/>
      <c r="H110" s="41"/>
      <c r="I110" s="41"/>
      <c r="J110" s="41"/>
      <c r="K110" s="41"/>
      <c r="L110" s="41"/>
      <c r="M110" s="43"/>
      <c r="N110" s="41"/>
      <c r="O110" s="41"/>
      <c r="P110" s="41"/>
      <c r="Q110" s="41"/>
      <c r="R110" s="41"/>
      <c r="S110" s="41"/>
      <c r="T110" s="43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3"/>
      <c r="AI11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0" s="42" t="str">
        <f ca="1">IF(Июнь[[#This Row],[УСЛУГ]]&lt;&gt;"",Июнь[[#This Row],[УСЛУГ]]*Июнь[[#This Row],[Периодичность]],"")</f>
        <v/>
      </c>
    </row>
    <row r="111" spans="1:36" x14ac:dyDescent="0.25">
      <c r="A111" s="35"/>
      <c r="B111" s="36"/>
      <c r="C111" s="37">
        <v>0</v>
      </c>
      <c r="D111" s="38">
        <v>3</v>
      </c>
      <c r="E111" s="41"/>
      <c r="F111" s="43"/>
      <c r="G111" s="41"/>
      <c r="H111" s="41"/>
      <c r="I111" s="41"/>
      <c r="J111" s="41"/>
      <c r="K111" s="41"/>
      <c r="L111" s="41"/>
      <c r="M111" s="43"/>
      <c r="N111" s="41"/>
      <c r="O111" s="41"/>
      <c r="P111" s="41"/>
      <c r="Q111" s="41"/>
      <c r="R111" s="41"/>
      <c r="S111" s="41"/>
      <c r="T111" s="43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3"/>
      <c r="AI11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1" s="42" t="str">
        <f ca="1">IF(Июнь[[#This Row],[УСЛУГ]]&lt;&gt;"",Июнь[[#This Row],[УСЛУГ]]*Июнь[[#This Row],[Периодичность]],"")</f>
        <v/>
      </c>
    </row>
    <row r="112" spans="1:36" ht="47.25" x14ac:dyDescent="0.25">
      <c r="A112" s="35" t="s">
        <v>30</v>
      </c>
      <c r="B112" s="36"/>
      <c r="C112" s="37">
        <v>0</v>
      </c>
      <c r="D112" s="38">
        <v>1</v>
      </c>
      <c r="E112" s="41"/>
      <c r="F112" s="43"/>
      <c r="G112" s="41"/>
      <c r="H112" s="41"/>
      <c r="I112" s="41"/>
      <c r="J112" s="41"/>
      <c r="K112" s="41"/>
      <c r="L112" s="41"/>
      <c r="M112" s="43"/>
      <c r="N112" s="41"/>
      <c r="O112" s="41"/>
      <c r="P112" s="41"/>
      <c r="Q112" s="41"/>
      <c r="R112" s="41"/>
      <c r="S112" s="41"/>
      <c r="T112" s="43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3"/>
      <c r="AI112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12" s="42">
        <f ca="1">IF(Июнь[[#This Row],[УСЛУГ]]&lt;&gt;"",Июнь[[#This Row],[УСЛУГ]]*Июнь[[#This Row],[Периодичность]],"")</f>
        <v>0</v>
      </c>
    </row>
    <row r="113" spans="1:36" x14ac:dyDescent="0.25">
      <c r="A113" s="35"/>
      <c r="B113" s="36"/>
      <c r="C113" s="37">
        <v>0</v>
      </c>
      <c r="D113" s="38">
        <v>2</v>
      </c>
      <c r="E113" s="41"/>
      <c r="F113" s="43"/>
      <c r="G113" s="41"/>
      <c r="H113" s="41"/>
      <c r="I113" s="41"/>
      <c r="J113" s="41"/>
      <c r="K113" s="41"/>
      <c r="L113" s="41"/>
      <c r="M113" s="43"/>
      <c r="N113" s="41"/>
      <c r="O113" s="41"/>
      <c r="P113" s="41"/>
      <c r="Q113" s="41"/>
      <c r="R113" s="41"/>
      <c r="S113" s="41"/>
      <c r="T113" s="43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3"/>
      <c r="AI11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3" s="42" t="str">
        <f ca="1">IF(Июнь[[#This Row],[УСЛУГ]]&lt;&gt;"",Июнь[[#This Row],[УСЛУГ]]*Июнь[[#This Row],[Периодичность]],"")</f>
        <v/>
      </c>
    </row>
    <row r="114" spans="1:36" x14ac:dyDescent="0.25">
      <c r="A114" s="35"/>
      <c r="B114" s="36"/>
      <c r="C114" s="37">
        <v>0</v>
      </c>
      <c r="D114" s="38">
        <v>3</v>
      </c>
      <c r="E114" s="41"/>
      <c r="F114" s="43"/>
      <c r="G114" s="41"/>
      <c r="H114" s="41"/>
      <c r="I114" s="41"/>
      <c r="J114" s="41"/>
      <c r="K114" s="41"/>
      <c r="L114" s="41"/>
      <c r="M114" s="43"/>
      <c r="N114" s="41"/>
      <c r="O114" s="41"/>
      <c r="P114" s="41"/>
      <c r="Q114" s="41"/>
      <c r="R114" s="41"/>
      <c r="S114" s="41"/>
      <c r="T114" s="43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3"/>
      <c r="AI11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4" s="42" t="str">
        <f ca="1">IF(Июнь[[#This Row],[УСЛУГ]]&lt;&gt;"",Июнь[[#This Row],[УСЛУГ]]*Июнь[[#This Row],[Периодичность]],"")</f>
        <v/>
      </c>
    </row>
    <row r="115" spans="1:36" ht="47.25" x14ac:dyDescent="0.25">
      <c r="A115" s="35" t="s">
        <v>77</v>
      </c>
      <c r="B115" s="36"/>
      <c r="C115" s="37">
        <v>0</v>
      </c>
      <c r="D115" s="38">
        <v>1</v>
      </c>
      <c r="E115" s="41"/>
      <c r="F115" s="43"/>
      <c r="G115" s="41"/>
      <c r="H115" s="41"/>
      <c r="I115" s="41"/>
      <c r="J115" s="41"/>
      <c r="K115" s="41"/>
      <c r="L115" s="41"/>
      <c r="M115" s="43"/>
      <c r="N115" s="41"/>
      <c r="O115" s="41"/>
      <c r="P115" s="41"/>
      <c r="Q115" s="41"/>
      <c r="R115" s="41"/>
      <c r="S115" s="41"/>
      <c r="T115" s="43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3"/>
      <c r="AI115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15" s="42">
        <f ca="1">IF(Июнь[[#This Row],[УСЛУГ]]&lt;&gt;"",Июнь[[#This Row],[УСЛУГ]]*Июнь[[#This Row],[Периодичность]],"")</f>
        <v>0</v>
      </c>
    </row>
    <row r="116" spans="1:36" x14ac:dyDescent="0.25">
      <c r="A116" s="35"/>
      <c r="B116" s="36"/>
      <c r="C116" s="37">
        <v>0</v>
      </c>
      <c r="D116" s="38">
        <v>2</v>
      </c>
      <c r="E116" s="41"/>
      <c r="F116" s="43"/>
      <c r="G116" s="41"/>
      <c r="H116" s="41"/>
      <c r="I116" s="41"/>
      <c r="J116" s="41"/>
      <c r="K116" s="41"/>
      <c r="L116" s="41"/>
      <c r="M116" s="43"/>
      <c r="N116" s="41"/>
      <c r="O116" s="41"/>
      <c r="P116" s="41"/>
      <c r="Q116" s="41"/>
      <c r="R116" s="41"/>
      <c r="S116" s="41"/>
      <c r="T116" s="43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3"/>
      <c r="AI11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6" s="42" t="str">
        <f ca="1">IF(Июнь[[#This Row],[УСЛУГ]]&lt;&gt;"",Июнь[[#This Row],[УСЛУГ]]*Июнь[[#This Row],[Периодичность]],"")</f>
        <v/>
      </c>
    </row>
    <row r="117" spans="1:36" x14ac:dyDescent="0.25">
      <c r="A117" s="35"/>
      <c r="B117" s="36"/>
      <c r="C117" s="37">
        <v>0</v>
      </c>
      <c r="D117" s="38">
        <v>3</v>
      </c>
      <c r="E117" s="41"/>
      <c r="F117" s="43"/>
      <c r="G117" s="41"/>
      <c r="H117" s="41"/>
      <c r="I117" s="41"/>
      <c r="J117" s="41"/>
      <c r="K117" s="41"/>
      <c r="L117" s="41"/>
      <c r="M117" s="43"/>
      <c r="N117" s="41"/>
      <c r="O117" s="41"/>
      <c r="P117" s="41"/>
      <c r="Q117" s="41"/>
      <c r="R117" s="41"/>
      <c r="S117" s="41"/>
      <c r="T117" s="43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3"/>
      <c r="AI11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7" s="42" t="str">
        <f ca="1">IF(Июнь[[#This Row],[УСЛУГ]]&lt;&gt;"",Июнь[[#This Row],[УСЛУГ]]*Июнь[[#This Row],[Периодичность]],"")</f>
        <v/>
      </c>
    </row>
    <row r="118" spans="1:36" ht="63" x14ac:dyDescent="0.25">
      <c r="A118" s="35" t="s">
        <v>146</v>
      </c>
      <c r="B118" s="36"/>
      <c r="C118" s="37">
        <v>0</v>
      </c>
      <c r="D118" s="38">
        <v>1</v>
      </c>
      <c r="E118" s="41"/>
      <c r="F118" s="43"/>
      <c r="G118" s="41"/>
      <c r="H118" s="41"/>
      <c r="I118" s="41"/>
      <c r="J118" s="41"/>
      <c r="K118" s="41"/>
      <c r="L118" s="41"/>
      <c r="M118" s="43"/>
      <c r="N118" s="41"/>
      <c r="O118" s="41"/>
      <c r="P118" s="41"/>
      <c r="Q118" s="41"/>
      <c r="R118" s="41"/>
      <c r="S118" s="41"/>
      <c r="T118" s="43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3"/>
      <c r="AI118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18" s="42">
        <f ca="1">IF(Июнь[[#This Row],[УСЛУГ]]&lt;&gt;"",Июнь[[#This Row],[УСЛУГ]]*Июнь[[#This Row],[Периодичность]],"")</f>
        <v>0</v>
      </c>
    </row>
    <row r="119" spans="1:36" x14ac:dyDescent="0.25">
      <c r="A119" s="35"/>
      <c r="B119" s="36"/>
      <c r="C119" s="37">
        <v>0</v>
      </c>
      <c r="D119" s="38">
        <v>2</v>
      </c>
      <c r="E119" s="41"/>
      <c r="F119" s="43"/>
      <c r="G119" s="41"/>
      <c r="H119" s="41"/>
      <c r="I119" s="41"/>
      <c r="J119" s="41"/>
      <c r="K119" s="41"/>
      <c r="L119" s="41"/>
      <c r="M119" s="43"/>
      <c r="N119" s="41"/>
      <c r="O119" s="41"/>
      <c r="P119" s="41"/>
      <c r="Q119" s="41"/>
      <c r="R119" s="41"/>
      <c r="S119" s="41"/>
      <c r="T119" s="43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3"/>
      <c r="AI11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19" s="42" t="str">
        <f ca="1">IF(Июнь[[#This Row],[УСЛУГ]]&lt;&gt;"",Июнь[[#This Row],[УСЛУГ]]*Июнь[[#This Row],[Периодичность]],"")</f>
        <v/>
      </c>
    </row>
    <row r="120" spans="1:36" x14ac:dyDescent="0.25">
      <c r="A120" s="35"/>
      <c r="B120" s="36"/>
      <c r="C120" s="37">
        <v>0</v>
      </c>
      <c r="D120" s="38">
        <v>3</v>
      </c>
      <c r="E120" s="41"/>
      <c r="F120" s="43"/>
      <c r="G120" s="41"/>
      <c r="H120" s="41"/>
      <c r="I120" s="41"/>
      <c r="J120" s="41"/>
      <c r="K120" s="41"/>
      <c r="L120" s="41"/>
      <c r="M120" s="43"/>
      <c r="N120" s="41"/>
      <c r="O120" s="41"/>
      <c r="P120" s="41"/>
      <c r="Q120" s="41"/>
      <c r="R120" s="41"/>
      <c r="S120" s="41"/>
      <c r="T120" s="43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3"/>
      <c r="AI12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0" s="42" t="str">
        <f ca="1">IF(Июнь[[#This Row],[УСЛУГ]]&lt;&gt;"",Июнь[[#This Row],[УСЛУГ]]*Июнь[[#This Row],[Периодичность]],"")</f>
        <v/>
      </c>
    </row>
    <row r="121" spans="1:36" ht="47.25" x14ac:dyDescent="0.25">
      <c r="A121" s="35" t="s">
        <v>76</v>
      </c>
      <c r="B121" s="36"/>
      <c r="C121" s="37">
        <v>0</v>
      </c>
      <c r="D121" s="38">
        <v>1</v>
      </c>
      <c r="E121" s="41"/>
      <c r="F121" s="43"/>
      <c r="G121" s="41"/>
      <c r="H121" s="41"/>
      <c r="I121" s="41"/>
      <c r="J121" s="41"/>
      <c r="K121" s="41"/>
      <c r="L121" s="41"/>
      <c r="M121" s="43"/>
      <c r="N121" s="41"/>
      <c r="O121" s="41"/>
      <c r="P121" s="41"/>
      <c r="Q121" s="41"/>
      <c r="R121" s="41"/>
      <c r="S121" s="41"/>
      <c r="T121" s="43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3"/>
      <c r="AI121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21" s="42">
        <f ca="1">IF(Июнь[[#This Row],[УСЛУГ]]&lt;&gt;"",Июнь[[#This Row],[УСЛУГ]]*Июнь[[#This Row],[Периодичность]],"")</f>
        <v>0</v>
      </c>
    </row>
    <row r="122" spans="1:36" x14ac:dyDescent="0.25">
      <c r="A122" s="35"/>
      <c r="B122" s="36"/>
      <c r="C122" s="37">
        <v>0</v>
      </c>
      <c r="D122" s="38">
        <v>2</v>
      </c>
      <c r="E122" s="41"/>
      <c r="F122" s="43"/>
      <c r="G122" s="41"/>
      <c r="H122" s="41"/>
      <c r="I122" s="41"/>
      <c r="J122" s="41"/>
      <c r="K122" s="41"/>
      <c r="L122" s="41"/>
      <c r="M122" s="43"/>
      <c r="N122" s="41"/>
      <c r="O122" s="41"/>
      <c r="P122" s="41"/>
      <c r="Q122" s="41"/>
      <c r="R122" s="41"/>
      <c r="S122" s="41"/>
      <c r="T122" s="43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3"/>
      <c r="AI12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2" s="42" t="str">
        <f ca="1">IF(Июнь[[#This Row],[УСЛУГ]]&lt;&gt;"",Июнь[[#This Row],[УСЛУГ]]*Июнь[[#This Row],[Периодичность]],"")</f>
        <v/>
      </c>
    </row>
    <row r="123" spans="1:36" x14ac:dyDescent="0.25">
      <c r="A123" s="35"/>
      <c r="B123" s="36"/>
      <c r="C123" s="37">
        <v>0</v>
      </c>
      <c r="D123" s="38">
        <v>3</v>
      </c>
      <c r="E123" s="41"/>
      <c r="F123" s="43"/>
      <c r="G123" s="41"/>
      <c r="H123" s="41"/>
      <c r="I123" s="41"/>
      <c r="J123" s="41"/>
      <c r="K123" s="41"/>
      <c r="L123" s="41"/>
      <c r="M123" s="43"/>
      <c r="N123" s="41"/>
      <c r="O123" s="41"/>
      <c r="P123" s="41"/>
      <c r="Q123" s="41"/>
      <c r="R123" s="41"/>
      <c r="S123" s="41"/>
      <c r="T123" s="43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3"/>
      <c r="AI12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3" s="42" t="str">
        <f ca="1">IF(Июнь[[#This Row],[УСЛУГ]]&lt;&gt;"",Июнь[[#This Row],[УСЛУГ]]*Июнь[[#This Row],[Периодичность]],"")</f>
        <v/>
      </c>
    </row>
    <row r="124" spans="1:36" ht="47.25" x14ac:dyDescent="0.25">
      <c r="A124" s="35" t="s">
        <v>147</v>
      </c>
      <c r="B124" s="36"/>
      <c r="C124" s="37">
        <v>0</v>
      </c>
      <c r="D124" s="38">
        <v>1</v>
      </c>
      <c r="E124" s="41"/>
      <c r="F124" s="43"/>
      <c r="G124" s="41"/>
      <c r="H124" s="41"/>
      <c r="I124" s="41"/>
      <c r="J124" s="41"/>
      <c r="K124" s="41"/>
      <c r="L124" s="41"/>
      <c r="M124" s="43"/>
      <c r="N124" s="41"/>
      <c r="O124" s="41"/>
      <c r="P124" s="41"/>
      <c r="Q124" s="41"/>
      <c r="R124" s="41"/>
      <c r="S124" s="41"/>
      <c r="T124" s="43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3"/>
      <c r="AI124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24" s="42">
        <f ca="1">IF(Июнь[[#This Row],[УСЛУГ]]&lt;&gt;"",Июнь[[#This Row],[УСЛУГ]]*Июнь[[#This Row],[Периодичность]],"")</f>
        <v>0</v>
      </c>
    </row>
    <row r="125" spans="1:36" x14ac:dyDescent="0.25">
      <c r="A125" s="35"/>
      <c r="B125" s="36"/>
      <c r="C125" s="37">
        <v>0</v>
      </c>
      <c r="D125" s="38">
        <v>2</v>
      </c>
      <c r="E125" s="41"/>
      <c r="F125" s="43"/>
      <c r="G125" s="41"/>
      <c r="H125" s="41"/>
      <c r="I125" s="41"/>
      <c r="J125" s="41"/>
      <c r="K125" s="41"/>
      <c r="L125" s="41"/>
      <c r="M125" s="43"/>
      <c r="N125" s="41"/>
      <c r="O125" s="41"/>
      <c r="P125" s="41"/>
      <c r="Q125" s="41"/>
      <c r="R125" s="41"/>
      <c r="S125" s="41"/>
      <c r="T125" s="43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3"/>
      <c r="AI12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5" s="42" t="str">
        <f ca="1">IF(Июнь[[#This Row],[УСЛУГ]]&lt;&gt;"",Июнь[[#This Row],[УСЛУГ]]*Июнь[[#This Row],[Периодичность]],"")</f>
        <v/>
      </c>
    </row>
    <row r="126" spans="1:36" x14ac:dyDescent="0.25">
      <c r="A126" s="35"/>
      <c r="B126" s="36"/>
      <c r="C126" s="37">
        <v>0</v>
      </c>
      <c r="D126" s="38">
        <v>3</v>
      </c>
      <c r="E126" s="41"/>
      <c r="F126" s="43"/>
      <c r="G126" s="41"/>
      <c r="H126" s="41"/>
      <c r="I126" s="41"/>
      <c r="J126" s="41"/>
      <c r="K126" s="41"/>
      <c r="L126" s="41"/>
      <c r="M126" s="43"/>
      <c r="N126" s="41"/>
      <c r="O126" s="41"/>
      <c r="P126" s="41"/>
      <c r="Q126" s="41"/>
      <c r="R126" s="41"/>
      <c r="S126" s="41"/>
      <c r="T126" s="43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3"/>
      <c r="AI12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6" s="42" t="str">
        <f ca="1">IF(Июнь[[#This Row],[УСЛУГ]]&lt;&gt;"",Июнь[[#This Row],[УСЛУГ]]*Июнь[[#This Row],[Периодичность]],"")</f>
        <v/>
      </c>
    </row>
    <row r="127" spans="1:36" ht="47.25" x14ac:dyDescent="0.25">
      <c r="A127" s="35" t="s">
        <v>148</v>
      </c>
      <c r="B127" s="36"/>
      <c r="C127" s="37">
        <v>0</v>
      </c>
      <c r="D127" s="38">
        <v>1</v>
      </c>
      <c r="E127" s="41"/>
      <c r="F127" s="43"/>
      <c r="G127" s="41"/>
      <c r="H127" s="41"/>
      <c r="I127" s="41"/>
      <c r="J127" s="41"/>
      <c r="K127" s="41"/>
      <c r="L127" s="41"/>
      <c r="M127" s="43"/>
      <c r="N127" s="41"/>
      <c r="O127" s="41"/>
      <c r="P127" s="41"/>
      <c r="Q127" s="41"/>
      <c r="R127" s="41"/>
      <c r="S127" s="41"/>
      <c r="T127" s="43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3"/>
      <c r="AI127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27" s="42">
        <f ca="1">IF(Июнь[[#This Row],[УСЛУГ]]&lt;&gt;"",Июнь[[#This Row],[УСЛУГ]]*Июнь[[#This Row],[Периодичность]],"")</f>
        <v>0</v>
      </c>
    </row>
    <row r="128" spans="1:36" x14ac:dyDescent="0.25">
      <c r="A128" s="35"/>
      <c r="B128" s="36"/>
      <c r="C128" s="37">
        <v>0</v>
      </c>
      <c r="D128" s="38">
        <v>2</v>
      </c>
      <c r="E128" s="41"/>
      <c r="F128" s="43"/>
      <c r="G128" s="41"/>
      <c r="H128" s="41"/>
      <c r="I128" s="41"/>
      <c r="J128" s="41"/>
      <c r="K128" s="41"/>
      <c r="L128" s="41"/>
      <c r="M128" s="43"/>
      <c r="N128" s="41"/>
      <c r="O128" s="41"/>
      <c r="P128" s="41"/>
      <c r="Q128" s="41"/>
      <c r="R128" s="41"/>
      <c r="S128" s="41"/>
      <c r="T128" s="43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3"/>
      <c r="AI12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8" s="42" t="str">
        <f ca="1">IF(Июнь[[#This Row],[УСЛУГ]]&lt;&gt;"",Июнь[[#This Row],[УСЛУГ]]*Июнь[[#This Row],[Периодичность]],"")</f>
        <v/>
      </c>
    </row>
    <row r="129" spans="1:36" x14ac:dyDescent="0.25">
      <c r="A129" s="35"/>
      <c r="B129" s="36"/>
      <c r="C129" s="37">
        <v>0</v>
      </c>
      <c r="D129" s="38">
        <v>3</v>
      </c>
      <c r="E129" s="41"/>
      <c r="F129" s="43"/>
      <c r="G129" s="41"/>
      <c r="H129" s="41"/>
      <c r="I129" s="41"/>
      <c r="J129" s="41"/>
      <c r="K129" s="41"/>
      <c r="L129" s="41"/>
      <c r="M129" s="43"/>
      <c r="N129" s="41"/>
      <c r="O129" s="41"/>
      <c r="P129" s="41"/>
      <c r="Q129" s="41"/>
      <c r="R129" s="41"/>
      <c r="S129" s="41"/>
      <c r="T129" s="43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3"/>
      <c r="AI12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29" s="42" t="str">
        <f ca="1">IF(Июнь[[#This Row],[УСЛУГ]]&lt;&gt;"",Июнь[[#This Row],[УСЛУГ]]*Июнь[[#This Row],[Периодичность]],"")</f>
        <v/>
      </c>
    </row>
    <row r="130" spans="1:36" ht="31.5" x14ac:dyDescent="0.25">
      <c r="A130" s="35" t="s">
        <v>36</v>
      </c>
      <c r="B130" s="36"/>
      <c r="C130" s="37">
        <v>0</v>
      </c>
      <c r="D130" s="38">
        <v>1</v>
      </c>
      <c r="E130" s="41"/>
      <c r="F130" s="43"/>
      <c r="G130" s="41"/>
      <c r="H130" s="41"/>
      <c r="I130" s="41"/>
      <c r="J130" s="41"/>
      <c r="K130" s="41"/>
      <c r="L130" s="41"/>
      <c r="M130" s="43"/>
      <c r="N130" s="41"/>
      <c r="O130" s="41"/>
      <c r="P130" s="41"/>
      <c r="Q130" s="41"/>
      <c r="R130" s="41"/>
      <c r="S130" s="41"/>
      <c r="T130" s="43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3"/>
      <c r="AI130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30" s="42">
        <f ca="1">IF(Июнь[[#This Row],[УСЛУГ]]&lt;&gt;"",Июнь[[#This Row],[УСЛУГ]]*Июнь[[#This Row],[Периодичность]],"")</f>
        <v>0</v>
      </c>
    </row>
    <row r="131" spans="1:36" x14ac:dyDescent="0.25">
      <c r="A131" s="35"/>
      <c r="B131" s="36"/>
      <c r="C131" s="37">
        <v>0</v>
      </c>
      <c r="D131" s="38">
        <v>2</v>
      </c>
      <c r="E131" s="41"/>
      <c r="F131" s="43"/>
      <c r="G131" s="41"/>
      <c r="H131" s="41"/>
      <c r="I131" s="41"/>
      <c r="J131" s="41"/>
      <c r="K131" s="41"/>
      <c r="L131" s="41"/>
      <c r="M131" s="43"/>
      <c r="N131" s="41"/>
      <c r="O131" s="41"/>
      <c r="P131" s="41"/>
      <c r="Q131" s="41"/>
      <c r="R131" s="41"/>
      <c r="S131" s="41"/>
      <c r="T131" s="43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3"/>
      <c r="AI13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1" s="42" t="str">
        <f ca="1">IF(Июнь[[#This Row],[УСЛУГ]]&lt;&gt;"",Июнь[[#This Row],[УСЛУГ]]*Июнь[[#This Row],[Периодичность]],"")</f>
        <v/>
      </c>
    </row>
    <row r="132" spans="1:36" x14ac:dyDescent="0.25">
      <c r="A132" s="35"/>
      <c r="B132" s="36"/>
      <c r="C132" s="37">
        <v>0</v>
      </c>
      <c r="D132" s="38">
        <v>3</v>
      </c>
      <c r="E132" s="41"/>
      <c r="F132" s="43"/>
      <c r="G132" s="41"/>
      <c r="H132" s="41"/>
      <c r="I132" s="41"/>
      <c r="J132" s="41"/>
      <c r="K132" s="41"/>
      <c r="L132" s="41"/>
      <c r="M132" s="43"/>
      <c r="N132" s="41"/>
      <c r="O132" s="41"/>
      <c r="P132" s="41"/>
      <c r="Q132" s="41"/>
      <c r="R132" s="41"/>
      <c r="S132" s="41"/>
      <c r="T132" s="43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3"/>
      <c r="AI13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2" s="42" t="str">
        <f ca="1">IF(Июнь[[#This Row],[УСЛУГ]]&lt;&gt;"",Июнь[[#This Row],[УСЛУГ]]*Июнь[[#This Row],[Периодичность]],"")</f>
        <v/>
      </c>
    </row>
    <row r="133" spans="1:36" ht="31.5" x14ac:dyDescent="0.25">
      <c r="A133" s="35" t="s">
        <v>37</v>
      </c>
      <c r="B133" s="36"/>
      <c r="C133" s="37">
        <v>0</v>
      </c>
      <c r="D133" s="38">
        <v>1</v>
      </c>
      <c r="E133" s="41"/>
      <c r="F133" s="43"/>
      <c r="G133" s="41"/>
      <c r="H133" s="41"/>
      <c r="I133" s="41"/>
      <c r="J133" s="41"/>
      <c r="K133" s="41"/>
      <c r="L133" s="41"/>
      <c r="M133" s="43"/>
      <c r="N133" s="41"/>
      <c r="O133" s="41"/>
      <c r="P133" s="41"/>
      <c r="Q133" s="41"/>
      <c r="R133" s="41"/>
      <c r="S133" s="41"/>
      <c r="T133" s="43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3"/>
      <c r="AI133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33" s="42">
        <f ca="1">IF(Июнь[[#This Row],[УСЛУГ]]&lt;&gt;"",Июнь[[#This Row],[УСЛУГ]]*Июнь[[#This Row],[Периодичность]],"")</f>
        <v>0</v>
      </c>
    </row>
    <row r="134" spans="1:36" x14ac:dyDescent="0.25">
      <c r="A134" s="35"/>
      <c r="B134" s="36"/>
      <c r="C134" s="37">
        <v>0</v>
      </c>
      <c r="D134" s="38">
        <v>2</v>
      </c>
      <c r="E134" s="41"/>
      <c r="F134" s="43"/>
      <c r="G134" s="41"/>
      <c r="H134" s="41"/>
      <c r="I134" s="41"/>
      <c r="J134" s="41"/>
      <c r="K134" s="41"/>
      <c r="L134" s="41"/>
      <c r="M134" s="43"/>
      <c r="N134" s="41"/>
      <c r="O134" s="41"/>
      <c r="P134" s="41"/>
      <c r="Q134" s="41"/>
      <c r="R134" s="41"/>
      <c r="S134" s="41"/>
      <c r="T134" s="43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3"/>
      <c r="AI13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4" s="42" t="str">
        <f ca="1">IF(Июнь[[#This Row],[УСЛУГ]]&lt;&gt;"",Июнь[[#This Row],[УСЛУГ]]*Июнь[[#This Row],[Периодичность]],"")</f>
        <v/>
      </c>
    </row>
    <row r="135" spans="1:36" x14ac:dyDescent="0.25">
      <c r="A135" s="35"/>
      <c r="B135" s="36"/>
      <c r="C135" s="37">
        <v>0</v>
      </c>
      <c r="D135" s="38">
        <v>3</v>
      </c>
      <c r="E135" s="41"/>
      <c r="F135" s="43"/>
      <c r="G135" s="41"/>
      <c r="H135" s="41"/>
      <c r="I135" s="41"/>
      <c r="J135" s="41"/>
      <c r="K135" s="41"/>
      <c r="L135" s="41"/>
      <c r="M135" s="43"/>
      <c r="N135" s="41"/>
      <c r="O135" s="41"/>
      <c r="P135" s="41"/>
      <c r="Q135" s="41"/>
      <c r="R135" s="41"/>
      <c r="S135" s="41"/>
      <c r="T135" s="43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3"/>
      <c r="AI13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5" s="42" t="str">
        <f ca="1">IF(Июнь[[#This Row],[УСЛУГ]]&lt;&gt;"",Июнь[[#This Row],[УСЛУГ]]*Июнь[[#This Row],[Периодичность]],"")</f>
        <v/>
      </c>
    </row>
    <row r="136" spans="1:36" x14ac:dyDescent="0.25">
      <c r="A136" s="35" t="s">
        <v>38</v>
      </c>
      <c r="B136" s="36"/>
      <c r="C136" s="37">
        <v>0</v>
      </c>
      <c r="D136" s="38">
        <v>1</v>
      </c>
      <c r="E136" s="41"/>
      <c r="F136" s="43"/>
      <c r="G136" s="41"/>
      <c r="H136" s="41"/>
      <c r="I136" s="41"/>
      <c r="J136" s="41"/>
      <c r="K136" s="41"/>
      <c r="L136" s="41"/>
      <c r="M136" s="43"/>
      <c r="N136" s="41"/>
      <c r="O136" s="41"/>
      <c r="P136" s="41"/>
      <c r="Q136" s="41"/>
      <c r="R136" s="41"/>
      <c r="S136" s="41"/>
      <c r="T136" s="43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3"/>
      <c r="AI136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36" s="42">
        <f ca="1">IF(Июнь[[#This Row],[УСЛУГ]]&lt;&gt;"",Июнь[[#This Row],[УСЛУГ]]*Июнь[[#This Row],[Периодичность]],"")</f>
        <v>0</v>
      </c>
    </row>
    <row r="137" spans="1:36" x14ac:dyDescent="0.25">
      <c r="A137" s="35"/>
      <c r="B137" s="36"/>
      <c r="C137" s="37">
        <v>0</v>
      </c>
      <c r="D137" s="38">
        <v>2</v>
      </c>
      <c r="E137" s="41"/>
      <c r="F137" s="43"/>
      <c r="G137" s="41"/>
      <c r="H137" s="41"/>
      <c r="I137" s="41"/>
      <c r="J137" s="41"/>
      <c r="K137" s="41"/>
      <c r="L137" s="41"/>
      <c r="M137" s="43"/>
      <c r="N137" s="41"/>
      <c r="O137" s="41"/>
      <c r="P137" s="41"/>
      <c r="Q137" s="41"/>
      <c r="R137" s="41"/>
      <c r="S137" s="41"/>
      <c r="T137" s="43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3"/>
      <c r="AI13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7" s="42" t="str">
        <f ca="1">IF(Июнь[[#This Row],[УСЛУГ]]&lt;&gt;"",Июнь[[#This Row],[УСЛУГ]]*Июнь[[#This Row],[Периодичность]],"")</f>
        <v/>
      </c>
    </row>
    <row r="138" spans="1:36" x14ac:dyDescent="0.25">
      <c r="A138" s="35"/>
      <c r="B138" s="36"/>
      <c r="C138" s="37">
        <v>0</v>
      </c>
      <c r="D138" s="38">
        <v>3</v>
      </c>
      <c r="E138" s="41"/>
      <c r="F138" s="43"/>
      <c r="G138" s="41"/>
      <c r="H138" s="41"/>
      <c r="I138" s="41"/>
      <c r="J138" s="41"/>
      <c r="K138" s="41"/>
      <c r="L138" s="41"/>
      <c r="M138" s="43"/>
      <c r="N138" s="41"/>
      <c r="O138" s="41"/>
      <c r="P138" s="41"/>
      <c r="Q138" s="41"/>
      <c r="R138" s="41"/>
      <c r="S138" s="41"/>
      <c r="T138" s="43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3"/>
      <c r="AI13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38" s="42" t="str">
        <f ca="1">IF(Июнь[[#This Row],[УСЛУГ]]&lt;&gt;"",Июнь[[#This Row],[УСЛУГ]]*Июнь[[#This Row],[Периодичность]],"")</f>
        <v/>
      </c>
    </row>
    <row r="139" spans="1:36" ht="31.5" x14ac:dyDescent="0.25">
      <c r="A139" s="35" t="s">
        <v>39</v>
      </c>
      <c r="B139" s="36"/>
      <c r="C139" s="37">
        <v>0</v>
      </c>
      <c r="D139" s="38">
        <v>1</v>
      </c>
      <c r="E139" s="41"/>
      <c r="F139" s="43"/>
      <c r="G139" s="41"/>
      <c r="H139" s="41"/>
      <c r="I139" s="41"/>
      <c r="J139" s="41"/>
      <c r="K139" s="41"/>
      <c r="L139" s="41"/>
      <c r="M139" s="43"/>
      <c r="N139" s="41"/>
      <c r="O139" s="41"/>
      <c r="P139" s="41"/>
      <c r="Q139" s="41"/>
      <c r="R139" s="41"/>
      <c r="S139" s="41"/>
      <c r="T139" s="43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3"/>
      <c r="AI139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39" s="42">
        <f ca="1">IF(Июнь[[#This Row],[УСЛУГ]]&lt;&gt;"",Июнь[[#This Row],[УСЛУГ]]*Июнь[[#This Row],[Периодичность]],"")</f>
        <v>0</v>
      </c>
    </row>
    <row r="140" spans="1:36" x14ac:dyDescent="0.25">
      <c r="A140" s="35"/>
      <c r="B140" s="36"/>
      <c r="C140" s="37">
        <v>0</v>
      </c>
      <c r="D140" s="38">
        <v>2</v>
      </c>
      <c r="E140" s="41"/>
      <c r="F140" s="43"/>
      <c r="G140" s="41"/>
      <c r="H140" s="41"/>
      <c r="I140" s="41"/>
      <c r="J140" s="41"/>
      <c r="K140" s="41"/>
      <c r="L140" s="41"/>
      <c r="M140" s="43"/>
      <c r="N140" s="41"/>
      <c r="O140" s="41"/>
      <c r="P140" s="41"/>
      <c r="Q140" s="41"/>
      <c r="R140" s="41"/>
      <c r="S140" s="41"/>
      <c r="T140" s="43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3"/>
      <c r="AI14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0" s="42" t="str">
        <f ca="1">IF(Июнь[[#This Row],[УСЛУГ]]&lt;&gt;"",Июнь[[#This Row],[УСЛУГ]]*Июнь[[#This Row],[Периодичность]],"")</f>
        <v/>
      </c>
    </row>
    <row r="141" spans="1:36" x14ac:dyDescent="0.25">
      <c r="A141" s="35"/>
      <c r="B141" s="36"/>
      <c r="C141" s="37">
        <v>0</v>
      </c>
      <c r="D141" s="38">
        <v>3</v>
      </c>
      <c r="E141" s="41"/>
      <c r="F141" s="43"/>
      <c r="G141" s="41"/>
      <c r="H141" s="41"/>
      <c r="I141" s="41"/>
      <c r="J141" s="41"/>
      <c r="K141" s="41"/>
      <c r="L141" s="41"/>
      <c r="M141" s="43"/>
      <c r="N141" s="41"/>
      <c r="O141" s="41"/>
      <c r="P141" s="41"/>
      <c r="Q141" s="41"/>
      <c r="R141" s="41"/>
      <c r="S141" s="41"/>
      <c r="T141" s="43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3"/>
      <c r="AI14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1" s="42" t="str">
        <f ca="1">IF(Июнь[[#This Row],[УСЛУГ]]&lt;&gt;"",Июнь[[#This Row],[УСЛУГ]]*Июнь[[#This Row],[Периодичность]],"")</f>
        <v/>
      </c>
    </row>
    <row r="142" spans="1:36" ht="47.25" x14ac:dyDescent="0.25">
      <c r="A142" s="35" t="s">
        <v>149</v>
      </c>
      <c r="B142" s="36"/>
      <c r="C142" s="37">
        <v>0</v>
      </c>
      <c r="D142" s="38">
        <v>1</v>
      </c>
      <c r="E142" s="41"/>
      <c r="F142" s="43"/>
      <c r="G142" s="41"/>
      <c r="H142" s="41"/>
      <c r="I142" s="41"/>
      <c r="J142" s="41"/>
      <c r="K142" s="41"/>
      <c r="L142" s="41"/>
      <c r="M142" s="43"/>
      <c r="N142" s="41"/>
      <c r="O142" s="41"/>
      <c r="P142" s="41"/>
      <c r="Q142" s="41"/>
      <c r="R142" s="41"/>
      <c r="S142" s="41"/>
      <c r="T142" s="43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3"/>
      <c r="AI142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42" s="42">
        <f ca="1">IF(Июнь[[#This Row],[УСЛУГ]]&lt;&gt;"",Июнь[[#This Row],[УСЛУГ]]*Июнь[[#This Row],[Периодичность]],"")</f>
        <v>0</v>
      </c>
    </row>
    <row r="143" spans="1:36" x14ac:dyDescent="0.25">
      <c r="A143" s="35"/>
      <c r="B143" s="36"/>
      <c r="C143" s="37">
        <v>0</v>
      </c>
      <c r="D143" s="38">
        <v>2</v>
      </c>
      <c r="E143" s="41"/>
      <c r="F143" s="43"/>
      <c r="G143" s="41"/>
      <c r="H143" s="41"/>
      <c r="I143" s="41"/>
      <c r="J143" s="41"/>
      <c r="K143" s="41"/>
      <c r="L143" s="41"/>
      <c r="M143" s="43"/>
      <c r="N143" s="41"/>
      <c r="O143" s="41"/>
      <c r="P143" s="41"/>
      <c r="Q143" s="41"/>
      <c r="R143" s="41"/>
      <c r="S143" s="41"/>
      <c r="T143" s="43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3"/>
      <c r="AI14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3" s="42" t="str">
        <f ca="1">IF(Июнь[[#This Row],[УСЛУГ]]&lt;&gt;"",Июнь[[#This Row],[УСЛУГ]]*Июнь[[#This Row],[Периодичность]],"")</f>
        <v/>
      </c>
    </row>
    <row r="144" spans="1:36" x14ac:dyDescent="0.25">
      <c r="A144" s="35"/>
      <c r="B144" s="36"/>
      <c r="C144" s="37">
        <v>0</v>
      </c>
      <c r="D144" s="38">
        <v>3</v>
      </c>
      <c r="E144" s="41"/>
      <c r="F144" s="43"/>
      <c r="G144" s="41"/>
      <c r="H144" s="41"/>
      <c r="I144" s="41"/>
      <c r="J144" s="41"/>
      <c r="K144" s="41"/>
      <c r="L144" s="41"/>
      <c r="M144" s="43"/>
      <c r="N144" s="41"/>
      <c r="O144" s="41"/>
      <c r="P144" s="41"/>
      <c r="Q144" s="41"/>
      <c r="R144" s="41"/>
      <c r="S144" s="41"/>
      <c r="T144" s="43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3"/>
      <c r="AI14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4" s="42" t="str">
        <f ca="1">IF(Июнь[[#This Row],[УСЛУГ]]&lt;&gt;"",Июнь[[#This Row],[УСЛУГ]]*Июнь[[#This Row],[Периодичность]],"")</f>
        <v/>
      </c>
    </row>
    <row r="145" spans="1:36" ht="47.25" x14ac:dyDescent="0.25">
      <c r="A145" s="35" t="s">
        <v>150</v>
      </c>
      <c r="B145" s="36"/>
      <c r="C145" s="37">
        <v>0</v>
      </c>
      <c r="D145" s="38">
        <v>1</v>
      </c>
      <c r="E145" s="41"/>
      <c r="F145" s="43"/>
      <c r="G145" s="41"/>
      <c r="H145" s="41"/>
      <c r="I145" s="41"/>
      <c r="J145" s="41"/>
      <c r="K145" s="41"/>
      <c r="L145" s="41"/>
      <c r="M145" s="43"/>
      <c r="N145" s="41"/>
      <c r="O145" s="41"/>
      <c r="P145" s="41"/>
      <c r="Q145" s="41"/>
      <c r="R145" s="41"/>
      <c r="S145" s="41"/>
      <c r="T145" s="43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3"/>
      <c r="AI145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45" s="42">
        <f ca="1">IF(Июнь[[#This Row],[УСЛУГ]]&lt;&gt;"",Июнь[[#This Row],[УСЛУГ]]*Июнь[[#This Row],[Периодичность]],"")</f>
        <v>0</v>
      </c>
    </row>
    <row r="146" spans="1:36" x14ac:dyDescent="0.25">
      <c r="A146" s="35"/>
      <c r="B146" s="36"/>
      <c r="C146" s="37">
        <v>0</v>
      </c>
      <c r="D146" s="38">
        <v>2</v>
      </c>
      <c r="E146" s="41"/>
      <c r="F146" s="43"/>
      <c r="G146" s="41"/>
      <c r="H146" s="41"/>
      <c r="I146" s="41"/>
      <c r="J146" s="41"/>
      <c r="K146" s="41"/>
      <c r="L146" s="41"/>
      <c r="M146" s="43"/>
      <c r="N146" s="41"/>
      <c r="O146" s="41"/>
      <c r="P146" s="41"/>
      <c r="Q146" s="41"/>
      <c r="R146" s="41"/>
      <c r="S146" s="41"/>
      <c r="T146" s="43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3"/>
      <c r="AI14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6" s="42" t="str">
        <f ca="1">IF(Июнь[[#This Row],[УСЛУГ]]&lt;&gt;"",Июнь[[#This Row],[УСЛУГ]]*Июнь[[#This Row],[Периодичность]],"")</f>
        <v/>
      </c>
    </row>
    <row r="147" spans="1:36" x14ac:dyDescent="0.25">
      <c r="A147" s="35"/>
      <c r="B147" s="36"/>
      <c r="C147" s="37">
        <v>0</v>
      </c>
      <c r="D147" s="38">
        <v>3</v>
      </c>
      <c r="E147" s="41"/>
      <c r="F147" s="43"/>
      <c r="G147" s="41"/>
      <c r="H147" s="41"/>
      <c r="I147" s="41"/>
      <c r="J147" s="41"/>
      <c r="K147" s="41"/>
      <c r="L147" s="41"/>
      <c r="M147" s="43"/>
      <c r="N147" s="41"/>
      <c r="O147" s="41"/>
      <c r="P147" s="41"/>
      <c r="Q147" s="41"/>
      <c r="R147" s="41"/>
      <c r="S147" s="41"/>
      <c r="T147" s="43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3"/>
      <c r="AI14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7" s="42" t="str">
        <f ca="1">IF(Июнь[[#This Row],[УСЛУГ]]&lt;&gt;"",Июнь[[#This Row],[УСЛУГ]]*Июнь[[#This Row],[Периодичность]],"")</f>
        <v/>
      </c>
    </row>
    <row r="148" spans="1:36" ht="47.25" x14ac:dyDescent="0.25">
      <c r="A148" s="35" t="s">
        <v>151</v>
      </c>
      <c r="B148" s="36"/>
      <c r="C148" s="37">
        <v>0</v>
      </c>
      <c r="D148" s="38">
        <v>1</v>
      </c>
      <c r="E148" s="41"/>
      <c r="F148" s="43"/>
      <c r="G148" s="41"/>
      <c r="H148" s="41"/>
      <c r="I148" s="41"/>
      <c r="J148" s="41"/>
      <c r="K148" s="41"/>
      <c r="L148" s="41"/>
      <c r="M148" s="43"/>
      <c r="N148" s="41"/>
      <c r="O148" s="41"/>
      <c r="P148" s="41"/>
      <c r="Q148" s="41"/>
      <c r="R148" s="41"/>
      <c r="S148" s="41"/>
      <c r="T148" s="43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3"/>
      <c r="AI148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48" s="42">
        <f ca="1">IF(Июнь[[#This Row],[УСЛУГ]]&lt;&gt;"",Июнь[[#This Row],[УСЛУГ]]*Июнь[[#This Row],[Периодичность]],"")</f>
        <v>0</v>
      </c>
    </row>
    <row r="149" spans="1:36" x14ac:dyDescent="0.25">
      <c r="A149" s="35"/>
      <c r="B149" s="36"/>
      <c r="C149" s="37">
        <v>0</v>
      </c>
      <c r="D149" s="38">
        <v>2</v>
      </c>
      <c r="E149" s="41"/>
      <c r="F149" s="43"/>
      <c r="G149" s="41"/>
      <c r="H149" s="41"/>
      <c r="I149" s="41"/>
      <c r="J149" s="41"/>
      <c r="K149" s="41"/>
      <c r="L149" s="41"/>
      <c r="M149" s="43"/>
      <c r="N149" s="41"/>
      <c r="O149" s="41"/>
      <c r="P149" s="41"/>
      <c r="Q149" s="41"/>
      <c r="R149" s="41"/>
      <c r="S149" s="41"/>
      <c r="T149" s="43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3"/>
      <c r="AI14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49" s="42" t="str">
        <f ca="1">IF(Июнь[[#This Row],[УСЛУГ]]&lt;&gt;"",Июнь[[#This Row],[УСЛУГ]]*Июнь[[#This Row],[Периодичность]],"")</f>
        <v/>
      </c>
    </row>
    <row r="150" spans="1:36" x14ac:dyDescent="0.25">
      <c r="A150" s="35"/>
      <c r="B150" s="36"/>
      <c r="C150" s="37">
        <v>0</v>
      </c>
      <c r="D150" s="38">
        <v>3</v>
      </c>
      <c r="E150" s="41"/>
      <c r="F150" s="43"/>
      <c r="G150" s="41"/>
      <c r="H150" s="41"/>
      <c r="I150" s="41"/>
      <c r="J150" s="41"/>
      <c r="K150" s="41"/>
      <c r="L150" s="41"/>
      <c r="M150" s="43"/>
      <c r="N150" s="41"/>
      <c r="O150" s="41"/>
      <c r="P150" s="41"/>
      <c r="Q150" s="41"/>
      <c r="R150" s="41"/>
      <c r="S150" s="41"/>
      <c r="T150" s="43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3"/>
      <c r="AI15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0" s="42" t="str">
        <f ca="1">IF(Июнь[[#This Row],[УСЛУГ]]&lt;&gt;"",Июнь[[#This Row],[УСЛУГ]]*Июнь[[#This Row],[Периодичность]],"")</f>
        <v/>
      </c>
    </row>
    <row r="151" spans="1:36" ht="47.25" x14ac:dyDescent="0.25">
      <c r="A151" s="35" t="s">
        <v>75</v>
      </c>
      <c r="B151" s="36"/>
      <c r="C151" s="37">
        <v>0</v>
      </c>
      <c r="D151" s="38">
        <v>1</v>
      </c>
      <c r="E151" s="41"/>
      <c r="F151" s="43"/>
      <c r="G151" s="41"/>
      <c r="H151" s="41"/>
      <c r="I151" s="41"/>
      <c r="J151" s="41"/>
      <c r="K151" s="41"/>
      <c r="L151" s="41"/>
      <c r="M151" s="43"/>
      <c r="N151" s="41"/>
      <c r="O151" s="41"/>
      <c r="P151" s="41"/>
      <c r="Q151" s="41"/>
      <c r="R151" s="41"/>
      <c r="S151" s="41"/>
      <c r="T151" s="43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3"/>
      <c r="AI151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51" s="42">
        <f ca="1">IF(Июнь[[#This Row],[УСЛУГ]]&lt;&gt;"",Июнь[[#This Row],[УСЛУГ]]*Июнь[[#This Row],[Периодичность]],"")</f>
        <v>0</v>
      </c>
    </row>
    <row r="152" spans="1:36" x14ac:dyDescent="0.25">
      <c r="A152" s="35"/>
      <c r="B152" s="36"/>
      <c r="C152" s="37">
        <v>0</v>
      </c>
      <c r="D152" s="38">
        <v>2</v>
      </c>
      <c r="E152" s="41"/>
      <c r="F152" s="43"/>
      <c r="G152" s="41"/>
      <c r="H152" s="41"/>
      <c r="I152" s="41"/>
      <c r="J152" s="41"/>
      <c r="K152" s="41"/>
      <c r="L152" s="41"/>
      <c r="M152" s="43"/>
      <c r="N152" s="41"/>
      <c r="O152" s="41"/>
      <c r="P152" s="41"/>
      <c r="Q152" s="41"/>
      <c r="R152" s="41"/>
      <c r="S152" s="41"/>
      <c r="T152" s="43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3"/>
      <c r="AI15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2" s="42" t="str">
        <f ca="1">IF(Июнь[[#This Row],[УСЛУГ]]&lt;&gt;"",Июнь[[#This Row],[УСЛУГ]]*Июнь[[#This Row],[Периодичность]],"")</f>
        <v/>
      </c>
    </row>
    <row r="153" spans="1:36" x14ac:dyDescent="0.25">
      <c r="A153" s="35"/>
      <c r="B153" s="36"/>
      <c r="C153" s="37">
        <v>0</v>
      </c>
      <c r="D153" s="38">
        <v>3</v>
      </c>
      <c r="E153" s="41"/>
      <c r="F153" s="43"/>
      <c r="G153" s="41"/>
      <c r="H153" s="41"/>
      <c r="I153" s="41"/>
      <c r="J153" s="41"/>
      <c r="K153" s="41"/>
      <c r="L153" s="41"/>
      <c r="M153" s="43"/>
      <c r="N153" s="41"/>
      <c r="O153" s="41"/>
      <c r="P153" s="41"/>
      <c r="Q153" s="41"/>
      <c r="R153" s="41"/>
      <c r="S153" s="41"/>
      <c r="T153" s="43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3"/>
      <c r="AI15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3" s="42" t="str">
        <f ca="1">IF(Июнь[[#This Row],[УСЛУГ]]&lt;&gt;"",Июнь[[#This Row],[УСЛУГ]]*Июнь[[#This Row],[Периодичность]],"")</f>
        <v/>
      </c>
    </row>
    <row r="154" spans="1:36" ht="47.25" x14ac:dyDescent="0.25">
      <c r="A154" s="35" t="s">
        <v>74</v>
      </c>
      <c r="B154" s="36"/>
      <c r="C154" s="37">
        <v>0</v>
      </c>
      <c r="D154" s="38">
        <v>1</v>
      </c>
      <c r="E154" s="41"/>
      <c r="F154" s="43"/>
      <c r="G154" s="41"/>
      <c r="H154" s="41"/>
      <c r="I154" s="41"/>
      <c r="J154" s="41"/>
      <c r="K154" s="41"/>
      <c r="L154" s="41"/>
      <c r="M154" s="43"/>
      <c r="N154" s="41"/>
      <c r="O154" s="41"/>
      <c r="P154" s="41"/>
      <c r="Q154" s="41"/>
      <c r="R154" s="41"/>
      <c r="S154" s="41"/>
      <c r="T154" s="43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3"/>
      <c r="AI154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54" s="42">
        <f ca="1">IF(Июнь[[#This Row],[УСЛУГ]]&lt;&gt;"",Июнь[[#This Row],[УСЛУГ]]*Июнь[[#This Row],[Периодичность]],"")</f>
        <v>0</v>
      </c>
    </row>
    <row r="155" spans="1:36" x14ac:dyDescent="0.25">
      <c r="A155" s="35"/>
      <c r="B155" s="36"/>
      <c r="C155" s="37">
        <v>0</v>
      </c>
      <c r="D155" s="38">
        <v>2</v>
      </c>
      <c r="E155" s="41"/>
      <c r="F155" s="43"/>
      <c r="G155" s="41"/>
      <c r="H155" s="41"/>
      <c r="I155" s="41"/>
      <c r="J155" s="41"/>
      <c r="K155" s="41"/>
      <c r="L155" s="41"/>
      <c r="M155" s="43"/>
      <c r="N155" s="41"/>
      <c r="O155" s="41"/>
      <c r="P155" s="41"/>
      <c r="Q155" s="41"/>
      <c r="R155" s="41"/>
      <c r="S155" s="41"/>
      <c r="T155" s="43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3"/>
      <c r="AI15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5" s="42" t="str">
        <f ca="1">IF(Июнь[[#This Row],[УСЛУГ]]&lt;&gt;"",Июнь[[#This Row],[УСЛУГ]]*Июнь[[#This Row],[Периодичность]],"")</f>
        <v/>
      </c>
    </row>
    <row r="156" spans="1:36" x14ac:dyDescent="0.25">
      <c r="A156" s="35"/>
      <c r="B156" s="36"/>
      <c r="C156" s="37">
        <v>0</v>
      </c>
      <c r="D156" s="38">
        <v>3</v>
      </c>
      <c r="E156" s="41"/>
      <c r="F156" s="43"/>
      <c r="G156" s="41"/>
      <c r="H156" s="41"/>
      <c r="I156" s="41"/>
      <c r="J156" s="41"/>
      <c r="K156" s="41"/>
      <c r="L156" s="41"/>
      <c r="M156" s="43"/>
      <c r="N156" s="41"/>
      <c r="O156" s="41"/>
      <c r="P156" s="41"/>
      <c r="Q156" s="41"/>
      <c r="R156" s="41"/>
      <c r="S156" s="41"/>
      <c r="T156" s="43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3"/>
      <c r="AI156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6" s="42" t="str">
        <f ca="1">IF(Июнь[[#This Row],[УСЛУГ]]&lt;&gt;"",Июнь[[#This Row],[УСЛУГ]]*Июнь[[#This Row],[Периодичность]],"")</f>
        <v/>
      </c>
    </row>
    <row r="157" spans="1:36" ht="47.25" x14ac:dyDescent="0.25">
      <c r="A157" s="35" t="s">
        <v>152</v>
      </c>
      <c r="B157" s="36"/>
      <c r="C157" s="37">
        <v>0</v>
      </c>
      <c r="D157" s="38">
        <v>1</v>
      </c>
      <c r="E157" s="41"/>
      <c r="F157" s="43"/>
      <c r="G157" s="41"/>
      <c r="H157" s="41"/>
      <c r="I157" s="41"/>
      <c r="J157" s="41"/>
      <c r="K157" s="41"/>
      <c r="L157" s="41"/>
      <c r="M157" s="43"/>
      <c r="N157" s="41"/>
      <c r="O157" s="41"/>
      <c r="P157" s="41"/>
      <c r="Q157" s="41"/>
      <c r="R157" s="41"/>
      <c r="S157" s="41"/>
      <c r="T157" s="43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3"/>
      <c r="AI157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57" s="42">
        <f ca="1">IF(Июнь[[#This Row],[УСЛУГ]]&lt;&gt;"",Июнь[[#This Row],[УСЛУГ]]*Июнь[[#This Row],[Периодичность]],"")</f>
        <v>0</v>
      </c>
    </row>
    <row r="158" spans="1:36" x14ac:dyDescent="0.25">
      <c r="A158" s="35"/>
      <c r="B158" s="36"/>
      <c r="C158" s="37">
        <v>0</v>
      </c>
      <c r="D158" s="38">
        <v>2</v>
      </c>
      <c r="E158" s="41"/>
      <c r="F158" s="43"/>
      <c r="G158" s="41"/>
      <c r="H158" s="41"/>
      <c r="I158" s="41"/>
      <c r="J158" s="41"/>
      <c r="K158" s="41"/>
      <c r="L158" s="41"/>
      <c r="M158" s="43"/>
      <c r="N158" s="41"/>
      <c r="O158" s="41"/>
      <c r="P158" s="41"/>
      <c r="Q158" s="41"/>
      <c r="R158" s="41"/>
      <c r="S158" s="41"/>
      <c r="T158" s="43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3"/>
      <c r="AI15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8" s="42" t="str">
        <f ca="1">IF(Июнь[[#This Row],[УСЛУГ]]&lt;&gt;"",Июнь[[#This Row],[УСЛУГ]]*Июнь[[#This Row],[Периодичность]],"")</f>
        <v/>
      </c>
    </row>
    <row r="159" spans="1:36" x14ac:dyDescent="0.25">
      <c r="A159" s="35"/>
      <c r="B159" s="36"/>
      <c r="C159" s="37">
        <v>0</v>
      </c>
      <c r="D159" s="38">
        <v>3</v>
      </c>
      <c r="E159" s="41"/>
      <c r="F159" s="43"/>
      <c r="G159" s="41"/>
      <c r="H159" s="41"/>
      <c r="I159" s="41"/>
      <c r="J159" s="41"/>
      <c r="K159" s="41"/>
      <c r="L159" s="41"/>
      <c r="M159" s="43"/>
      <c r="N159" s="41"/>
      <c r="O159" s="41"/>
      <c r="P159" s="41"/>
      <c r="Q159" s="41"/>
      <c r="R159" s="41"/>
      <c r="S159" s="41"/>
      <c r="T159" s="43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3"/>
      <c r="AI159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59" s="42" t="str">
        <f ca="1">IF(Июнь[[#This Row],[УСЛУГ]]&lt;&gt;"",Июнь[[#This Row],[УСЛУГ]]*Июнь[[#This Row],[Периодичность]],"")</f>
        <v/>
      </c>
    </row>
    <row r="160" spans="1:36" ht="47.25" x14ac:dyDescent="0.25">
      <c r="A160" s="35" t="s">
        <v>153</v>
      </c>
      <c r="B160" s="36"/>
      <c r="C160" s="37">
        <v>0</v>
      </c>
      <c r="D160" s="38">
        <v>1</v>
      </c>
      <c r="E160" s="41"/>
      <c r="F160" s="43"/>
      <c r="G160" s="41"/>
      <c r="H160" s="41"/>
      <c r="I160" s="41"/>
      <c r="J160" s="41"/>
      <c r="K160" s="41"/>
      <c r="L160" s="41"/>
      <c r="M160" s="43"/>
      <c r="N160" s="41"/>
      <c r="O160" s="41"/>
      <c r="P160" s="41"/>
      <c r="Q160" s="41"/>
      <c r="R160" s="41"/>
      <c r="S160" s="41"/>
      <c r="T160" s="43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3"/>
      <c r="AI160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60" s="42">
        <f ca="1">IF(Июнь[[#This Row],[УСЛУГ]]&lt;&gt;"",Июнь[[#This Row],[УСЛУГ]]*Июнь[[#This Row],[Периодичность]],"")</f>
        <v>0</v>
      </c>
    </row>
    <row r="161" spans="1:36" x14ac:dyDescent="0.25">
      <c r="A161" s="35"/>
      <c r="B161" s="36"/>
      <c r="C161" s="37">
        <v>0</v>
      </c>
      <c r="D161" s="38">
        <v>2</v>
      </c>
      <c r="E161" s="41"/>
      <c r="F161" s="43"/>
      <c r="G161" s="41"/>
      <c r="H161" s="41"/>
      <c r="I161" s="41"/>
      <c r="J161" s="41"/>
      <c r="K161" s="41"/>
      <c r="L161" s="41"/>
      <c r="M161" s="43"/>
      <c r="N161" s="41"/>
      <c r="O161" s="41"/>
      <c r="P161" s="41"/>
      <c r="Q161" s="41"/>
      <c r="R161" s="41"/>
      <c r="S161" s="41"/>
      <c r="T161" s="43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3"/>
      <c r="AI16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1" s="42" t="str">
        <f ca="1">IF(Июнь[[#This Row],[УСЛУГ]]&lt;&gt;"",Июнь[[#This Row],[УСЛУГ]]*Июнь[[#This Row],[Периодичность]],"")</f>
        <v/>
      </c>
    </row>
    <row r="162" spans="1:36" x14ac:dyDescent="0.25">
      <c r="A162" s="35"/>
      <c r="B162" s="36"/>
      <c r="C162" s="37">
        <v>0</v>
      </c>
      <c r="D162" s="38">
        <v>3</v>
      </c>
      <c r="E162" s="41"/>
      <c r="F162" s="43"/>
      <c r="G162" s="41"/>
      <c r="H162" s="41"/>
      <c r="I162" s="41"/>
      <c r="J162" s="41"/>
      <c r="K162" s="41"/>
      <c r="L162" s="41"/>
      <c r="M162" s="43"/>
      <c r="N162" s="41"/>
      <c r="O162" s="41"/>
      <c r="P162" s="41"/>
      <c r="Q162" s="41"/>
      <c r="R162" s="41"/>
      <c r="S162" s="41"/>
      <c r="T162" s="43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3"/>
      <c r="AI162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2" s="42" t="str">
        <f ca="1">IF(Июнь[[#This Row],[УСЛУГ]]&lt;&gt;"",Июнь[[#This Row],[УСЛУГ]]*Июнь[[#This Row],[Периодичность]],"")</f>
        <v/>
      </c>
    </row>
    <row r="163" spans="1:36" ht="47.25" x14ac:dyDescent="0.25">
      <c r="A163" s="35" t="s">
        <v>154</v>
      </c>
      <c r="B163" s="36"/>
      <c r="C163" s="37">
        <v>0</v>
      </c>
      <c r="D163" s="38">
        <v>1</v>
      </c>
      <c r="E163" s="41"/>
      <c r="F163" s="43"/>
      <c r="G163" s="41"/>
      <c r="H163" s="41"/>
      <c r="I163" s="41"/>
      <c r="J163" s="41"/>
      <c r="K163" s="41"/>
      <c r="L163" s="41"/>
      <c r="M163" s="43"/>
      <c r="N163" s="41"/>
      <c r="O163" s="41"/>
      <c r="P163" s="41"/>
      <c r="Q163" s="41"/>
      <c r="R163" s="41"/>
      <c r="S163" s="41"/>
      <c r="T163" s="43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3"/>
      <c r="AI163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63" s="42">
        <f ca="1">IF(Июнь[[#This Row],[УСЛУГ]]&lt;&gt;"",Июнь[[#This Row],[УСЛУГ]]*Июнь[[#This Row],[Периодичность]],"")</f>
        <v>0</v>
      </c>
    </row>
    <row r="164" spans="1:36" x14ac:dyDescent="0.25">
      <c r="A164" s="35"/>
      <c r="B164" s="36"/>
      <c r="C164" s="37">
        <v>0</v>
      </c>
      <c r="D164" s="38">
        <v>2</v>
      </c>
      <c r="E164" s="41"/>
      <c r="F164" s="43"/>
      <c r="G164" s="41"/>
      <c r="H164" s="41"/>
      <c r="I164" s="41"/>
      <c r="J164" s="41"/>
      <c r="K164" s="41"/>
      <c r="L164" s="41"/>
      <c r="M164" s="43"/>
      <c r="N164" s="41"/>
      <c r="O164" s="41"/>
      <c r="P164" s="41"/>
      <c r="Q164" s="41"/>
      <c r="R164" s="41"/>
      <c r="S164" s="41"/>
      <c r="T164" s="43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3"/>
      <c r="AI16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4" s="42" t="str">
        <f ca="1">IF(Июнь[[#This Row],[УСЛУГ]]&lt;&gt;"",Июнь[[#This Row],[УСЛУГ]]*Июнь[[#This Row],[Периодичность]],"")</f>
        <v/>
      </c>
    </row>
    <row r="165" spans="1:36" x14ac:dyDescent="0.25">
      <c r="A165" s="35"/>
      <c r="B165" s="36"/>
      <c r="C165" s="37">
        <v>0</v>
      </c>
      <c r="D165" s="38">
        <v>3</v>
      </c>
      <c r="E165" s="41"/>
      <c r="F165" s="43"/>
      <c r="G165" s="41"/>
      <c r="H165" s="41"/>
      <c r="I165" s="41"/>
      <c r="J165" s="41"/>
      <c r="K165" s="41"/>
      <c r="L165" s="41"/>
      <c r="M165" s="43"/>
      <c r="N165" s="41"/>
      <c r="O165" s="41"/>
      <c r="P165" s="41"/>
      <c r="Q165" s="41"/>
      <c r="R165" s="41"/>
      <c r="S165" s="41"/>
      <c r="T165" s="43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3"/>
      <c r="AI165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5" s="42" t="str">
        <f ca="1">IF(Июнь[[#This Row],[УСЛУГ]]&lt;&gt;"",Июнь[[#This Row],[УСЛУГ]]*Июнь[[#This Row],[Периодичность]],"")</f>
        <v/>
      </c>
    </row>
    <row r="166" spans="1:36" ht="47.25" x14ac:dyDescent="0.25">
      <c r="A166" s="35" t="s">
        <v>73</v>
      </c>
      <c r="B166" s="36"/>
      <c r="C166" s="37">
        <v>0</v>
      </c>
      <c r="D166" s="38">
        <v>1</v>
      </c>
      <c r="E166" s="41"/>
      <c r="F166" s="43"/>
      <c r="G166" s="41"/>
      <c r="H166" s="41"/>
      <c r="I166" s="41"/>
      <c r="J166" s="41"/>
      <c r="K166" s="41"/>
      <c r="L166" s="41"/>
      <c r="M166" s="43"/>
      <c r="N166" s="41"/>
      <c r="O166" s="41"/>
      <c r="P166" s="41"/>
      <c r="Q166" s="41"/>
      <c r="R166" s="41"/>
      <c r="S166" s="41"/>
      <c r="T166" s="43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3"/>
      <c r="AI166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66" s="42">
        <f ca="1">IF(Июнь[[#This Row],[УСЛУГ]]&lt;&gt;"",Июнь[[#This Row],[УСЛУГ]]*Июнь[[#This Row],[Периодичность]],"")</f>
        <v>0</v>
      </c>
    </row>
    <row r="167" spans="1:36" x14ac:dyDescent="0.25">
      <c r="A167" s="35"/>
      <c r="B167" s="36"/>
      <c r="C167" s="37">
        <v>0</v>
      </c>
      <c r="D167" s="38">
        <v>2</v>
      </c>
      <c r="E167" s="41"/>
      <c r="F167" s="43"/>
      <c r="G167" s="41"/>
      <c r="H167" s="41"/>
      <c r="I167" s="41"/>
      <c r="J167" s="41"/>
      <c r="K167" s="41"/>
      <c r="L167" s="41"/>
      <c r="M167" s="43"/>
      <c r="N167" s="41"/>
      <c r="O167" s="41"/>
      <c r="P167" s="41"/>
      <c r="Q167" s="41"/>
      <c r="R167" s="41"/>
      <c r="S167" s="41"/>
      <c r="T167" s="43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3"/>
      <c r="AI167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7" s="42" t="str">
        <f ca="1">IF(Июнь[[#This Row],[УСЛУГ]]&lt;&gt;"",Июнь[[#This Row],[УСЛУГ]]*Июнь[[#This Row],[Периодичность]],"")</f>
        <v/>
      </c>
    </row>
    <row r="168" spans="1:36" x14ac:dyDescent="0.25">
      <c r="A168" s="35"/>
      <c r="B168" s="36"/>
      <c r="C168" s="37">
        <v>0</v>
      </c>
      <c r="D168" s="38">
        <v>3</v>
      </c>
      <c r="E168" s="41"/>
      <c r="F168" s="43"/>
      <c r="G168" s="41"/>
      <c r="H168" s="41"/>
      <c r="I168" s="41"/>
      <c r="J168" s="41"/>
      <c r="K168" s="41"/>
      <c r="L168" s="41"/>
      <c r="M168" s="43"/>
      <c r="N168" s="41"/>
      <c r="O168" s="41"/>
      <c r="P168" s="41"/>
      <c r="Q168" s="41"/>
      <c r="R168" s="41"/>
      <c r="S168" s="41"/>
      <c r="T168" s="43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3"/>
      <c r="AI168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68" s="42" t="str">
        <f ca="1">IF(Июнь[[#This Row],[УСЛУГ]]&lt;&gt;"",Июнь[[#This Row],[УСЛУГ]]*Июнь[[#This Row],[Периодичность]],"")</f>
        <v/>
      </c>
    </row>
    <row r="169" spans="1:36" ht="47.25" x14ac:dyDescent="0.25">
      <c r="A169" s="35" t="s">
        <v>155</v>
      </c>
      <c r="B169" s="36"/>
      <c r="C169" s="37">
        <v>0</v>
      </c>
      <c r="D169" s="38">
        <v>1</v>
      </c>
      <c r="E169" s="41"/>
      <c r="F169" s="43"/>
      <c r="G169" s="41"/>
      <c r="H169" s="41"/>
      <c r="I169" s="41"/>
      <c r="J169" s="41"/>
      <c r="K169" s="41"/>
      <c r="L169" s="41"/>
      <c r="M169" s="43"/>
      <c r="N169" s="41"/>
      <c r="O169" s="41"/>
      <c r="P169" s="41"/>
      <c r="Q169" s="41"/>
      <c r="R169" s="41"/>
      <c r="S169" s="41"/>
      <c r="T169" s="43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3"/>
      <c r="AI169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69" s="42">
        <f ca="1">IF(Июнь[[#This Row],[УСЛУГ]]&lt;&gt;"",Июнь[[#This Row],[УСЛУГ]]*Июнь[[#This Row],[Периодичность]],"")</f>
        <v>0</v>
      </c>
    </row>
    <row r="170" spans="1:36" x14ac:dyDescent="0.25">
      <c r="A170" s="35"/>
      <c r="B170" s="36"/>
      <c r="C170" s="37">
        <v>0</v>
      </c>
      <c r="D170" s="38">
        <v>2</v>
      </c>
      <c r="E170" s="41"/>
      <c r="F170" s="43"/>
      <c r="G170" s="41"/>
      <c r="H170" s="41"/>
      <c r="I170" s="41"/>
      <c r="J170" s="41"/>
      <c r="K170" s="41"/>
      <c r="L170" s="41"/>
      <c r="M170" s="43"/>
      <c r="N170" s="41"/>
      <c r="O170" s="41"/>
      <c r="P170" s="41"/>
      <c r="Q170" s="41"/>
      <c r="R170" s="41"/>
      <c r="S170" s="41"/>
      <c r="T170" s="43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3"/>
      <c r="AI170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70" s="42" t="str">
        <f ca="1">IF(Июнь[[#This Row],[УСЛУГ]]&lt;&gt;"",Июнь[[#This Row],[УСЛУГ]]*Июнь[[#This Row],[Периодичность]],"")</f>
        <v/>
      </c>
    </row>
    <row r="171" spans="1:36" x14ac:dyDescent="0.25">
      <c r="A171" s="35"/>
      <c r="B171" s="36"/>
      <c r="C171" s="37">
        <v>0</v>
      </c>
      <c r="D171" s="38">
        <v>3</v>
      </c>
      <c r="E171" s="41"/>
      <c r="F171" s="43"/>
      <c r="G171" s="41"/>
      <c r="H171" s="41"/>
      <c r="I171" s="41"/>
      <c r="J171" s="41"/>
      <c r="K171" s="41"/>
      <c r="L171" s="41"/>
      <c r="M171" s="43"/>
      <c r="N171" s="41"/>
      <c r="O171" s="41"/>
      <c r="P171" s="41"/>
      <c r="Q171" s="41"/>
      <c r="R171" s="41"/>
      <c r="S171" s="41"/>
      <c r="T171" s="43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3"/>
      <c r="AI171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71" s="42" t="str">
        <f ca="1">IF(Июнь[[#This Row],[УСЛУГ]]&lt;&gt;"",Июнь[[#This Row],[УСЛУГ]]*Июнь[[#This Row],[Периодичность]],"")</f>
        <v/>
      </c>
    </row>
    <row r="172" spans="1:36" ht="47.25" x14ac:dyDescent="0.25">
      <c r="A172" s="35" t="s">
        <v>72</v>
      </c>
      <c r="B172" s="36"/>
      <c r="C172" s="37">
        <v>0</v>
      </c>
      <c r="D172" s="38">
        <v>1</v>
      </c>
      <c r="E172" s="41"/>
      <c r="F172" s="43"/>
      <c r="G172" s="41"/>
      <c r="H172" s="41"/>
      <c r="I172" s="41"/>
      <c r="J172" s="41"/>
      <c r="K172" s="41"/>
      <c r="L172" s="41"/>
      <c r="M172" s="43"/>
      <c r="N172" s="41"/>
      <c r="O172" s="41"/>
      <c r="P172" s="41"/>
      <c r="Q172" s="41"/>
      <c r="R172" s="41"/>
      <c r="S172" s="41"/>
      <c r="T172" s="43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3"/>
      <c r="AI172" s="42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>0</v>
      </c>
      <c r="AJ172" s="42">
        <f ca="1">IF(Июнь[[#This Row],[УСЛУГ]]&lt;&gt;"",Июнь[[#This Row],[УСЛУГ]]*Июнь[[#This Row],[Периодичность]],"")</f>
        <v>0</v>
      </c>
    </row>
    <row r="173" spans="1:36" x14ac:dyDescent="0.25">
      <c r="A173" s="35"/>
      <c r="B173" s="36"/>
      <c r="C173" s="37">
        <v>0</v>
      </c>
      <c r="D173" s="38">
        <v>2</v>
      </c>
      <c r="E173" s="41"/>
      <c r="F173" s="43"/>
      <c r="G173" s="41"/>
      <c r="H173" s="41"/>
      <c r="I173" s="41"/>
      <c r="J173" s="41"/>
      <c r="K173" s="41"/>
      <c r="L173" s="41"/>
      <c r="M173" s="43"/>
      <c r="N173" s="41"/>
      <c r="O173" s="41"/>
      <c r="P173" s="41"/>
      <c r="Q173" s="41"/>
      <c r="R173" s="41"/>
      <c r="S173" s="41"/>
      <c r="T173" s="43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3"/>
      <c r="AI173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73" s="42" t="str">
        <f ca="1">IF(Июнь[[#This Row],[УСЛУГ]]&lt;&gt;"",Июнь[[#This Row],[УСЛУГ]]*Июнь[[#This Row],[Периодичность]],"")</f>
        <v/>
      </c>
    </row>
    <row r="174" spans="1:36" x14ac:dyDescent="0.25">
      <c r="A174" s="35"/>
      <c r="B174" s="36"/>
      <c r="C174" s="37">
        <v>0</v>
      </c>
      <c r="D174" s="38">
        <v>3</v>
      </c>
      <c r="E174" s="41"/>
      <c r="F174" s="43"/>
      <c r="G174" s="41"/>
      <c r="H174" s="41"/>
      <c r="I174" s="41"/>
      <c r="J174" s="41"/>
      <c r="K174" s="41"/>
      <c r="L174" s="41"/>
      <c r="M174" s="43"/>
      <c r="N174" s="41"/>
      <c r="O174" s="41"/>
      <c r="P174" s="41"/>
      <c r="Q174" s="41"/>
      <c r="R174" s="41"/>
      <c r="S174" s="41"/>
      <c r="T174" s="43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3"/>
      <c r="AI174" s="42" t="str">
        <f ca="1">IF(OFFSET(Июнь[[#This Row],[№]],1,)=2,IF(OFFSET(Июнь[[#This Row],[№]],2,)=3,SUM(Июнь[[#This Row],[1]:[30]])+SUM(OFFSET(Июнь[[#This Row],[1]:[30]],1,))+SUM(OFFSET(Июнь[[#This Row],[1]:[30]],2,)),SUM(Июнь[[#This Row],[1]:[30]])+SUM(OFFSET(Июнь[[#This Row],[1]:[30]],1,))),IF(OFFSET(Июнь[[#This Row],[№]],2,)=3,SUM(Июнь[[#This Row],[1]:[30]])+SUM(OFFSET(Июнь[[#This Row],[1]:[30]],2,)),""))</f>
        <v/>
      </c>
      <c r="AJ174" s="42" t="str">
        <f ca="1">IF(Июнь[[#This Row],[УСЛУГ]]&lt;&gt;"",Июнь[[#This Row],[УСЛУГ]]*Июнь[[#This Row],[Периодичность]],"")</f>
        <v/>
      </c>
    </row>
  </sheetData>
  <mergeCells count="20">
    <mergeCell ref="AJ7:AJ11"/>
    <mergeCell ref="E10:AH11"/>
    <mergeCell ref="A19:A23"/>
    <mergeCell ref="B19:C23"/>
    <mergeCell ref="D19:D23"/>
    <mergeCell ref="E19:AH20"/>
    <mergeCell ref="AI19:AI23"/>
    <mergeCell ref="AJ19:AJ23"/>
    <mergeCell ref="E22:AH23"/>
    <mergeCell ref="A7:A11"/>
    <mergeCell ref="B7:B11"/>
    <mergeCell ref="C7:C11"/>
    <mergeCell ref="D7:D11"/>
    <mergeCell ref="E7:AH8"/>
    <mergeCell ref="AI7:AI11"/>
    <mergeCell ref="A2:AJ2"/>
    <mergeCell ref="A3:AJ3"/>
    <mergeCell ref="J4:L4"/>
    <mergeCell ref="M4:U4"/>
    <mergeCell ref="M5:Q5"/>
  </mergeCells>
  <conditionalFormatting sqref="E9:AH9">
    <cfRule type="expression" dxfId="689" priority="2">
      <formula>WEEKDAY(E9:AH9,2)&gt;5</formula>
    </cfRule>
  </conditionalFormatting>
  <conditionalFormatting sqref="E21:AH21">
    <cfRule type="expression" dxfId="688" priority="1">
      <formula>WEEKDAY(E21:AH21,2)&gt;5</formula>
    </cfRule>
  </conditionalFormatting>
  <dataValidations count="2">
    <dataValidation type="list" allowBlank="1" showInputMessage="1" showErrorMessage="1" sqref="D25:D174">
      <formula1>INDIRECT("Посещения")</formula1>
    </dataValidation>
    <dataValidation type="list" allowBlank="1" showInputMessage="1" showErrorMessage="1" sqref="A25:A174">
      <formula1>INDIRECT("Услуги[Кратко]")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0" orientation="landscape" horizontalDpi="300" verticalDpi="300" r:id="rId1"/>
  <ignoredErrors>
    <ignoredError sqref="E13:E17 B13:B17 AI17:AJ17" calculatedColumn="1"/>
  </ignoredErrors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74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8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8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8" ht="18.75" x14ac:dyDescent="0.25">
      <c r="L5" s="12" t="s">
        <v>69</v>
      </c>
      <c r="M5" s="68" t="s">
        <v>80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54"/>
      <c r="B7" s="62" t="s">
        <v>115</v>
      </c>
      <c r="C7" s="62" t="s">
        <v>114</v>
      </c>
      <c r="D7" s="63" t="s">
        <v>61</v>
      </c>
      <c r="E7" s="48" t="s">
        <v>55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/>
      <c r="AJ7" s="44" t="s">
        <v>64</v>
      </c>
      <c r="AK7" s="45" t="s">
        <v>64</v>
      </c>
    </row>
    <row r="8" spans="1:38" x14ac:dyDescent="0.25">
      <c r="A8" s="54"/>
      <c r="B8" s="57"/>
      <c r="C8" s="57"/>
      <c r="D8" s="64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60"/>
      <c r="AJ8" s="44"/>
      <c r="AK8" s="46"/>
    </row>
    <row r="9" spans="1:38" x14ac:dyDescent="0.25">
      <c r="A9" s="54"/>
      <c r="B9" s="57"/>
      <c r="C9" s="57"/>
      <c r="D9" s="64"/>
      <c r="E9" s="23">
        <f>Настройки!E13</f>
        <v>45108</v>
      </c>
      <c r="F9" s="23">
        <f>Настройки!F13</f>
        <v>45109</v>
      </c>
      <c r="G9" s="23">
        <f>Настройки!G13</f>
        <v>45110</v>
      </c>
      <c r="H9" s="23">
        <f>Настройки!H13</f>
        <v>45111</v>
      </c>
      <c r="I9" s="23">
        <f>Настройки!I13</f>
        <v>45112</v>
      </c>
      <c r="J9" s="23">
        <f>Настройки!J13</f>
        <v>45113</v>
      </c>
      <c r="K9" s="23">
        <f>Настройки!K13</f>
        <v>45114</v>
      </c>
      <c r="L9" s="23">
        <f>Настройки!L13</f>
        <v>45115</v>
      </c>
      <c r="M9" s="23">
        <f>Настройки!M13</f>
        <v>45116</v>
      </c>
      <c r="N9" s="23">
        <f>Настройки!N13</f>
        <v>45117</v>
      </c>
      <c r="O9" s="23">
        <f>Настройки!O13</f>
        <v>45118</v>
      </c>
      <c r="P9" s="23">
        <f>Настройки!P13</f>
        <v>45119</v>
      </c>
      <c r="Q9" s="23">
        <f>Настройки!Q13</f>
        <v>45120</v>
      </c>
      <c r="R9" s="23">
        <f>Настройки!R13</f>
        <v>45121</v>
      </c>
      <c r="S9" s="23">
        <f>Настройки!S13</f>
        <v>45122</v>
      </c>
      <c r="T9" s="23">
        <f>Настройки!T13</f>
        <v>45123</v>
      </c>
      <c r="U9" s="23">
        <f>Настройки!U13</f>
        <v>45124</v>
      </c>
      <c r="V9" s="23">
        <f>Настройки!V13</f>
        <v>45125</v>
      </c>
      <c r="W9" s="23">
        <f>Настройки!W13</f>
        <v>45126</v>
      </c>
      <c r="X9" s="23">
        <f>Настройки!X13</f>
        <v>45127</v>
      </c>
      <c r="Y9" s="23">
        <f>Настройки!Y13</f>
        <v>45128</v>
      </c>
      <c r="Z9" s="23">
        <f>Настройки!Z13</f>
        <v>45129</v>
      </c>
      <c r="AA9" s="23">
        <f>Настройки!AA13</f>
        <v>45130</v>
      </c>
      <c r="AB9" s="23">
        <f>Настройки!AB13</f>
        <v>45131</v>
      </c>
      <c r="AC9" s="23">
        <f>Настройки!AC13</f>
        <v>45132</v>
      </c>
      <c r="AD9" s="23">
        <f>Настройки!AD13</f>
        <v>45133</v>
      </c>
      <c r="AE9" s="23">
        <f>Настройки!AE13</f>
        <v>45134</v>
      </c>
      <c r="AF9" s="23">
        <f>Настройки!AF13</f>
        <v>45135</v>
      </c>
      <c r="AG9" s="23">
        <f>Настройки!AG13</f>
        <v>45136</v>
      </c>
      <c r="AH9" s="23">
        <f>Настройки!AH13</f>
        <v>45137</v>
      </c>
      <c r="AI9" s="23">
        <f>Настройки!AI13</f>
        <v>45138</v>
      </c>
      <c r="AJ9" s="44"/>
      <c r="AK9" s="46"/>
    </row>
    <row r="10" spans="1:38" x14ac:dyDescent="0.25">
      <c r="A10" s="54"/>
      <c r="B10" s="57"/>
      <c r="C10" s="57"/>
      <c r="D10" s="64"/>
      <c r="E10" s="48" t="s">
        <v>54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44"/>
      <c r="AK10" s="46"/>
    </row>
    <row r="11" spans="1:38" x14ac:dyDescent="0.25">
      <c r="A11" s="62"/>
      <c r="B11" s="57"/>
      <c r="C11" s="57"/>
      <c r="D11" s="64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3"/>
      <c r="AJ11" s="44"/>
      <c r="AK11" s="47"/>
    </row>
    <row r="12" spans="1:38" ht="22.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SUMPRODUCT((Настройки!$E$27:$AI$27=1)*E16:AI16)</f>
        <v>0</v>
      </c>
      <c r="D13" s="5">
        <v>1</v>
      </c>
      <c r="E13" s="30">
        <f>SUMPRODUCT((Июль[№]=1)*Июль[1],Июль[Периодичность])</f>
        <v>0</v>
      </c>
      <c r="F13" s="30">
        <f>SUMPRODUCT((Июль[№]=1)*Июль[2],Июль[Периодичность])</f>
        <v>0</v>
      </c>
      <c r="G13" s="30">
        <f>SUMPRODUCT((Июль[№]=1)*Июль[3],Июль[Периодичность])</f>
        <v>0</v>
      </c>
      <c r="H13" s="30">
        <f>SUMPRODUCT((Июль[№]=1)*Июль[4],Июль[Периодичность])</f>
        <v>0</v>
      </c>
      <c r="I13" s="30">
        <f>SUMPRODUCT((Июль[№]=1)*Июль[5],Июль[Периодичность])</f>
        <v>0</v>
      </c>
      <c r="J13" s="30">
        <f>SUMPRODUCT((Июль[№]=1)*Июль[6],Июль[Периодичность])</f>
        <v>0</v>
      </c>
      <c r="K13" s="30">
        <f>SUMPRODUCT((Июль[№]=1)*Июль[7],Июль[Периодичность])</f>
        <v>0</v>
      </c>
      <c r="L13" s="30">
        <f>SUMPRODUCT((Июль[№]=1)*Июль[8],Июль[Периодичность])</f>
        <v>0</v>
      </c>
      <c r="M13" s="30">
        <f>SUMPRODUCT((Июль[№]=1)*Июль[9],Июль[Периодичность])</f>
        <v>0</v>
      </c>
      <c r="N13" s="30">
        <f>SUMPRODUCT((Июль[№]=1)*Июль[10],Июль[Периодичность])</f>
        <v>0</v>
      </c>
      <c r="O13" s="30">
        <f>SUMPRODUCT((Июль[№]=1)*Июль[11],Июль[Периодичность])</f>
        <v>0</v>
      </c>
      <c r="P13" s="30">
        <f>SUMPRODUCT((Июль[№]=1)*Июль[12],Июль[Периодичность])</f>
        <v>0</v>
      </c>
      <c r="Q13" s="30">
        <f>SUMPRODUCT((Июль[№]=1)*Июль[13],Июль[Периодичность])</f>
        <v>0</v>
      </c>
      <c r="R13" s="30">
        <f>SUMPRODUCT((Июль[№]=1)*Июль[14],Июль[Периодичность])</f>
        <v>0</v>
      </c>
      <c r="S13" s="30">
        <f>SUMPRODUCT((Июль[№]=1)*Июль[15],Июль[Периодичность])</f>
        <v>0</v>
      </c>
      <c r="T13" s="30">
        <f>SUMPRODUCT((Июль[№]=1)*Июль[16],Июль[Периодичность])</f>
        <v>0</v>
      </c>
      <c r="U13" s="30">
        <f>SUMPRODUCT((Июль[№]=1)*Июль[17],Июль[Периодичность])</f>
        <v>0</v>
      </c>
      <c r="V13" s="30">
        <f>SUMPRODUCT((Июль[№]=1)*Июль[18],Июль[Периодичность])</f>
        <v>0</v>
      </c>
      <c r="W13" s="30">
        <f>SUMPRODUCT((Июль[№]=1)*Июль[19],Июль[Периодичность])</f>
        <v>0</v>
      </c>
      <c r="X13" s="30">
        <f>SUMPRODUCT((Июль[№]=1)*Июль[20],Июль[Периодичность])</f>
        <v>0</v>
      </c>
      <c r="Y13" s="30">
        <f>SUMPRODUCT((Июль[№]=1)*Июль[21],Июль[Периодичность])</f>
        <v>0</v>
      </c>
      <c r="Z13" s="30">
        <f>SUMPRODUCT((Июль[№]=1)*Июль[22],Июль[Периодичность])</f>
        <v>0</v>
      </c>
      <c r="AA13" s="30">
        <f>SUMPRODUCT((Июль[№]=1)*Июль[23],Июль[Периодичность])</f>
        <v>0</v>
      </c>
      <c r="AB13" s="30">
        <f>SUMPRODUCT((Июль[№]=1)*Июль[24],Июль[Периодичность])</f>
        <v>0</v>
      </c>
      <c r="AC13" s="30">
        <f>SUMPRODUCT((Июль[№]=1)*Июль[25],Июль[Периодичность])</f>
        <v>0</v>
      </c>
      <c r="AD13" s="30">
        <f>SUMPRODUCT((Июль[№]=1)*Июль[26],Июль[Периодичность])</f>
        <v>0</v>
      </c>
      <c r="AE13" s="30">
        <f>SUMPRODUCT((Июль[№]=1)*Июль[27],Июль[Периодичность])</f>
        <v>0</v>
      </c>
      <c r="AF13" s="30">
        <f>SUMPRODUCT((Июль[№]=1)*Июль[28],Июль[Периодичность])</f>
        <v>0</v>
      </c>
      <c r="AG13" s="30">
        <f>SUMPRODUCT((Июль[№]=1)*Июль[29],Июль[Периодичность])</f>
        <v>0</v>
      </c>
      <c r="AH13" s="30">
        <f>SUMPRODUCT((Июль[№]=1)*Июль[30],Июль[Периодичность])</f>
        <v>0</v>
      </c>
      <c r="AI13" s="30">
        <f>SUMPRODUCT((Июль[№]=1)*Июль[31],Июль[Периодичность])</f>
        <v>0</v>
      </c>
      <c r="AL13" s="4"/>
    </row>
    <row r="14" spans="1:38" x14ac:dyDescent="0.25">
      <c r="B14" s="3">
        <f>SUMPRODUCT((Настройки!$E$27:$AI$27=2)*E16:AI16)</f>
        <v>0</v>
      </c>
      <c r="D14" s="5">
        <v>2</v>
      </c>
      <c r="E14" s="30">
        <f>SUMPRODUCT((Июль[№]=2)*Июль[1],Июль[Периодичность])</f>
        <v>0</v>
      </c>
      <c r="F14" s="30">
        <f>SUMPRODUCT((Июль[№]=2)*Июль[2],Июль[Периодичность])</f>
        <v>0</v>
      </c>
      <c r="G14" s="30">
        <f>SUMPRODUCT((Июль[№]=2)*Июль[3],Июль[Периодичность])</f>
        <v>0</v>
      </c>
      <c r="H14" s="30">
        <f>SUMPRODUCT((Июль[№]=2)*Июль[4],Июль[Периодичность])</f>
        <v>0</v>
      </c>
      <c r="I14" s="30">
        <f>SUMPRODUCT((Июль[№]=2)*Июль[5],Июль[Периодичность])</f>
        <v>0</v>
      </c>
      <c r="J14" s="30">
        <f>SUMPRODUCT((Июль[№]=2)*Июль[6],Июль[Периодичность])</f>
        <v>0</v>
      </c>
      <c r="K14" s="30">
        <f>SUMPRODUCT((Июль[№]=2)*Июль[7],Июль[Периодичность])</f>
        <v>0</v>
      </c>
      <c r="L14" s="30">
        <f>SUMPRODUCT((Июль[№]=2)*Июль[8],Июль[Периодичность])</f>
        <v>0</v>
      </c>
      <c r="M14" s="30">
        <f>SUMPRODUCT((Июль[№]=2)*Июль[9],Июль[Периодичность])</f>
        <v>0</v>
      </c>
      <c r="N14" s="30">
        <f>SUMPRODUCT((Июль[№]=2)*Июль[10],Июль[Периодичность])</f>
        <v>0</v>
      </c>
      <c r="O14" s="30">
        <f>SUMPRODUCT((Июль[№]=2)*Июль[11],Июль[Периодичность])</f>
        <v>0</v>
      </c>
      <c r="P14" s="30">
        <f>SUMPRODUCT((Июль[№]=2)*Июль[12],Июль[Периодичность])</f>
        <v>0</v>
      </c>
      <c r="Q14" s="30">
        <f>SUMPRODUCT((Июль[№]=2)*Июль[13],Июль[Периодичность])</f>
        <v>0</v>
      </c>
      <c r="R14" s="30">
        <f>SUMPRODUCT((Июль[№]=2)*Июль[14],Июль[Периодичность])</f>
        <v>0</v>
      </c>
      <c r="S14" s="30">
        <f>SUMPRODUCT((Июль[№]=2)*Июль[15],Июль[Периодичность])</f>
        <v>0</v>
      </c>
      <c r="T14" s="30">
        <f>SUMPRODUCT((Июль[№]=2)*Июль[16],Июль[Периодичность])</f>
        <v>0</v>
      </c>
      <c r="U14" s="30">
        <f>SUMPRODUCT((Июль[№]=2)*Июль[17],Июль[Периодичность])</f>
        <v>0</v>
      </c>
      <c r="V14" s="30">
        <f>SUMPRODUCT((Июль[№]=2)*Июль[18],Июль[Периодичность])</f>
        <v>0</v>
      </c>
      <c r="W14" s="30">
        <f>SUMPRODUCT((Июль[№]=2)*Июль[19],Июль[Периодичность])</f>
        <v>0</v>
      </c>
      <c r="X14" s="30">
        <f>SUMPRODUCT((Июль[№]=2)*Июль[20],Июль[Периодичность])</f>
        <v>0</v>
      </c>
      <c r="Y14" s="30">
        <f>SUMPRODUCT((Июль[№]=2)*Июль[21],Июль[Периодичность])</f>
        <v>0</v>
      </c>
      <c r="Z14" s="30">
        <f>SUMPRODUCT((Июль[№]=2)*Июль[22],Июль[Периодичность])</f>
        <v>0</v>
      </c>
      <c r="AA14" s="30">
        <f>SUMPRODUCT((Июль[№]=2)*Июль[23],Июль[Периодичность])</f>
        <v>0</v>
      </c>
      <c r="AB14" s="30">
        <f>SUMPRODUCT((Июль[№]=2)*Июль[24],Июль[Периодичность])</f>
        <v>0</v>
      </c>
      <c r="AC14" s="30">
        <f>SUMPRODUCT((Июль[№]=2)*Июль[25],Июль[Периодичность])</f>
        <v>0</v>
      </c>
      <c r="AD14" s="30">
        <f>SUMPRODUCT((Июль[№]=2)*Июль[26],Июль[Периодичность])</f>
        <v>0</v>
      </c>
      <c r="AE14" s="30">
        <f>SUMPRODUCT((Июль[№]=2)*Июль[27],Июль[Периодичность])</f>
        <v>0</v>
      </c>
      <c r="AF14" s="30">
        <f>SUMPRODUCT((Июль[№]=2)*Июль[28],Июль[Периодичность])</f>
        <v>0</v>
      </c>
      <c r="AG14" s="30">
        <f>SUMPRODUCT((Июль[№]=2)*Июль[29],Июль[Периодичность])</f>
        <v>0</v>
      </c>
      <c r="AH14" s="30">
        <f>SUMPRODUCT((Июль[№]=2)*Июль[30],Июль[Периодичность])</f>
        <v>0</v>
      </c>
      <c r="AI14" s="30">
        <f>SUMPRODUCT((Июль[№]=2)*Июль[31],Июль[Периодичность])</f>
        <v>0</v>
      </c>
      <c r="AL14" s="4"/>
    </row>
    <row r="15" spans="1:38" x14ac:dyDescent="0.25">
      <c r="B15" s="3">
        <f>SUMPRODUCT((Настройки!$E$27:$AI$27=3)*E16:AI16)</f>
        <v>0</v>
      </c>
      <c r="D15" s="5">
        <v>3</v>
      </c>
      <c r="E15" s="30">
        <f>SUMPRODUCT((Июль[№]=3)*Июль[1],Июль[Периодичность])</f>
        <v>0</v>
      </c>
      <c r="F15" s="30">
        <f>SUMPRODUCT((Июль[№]=3)*Июль[2],Июль[Периодичность])</f>
        <v>0</v>
      </c>
      <c r="G15" s="30">
        <f>SUMPRODUCT((Июль[№]=3)*Июль[3],Июль[Периодичность])</f>
        <v>0</v>
      </c>
      <c r="H15" s="30">
        <f>SUMPRODUCT((Июль[№]=3)*Июль[4],Июль[Периодичность])</f>
        <v>0</v>
      </c>
      <c r="I15" s="30">
        <f>SUMPRODUCT((Июль[№]=3)*Июль[5],Июль[Периодичность])</f>
        <v>0</v>
      </c>
      <c r="J15" s="30">
        <f>SUMPRODUCT((Июль[№]=3)*Июль[6],Июль[Периодичность])</f>
        <v>0</v>
      </c>
      <c r="K15" s="30">
        <f>SUMPRODUCT((Июль[№]=3)*Июль[7],Июль[Периодичность])</f>
        <v>0</v>
      </c>
      <c r="L15" s="30">
        <f>SUMPRODUCT((Июль[№]=3)*Июль[8],Июль[Периодичность])</f>
        <v>0</v>
      </c>
      <c r="M15" s="30">
        <f>SUMPRODUCT((Июль[№]=3)*Июль[9],Июль[Периодичность])</f>
        <v>0</v>
      </c>
      <c r="N15" s="30">
        <f>SUMPRODUCT((Июль[№]=3)*Июль[10],Июль[Периодичность])</f>
        <v>0</v>
      </c>
      <c r="O15" s="30">
        <f>SUMPRODUCT((Июль[№]=3)*Июль[11],Июль[Периодичность])</f>
        <v>0</v>
      </c>
      <c r="P15" s="30">
        <f>SUMPRODUCT((Июль[№]=3)*Июль[12],Июль[Периодичность])</f>
        <v>0</v>
      </c>
      <c r="Q15" s="30">
        <f>SUMPRODUCT((Июль[№]=3)*Июль[13],Июль[Периодичность])</f>
        <v>0</v>
      </c>
      <c r="R15" s="30">
        <f>SUMPRODUCT((Июль[№]=3)*Июль[14],Июль[Периодичность])</f>
        <v>0</v>
      </c>
      <c r="S15" s="30">
        <f>SUMPRODUCT((Июль[№]=3)*Июль[15],Июль[Периодичность])</f>
        <v>0</v>
      </c>
      <c r="T15" s="30">
        <f>SUMPRODUCT((Июль[№]=3)*Июль[16],Июль[Периодичность])</f>
        <v>0</v>
      </c>
      <c r="U15" s="30">
        <f>SUMPRODUCT((Июль[№]=3)*Июль[17],Июль[Периодичность])</f>
        <v>0</v>
      </c>
      <c r="V15" s="30">
        <f>SUMPRODUCT((Июль[№]=3)*Июль[18],Июль[Периодичность])</f>
        <v>0</v>
      </c>
      <c r="W15" s="30">
        <f>SUMPRODUCT((Июль[№]=3)*Июль[19],Июль[Периодичность])</f>
        <v>0</v>
      </c>
      <c r="X15" s="30">
        <f>SUMPRODUCT((Июль[№]=3)*Июль[20],Июль[Периодичность])</f>
        <v>0</v>
      </c>
      <c r="Y15" s="30">
        <f>SUMPRODUCT((Июль[№]=3)*Июль[21],Июль[Периодичность])</f>
        <v>0</v>
      </c>
      <c r="Z15" s="30">
        <f>SUMPRODUCT((Июль[№]=3)*Июль[22],Июль[Периодичность])</f>
        <v>0</v>
      </c>
      <c r="AA15" s="30">
        <f>SUMPRODUCT((Июль[№]=3)*Июль[23],Июль[Периодичность])</f>
        <v>0</v>
      </c>
      <c r="AB15" s="30">
        <f>SUMPRODUCT((Июль[№]=3)*Июль[24],Июль[Периодичность])</f>
        <v>0</v>
      </c>
      <c r="AC15" s="30">
        <f>SUMPRODUCT((Июль[№]=3)*Июль[25],Июль[Периодичность])</f>
        <v>0</v>
      </c>
      <c r="AD15" s="30">
        <f>SUMPRODUCT((Июль[№]=3)*Июль[26],Июль[Периодичность])</f>
        <v>0</v>
      </c>
      <c r="AE15" s="30">
        <f>SUMPRODUCT((Июль[№]=3)*Июль[27],Июль[Периодичность])</f>
        <v>0</v>
      </c>
      <c r="AF15" s="30">
        <f>SUMPRODUCT((Июль[№]=3)*Июль[28],Июль[Периодичность])</f>
        <v>0</v>
      </c>
      <c r="AG15" s="30">
        <f>SUMPRODUCT((Июль[№]=3)*Июль[29],Июль[Периодичность])</f>
        <v>0</v>
      </c>
      <c r="AH15" s="30">
        <f>SUMPRODUCT((Июль[№]=3)*Июль[30],Июль[Периодичность])</f>
        <v>0</v>
      </c>
      <c r="AI15" s="30">
        <f>SUMPRODUCT((Июль[№]=3)*Июль[31],Июль[Периодичность])</f>
        <v>0</v>
      </c>
      <c r="AK15" s="11"/>
    </row>
    <row r="16" spans="1:38" ht="22.5" customHeight="1" x14ac:dyDescent="0.25">
      <c r="B16" s="3">
        <f>SUMPRODUCT((Настройки!$E$27:$AI$27=4)*E16:AI16)</f>
        <v>0</v>
      </c>
      <c r="D16" s="5"/>
      <c r="E16" s="30">
        <f t="shared" ref="E16:AH16" si="0">SUM(E13:E15)</f>
        <v>0</v>
      </c>
      <c r="F16" s="30">
        <f t="shared" si="0"/>
        <v>0</v>
      </c>
      <c r="G16" s="30">
        <f t="shared" si="0"/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30">
        <f t="shared" si="0"/>
        <v>0</v>
      </c>
      <c r="U16" s="30">
        <f t="shared" si="0"/>
        <v>0</v>
      </c>
      <c r="V16" s="30">
        <f t="shared" si="0"/>
        <v>0</v>
      </c>
      <c r="W16" s="30">
        <f t="shared" si="0"/>
        <v>0</v>
      </c>
      <c r="X16" s="30">
        <f t="shared" si="0"/>
        <v>0</v>
      </c>
      <c r="Y16" s="30">
        <f t="shared" si="0"/>
        <v>0</v>
      </c>
      <c r="Z16" s="30">
        <f t="shared" si="0"/>
        <v>0</v>
      </c>
      <c r="AA16" s="30">
        <f t="shared" si="0"/>
        <v>0</v>
      </c>
      <c r="AB16" s="30">
        <f t="shared" si="0"/>
        <v>0</v>
      </c>
      <c r="AC16" s="30">
        <f t="shared" si="0"/>
        <v>0</v>
      </c>
      <c r="AD16" s="30">
        <f t="shared" si="0"/>
        <v>0</v>
      </c>
      <c r="AE16" s="30">
        <f t="shared" si="0"/>
        <v>0</v>
      </c>
      <c r="AF16" s="30">
        <f t="shared" si="0"/>
        <v>0</v>
      </c>
      <c r="AG16" s="30">
        <f t="shared" si="0"/>
        <v>0</v>
      </c>
      <c r="AH16" s="30">
        <f t="shared" si="0"/>
        <v>0</v>
      </c>
      <c r="AI16" s="30">
        <f>SUM(AI13:AI15)</f>
        <v>0</v>
      </c>
      <c r="AK16" s="11"/>
    </row>
    <row r="17" spans="1:37" ht="22.5" customHeight="1" x14ac:dyDescent="0.25">
      <c r="B17" s="3">
        <f>SUMPRODUCT((Настройки!$E$27:$AI$27=5)*E16:AI16)</f>
        <v>0</v>
      </c>
      <c r="C17" s="5">
        <f>ИюльИтоги[[#This Row],[№]]*60</f>
        <v>0</v>
      </c>
      <c r="D17" s="7">
        <f>SUM(ИюльИтоги[[#This Row],[1]:[31]])</f>
        <v>0</v>
      </c>
      <c r="E17" s="31">
        <f>E16/60</f>
        <v>0</v>
      </c>
      <c r="F17" s="31">
        <f t="shared" ref="F17:AH17" si="1">F16/60</f>
        <v>0</v>
      </c>
      <c r="G17" s="31">
        <f t="shared" si="1"/>
        <v>0</v>
      </c>
      <c r="H17" s="31">
        <f t="shared" si="1"/>
        <v>0</v>
      </c>
      <c r="I17" s="31">
        <f t="shared" si="1"/>
        <v>0</v>
      </c>
      <c r="J17" s="31">
        <f t="shared" si="1"/>
        <v>0</v>
      </c>
      <c r="K17" s="31">
        <f t="shared" si="1"/>
        <v>0</v>
      </c>
      <c r="L17" s="31">
        <f t="shared" si="1"/>
        <v>0</v>
      </c>
      <c r="M17" s="31">
        <f t="shared" si="1"/>
        <v>0</v>
      </c>
      <c r="N17" s="31">
        <f t="shared" si="1"/>
        <v>0</v>
      </c>
      <c r="O17" s="31">
        <f t="shared" si="1"/>
        <v>0</v>
      </c>
      <c r="P17" s="31">
        <f t="shared" si="1"/>
        <v>0</v>
      </c>
      <c r="Q17" s="31">
        <f t="shared" si="1"/>
        <v>0</v>
      </c>
      <c r="R17" s="31">
        <f t="shared" si="1"/>
        <v>0</v>
      </c>
      <c r="S17" s="31">
        <f t="shared" si="1"/>
        <v>0</v>
      </c>
      <c r="T17" s="31">
        <f t="shared" si="1"/>
        <v>0</v>
      </c>
      <c r="U17" s="31">
        <f t="shared" si="1"/>
        <v>0</v>
      </c>
      <c r="V17" s="31">
        <f t="shared" si="1"/>
        <v>0</v>
      </c>
      <c r="W17" s="31">
        <f t="shared" si="1"/>
        <v>0</v>
      </c>
      <c r="X17" s="31">
        <f t="shared" si="1"/>
        <v>0</v>
      </c>
      <c r="Y17" s="31">
        <f t="shared" si="1"/>
        <v>0</v>
      </c>
      <c r="Z17" s="31">
        <f t="shared" si="1"/>
        <v>0</v>
      </c>
      <c r="AA17" s="31">
        <f t="shared" si="1"/>
        <v>0</v>
      </c>
      <c r="AB17" s="31">
        <f t="shared" si="1"/>
        <v>0</v>
      </c>
      <c r="AC17" s="31">
        <f t="shared" si="1"/>
        <v>0</v>
      </c>
      <c r="AD17" s="31">
        <f t="shared" si="1"/>
        <v>0</v>
      </c>
      <c r="AE17" s="31">
        <f t="shared" si="1"/>
        <v>0</v>
      </c>
      <c r="AF17" s="31">
        <f t="shared" si="1"/>
        <v>0</v>
      </c>
      <c r="AG17" s="31">
        <f t="shared" si="1"/>
        <v>0</v>
      </c>
      <c r="AH17" s="31">
        <f t="shared" si="1"/>
        <v>0</v>
      </c>
      <c r="AI17" s="31">
        <f>AI16/60</f>
        <v>0</v>
      </c>
      <c r="AJ17" s="3">
        <f ca="1">SUM(Июль[УСЛУГ])</f>
        <v>0</v>
      </c>
      <c r="AK17" s="11">
        <f ca="1">SUM(Июль[МИНУТ])</f>
        <v>0</v>
      </c>
    </row>
    <row r="18" spans="1:37" ht="20.25" customHeight="1" x14ac:dyDescent="0.25"/>
    <row r="19" spans="1:37" ht="22.5" customHeight="1" x14ac:dyDescent="0.25">
      <c r="A19" s="54" t="s">
        <v>52</v>
      </c>
      <c r="B19" s="54" t="s">
        <v>53</v>
      </c>
      <c r="C19" s="55"/>
      <c r="D19" s="56" t="s">
        <v>61</v>
      </c>
      <c r="E19" s="48" t="s">
        <v>55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50"/>
      <c r="AJ19" s="44" t="s">
        <v>64</v>
      </c>
      <c r="AK19" s="45" t="s">
        <v>64</v>
      </c>
    </row>
    <row r="20" spans="1:37" ht="18" customHeight="1" x14ac:dyDescent="0.25">
      <c r="A20" s="54"/>
      <c r="B20" s="54"/>
      <c r="C20" s="55"/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60"/>
      <c r="AJ20" s="44"/>
      <c r="AK20" s="46"/>
    </row>
    <row r="21" spans="1:37" ht="21.75" customHeight="1" x14ac:dyDescent="0.25">
      <c r="A21" s="54"/>
      <c r="B21" s="54"/>
      <c r="C21" s="55"/>
      <c r="D21" s="57"/>
      <c r="E21" s="26">
        <f>Настройки!E13</f>
        <v>45108</v>
      </c>
      <c r="F21" s="26">
        <f>Настройки!F13</f>
        <v>45109</v>
      </c>
      <c r="G21" s="26">
        <f>Настройки!G13</f>
        <v>45110</v>
      </c>
      <c r="H21" s="26">
        <f>Настройки!H13</f>
        <v>45111</v>
      </c>
      <c r="I21" s="26">
        <f>Настройки!I13</f>
        <v>45112</v>
      </c>
      <c r="J21" s="26">
        <f>Настройки!J13</f>
        <v>45113</v>
      </c>
      <c r="K21" s="26">
        <f>Настройки!K13</f>
        <v>45114</v>
      </c>
      <c r="L21" s="26">
        <f>Настройки!L13</f>
        <v>45115</v>
      </c>
      <c r="M21" s="26">
        <f>Настройки!M13</f>
        <v>45116</v>
      </c>
      <c r="N21" s="26">
        <f>Настройки!N13</f>
        <v>45117</v>
      </c>
      <c r="O21" s="26">
        <f>Настройки!O13</f>
        <v>45118</v>
      </c>
      <c r="P21" s="26">
        <f>Настройки!P13</f>
        <v>45119</v>
      </c>
      <c r="Q21" s="26">
        <f>Настройки!Q13</f>
        <v>45120</v>
      </c>
      <c r="R21" s="26">
        <f>Настройки!R13</f>
        <v>45121</v>
      </c>
      <c r="S21" s="26">
        <f>Настройки!S13</f>
        <v>45122</v>
      </c>
      <c r="T21" s="26">
        <f>Настройки!T13</f>
        <v>45123</v>
      </c>
      <c r="U21" s="26">
        <f>Настройки!U13</f>
        <v>45124</v>
      </c>
      <c r="V21" s="26">
        <f>Настройки!V13</f>
        <v>45125</v>
      </c>
      <c r="W21" s="26">
        <f>Настройки!W13</f>
        <v>45126</v>
      </c>
      <c r="X21" s="26">
        <f>Настройки!X13</f>
        <v>45127</v>
      </c>
      <c r="Y21" s="26">
        <f>Настройки!Y13</f>
        <v>45128</v>
      </c>
      <c r="Z21" s="26">
        <f>Настройки!Z13</f>
        <v>45129</v>
      </c>
      <c r="AA21" s="26">
        <f>Настройки!AA13</f>
        <v>45130</v>
      </c>
      <c r="AB21" s="26">
        <f>Настройки!AB13</f>
        <v>45131</v>
      </c>
      <c r="AC21" s="26">
        <f>Настройки!AC13</f>
        <v>45132</v>
      </c>
      <c r="AD21" s="26">
        <f>Настройки!AD13</f>
        <v>45133</v>
      </c>
      <c r="AE21" s="26">
        <f>Настройки!AE13</f>
        <v>45134</v>
      </c>
      <c r="AF21" s="26">
        <f>Настройки!AF13</f>
        <v>45135</v>
      </c>
      <c r="AG21" s="26">
        <f>Настройки!AG13</f>
        <v>45136</v>
      </c>
      <c r="AH21" s="26">
        <f>Настройки!AH13</f>
        <v>45137</v>
      </c>
      <c r="AI21" s="26">
        <f>Настройки!AI13</f>
        <v>45138</v>
      </c>
      <c r="AJ21" s="44"/>
      <c r="AK21" s="46"/>
    </row>
    <row r="22" spans="1:37" x14ac:dyDescent="0.25">
      <c r="A22" s="54"/>
      <c r="B22" s="54"/>
      <c r="C22" s="55"/>
      <c r="D22" s="57"/>
      <c r="E22" s="54" t="s">
        <v>54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61"/>
      <c r="AJ22" s="44"/>
      <c r="AK22" s="46"/>
    </row>
    <row r="23" spans="1:37" x14ac:dyDescent="0.25">
      <c r="A23" s="54"/>
      <c r="B23" s="54"/>
      <c r="C23" s="55"/>
      <c r="D23" s="57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61"/>
      <c r="AJ23" s="44"/>
      <c r="AK23" s="47"/>
    </row>
    <row r="24" spans="1:37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112</v>
      </c>
      <c r="AI24" s="3" t="s">
        <v>121</v>
      </c>
      <c r="AJ24" s="3" t="s">
        <v>62</v>
      </c>
      <c r="AK24" s="3" t="s">
        <v>63</v>
      </c>
    </row>
    <row r="25" spans="1:37" ht="31.5" x14ac:dyDescent="0.25">
      <c r="A25" s="16" t="s">
        <v>1</v>
      </c>
      <c r="B25" s="2"/>
      <c r="C25" s="8">
        <v>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25" s="5">
        <f ca="1">IF(Июль[[#This Row],[УСЛУГ]]&lt;&gt;"",Июль[[#This Row],[УСЛУГ]]*Июль[[#This Row],[Периодичность]],"")</f>
        <v>0</v>
      </c>
    </row>
    <row r="26" spans="1:37" x14ac:dyDescent="0.25">
      <c r="A26" s="16"/>
      <c r="B26" s="2"/>
      <c r="C26" s="8">
        <v>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26" s="5" t="str">
        <f ca="1">IF(Июль[[#This Row],[УСЛУГ]]&lt;&gt;"",Июль[[#This Row],[УСЛУГ]]*Июль[[#This Row],[Периодичность]],"")</f>
        <v/>
      </c>
    </row>
    <row r="27" spans="1:37" x14ac:dyDescent="0.25">
      <c r="A27" s="16"/>
      <c r="B27" s="2"/>
      <c r="C27" s="8">
        <v>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27" s="5" t="str">
        <f ca="1">IF(Июль[[#This Row],[УСЛУГ]]&lt;&gt;"",Июль[[#This Row],[УСЛУГ]]*Июль[[#This Row],[Периодичность]],"")</f>
        <v/>
      </c>
    </row>
    <row r="28" spans="1:37" ht="47.25" x14ac:dyDescent="0.25">
      <c r="A28" s="35" t="s">
        <v>2</v>
      </c>
      <c r="B28" s="36"/>
      <c r="C28" s="37">
        <v>0</v>
      </c>
      <c r="D28" s="38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28" s="29">
        <f ca="1">IF(Июль[[#This Row],[УСЛУГ]]&lt;&gt;"",Июль[[#This Row],[УСЛУГ]]*Июль[[#This Row],[Периодичность]],"")</f>
        <v>0</v>
      </c>
    </row>
    <row r="29" spans="1:37" ht="18.75" x14ac:dyDescent="0.25">
      <c r="A29" s="35"/>
      <c r="B29" s="36"/>
      <c r="C29" s="37">
        <v>0</v>
      </c>
      <c r="D29" s="38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29" s="29" t="str">
        <f ca="1">IF(Июль[[#This Row],[УСЛУГ]]&lt;&gt;"",Июль[[#This Row],[УСЛУГ]]*Июль[[#This Row],[Периодичность]],"")</f>
        <v/>
      </c>
    </row>
    <row r="30" spans="1:37" x14ac:dyDescent="0.25">
      <c r="A30" s="35"/>
      <c r="B30" s="36"/>
      <c r="C30" s="37">
        <v>0</v>
      </c>
      <c r="D30" s="38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0" s="29" t="str">
        <f ca="1">IF(Июль[[#This Row],[УСЛУГ]]&lt;&gt;"",Июль[[#This Row],[УСЛУГ]]*Июль[[#This Row],[Периодичность]],"")</f>
        <v/>
      </c>
    </row>
    <row r="31" spans="1:37" ht="31.5" x14ac:dyDescent="0.25">
      <c r="A31" s="35" t="s">
        <v>3</v>
      </c>
      <c r="B31" s="36"/>
      <c r="C31" s="37">
        <v>0</v>
      </c>
      <c r="D31" s="38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31" s="29">
        <f ca="1">IF(Июль[[#This Row],[УСЛУГ]]&lt;&gt;"",Июль[[#This Row],[УСЛУГ]]*Июль[[#This Row],[Периодичность]],"")</f>
        <v>0</v>
      </c>
    </row>
    <row r="32" spans="1:37" x14ac:dyDescent="0.25">
      <c r="A32" s="35"/>
      <c r="B32" s="36"/>
      <c r="C32" s="37">
        <v>0</v>
      </c>
      <c r="D32" s="38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2" s="29" t="str">
        <f ca="1">IF(Июль[[#This Row],[УСЛУГ]]&lt;&gt;"",Июль[[#This Row],[УСЛУГ]]*Июль[[#This Row],[Периодичность]],"")</f>
        <v/>
      </c>
    </row>
    <row r="33" spans="1:37" x14ac:dyDescent="0.25">
      <c r="A33" s="35"/>
      <c r="B33" s="36"/>
      <c r="C33" s="37">
        <v>0</v>
      </c>
      <c r="D33" s="38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3" s="29" t="str">
        <f ca="1">IF(Июль[[#This Row],[УСЛУГ]]&lt;&gt;"",Июль[[#This Row],[УСЛУГ]]*Июль[[#This Row],[Периодичность]],"")</f>
        <v/>
      </c>
    </row>
    <row r="34" spans="1:37" ht="47.25" x14ac:dyDescent="0.25">
      <c r="A34" s="35" t="s">
        <v>4</v>
      </c>
      <c r="B34" s="36"/>
      <c r="C34" s="37">
        <v>0</v>
      </c>
      <c r="D34" s="38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34" s="29">
        <f ca="1">IF(Июль[[#This Row],[УСЛУГ]]&lt;&gt;"",Июль[[#This Row],[УСЛУГ]]*Июль[[#This Row],[Периодичность]],"")</f>
        <v>0</v>
      </c>
    </row>
    <row r="35" spans="1:37" ht="18.75" x14ac:dyDescent="0.25">
      <c r="A35" s="35"/>
      <c r="B35" s="36"/>
      <c r="C35" s="37">
        <v>0</v>
      </c>
      <c r="D35" s="38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5" s="29" t="str">
        <f ca="1">IF(Июль[[#This Row],[УСЛУГ]]&lt;&gt;"",Июль[[#This Row],[УСЛУГ]]*Июль[[#This Row],[Периодичность]],"")</f>
        <v/>
      </c>
    </row>
    <row r="36" spans="1:37" ht="18.75" x14ac:dyDescent="0.25">
      <c r="A36" s="35"/>
      <c r="B36" s="36"/>
      <c r="C36" s="37">
        <v>0</v>
      </c>
      <c r="D36" s="38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6" s="29" t="str">
        <f ca="1">IF(Июль[[#This Row],[УСЛУГ]]&lt;&gt;"",Июль[[#This Row],[УСЛУГ]]*Июль[[#This Row],[Периодичность]],"")</f>
        <v/>
      </c>
    </row>
    <row r="37" spans="1:37" ht="18.75" x14ac:dyDescent="0.25">
      <c r="A37" s="35" t="s">
        <v>5</v>
      </c>
      <c r="B37" s="36"/>
      <c r="C37" s="37">
        <v>0</v>
      </c>
      <c r="D37" s="38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37" s="29">
        <f ca="1">IF(Июль[[#This Row],[УСЛУГ]]&lt;&gt;"",Июль[[#This Row],[УСЛУГ]]*Июль[[#This Row],[Периодичность]],"")</f>
        <v>0</v>
      </c>
    </row>
    <row r="38" spans="1:37" ht="18.75" x14ac:dyDescent="0.25">
      <c r="A38" s="35"/>
      <c r="B38" s="36"/>
      <c r="C38" s="37">
        <v>0</v>
      </c>
      <c r="D38" s="38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8" s="29" t="str">
        <f ca="1">IF(Июль[[#This Row],[УСЛУГ]]&lt;&gt;"",Июль[[#This Row],[УСЛУГ]]*Июль[[#This Row],[Периодичность]],"")</f>
        <v/>
      </c>
    </row>
    <row r="39" spans="1:37" ht="18.75" x14ac:dyDescent="0.25">
      <c r="A39" s="35"/>
      <c r="B39" s="36"/>
      <c r="C39" s="37">
        <v>0</v>
      </c>
      <c r="D39" s="38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39" s="29" t="str">
        <f ca="1">IF(Июль[[#This Row],[УСЛУГ]]&lt;&gt;"",Июль[[#This Row],[УСЛУГ]]*Июль[[#This Row],[Периодичность]],"")</f>
        <v/>
      </c>
    </row>
    <row r="40" spans="1:37" ht="31.5" x14ac:dyDescent="0.25">
      <c r="A40" s="35" t="s">
        <v>6</v>
      </c>
      <c r="B40" s="36"/>
      <c r="C40" s="37">
        <v>0</v>
      </c>
      <c r="D40" s="38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40" s="29">
        <f ca="1">IF(Июль[[#This Row],[УСЛУГ]]&lt;&gt;"",Июль[[#This Row],[УСЛУГ]]*Июль[[#This Row],[Периодичность]],"")</f>
        <v>0</v>
      </c>
    </row>
    <row r="41" spans="1:37" ht="18.75" x14ac:dyDescent="0.25">
      <c r="A41" s="35"/>
      <c r="B41" s="36"/>
      <c r="C41" s="37">
        <v>0</v>
      </c>
      <c r="D41" s="38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1" s="29" t="str">
        <f ca="1">IF(Июль[[#This Row],[УСЛУГ]]&lt;&gt;"",Июль[[#This Row],[УСЛУГ]]*Июль[[#This Row],[Периодичность]],"")</f>
        <v/>
      </c>
    </row>
    <row r="42" spans="1:37" ht="18.75" x14ac:dyDescent="0.25">
      <c r="A42" s="35"/>
      <c r="B42" s="36"/>
      <c r="C42" s="37">
        <v>0</v>
      </c>
      <c r="D42" s="38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2" s="29" t="str">
        <f ca="1">IF(Июль[[#This Row],[УСЛУГ]]&lt;&gt;"",Июль[[#This Row],[УСЛУГ]]*Июль[[#This Row],[Периодичность]],"")</f>
        <v/>
      </c>
    </row>
    <row r="43" spans="1:37" ht="47.25" x14ac:dyDescent="0.25">
      <c r="A43" s="35" t="s">
        <v>79</v>
      </c>
      <c r="B43" s="36"/>
      <c r="C43" s="37">
        <v>0</v>
      </c>
      <c r="D43" s="38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43" s="29">
        <f ca="1">IF(Июль[[#This Row],[УСЛУГ]]&lt;&gt;"",Июль[[#This Row],[УСЛУГ]]*Июль[[#This Row],[Периодичность]],"")</f>
        <v>0</v>
      </c>
    </row>
    <row r="44" spans="1:37" ht="18.75" x14ac:dyDescent="0.25">
      <c r="A44" s="35"/>
      <c r="B44" s="36"/>
      <c r="C44" s="37">
        <v>0</v>
      </c>
      <c r="D44" s="38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4" s="29" t="str">
        <f ca="1">IF(Июль[[#This Row],[УСЛУГ]]&lt;&gt;"",Июль[[#This Row],[УСЛУГ]]*Июль[[#This Row],[Периодичность]],"")</f>
        <v/>
      </c>
    </row>
    <row r="45" spans="1:37" x14ac:dyDescent="0.25">
      <c r="A45" s="35"/>
      <c r="B45" s="36"/>
      <c r="C45" s="37">
        <v>0</v>
      </c>
      <c r="D45" s="38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5" s="29" t="str">
        <f ca="1">IF(Июль[[#This Row],[УСЛУГ]]&lt;&gt;"",Июль[[#This Row],[УСЛУГ]]*Июль[[#This Row],[Периодичность]],"")</f>
        <v/>
      </c>
    </row>
    <row r="46" spans="1:37" ht="18.75" x14ac:dyDescent="0.25">
      <c r="A46" s="35" t="s">
        <v>8</v>
      </c>
      <c r="B46" s="36"/>
      <c r="C46" s="37">
        <v>0</v>
      </c>
      <c r="D46" s="38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46" s="29">
        <f ca="1">IF(Июль[[#This Row],[УСЛУГ]]&lt;&gt;"",Июль[[#This Row],[УСЛУГ]]*Июль[[#This Row],[Периодичность]],"")</f>
        <v>0</v>
      </c>
    </row>
    <row r="47" spans="1:37" ht="18.75" x14ac:dyDescent="0.25">
      <c r="A47" s="35"/>
      <c r="B47" s="36"/>
      <c r="C47" s="37">
        <v>0</v>
      </c>
      <c r="D47" s="38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7" s="29" t="str">
        <f ca="1">IF(Июль[[#This Row],[УСЛУГ]]&lt;&gt;"",Июль[[#This Row],[УСЛУГ]]*Июль[[#This Row],[Периодичность]],"")</f>
        <v/>
      </c>
    </row>
    <row r="48" spans="1:37" ht="18.75" x14ac:dyDescent="0.25">
      <c r="A48" s="35"/>
      <c r="B48" s="36"/>
      <c r="C48" s="37">
        <v>0</v>
      </c>
      <c r="D48" s="38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48" s="29" t="str">
        <f ca="1">IF(Июль[[#This Row],[УСЛУГ]]&lt;&gt;"",Июль[[#This Row],[УСЛУГ]]*Июль[[#This Row],[Периодичность]],"")</f>
        <v/>
      </c>
    </row>
    <row r="49" spans="1:37" ht="31.5" x14ac:dyDescent="0.25">
      <c r="A49" s="35" t="s">
        <v>9</v>
      </c>
      <c r="B49" s="36"/>
      <c r="C49" s="37">
        <v>0</v>
      </c>
      <c r="D49" s="38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49" s="29">
        <f ca="1">IF(Июль[[#This Row],[УСЛУГ]]&lt;&gt;"",Июль[[#This Row],[УСЛУГ]]*Июль[[#This Row],[Периодичность]],"")</f>
        <v>0</v>
      </c>
    </row>
    <row r="50" spans="1:37" x14ac:dyDescent="0.25">
      <c r="A50" s="35"/>
      <c r="B50" s="36"/>
      <c r="C50" s="37">
        <v>0</v>
      </c>
      <c r="D50" s="38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0" s="29" t="str">
        <f ca="1">IF(Июль[[#This Row],[УСЛУГ]]&lt;&gt;"",Июль[[#This Row],[УСЛУГ]]*Июль[[#This Row],[Периодичность]],"")</f>
        <v/>
      </c>
    </row>
    <row r="51" spans="1:37" ht="18.75" x14ac:dyDescent="0.25">
      <c r="A51" s="35"/>
      <c r="B51" s="36"/>
      <c r="C51" s="37">
        <v>0</v>
      </c>
      <c r="D51" s="38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1" s="29" t="str">
        <f ca="1">IF(Июль[[#This Row],[УСЛУГ]]&lt;&gt;"",Июль[[#This Row],[УСЛУГ]]*Июль[[#This Row],[Периодичность]],"")</f>
        <v/>
      </c>
    </row>
    <row r="52" spans="1:37" ht="47.25" x14ac:dyDescent="0.25">
      <c r="A52" s="35" t="s">
        <v>140</v>
      </c>
      <c r="B52" s="36"/>
      <c r="C52" s="37">
        <v>0</v>
      </c>
      <c r="D52" s="38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52" s="29">
        <f ca="1">IF(Июль[[#This Row],[УСЛУГ]]&lt;&gt;"",Июль[[#This Row],[УСЛУГ]]*Июль[[#This Row],[Периодичность]],"")</f>
        <v>0</v>
      </c>
    </row>
    <row r="53" spans="1:37" ht="18.75" x14ac:dyDescent="0.25">
      <c r="A53" s="35"/>
      <c r="B53" s="36"/>
      <c r="C53" s="37">
        <v>0</v>
      </c>
      <c r="D53" s="38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3" s="29" t="str">
        <f ca="1">IF(Июль[[#This Row],[УСЛУГ]]&lt;&gt;"",Июль[[#This Row],[УСЛУГ]]*Июль[[#This Row],[Периодичность]],"")</f>
        <v/>
      </c>
    </row>
    <row r="54" spans="1:37" ht="18.75" x14ac:dyDescent="0.25">
      <c r="A54" s="35"/>
      <c r="B54" s="36"/>
      <c r="C54" s="37">
        <v>0</v>
      </c>
      <c r="D54" s="38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4" s="29" t="str">
        <f ca="1">IF(Июль[[#This Row],[УСЛУГ]]&lt;&gt;"",Июль[[#This Row],[УСЛУГ]]*Июль[[#This Row],[Периодичность]],"")</f>
        <v/>
      </c>
    </row>
    <row r="55" spans="1:37" ht="47.25" x14ac:dyDescent="0.25">
      <c r="A55" s="35" t="s">
        <v>78</v>
      </c>
      <c r="B55" s="36"/>
      <c r="C55" s="37">
        <v>0</v>
      </c>
      <c r="D55" s="38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55" s="29">
        <f ca="1">IF(Июль[[#This Row],[УСЛУГ]]&lt;&gt;"",Июль[[#This Row],[УСЛУГ]]*Июль[[#This Row],[Периодичность]],"")</f>
        <v>0</v>
      </c>
    </row>
    <row r="56" spans="1:37" ht="18.75" x14ac:dyDescent="0.25">
      <c r="A56" s="35"/>
      <c r="B56" s="36"/>
      <c r="C56" s="37">
        <v>0</v>
      </c>
      <c r="D56" s="38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6" s="29" t="str">
        <f ca="1">IF(Июль[[#This Row],[УСЛУГ]]&lt;&gt;"",Июль[[#This Row],[УСЛУГ]]*Июль[[#This Row],[Периодичность]],"")</f>
        <v/>
      </c>
    </row>
    <row r="57" spans="1:37" ht="18.75" x14ac:dyDescent="0.25">
      <c r="A57" s="35"/>
      <c r="B57" s="36"/>
      <c r="C57" s="37">
        <v>0</v>
      </c>
      <c r="D57" s="38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7" s="29" t="str">
        <f ca="1">IF(Июль[[#This Row],[УСЛУГ]]&lt;&gt;"",Июль[[#This Row],[УСЛУГ]]*Июль[[#This Row],[Периодичность]],"")</f>
        <v/>
      </c>
    </row>
    <row r="58" spans="1:37" ht="47.25" x14ac:dyDescent="0.25">
      <c r="A58" s="35" t="s">
        <v>141</v>
      </c>
      <c r="B58" s="36"/>
      <c r="C58" s="37">
        <v>0</v>
      </c>
      <c r="D58" s="38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58" s="29">
        <f ca="1">IF(Июль[[#This Row],[УСЛУГ]]&lt;&gt;"",Июль[[#This Row],[УСЛУГ]]*Июль[[#This Row],[Периодичность]],"")</f>
        <v>0</v>
      </c>
    </row>
    <row r="59" spans="1:37" ht="18.75" x14ac:dyDescent="0.25">
      <c r="A59" s="35"/>
      <c r="B59" s="36"/>
      <c r="C59" s="37">
        <v>0</v>
      </c>
      <c r="D59" s="38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59" s="29" t="str">
        <f ca="1">IF(Июль[[#This Row],[УСЛУГ]]&lt;&gt;"",Июль[[#This Row],[УСЛУГ]]*Июль[[#This Row],[Периодичность]],"")</f>
        <v/>
      </c>
    </row>
    <row r="60" spans="1:37" ht="18.75" x14ac:dyDescent="0.25">
      <c r="A60" s="35"/>
      <c r="B60" s="36"/>
      <c r="C60" s="37">
        <v>0</v>
      </c>
      <c r="D60" s="38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0" s="29" t="str">
        <f ca="1">IF(Июль[[#This Row],[УСЛУГ]]&lt;&gt;"",Июль[[#This Row],[УСЛУГ]]*Июль[[#This Row],[Периодичность]],"")</f>
        <v/>
      </c>
    </row>
    <row r="61" spans="1:37" ht="31.5" x14ac:dyDescent="0.25">
      <c r="A61" s="35" t="s">
        <v>13</v>
      </c>
      <c r="B61" s="36"/>
      <c r="C61" s="37">
        <v>0</v>
      </c>
      <c r="D61" s="38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61" s="29">
        <f ca="1">IF(Июль[[#This Row],[УСЛУГ]]&lt;&gt;"",Июль[[#This Row],[УСЛУГ]]*Июль[[#This Row],[Периодичность]],"")</f>
        <v>0</v>
      </c>
    </row>
    <row r="62" spans="1:37" ht="18.75" x14ac:dyDescent="0.25">
      <c r="A62" s="35"/>
      <c r="B62" s="36"/>
      <c r="C62" s="37">
        <v>0</v>
      </c>
      <c r="D62" s="38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2" s="29" t="str">
        <f ca="1">IF(Июль[[#This Row],[УСЛУГ]]&lt;&gt;"",Июль[[#This Row],[УСЛУГ]]*Июль[[#This Row],[Периодичность]],"")</f>
        <v/>
      </c>
    </row>
    <row r="63" spans="1:37" ht="18.75" x14ac:dyDescent="0.25">
      <c r="A63" s="35"/>
      <c r="B63" s="36"/>
      <c r="C63" s="37">
        <v>0</v>
      </c>
      <c r="D63" s="38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3" s="29" t="str">
        <f ca="1">IF(Июль[[#This Row],[УСЛУГ]]&lt;&gt;"",Июль[[#This Row],[УСЛУГ]]*Июль[[#This Row],[Периодичность]],"")</f>
        <v/>
      </c>
    </row>
    <row r="64" spans="1:37" ht="31.5" x14ac:dyDescent="0.25">
      <c r="A64" s="35" t="s">
        <v>14</v>
      </c>
      <c r="B64" s="36"/>
      <c r="C64" s="37">
        <v>0</v>
      </c>
      <c r="D64" s="38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64" s="29">
        <f ca="1">IF(Июль[[#This Row],[УСЛУГ]]&lt;&gt;"",Июль[[#This Row],[УСЛУГ]]*Июль[[#This Row],[Периодичность]],"")</f>
        <v>0</v>
      </c>
    </row>
    <row r="65" spans="1:37" ht="18.75" x14ac:dyDescent="0.25">
      <c r="A65" s="35"/>
      <c r="B65" s="36"/>
      <c r="C65" s="37">
        <v>0</v>
      </c>
      <c r="D65" s="38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5" s="29" t="str">
        <f ca="1">IF(Июль[[#This Row],[УСЛУГ]]&lt;&gt;"",Июль[[#This Row],[УСЛУГ]]*Июль[[#This Row],[Периодичность]],"")</f>
        <v/>
      </c>
    </row>
    <row r="66" spans="1:37" x14ac:dyDescent="0.25">
      <c r="A66" s="35"/>
      <c r="B66" s="36"/>
      <c r="C66" s="37">
        <v>0</v>
      </c>
      <c r="D66" s="38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6" s="29" t="str">
        <f ca="1">IF(Июль[[#This Row],[УСЛУГ]]&lt;&gt;"",Июль[[#This Row],[УСЛУГ]]*Июль[[#This Row],[Периодичность]],"")</f>
        <v/>
      </c>
    </row>
    <row r="67" spans="1:37" ht="31.5" x14ac:dyDescent="0.25">
      <c r="A67" s="35" t="s">
        <v>15</v>
      </c>
      <c r="B67" s="36"/>
      <c r="C67" s="37">
        <v>0</v>
      </c>
      <c r="D67" s="38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67" s="29">
        <f ca="1">IF(Июль[[#This Row],[УСЛУГ]]&lt;&gt;"",Июль[[#This Row],[УСЛУГ]]*Июль[[#This Row],[Периодичность]],"")</f>
        <v>0</v>
      </c>
    </row>
    <row r="68" spans="1:37" ht="18.75" x14ac:dyDescent="0.25">
      <c r="A68" s="35"/>
      <c r="B68" s="36"/>
      <c r="C68" s="37">
        <v>0</v>
      </c>
      <c r="D68" s="38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8" s="29" t="str">
        <f ca="1">IF(Июль[[#This Row],[УСЛУГ]]&lt;&gt;"",Июль[[#This Row],[УСЛУГ]]*Июль[[#This Row],[Периодичность]],"")</f>
        <v/>
      </c>
    </row>
    <row r="69" spans="1:37" ht="18.75" x14ac:dyDescent="0.25">
      <c r="A69" s="35"/>
      <c r="B69" s="36"/>
      <c r="C69" s="37">
        <v>0</v>
      </c>
      <c r="D69" s="38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69" s="29" t="str">
        <f ca="1">IF(Июль[[#This Row],[УСЛУГ]]&lt;&gt;"",Июль[[#This Row],[УСЛУГ]]*Июль[[#This Row],[Периодичность]],"")</f>
        <v/>
      </c>
    </row>
    <row r="70" spans="1:37" ht="18.75" x14ac:dyDescent="0.25">
      <c r="A70" s="35" t="s">
        <v>16</v>
      </c>
      <c r="B70" s="36"/>
      <c r="C70" s="37">
        <v>0</v>
      </c>
      <c r="D70" s="38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70" s="29">
        <f ca="1">IF(Июль[[#This Row],[УСЛУГ]]&lt;&gt;"",Июль[[#This Row],[УСЛУГ]]*Июль[[#This Row],[Периодичность]],"")</f>
        <v>0</v>
      </c>
    </row>
    <row r="71" spans="1:37" ht="18.75" x14ac:dyDescent="0.25">
      <c r="A71" s="35"/>
      <c r="B71" s="36"/>
      <c r="C71" s="37">
        <v>0</v>
      </c>
      <c r="D71" s="38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1" s="29" t="str">
        <f ca="1">IF(Июль[[#This Row],[УСЛУГ]]&lt;&gt;"",Июль[[#This Row],[УСЛУГ]]*Июль[[#This Row],[Периодичность]],"")</f>
        <v/>
      </c>
    </row>
    <row r="72" spans="1:37" ht="18.75" x14ac:dyDescent="0.25">
      <c r="A72" s="35"/>
      <c r="B72" s="36"/>
      <c r="C72" s="37">
        <v>0</v>
      </c>
      <c r="D72" s="38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2" s="29" t="str">
        <f ca="1">IF(Июль[[#This Row],[УСЛУГ]]&lt;&gt;"",Июль[[#This Row],[УСЛУГ]]*Июль[[#This Row],[Периодичность]],"")</f>
        <v/>
      </c>
    </row>
    <row r="73" spans="1:37" ht="47.25" x14ac:dyDescent="0.25">
      <c r="A73" s="35" t="s">
        <v>142</v>
      </c>
      <c r="B73" s="36"/>
      <c r="C73" s="37">
        <v>0</v>
      </c>
      <c r="D73" s="38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73" s="29">
        <f ca="1">IF(Июль[[#This Row],[УСЛУГ]]&lt;&gt;"",Июль[[#This Row],[УСЛУГ]]*Июль[[#This Row],[Периодичность]],"")</f>
        <v>0</v>
      </c>
    </row>
    <row r="74" spans="1:37" ht="18.75" x14ac:dyDescent="0.25">
      <c r="A74" s="35"/>
      <c r="B74" s="36"/>
      <c r="C74" s="37">
        <v>0</v>
      </c>
      <c r="D74" s="38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4" s="29" t="str">
        <f ca="1">IF(Июль[[#This Row],[УСЛУГ]]&lt;&gt;"",Июль[[#This Row],[УСЛУГ]]*Июль[[#This Row],[Периодичность]],"")</f>
        <v/>
      </c>
    </row>
    <row r="75" spans="1:37" ht="18.75" x14ac:dyDescent="0.25">
      <c r="A75" s="35"/>
      <c r="B75" s="36"/>
      <c r="C75" s="37">
        <v>0</v>
      </c>
      <c r="D75" s="38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5" s="29" t="str">
        <f ca="1">IF(Июль[[#This Row],[УСЛУГ]]&lt;&gt;"",Июль[[#This Row],[УСЛУГ]]*Июль[[#This Row],[Периодичность]],"")</f>
        <v/>
      </c>
    </row>
    <row r="76" spans="1:37" ht="47.25" x14ac:dyDescent="0.25">
      <c r="A76" s="35" t="s">
        <v>143</v>
      </c>
      <c r="B76" s="36"/>
      <c r="C76" s="37">
        <v>0</v>
      </c>
      <c r="D76" s="38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76" s="29">
        <f ca="1">IF(Июль[[#This Row],[УСЛУГ]]&lt;&gt;"",Июль[[#This Row],[УСЛУГ]]*Июль[[#This Row],[Периодичность]],"")</f>
        <v>0</v>
      </c>
    </row>
    <row r="77" spans="1:37" ht="18.75" x14ac:dyDescent="0.25">
      <c r="A77" s="35"/>
      <c r="B77" s="36"/>
      <c r="C77" s="37">
        <v>0</v>
      </c>
      <c r="D77" s="38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7" s="29" t="str">
        <f ca="1">IF(Июль[[#This Row],[УСЛУГ]]&lt;&gt;"",Июль[[#This Row],[УСЛУГ]]*Июль[[#This Row],[Периодичность]],"")</f>
        <v/>
      </c>
    </row>
    <row r="78" spans="1:37" x14ac:dyDescent="0.25">
      <c r="A78" s="35"/>
      <c r="B78" s="36"/>
      <c r="C78" s="37">
        <v>0</v>
      </c>
      <c r="D78" s="38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78" s="29" t="str">
        <f ca="1">IF(Июль[[#This Row],[УСЛУГ]]&lt;&gt;"",Июль[[#This Row],[УСЛУГ]]*Июль[[#This Row],[Периодичность]],"")</f>
        <v/>
      </c>
    </row>
    <row r="79" spans="1:37" x14ac:dyDescent="0.25">
      <c r="A79" s="35" t="s">
        <v>19</v>
      </c>
      <c r="B79" s="36"/>
      <c r="C79" s="37">
        <v>0</v>
      </c>
      <c r="D79" s="38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79" s="29">
        <f ca="1">IF(Июль[[#This Row],[УСЛУГ]]&lt;&gt;"",Июль[[#This Row],[УСЛУГ]]*Июль[[#This Row],[Периодичность]],"")</f>
        <v>0</v>
      </c>
    </row>
    <row r="80" spans="1:37" ht="18.75" x14ac:dyDescent="0.25">
      <c r="A80" s="35"/>
      <c r="B80" s="36"/>
      <c r="C80" s="37">
        <v>0</v>
      </c>
      <c r="D80" s="38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0" s="29" t="str">
        <f ca="1">IF(Июль[[#This Row],[УСЛУГ]]&lt;&gt;"",Июль[[#This Row],[УСЛУГ]]*Июль[[#This Row],[Периодичность]],"")</f>
        <v/>
      </c>
    </row>
    <row r="81" spans="1:37" x14ac:dyDescent="0.25">
      <c r="A81" s="35"/>
      <c r="B81" s="36"/>
      <c r="C81" s="37">
        <v>0</v>
      </c>
      <c r="D81" s="38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1" s="29" t="str">
        <f ca="1">IF(Июль[[#This Row],[УСЛУГ]]&lt;&gt;"",Июль[[#This Row],[УСЛУГ]]*Июль[[#This Row],[Периодичность]],"")</f>
        <v/>
      </c>
    </row>
    <row r="82" spans="1:37" ht="31.5" x14ac:dyDescent="0.25">
      <c r="A82" s="35" t="s">
        <v>20</v>
      </c>
      <c r="B82" s="36"/>
      <c r="C82" s="37">
        <v>0</v>
      </c>
      <c r="D82" s="38">
        <v>1</v>
      </c>
      <c r="E82" s="39"/>
      <c r="F82" s="40"/>
      <c r="G82" s="41"/>
      <c r="H82" s="41"/>
      <c r="I82" s="41"/>
      <c r="J82" s="41"/>
      <c r="K82" s="41"/>
      <c r="L82" s="39"/>
      <c r="M82" s="40"/>
      <c r="N82" s="41"/>
      <c r="O82" s="41"/>
      <c r="P82" s="41"/>
      <c r="Q82" s="41"/>
      <c r="R82" s="41"/>
      <c r="S82" s="39"/>
      <c r="T82" s="40"/>
      <c r="U82" s="41"/>
      <c r="V82" s="41"/>
      <c r="W82" s="41"/>
      <c r="X82" s="41"/>
      <c r="Y82" s="41"/>
      <c r="Z82" s="39"/>
      <c r="AA82" s="39"/>
      <c r="AB82" s="41"/>
      <c r="AC82" s="41"/>
      <c r="AD82" s="41"/>
      <c r="AE82" s="41"/>
      <c r="AF82" s="41"/>
      <c r="AG82" s="39"/>
      <c r="AH82" s="39"/>
      <c r="AI82" s="41"/>
      <c r="AJ82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82" s="42">
        <f ca="1">IF(Июль[[#This Row],[УСЛУГ]]&lt;&gt;"",Июль[[#This Row],[УСЛУГ]]*Июль[[#This Row],[Периодичность]],"")</f>
        <v>0</v>
      </c>
    </row>
    <row r="83" spans="1:37" x14ac:dyDescent="0.25">
      <c r="A83" s="35"/>
      <c r="B83" s="36"/>
      <c r="C83" s="37">
        <v>0</v>
      </c>
      <c r="D83" s="38">
        <v>2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3" s="42" t="str">
        <f ca="1">IF(Июль[[#This Row],[УСЛУГ]]&lt;&gt;"",Июль[[#This Row],[УСЛУГ]]*Июль[[#This Row],[Периодичность]],"")</f>
        <v/>
      </c>
    </row>
    <row r="84" spans="1:37" x14ac:dyDescent="0.25">
      <c r="A84" s="35"/>
      <c r="B84" s="36"/>
      <c r="C84" s="37">
        <v>0</v>
      </c>
      <c r="D84" s="38">
        <v>3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4" s="42" t="str">
        <f ca="1">IF(Июль[[#This Row],[УСЛУГ]]&lt;&gt;"",Июль[[#This Row],[УСЛУГ]]*Июль[[#This Row],[Периодичность]],"")</f>
        <v/>
      </c>
    </row>
    <row r="85" spans="1:37" ht="47.25" x14ac:dyDescent="0.25">
      <c r="A85" s="35" t="s">
        <v>144</v>
      </c>
      <c r="B85" s="36"/>
      <c r="C85" s="37">
        <v>0</v>
      </c>
      <c r="D85" s="38">
        <v>1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85" s="42">
        <f ca="1">IF(Июль[[#This Row],[УСЛУГ]]&lt;&gt;"",Июль[[#This Row],[УСЛУГ]]*Июль[[#This Row],[Периодичность]],"")</f>
        <v>0</v>
      </c>
    </row>
    <row r="86" spans="1:37" x14ac:dyDescent="0.25">
      <c r="A86" s="35"/>
      <c r="B86" s="36"/>
      <c r="C86" s="37">
        <v>0</v>
      </c>
      <c r="D86" s="38">
        <v>2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6" s="42" t="str">
        <f ca="1">IF(Июль[[#This Row],[УСЛУГ]]&lt;&gt;"",Июль[[#This Row],[УСЛУГ]]*Июль[[#This Row],[Периодичность]],"")</f>
        <v/>
      </c>
    </row>
    <row r="87" spans="1:37" x14ac:dyDescent="0.25">
      <c r="A87" s="35"/>
      <c r="B87" s="36"/>
      <c r="C87" s="37">
        <v>0</v>
      </c>
      <c r="D87" s="38">
        <v>3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7" s="42" t="str">
        <f ca="1">IF(Июль[[#This Row],[УСЛУГ]]&lt;&gt;"",Июль[[#This Row],[УСЛУГ]]*Июль[[#This Row],[Периодичность]],"")</f>
        <v/>
      </c>
    </row>
    <row r="88" spans="1:37" ht="47.25" x14ac:dyDescent="0.25">
      <c r="A88" s="35" t="s">
        <v>145</v>
      </c>
      <c r="B88" s="36"/>
      <c r="C88" s="37">
        <v>0</v>
      </c>
      <c r="D88" s="38">
        <v>1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88" s="42">
        <f ca="1">IF(Июль[[#This Row],[УСЛУГ]]&lt;&gt;"",Июль[[#This Row],[УСЛУГ]]*Июль[[#This Row],[Периодичность]],"")</f>
        <v>0</v>
      </c>
    </row>
    <row r="89" spans="1:37" x14ac:dyDescent="0.25">
      <c r="A89" s="35"/>
      <c r="B89" s="36"/>
      <c r="C89" s="37">
        <v>0</v>
      </c>
      <c r="D89" s="38">
        <v>2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89" s="42" t="str">
        <f ca="1">IF(Июль[[#This Row],[УСЛУГ]]&lt;&gt;"",Июль[[#This Row],[УСЛУГ]]*Июль[[#This Row],[Периодичность]],"")</f>
        <v/>
      </c>
    </row>
    <row r="90" spans="1:37" x14ac:dyDescent="0.25">
      <c r="A90" s="35"/>
      <c r="B90" s="36"/>
      <c r="C90" s="37">
        <v>0</v>
      </c>
      <c r="D90" s="38">
        <v>3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0" s="42" t="str">
        <f ca="1">IF(Июль[[#This Row],[УСЛУГ]]&lt;&gt;"",Июль[[#This Row],[УСЛУГ]]*Июль[[#This Row],[Периодичность]],"")</f>
        <v/>
      </c>
    </row>
    <row r="91" spans="1:37" ht="31.5" x14ac:dyDescent="0.25">
      <c r="A91" s="35" t="s">
        <v>23</v>
      </c>
      <c r="B91" s="36"/>
      <c r="C91" s="37">
        <v>0</v>
      </c>
      <c r="D91" s="38">
        <v>1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91" s="42">
        <f ca="1">IF(Июль[[#This Row],[УСЛУГ]]&lt;&gt;"",Июль[[#This Row],[УСЛУГ]]*Июль[[#This Row],[Периодичность]],"")</f>
        <v>0</v>
      </c>
    </row>
    <row r="92" spans="1:37" x14ac:dyDescent="0.25">
      <c r="A92" s="35"/>
      <c r="B92" s="36"/>
      <c r="C92" s="37">
        <v>0</v>
      </c>
      <c r="D92" s="38">
        <v>2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2" s="42" t="str">
        <f ca="1">IF(Июль[[#This Row],[УСЛУГ]]&lt;&gt;"",Июль[[#This Row],[УСЛУГ]]*Июль[[#This Row],[Периодичность]],"")</f>
        <v/>
      </c>
    </row>
    <row r="93" spans="1:37" x14ac:dyDescent="0.25">
      <c r="A93" s="35"/>
      <c r="B93" s="36"/>
      <c r="C93" s="37">
        <v>0</v>
      </c>
      <c r="D93" s="38">
        <v>3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3" s="42" t="str">
        <f ca="1">IF(Июль[[#This Row],[УСЛУГ]]&lt;&gt;"",Июль[[#This Row],[УСЛУГ]]*Июль[[#This Row],[Периодичность]],"")</f>
        <v/>
      </c>
    </row>
    <row r="94" spans="1:37" ht="31.5" x14ac:dyDescent="0.25">
      <c r="A94" s="35" t="s">
        <v>24</v>
      </c>
      <c r="B94" s="36"/>
      <c r="C94" s="37">
        <v>0</v>
      </c>
      <c r="D94" s="38">
        <v>1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94" s="42">
        <f ca="1">IF(Июль[[#This Row],[УСЛУГ]]&lt;&gt;"",Июль[[#This Row],[УСЛУГ]]*Июль[[#This Row],[Периодичность]],"")</f>
        <v>0</v>
      </c>
    </row>
    <row r="95" spans="1:37" x14ac:dyDescent="0.25">
      <c r="A95" s="35"/>
      <c r="B95" s="36"/>
      <c r="C95" s="37">
        <v>0</v>
      </c>
      <c r="D95" s="38">
        <v>2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5" s="42" t="str">
        <f ca="1">IF(Июль[[#This Row],[УСЛУГ]]&lt;&gt;"",Июль[[#This Row],[УСЛУГ]]*Июль[[#This Row],[Периодичность]],"")</f>
        <v/>
      </c>
    </row>
    <row r="96" spans="1:37" x14ac:dyDescent="0.25">
      <c r="A96" s="35"/>
      <c r="B96" s="36"/>
      <c r="C96" s="37">
        <v>0</v>
      </c>
      <c r="D96" s="38">
        <v>3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6" s="42" t="str">
        <f ca="1">IF(Июль[[#This Row],[УСЛУГ]]&lt;&gt;"",Июль[[#This Row],[УСЛУГ]]*Июль[[#This Row],[Периодичность]],"")</f>
        <v/>
      </c>
    </row>
    <row r="97" spans="1:37" ht="31.5" x14ac:dyDescent="0.25">
      <c r="A97" s="35" t="s">
        <v>25</v>
      </c>
      <c r="B97" s="36"/>
      <c r="C97" s="37">
        <v>0</v>
      </c>
      <c r="D97" s="38">
        <v>1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97" s="42">
        <f ca="1">IF(Июль[[#This Row],[УСЛУГ]]&lt;&gt;"",Июль[[#This Row],[УСЛУГ]]*Июль[[#This Row],[Периодичность]],"")</f>
        <v>0</v>
      </c>
    </row>
    <row r="98" spans="1:37" x14ac:dyDescent="0.25">
      <c r="A98" s="35"/>
      <c r="B98" s="36"/>
      <c r="C98" s="37">
        <v>0</v>
      </c>
      <c r="D98" s="38">
        <v>2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8" s="42" t="str">
        <f ca="1">IF(Июль[[#This Row],[УСЛУГ]]&lt;&gt;"",Июль[[#This Row],[УСЛУГ]]*Июль[[#This Row],[Периодичность]],"")</f>
        <v/>
      </c>
    </row>
    <row r="99" spans="1:37" x14ac:dyDescent="0.25">
      <c r="A99" s="35"/>
      <c r="B99" s="36"/>
      <c r="C99" s="37">
        <v>0</v>
      </c>
      <c r="D99" s="38">
        <v>3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99" s="42" t="str">
        <f ca="1">IF(Июль[[#This Row],[УСЛУГ]]&lt;&gt;"",Июль[[#This Row],[УСЛУГ]]*Июль[[#This Row],[Периодичность]],"")</f>
        <v/>
      </c>
    </row>
    <row r="100" spans="1:37" ht="47.25" x14ac:dyDescent="0.25">
      <c r="A100" s="35" t="s">
        <v>26</v>
      </c>
      <c r="B100" s="36"/>
      <c r="C100" s="37">
        <v>0</v>
      </c>
      <c r="D100" s="38">
        <v>1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00" s="42">
        <f ca="1">IF(Июль[[#This Row],[УСЛУГ]]&lt;&gt;"",Июль[[#This Row],[УСЛУГ]]*Июль[[#This Row],[Периодичность]],"")</f>
        <v>0</v>
      </c>
    </row>
    <row r="101" spans="1:37" x14ac:dyDescent="0.25">
      <c r="A101" s="35"/>
      <c r="B101" s="36"/>
      <c r="C101" s="37">
        <v>0</v>
      </c>
      <c r="D101" s="38">
        <v>2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1" s="42" t="str">
        <f ca="1">IF(Июль[[#This Row],[УСЛУГ]]&lt;&gt;"",Июль[[#This Row],[УСЛУГ]]*Июль[[#This Row],[Периодичность]],"")</f>
        <v/>
      </c>
    </row>
    <row r="102" spans="1:37" x14ac:dyDescent="0.25">
      <c r="A102" s="35"/>
      <c r="B102" s="36"/>
      <c r="C102" s="37">
        <v>0</v>
      </c>
      <c r="D102" s="38">
        <v>3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2" s="42" t="str">
        <f ca="1">IF(Июль[[#This Row],[УСЛУГ]]&lt;&gt;"",Июль[[#This Row],[УСЛУГ]]*Июль[[#This Row],[Периодичность]],"")</f>
        <v/>
      </c>
    </row>
    <row r="103" spans="1:37" ht="31.5" x14ac:dyDescent="0.25">
      <c r="A103" s="35" t="s">
        <v>27</v>
      </c>
      <c r="B103" s="36"/>
      <c r="C103" s="37">
        <v>0</v>
      </c>
      <c r="D103" s="38">
        <v>1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03" s="42">
        <f ca="1">IF(Июль[[#This Row],[УСЛУГ]]&lt;&gt;"",Июль[[#This Row],[УСЛУГ]]*Июль[[#This Row],[Периодичность]],"")</f>
        <v>0</v>
      </c>
    </row>
    <row r="104" spans="1:37" x14ac:dyDescent="0.25">
      <c r="A104" s="35"/>
      <c r="B104" s="36"/>
      <c r="C104" s="37">
        <v>0</v>
      </c>
      <c r="D104" s="38">
        <v>2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4" s="42" t="str">
        <f ca="1">IF(Июль[[#This Row],[УСЛУГ]]&lt;&gt;"",Июль[[#This Row],[УСЛУГ]]*Июль[[#This Row],[Периодичность]],"")</f>
        <v/>
      </c>
    </row>
    <row r="105" spans="1:37" x14ac:dyDescent="0.25">
      <c r="A105" s="35"/>
      <c r="B105" s="36"/>
      <c r="C105" s="37">
        <v>0</v>
      </c>
      <c r="D105" s="38">
        <v>3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5" s="42" t="str">
        <f ca="1">IF(Июль[[#This Row],[УСЛУГ]]&lt;&gt;"",Июль[[#This Row],[УСЛУГ]]*Июль[[#This Row],[Периодичность]],"")</f>
        <v/>
      </c>
    </row>
    <row r="106" spans="1:37" ht="47.25" x14ac:dyDescent="0.25">
      <c r="A106" s="35" t="s">
        <v>28</v>
      </c>
      <c r="B106" s="36"/>
      <c r="C106" s="37">
        <v>0</v>
      </c>
      <c r="D106" s="38">
        <v>1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06" s="42">
        <f ca="1">IF(Июль[[#This Row],[УСЛУГ]]&lt;&gt;"",Июль[[#This Row],[УСЛУГ]]*Июль[[#This Row],[Периодичность]],"")</f>
        <v>0</v>
      </c>
    </row>
    <row r="107" spans="1:37" x14ac:dyDescent="0.25">
      <c r="A107" s="35"/>
      <c r="B107" s="36"/>
      <c r="C107" s="37">
        <v>0</v>
      </c>
      <c r="D107" s="38">
        <v>2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7" s="42" t="str">
        <f ca="1">IF(Июль[[#This Row],[УСЛУГ]]&lt;&gt;"",Июль[[#This Row],[УСЛУГ]]*Июль[[#This Row],[Периодичность]],"")</f>
        <v/>
      </c>
    </row>
    <row r="108" spans="1:37" x14ac:dyDescent="0.25">
      <c r="A108" s="35"/>
      <c r="B108" s="36"/>
      <c r="C108" s="37">
        <v>0</v>
      </c>
      <c r="D108" s="38">
        <v>3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08" s="42" t="str">
        <f ca="1">IF(Июль[[#This Row],[УСЛУГ]]&lt;&gt;"",Июль[[#This Row],[УСЛУГ]]*Июль[[#This Row],[Периодичность]],"")</f>
        <v/>
      </c>
    </row>
    <row r="109" spans="1:37" ht="31.5" x14ac:dyDescent="0.25">
      <c r="A109" s="35" t="s">
        <v>29</v>
      </c>
      <c r="B109" s="36"/>
      <c r="C109" s="37">
        <v>0</v>
      </c>
      <c r="D109" s="38">
        <v>1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09" s="42">
        <f ca="1">IF(Июль[[#This Row],[УСЛУГ]]&lt;&gt;"",Июль[[#This Row],[УСЛУГ]]*Июль[[#This Row],[Периодичность]],"")</f>
        <v>0</v>
      </c>
    </row>
    <row r="110" spans="1:37" x14ac:dyDescent="0.25">
      <c r="A110" s="35"/>
      <c r="B110" s="36"/>
      <c r="C110" s="37">
        <v>0</v>
      </c>
      <c r="D110" s="38">
        <v>2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0" s="42" t="str">
        <f ca="1">IF(Июль[[#This Row],[УСЛУГ]]&lt;&gt;"",Июль[[#This Row],[УСЛУГ]]*Июль[[#This Row],[Периодичность]],"")</f>
        <v/>
      </c>
    </row>
    <row r="111" spans="1:37" x14ac:dyDescent="0.25">
      <c r="A111" s="35"/>
      <c r="B111" s="36"/>
      <c r="C111" s="37">
        <v>0</v>
      </c>
      <c r="D111" s="38">
        <v>3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1" s="42" t="str">
        <f ca="1">IF(Июль[[#This Row],[УСЛУГ]]&lt;&gt;"",Июль[[#This Row],[УСЛУГ]]*Июль[[#This Row],[Периодичность]],"")</f>
        <v/>
      </c>
    </row>
    <row r="112" spans="1:37" ht="47.25" x14ac:dyDescent="0.25">
      <c r="A112" s="35" t="s">
        <v>30</v>
      </c>
      <c r="B112" s="36"/>
      <c r="C112" s="37">
        <v>0</v>
      </c>
      <c r="D112" s="38">
        <v>1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12" s="42">
        <f ca="1">IF(Июль[[#This Row],[УСЛУГ]]&lt;&gt;"",Июль[[#This Row],[УСЛУГ]]*Июль[[#This Row],[Периодичность]],"")</f>
        <v>0</v>
      </c>
    </row>
    <row r="113" spans="1:37" x14ac:dyDescent="0.25">
      <c r="A113" s="35"/>
      <c r="B113" s="36"/>
      <c r="C113" s="37">
        <v>0</v>
      </c>
      <c r="D113" s="38">
        <v>2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3" s="42" t="str">
        <f ca="1">IF(Июль[[#This Row],[УСЛУГ]]&lt;&gt;"",Июль[[#This Row],[УСЛУГ]]*Июль[[#This Row],[Периодичность]],"")</f>
        <v/>
      </c>
    </row>
    <row r="114" spans="1:37" x14ac:dyDescent="0.25">
      <c r="A114" s="35"/>
      <c r="B114" s="36"/>
      <c r="C114" s="37">
        <v>0</v>
      </c>
      <c r="D114" s="38">
        <v>3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4" s="42" t="str">
        <f ca="1">IF(Июль[[#This Row],[УСЛУГ]]&lt;&gt;"",Июль[[#This Row],[УСЛУГ]]*Июль[[#This Row],[Периодичность]],"")</f>
        <v/>
      </c>
    </row>
    <row r="115" spans="1:37" ht="47.25" x14ac:dyDescent="0.25">
      <c r="A115" s="35" t="s">
        <v>77</v>
      </c>
      <c r="B115" s="36"/>
      <c r="C115" s="37">
        <v>0</v>
      </c>
      <c r="D115" s="38">
        <v>1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15" s="42">
        <f ca="1">IF(Июль[[#This Row],[УСЛУГ]]&lt;&gt;"",Июль[[#This Row],[УСЛУГ]]*Июль[[#This Row],[Периодичность]],"")</f>
        <v>0</v>
      </c>
    </row>
    <row r="116" spans="1:37" x14ac:dyDescent="0.25">
      <c r="A116" s="35"/>
      <c r="B116" s="36"/>
      <c r="C116" s="37">
        <v>0</v>
      </c>
      <c r="D116" s="38">
        <v>2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6" s="42" t="str">
        <f ca="1">IF(Июль[[#This Row],[УСЛУГ]]&lt;&gt;"",Июль[[#This Row],[УСЛУГ]]*Июль[[#This Row],[Периодичность]],"")</f>
        <v/>
      </c>
    </row>
    <row r="117" spans="1:37" x14ac:dyDescent="0.25">
      <c r="A117" s="35"/>
      <c r="B117" s="36"/>
      <c r="C117" s="37">
        <v>0</v>
      </c>
      <c r="D117" s="38">
        <v>3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7" s="42" t="str">
        <f ca="1">IF(Июль[[#This Row],[УСЛУГ]]&lt;&gt;"",Июль[[#This Row],[УСЛУГ]]*Июль[[#This Row],[Периодичность]],"")</f>
        <v/>
      </c>
    </row>
    <row r="118" spans="1:37" ht="63" x14ac:dyDescent="0.25">
      <c r="A118" s="35" t="s">
        <v>146</v>
      </c>
      <c r="B118" s="36"/>
      <c r="C118" s="37">
        <v>0</v>
      </c>
      <c r="D118" s="38">
        <v>1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18" s="42">
        <f ca="1">IF(Июль[[#This Row],[УСЛУГ]]&lt;&gt;"",Июль[[#This Row],[УСЛУГ]]*Июль[[#This Row],[Периодичность]],"")</f>
        <v>0</v>
      </c>
    </row>
    <row r="119" spans="1:37" x14ac:dyDescent="0.25">
      <c r="A119" s="35"/>
      <c r="B119" s="36"/>
      <c r="C119" s="37">
        <v>0</v>
      </c>
      <c r="D119" s="38">
        <v>2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19" s="42" t="str">
        <f ca="1">IF(Июль[[#This Row],[УСЛУГ]]&lt;&gt;"",Июль[[#This Row],[УСЛУГ]]*Июль[[#This Row],[Периодичность]],"")</f>
        <v/>
      </c>
    </row>
    <row r="120" spans="1:37" x14ac:dyDescent="0.25">
      <c r="A120" s="35"/>
      <c r="B120" s="36"/>
      <c r="C120" s="37">
        <v>0</v>
      </c>
      <c r="D120" s="38">
        <v>3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0" s="42" t="str">
        <f ca="1">IF(Июль[[#This Row],[УСЛУГ]]&lt;&gt;"",Июль[[#This Row],[УСЛУГ]]*Июль[[#This Row],[Периодичность]],"")</f>
        <v/>
      </c>
    </row>
    <row r="121" spans="1:37" ht="47.25" x14ac:dyDescent="0.25">
      <c r="A121" s="35" t="s">
        <v>76</v>
      </c>
      <c r="B121" s="36"/>
      <c r="C121" s="37">
        <v>0</v>
      </c>
      <c r="D121" s="38">
        <v>1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21" s="42">
        <f ca="1">IF(Июль[[#This Row],[УСЛУГ]]&lt;&gt;"",Июль[[#This Row],[УСЛУГ]]*Июль[[#This Row],[Периодичность]],"")</f>
        <v>0</v>
      </c>
    </row>
    <row r="122" spans="1:37" x14ac:dyDescent="0.25">
      <c r="A122" s="35"/>
      <c r="B122" s="36"/>
      <c r="C122" s="37">
        <v>0</v>
      </c>
      <c r="D122" s="38">
        <v>2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2" s="42" t="str">
        <f ca="1">IF(Июль[[#This Row],[УСЛУГ]]&lt;&gt;"",Июль[[#This Row],[УСЛУГ]]*Июль[[#This Row],[Периодичность]],"")</f>
        <v/>
      </c>
    </row>
    <row r="123" spans="1:37" x14ac:dyDescent="0.25">
      <c r="A123" s="35"/>
      <c r="B123" s="36"/>
      <c r="C123" s="37">
        <v>0</v>
      </c>
      <c r="D123" s="38">
        <v>3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3" s="42" t="str">
        <f ca="1">IF(Июль[[#This Row],[УСЛУГ]]&lt;&gt;"",Июль[[#This Row],[УСЛУГ]]*Июль[[#This Row],[Периодичность]],"")</f>
        <v/>
      </c>
    </row>
    <row r="124" spans="1:37" ht="47.25" x14ac:dyDescent="0.25">
      <c r="A124" s="35" t="s">
        <v>147</v>
      </c>
      <c r="B124" s="36"/>
      <c r="C124" s="37">
        <v>0</v>
      </c>
      <c r="D124" s="38">
        <v>1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24" s="42">
        <f ca="1">IF(Июль[[#This Row],[УСЛУГ]]&lt;&gt;"",Июль[[#This Row],[УСЛУГ]]*Июль[[#This Row],[Периодичность]],"")</f>
        <v>0</v>
      </c>
    </row>
    <row r="125" spans="1:37" x14ac:dyDescent="0.25">
      <c r="A125" s="35"/>
      <c r="B125" s="36"/>
      <c r="C125" s="37">
        <v>0</v>
      </c>
      <c r="D125" s="38">
        <v>2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5" s="42" t="str">
        <f ca="1">IF(Июль[[#This Row],[УСЛУГ]]&lt;&gt;"",Июль[[#This Row],[УСЛУГ]]*Июль[[#This Row],[Периодичность]],"")</f>
        <v/>
      </c>
    </row>
    <row r="126" spans="1:37" x14ac:dyDescent="0.25">
      <c r="A126" s="35"/>
      <c r="B126" s="36"/>
      <c r="C126" s="37">
        <v>0</v>
      </c>
      <c r="D126" s="38">
        <v>3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6" s="42" t="str">
        <f ca="1">IF(Июль[[#This Row],[УСЛУГ]]&lt;&gt;"",Июль[[#This Row],[УСЛУГ]]*Июль[[#This Row],[Периодичность]],"")</f>
        <v/>
      </c>
    </row>
    <row r="127" spans="1:37" ht="47.25" x14ac:dyDescent="0.25">
      <c r="A127" s="35" t="s">
        <v>148</v>
      </c>
      <c r="B127" s="36"/>
      <c r="C127" s="37">
        <v>0</v>
      </c>
      <c r="D127" s="38">
        <v>1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27" s="42">
        <f ca="1">IF(Июль[[#This Row],[УСЛУГ]]&lt;&gt;"",Июль[[#This Row],[УСЛУГ]]*Июль[[#This Row],[Периодичность]],"")</f>
        <v>0</v>
      </c>
    </row>
    <row r="128" spans="1:37" x14ac:dyDescent="0.25">
      <c r="A128" s="35"/>
      <c r="B128" s="36"/>
      <c r="C128" s="37">
        <v>0</v>
      </c>
      <c r="D128" s="38">
        <v>2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8" s="42" t="str">
        <f ca="1">IF(Июль[[#This Row],[УСЛУГ]]&lt;&gt;"",Июль[[#This Row],[УСЛУГ]]*Июль[[#This Row],[Периодичность]],"")</f>
        <v/>
      </c>
    </row>
    <row r="129" spans="1:37" x14ac:dyDescent="0.25">
      <c r="A129" s="35"/>
      <c r="B129" s="36"/>
      <c r="C129" s="37">
        <v>0</v>
      </c>
      <c r="D129" s="38">
        <v>3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29" s="42" t="str">
        <f ca="1">IF(Июль[[#This Row],[УСЛУГ]]&lt;&gt;"",Июль[[#This Row],[УСЛУГ]]*Июль[[#This Row],[Периодичность]],"")</f>
        <v/>
      </c>
    </row>
    <row r="130" spans="1:37" ht="31.5" x14ac:dyDescent="0.25">
      <c r="A130" s="35" t="s">
        <v>36</v>
      </c>
      <c r="B130" s="36"/>
      <c r="C130" s="37">
        <v>0</v>
      </c>
      <c r="D130" s="38">
        <v>1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30" s="42">
        <f ca="1">IF(Июль[[#This Row],[УСЛУГ]]&lt;&gt;"",Июль[[#This Row],[УСЛУГ]]*Июль[[#This Row],[Периодичность]],"")</f>
        <v>0</v>
      </c>
    </row>
    <row r="131" spans="1:37" x14ac:dyDescent="0.25">
      <c r="A131" s="35"/>
      <c r="B131" s="36"/>
      <c r="C131" s="37">
        <v>0</v>
      </c>
      <c r="D131" s="38">
        <v>2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1" s="42" t="str">
        <f ca="1">IF(Июль[[#This Row],[УСЛУГ]]&lt;&gt;"",Июль[[#This Row],[УСЛУГ]]*Июль[[#This Row],[Периодичность]],"")</f>
        <v/>
      </c>
    </row>
    <row r="132" spans="1:37" x14ac:dyDescent="0.25">
      <c r="A132" s="35"/>
      <c r="B132" s="36"/>
      <c r="C132" s="37">
        <v>0</v>
      </c>
      <c r="D132" s="38">
        <v>3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2" s="42" t="str">
        <f ca="1">IF(Июль[[#This Row],[УСЛУГ]]&lt;&gt;"",Июль[[#This Row],[УСЛУГ]]*Июль[[#This Row],[Периодичность]],"")</f>
        <v/>
      </c>
    </row>
    <row r="133" spans="1:37" ht="31.5" x14ac:dyDescent="0.25">
      <c r="A133" s="35" t="s">
        <v>37</v>
      </c>
      <c r="B133" s="36"/>
      <c r="C133" s="37">
        <v>0</v>
      </c>
      <c r="D133" s="38">
        <v>1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33" s="42">
        <f ca="1">IF(Июль[[#This Row],[УСЛУГ]]&lt;&gt;"",Июль[[#This Row],[УСЛУГ]]*Июль[[#This Row],[Периодичность]],"")</f>
        <v>0</v>
      </c>
    </row>
    <row r="134" spans="1:37" x14ac:dyDescent="0.25">
      <c r="A134" s="35"/>
      <c r="B134" s="36"/>
      <c r="C134" s="37">
        <v>0</v>
      </c>
      <c r="D134" s="38">
        <v>2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4" s="42" t="str">
        <f ca="1">IF(Июль[[#This Row],[УСЛУГ]]&lt;&gt;"",Июль[[#This Row],[УСЛУГ]]*Июль[[#This Row],[Периодичность]],"")</f>
        <v/>
      </c>
    </row>
    <row r="135" spans="1:37" x14ac:dyDescent="0.25">
      <c r="A135" s="35"/>
      <c r="B135" s="36"/>
      <c r="C135" s="37">
        <v>0</v>
      </c>
      <c r="D135" s="38">
        <v>3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5" s="42" t="str">
        <f ca="1">IF(Июль[[#This Row],[УСЛУГ]]&lt;&gt;"",Июль[[#This Row],[УСЛУГ]]*Июль[[#This Row],[Периодичность]],"")</f>
        <v/>
      </c>
    </row>
    <row r="136" spans="1:37" x14ac:dyDescent="0.25">
      <c r="A136" s="35" t="s">
        <v>38</v>
      </c>
      <c r="B136" s="36"/>
      <c r="C136" s="37">
        <v>0</v>
      </c>
      <c r="D136" s="38">
        <v>1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36" s="42">
        <f ca="1">IF(Июль[[#This Row],[УСЛУГ]]&lt;&gt;"",Июль[[#This Row],[УСЛУГ]]*Июль[[#This Row],[Периодичность]],"")</f>
        <v>0</v>
      </c>
    </row>
    <row r="137" spans="1:37" x14ac:dyDescent="0.25">
      <c r="A137" s="35"/>
      <c r="B137" s="36"/>
      <c r="C137" s="37">
        <v>0</v>
      </c>
      <c r="D137" s="38">
        <v>2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7" s="42" t="str">
        <f ca="1">IF(Июль[[#This Row],[УСЛУГ]]&lt;&gt;"",Июль[[#This Row],[УСЛУГ]]*Июль[[#This Row],[Периодичность]],"")</f>
        <v/>
      </c>
    </row>
    <row r="138" spans="1:37" x14ac:dyDescent="0.25">
      <c r="A138" s="35"/>
      <c r="B138" s="36"/>
      <c r="C138" s="37">
        <v>0</v>
      </c>
      <c r="D138" s="38">
        <v>3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38" s="42" t="str">
        <f ca="1">IF(Июль[[#This Row],[УСЛУГ]]&lt;&gt;"",Июль[[#This Row],[УСЛУГ]]*Июль[[#This Row],[Периодичность]],"")</f>
        <v/>
      </c>
    </row>
    <row r="139" spans="1:37" ht="31.5" x14ac:dyDescent="0.25">
      <c r="A139" s="35" t="s">
        <v>39</v>
      </c>
      <c r="B139" s="36"/>
      <c r="C139" s="37">
        <v>0</v>
      </c>
      <c r="D139" s="38">
        <v>1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39" s="42">
        <f ca="1">IF(Июль[[#This Row],[УСЛУГ]]&lt;&gt;"",Июль[[#This Row],[УСЛУГ]]*Июль[[#This Row],[Периодичность]],"")</f>
        <v>0</v>
      </c>
    </row>
    <row r="140" spans="1:37" x14ac:dyDescent="0.25">
      <c r="A140" s="35"/>
      <c r="B140" s="36"/>
      <c r="C140" s="37">
        <v>0</v>
      </c>
      <c r="D140" s="38">
        <v>2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0" s="42" t="str">
        <f ca="1">IF(Июль[[#This Row],[УСЛУГ]]&lt;&gt;"",Июль[[#This Row],[УСЛУГ]]*Июль[[#This Row],[Периодичность]],"")</f>
        <v/>
      </c>
    </row>
    <row r="141" spans="1:37" x14ac:dyDescent="0.25">
      <c r="A141" s="35"/>
      <c r="B141" s="36"/>
      <c r="C141" s="37">
        <v>0</v>
      </c>
      <c r="D141" s="38">
        <v>3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1" s="42" t="str">
        <f ca="1">IF(Июль[[#This Row],[УСЛУГ]]&lt;&gt;"",Июль[[#This Row],[УСЛУГ]]*Июль[[#This Row],[Периодичность]],"")</f>
        <v/>
      </c>
    </row>
    <row r="142" spans="1:37" ht="47.25" x14ac:dyDescent="0.25">
      <c r="A142" s="35" t="s">
        <v>149</v>
      </c>
      <c r="B142" s="36"/>
      <c r="C142" s="37">
        <v>0</v>
      </c>
      <c r="D142" s="38">
        <v>1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42" s="42">
        <f ca="1">IF(Июль[[#This Row],[УСЛУГ]]&lt;&gt;"",Июль[[#This Row],[УСЛУГ]]*Июль[[#This Row],[Периодичность]],"")</f>
        <v>0</v>
      </c>
    </row>
    <row r="143" spans="1:37" x14ac:dyDescent="0.25">
      <c r="A143" s="35"/>
      <c r="B143" s="36"/>
      <c r="C143" s="37">
        <v>0</v>
      </c>
      <c r="D143" s="38">
        <v>2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3" s="42" t="str">
        <f ca="1">IF(Июль[[#This Row],[УСЛУГ]]&lt;&gt;"",Июль[[#This Row],[УСЛУГ]]*Июль[[#This Row],[Периодичность]],"")</f>
        <v/>
      </c>
    </row>
    <row r="144" spans="1:37" x14ac:dyDescent="0.25">
      <c r="A144" s="35"/>
      <c r="B144" s="36"/>
      <c r="C144" s="37">
        <v>0</v>
      </c>
      <c r="D144" s="38">
        <v>3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4" s="42" t="str">
        <f ca="1">IF(Июль[[#This Row],[УСЛУГ]]&lt;&gt;"",Июль[[#This Row],[УСЛУГ]]*Июль[[#This Row],[Периодичность]],"")</f>
        <v/>
      </c>
    </row>
    <row r="145" spans="1:37" ht="47.25" x14ac:dyDescent="0.25">
      <c r="A145" s="35" t="s">
        <v>150</v>
      </c>
      <c r="B145" s="36"/>
      <c r="C145" s="37">
        <v>0</v>
      </c>
      <c r="D145" s="38">
        <v>1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45" s="42">
        <f ca="1">IF(Июль[[#This Row],[УСЛУГ]]&lt;&gt;"",Июль[[#This Row],[УСЛУГ]]*Июль[[#This Row],[Периодичность]],"")</f>
        <v>0</v>
      </c>
    </row>
    <row r="146" spans="1:37" x14ac:dyDescent="0.25">
      <c r="A146" s="35"/>
      <c r="B146" s="36"/>
      <c r="C146" s="37">
        <v>0</v>
      </c>
      <c r="D146" s="38">
        <v>2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6" s="42" t="str">
        <f ca="1">IF(Июль[[#This Row],[УСЛУГ]]&lt;&gt;"",Июль[[#This Row],[УСЛУГ]]*Июль[[#This Row],[Периодичность]],"")</f>
        <v/>
      </c>
    </row>
    <row r="147" spans="1:37" x14ac:dyDescent="0.25">
      <c r="A147" s="35"/>
      <c r="B147" s="36"/>
      <c r="C147" s="37">
        <v>0</v>
      </c>
      <c r="D147" s="38">
        <v>3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7" s="42" t="str">
        <f ca="1">IF(Июль[[#This Row],[УСЛУГ]]&lt;&gt;"",Июль[[#This Row],[УСЛУГ]]*Июль[[#This Row],[Периодичность]],"")</f>
        <v/>
      </c>
    </row>
    <row r="148" spans="1:37" ht="47.25" x14ac:dyDescent="0.25">
      <c r="A148" s="35" t="s">
        <v>151</v>
      </c>
      <c r="B148" s="36"/>
      <c r="C148" s="37">
        <v>0</v>
      </c>
      <c r="D148" s="38">
        <v>1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48" s="42">
        <f ca="1">IF(Июль[[#This Row],[УСЛУГ]]&lt;&gt;"",Июль[[#This Row],[УСЛУГ]]*Июль[[#This Row],[Периодичность]],"")</f>
        <v>0</v>
      </c>
    </row>
    <row r="149" spans="1:37" x14ac:dyDescent="0.25">
      <c r="A149" s="35"/>
      <c r="B149" s="36"/>
      <c r="C149" s="37">
        <v>0</v>
      </c>
      <c r="D149" s="38">
        <v>2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49" s="42" t="str">
        <f ca="1">IF(Июль[[#This Row],[УСЛУГ]]&lt;&gt;"",Июль[[#This Row],[УСЛУГ]]*Июль[[#This Row],[Периодичность]],"")</f>
        <v/>
      </c>
    </row>
    <row r="150" spans="1:37" x14ac:dyDescent="0.25">
      <c r="A150" s="35"/>
      <c r="B150" s="36"/>
      <c r="C150" s="37">
        <v>0</v>
      </c>
      <c r="D150" s="38">
        <v>3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0" s="42" t="str">
        <f ca="1">IF(Июль[[#This Row],[УСЛУГ]]&lt;&gt;"",Июль[[#This Row],[УСЛУГ]]*Июль[[#This Row],[Периодичность]],"")</f>
        <v/>
      </c>
    </row>
    <row r="151" spans="1:37" ht="47.25" x14ac:dyDescent="0.25">
      <c r="A151" s="35" t="s">
        <v>75</v>
      </c>
      <c r="B151" s="36"/>
      <c r="C151" s="37">
        <v>0</v>
      </c>
      <c r="D151" s="38">
        <v>1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51" s="42">
        <f ca="1">IF(Июль[[#This Row],[УСЛУГ]]&lt;&gt;"",Июль[[#This Row],[УСЛУГ]]*Июль[[#This Row],[Периодичность]],"")</f>
        <v>0</v>
      </c>
    </row>
    <row r="152" spans="1:37" x14ac:dyDescent="0.25">
      <c r="A152" s="35"/>
      <c r="B152" s="36"/>
      <c r="C152" s="37">
        <v>0</v>
      </c>
      <c r="D152" s="38">
        <v>2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2" s="42" t="str">
        <f ca="1">IF(Июль[[#This Row],[УСЛУГ]]&lt;&gt;"",Июль[[#This Row],[УСЛУГ]]*Июль[[#This Row],[Периодичность]],"")</f>
        <v/>
      </c>
    </row>
    <row r="153" spans="1:37" x14ac:dyDescent="0.25">
      <c r="A153" s="35"/>
      <c r="B153" s="36"/>
      <c r="C153" s="37">
        <v>0</v>
      </c>
      <c r="D153" s="38">
        <v>3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3" s="42" t="str">
        <f ca="1">IF(Июль[[#This Row],[УСЛУГ]]&lt;&gt;"",Июль[[#This Row],[УСЛУГ]]*Июль[[#This Row],[Периодичность]],"")</f>
        <v/>
      </c>
    </row>
    <row r="154" spans="1:37" ht="47.25" x14ac:dyDescent="0.25">
      <c r="A154" s="35" t="s">
        <v>74</v>
      </c>
      <c r="B154" s="36"/>
      <c r="C154" s="37">
        <v>0</v>
      </c>
      <c r="D154" s="38">
        <v>1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54" s="42">
        <f ca="1">IF(Июль[[#This Row],[УСЛУГ]]&lt;&gt;"",Июль[[#This Row],[УСЛУГ]]*Июль[[#This Row],[Периодичность]],"")</f>
        <v>0</v>
      </c>
    </row>
    <row r="155" spans="1:37" x14ac:dyDescent="0.25">
      <c r="A155" s="35"/>
      <c r="B155" s="36"/>
      <c r="C155" s="37">
        <v>0</v>
      </c>
      <c r="D155" s="38">
        <v>2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5" s="42" t="str">
        <f ca="1">IF(Июль[[#This Row],[УСЛУГ]]&lt;&gt;"",Июль[[#This Row],[УСЛУГ]]*Июль[[#This Row],[Периодичность]],"")</f>
        <v/>
      </c>
    </row>
    <row r="156" spans="1:37" x14ac:dyDescent="0.25">
      <c r="A156" s="35"/>
      <c r="B156" s="36"/>
      <c r="C156" s="37">
        <v>0</v>
      </c>
      <c r="D156" s="38">
        <v>3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6" s="42" t="str">
        <f ca="1">IF(Июль[[#This Row],[УСЛУГ]]&lt;&gt;"",Июль[[#This Row],[УСЛУГ]]*Июль[[#This Row],[Периодичность]],"")</f>
        <v/>
      </c>
    </row>
    <row r="157" spans="1:37" ht="47.25" x14ac:dyDescent="0.25">
      <c r="A157" s="35" t="s">
        <v>152</v>
      </c>
      <c r="B157" s="36"/>
      <c r="C157" s="37">
        <v>0</v>
      </c>
      <c r="D157" s="38">
        <v>1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57" s="42">
        <f ca="1">IF(Июль[[#This Row],[УСЛУГ]]&lt;&gt;"",Июль[[#This Row],[УСЛУГ]]*Июль[[#This Row],[Периодичность]],"")</f>
        <v>0</v>
      </c>
    </row>
    <row r="158" spans="1:37" x14ac:dyDescent="0.25">
      <c r="A158" s="35"/>
      <c r="B158" s="36"/>
      <c r="C158" s="37">
        <v>0</v>
      </c>
      <c r="D158" s="38">
        <v>2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8" s="42" t="str">
        <f ca="1">IF(Июль[[#This Row],[УСЛУГ]]&lt;&gt;"",Июль[[#This Row],[УСЛУГ]]*Июль[[#This Row],[Периодичность]],"")</f>
        <v/>
      </c>
    </row>
    <row r="159" spans="1:37" x14ac:dyDescent="0.25">
      <c r="A159" s="35"/>
      <c r="B159" s="36"/>
      <c r="C159" s="37">
        <v>0</v>
      </c>
      <c r="D159" s="38">
        <v>3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59" s="42" t="str">
        <f ca="1">IF(Июль[[#This Row],[УСЛУГ]]&lt;&gt;"",Июль[[#This Row],[УСЛУГ]]*Июль[[#This Row],[Периодичность]],"")</f>
        <v/>
      </c>
    </row>
    <row r="160" spans="1:37" ht="47.25" x14ac:dyDescent="0.25">
      <c r="A160" s="35" t="s">
        <v>153</v>
      </c>
      <c r="B160" s="36"/>
      <c r="C160" s="37">
        <v>0</v>
      </c>
      <c r="D160" s="38">
        <v>1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60" s="42">
        <f ca="1">IF(Июль[[#This Row],[УСЛУГ]]&lt;&gt;"",Июль[[#This Row],[УСЛУГ]]*Июль[[#This Row],[Периодичность]],"")</f>
        <v>0</v>
      </c>
    </row>
    <row r="161" spans="1:37" x14ac:dyDescent="0.25">
      <c r="A161" s="35"/>
      <c r="B161" s="36"/>
      <c r="C161" s="37">
        <v>0</v>
      </c>
      <c r="D161" s="38">
        <v>2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1" s="42" t="str">
        <f ca="1">IF(Июль[[#This Row],[УСЛУГ]]&lt;&gt;"",Июль[[#This Row],[УСЛУГ]]*Июль[[#This Row],[Периодичность]],"")</f>
        <v/>
      </c>
    </row>
    <row r="162" spans="1:37" x14ac:dyDescent="0.25">
      <c r="A162" s="35"/>
      <c r="B162" s="36"/>
      <c r="C162" s="37">
        <v>0</v>
      </c>
      <c r="D162" s="38">
        <v>3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2" s="42" t="str">
        <f ca="1">IF(Июль[[#This Row],[УСЛУГ]]&lt;&gt;"",Июль[[#This Row],[УСЛУГ]]*Июль[[#This Row],[Периодичность]],"")</f>
        <v/>
      </c>
    </row>
    <row r="163" spans="1:37" ht="47.25" x14ac:dyDescent="0.25">
      <c r="A163" s="35" t="s">
        <v>154</v>
      </c>
      <c r="B163" s="36"/>
      <c r="C163" s="37">
        <v>0</v>
      </c>
      <c r="D163" s="38">
        <v>1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63" s="42">
        <f ca="1">IF(Июль[[#This Row],[УСЛУГ]]&lt;&gt;"",Июль[[#This Row],[УСЛУГ]]*Июль[[#This Row],[Периодичность]],"")</f>
        <v>0</v>
      </c>
    </row>
    <row r="164" spans="1:37" x14ac:dyDescent="0.25">
      <c r="A164" s="35"/>
      <c r="B164" s="36"/>
      <c r="C164" s="37">
        <v>0</v>
      </c>
      <c r="D164" s="38">
        <v>2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4" s="42" t="str">
        <f ca="1">IF(Июль[[#This Row],[УСЛУГ]]&lt;&gt;"",Июль[[#This Row],[УСЛУГ]]*Июль[[#This Row],[Периодичность]],"")</f>
        <v/>
      </c>
    </row>
    <row r="165" spans="1:37" x14ac:dyDescent="0.25">
      <c r="A165" s="35"/>
      <c r="B165" s="36"/>
      <c r="C165" s="37">
        <v>0</v>
      </c>
      <c r="D165" s="38">
        <v>3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5" s="42" t="str">
        <f ca="1">IF(Июль[[#This Row],[УСЛУГ]]&lt;&gt;"",Июль[[#This Row],[УСЛУГ]]*Июль[[#This Row],[Периодичность]],"")</f>
        <v/>
      </c>
    </row>
    <row r="166" spans="1:37" ht="47.25" x14ac:dyDescent="0.25">
      <c r="A166" s="35" t="s">
        <v>73</v>
      </c>
      <c r="B166" s="36"/>
      <c r="C166" s="37">
        <v>0</v>
      </c>
      <c r="D166" s="38">
        <v>1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66" s="42">
        <f ca="1">IF(Июль[[#This Row],[УСЛУГ]]&lt;&gt;"",Июль[[#This Row],[УСЛУГ]]*Июль[[#This Row],[Периодичность]],"")</f>
        <v>0</v>
      </c>
    </row>
    <row r="167" spans="1:37" x14ac:dyDescent="0.25">
      <c r="A167" s="35"/>
      <c r="B167" s="36"/>
      <c r="C167" s="37">
        <v>0</v>
      </c>
      <c r="D167" s="38">
        <v>2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7" s="42" t="str">
        <f ca="1">IF(Июль[[#This Row],[УСЛУГ]]&lt;&gt;"",Июль[[#This Row],[УСЛУГ]]*Июль[[#This Row],[Периодичность]],"")</f>
        <v/>
      </c>
    </row>
    <row r="168" spans="1:37" x14ac:dyDescent="0.25">
      <c r="A168" s="35"/>
      <c r="B168" s="36"/>
      <c r="C168" s="37">
        <v>0</v>
      </c>
      <c r="D168" s="38">
        <v>3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68" s="42" t="str">
        <f ca="1">IF(Июль[[#This Row],[УСЛУГ]]&lt;&gt;"",Июль[[#This Row],[УСЛУГ]]*Июль[[#This Row],[Периодичность]],"")</f>
        <v/>
      </c>
    </row>
    <row r="169" spans="1:37" ht="47.25" x14ac:dyDescent="0.25">
      <c r="A169" s="35" t="s">
        <v>155</v>
      </c>
      <c r="B169" s="36"/>
      <c r="C169" s="37">
        <v>0</v>
      </c>
      <c r="D169" s="38">
        <v>1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69" s="42">
        <f ca="1">IF(Июль[[#This Row],[УСЛУГ]]&lt;&gt;"",Июль[[#This Row],[УСЛУГ]]*Июль[[#This Row],[Периодичность]],"")</f>
        <v>0</v>
      </c>
    </row>
    <row r="170" spans="1:37" x14ac:dyDescent="0.25">
      <c r="A170" s="35"/>
      <c r="B170" s="36"/>
      <c r="C170" s="37">
        <v>0</v>
      </c>
      <c r="D170" s="38">
        <v>2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70" s="42" t="str">
        <f ca="1">IF(Июль[[#This Row],[УСЛУГ]]&lt;&gt;"",Июль[[#This Row],[УСЛУГ]]*Июль[[#This Row],[Периодичность]],"")</f>
        <v/>
      </c>
    </row>
    <row r="171" spans="1:37" x14ac:dyDescent="0.25">
      <c r="A171" s="35"/>
      <c r="B171" s="36"/>
      <c r="C171" s="37">
        <v>0</v>
      </c>
      <c r="D171" s="38">
        <v>3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71" s="42" t="str">
        <f ca="1">IF(Июль[[#This Row],[УСЛУГ]]&lt;&gt;"",Июль[[#This Row],[УСЛУГ]]*Июль[[#This Row],[Периодичность]],"")</f>
        <v/>
      </c>
    </row>
    <row r="172" spans="1:37" ht="47.25" x14ac:dyDescent="0.25">
      <c r="A172" s="35" t="s">
        <v>72</v>
      </c>
      <c r="B172" s="36"/>
      <c r="C172" s="37">
        <v>0</v>
      </c>
      <c r="D172" s="38">
        <v>1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>0</v>
      </c>
      <c r="AK172" s="42">
        <f ca="1">IF(Июль[[#This Row],[УСЛУГ]]&lt;&gt;"",Июль[[#This Row],[УСЛУГ]]*Июль[[#This Row],[Периодичность]],"")</f>
        <v>0</v>
      </c>
    </row>
    <row r="173" spans="1:37" x14ac:dyDescent="0.25">
      <c r="A173" s="35"/>
      <c r="B173" s="36"/>
      <c r="C173" s="37">
        <v>0</v>
      </c>
      <c r="D173" s="38">
        <v>2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73" s="42" t="str">
        <f ca="1">IF(Июль[[#This Row],[УСЛУГ]]&lt;&gt;"",Июль[[#This Row],[УСЛУГ]]*Июль[[#This Row],[Периодичность]],"")</f>
        <v/>
      </c>
    </row>
    <row r="174" spans="1:37" x14ac:dyDescent="0.25">
      <c r="A174" s="35"/>
      <c r="B174" s="36"/>
      <c r="C174" s="37">
        <v>0</v>
      </c>
      <c r="D174" s="38">
        <v>3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IF(OFFSET(Июль[[#This Row],[№]],1,)=2,IF(OFFSET(Июль[[#This Row],[№]],2,)=3,SUM(Июль[[#This Row],[1]:[31]])+SUM(OFFSET(Июль[[#This Row],[1]:[31]],1,))+SUM(OFFSET(Июль[[#This Row],[1]:[31]],2,)),SUM(Июль[[#This Row],[1]:[31]])+SUM(OFFSET(Июль[[#This Row],[1]:[31]],1,))),IF(OFFSET(Июль[[#This Row],[№]],2,)=3,SUM(Июль[[#This Row],[1]:[31]])+SUM(OFFSET(Июль[[#This Row],[1]:[31]],2,)),""))</f>
        <v/>
      </c>
      <c r="AK174" s="42" t="str">
        <f ca="1">IF(Июль[[#This Row],[УСЛУГ]]&lt;&gt;"",Июль[[#This Row],[УСЛУГ]]*Июль[[#This Row],[Периодичность]],"")</f>
        <v/>
      </c>
    </row>
  </sheetData>
  <mergeCells count="20">
    <mergeCell ref="E19:AI20"/>
    <mergeCell ref="E22:AI23"/>
    <mergeCell ref="AK7:AK11"/>
    <mergeCell ref="A19:A23"/>
    <mergeCell ref="B19:C23"/>
    <mergeCell ref="D19:D23"/>
    <mergeCell ref="AJ19:AJ23"/>
    <mergeCell ref="AK19:AK23"/>
    <mergeCell ref="A7:A11"/>
    <mergeCell ref="B7:B11"/>
    <mergeCell ref="C7:C11"/>
    <mergeCell ref="D7:D11"/>
    <mergeCell ref="AJ7:AJ11"/>
    <mergeCell ref="E10:AI11"/>
    <mergeCell ref="E7:AI8"/>
    <mergeCell ref="A2:AJ2"/>
    <mergeCell ref="A3:AJ3"/>
    <mergeCell ref="J4:L4"/>
    <mergeCell ref="M4:U4"/>
    <mergeCell ref="M5:Q5"/>
  </mergeCells>
  <conditionalFormatting sqref="E9:AI9">
    <cfRule type="expression" dxfId="592" priority="3">
      <formula>WEEKDAY(E9:AI9,2)&gt;5</formula>
    </cfRule>
  </conditionalFormatting>
  <conditionalFormatting sqref="E21:AI21">
    <cfRule type="expression" dxfId="591" priority="1">
      <formula>WEEKDAY(E21:AI21,2)&gt;5</formula>
    </cfRule>
  </conditionalFormatting>
  <dataValidations count="2">
    <dataValidation type="list" allowBlank="1" showInputMessage="1" showErrorMessage="1" sqref="A25:A174">
      <formula1>INDIRECT("Услуги[Кратко]")</formula1>
    </dataValidation>
    <dataValidation type="list" allowBlank="1" showInputMessage="1" showErrorMessage="1" sqref="D25:D174">
      <formula1>INDIRECT("Посещения")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Height="0" orientation="landscape" horizontalDpi="300" verticalDpi="300" r:id="rId1"/>
  <ignoredErrors>
    <ignoredError sqref="AI13:AK17 E13:E17 B13:B17" calculatedColumn="1"/>
  </ignoredErrors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74"/>
  <sheetViews>
    <sheetView zoomScale="80" zoomScaleNormal="80" workbookViewId="0">
      <selection activeCell="B5" sqref="B5"/>
    </sheetView>
  </sheetViews>
  <sheetFormatPr defaultRowHeight="15.75" x14ac:dyDescent="0.25"/>
  <cols>
    <col min="1" max="1" width="21.42578125" style="3" customWidth="1"/>
    <col min="2" max="2" width="14.28515625" style="3" customWidth="1"/>
    <col min="3" max="3" width="17.7109375" style="3" customWidth="1"/>
    <col min="4" max="4" width="9.28515625" style="3" customWidth="1"/>
    <col min="5" max="5" width="6.85546875" style="3" customWidth="1"/>
    <col min="6" max="6" width="6.42578125" style="3" customWidth="1"/>
    <col min="7" max="7" width="5.85546875" style="3" customWidth="1"/>
    <col min="8" max="8" width="6.5703125" style="3" customWidth="1"/>
    <col min="9" max="9" width="7.28515625" style="3" customWidth="1"/>
    <col min="10" max="10" width="6.28515625" style="3" customWidth="1"/>
    <col min="11" max="12" width="5.7109375" style="3" customWidth="1"/>
    <col min="13" max="13" width="6.42578125" style="3" customWidth="1"/>
    <col min="14" max="14" width="6.140625" style="3" customWidth="1"/>
    <col min="15" max="15" width="6.5703125" style="3" customWidth="1"/>
    <col min="16" max="16" width="7.7109375" style="3" customWidth="1"/>
    <col min="17" max="17" width="7" style="3" customWidth="1"/>
    <col min="18" max="18" width="6.85546875" style="3" customWidth="1"/>
    <col min="19" max="20" width="6.140625" style="3" customWidth="1"/>
    <col min="21" max="21" width="5.7109375" style="3" customWidth="1"/>
    <col min="22" max="22" width="6.42578125" style="3" customWidth="1"/>
    <col min="23" max="23" width="5.28515625" style="3" customWidth="1"/>
    <col min="24" max="24" width="6.5703125" style="3" customWidth="1"/>
    <col min="25" max="25" width="6" style="3" customWidth="1"/>
    <col min="26" max="26" width="5.140625" style="3" customWidth="1"/>
    <col min="27" max="27" width="6.140625" style="3" customWidth="1"/>
    <col min="28" max="29" width="6.42578125" style="3" customWidth="1"/>
    <col min="30" max="30" width="6.28515625" style="3" customWidth="1"/>
    <col min="31" max="32" width="5.7109375" style="3" customWidth="1"/>
    <col min="33" max="33" width="6" style="3" customWidth="1"/>
    <col min="34" max="34" width="6.140625" style="3" customWidth="1"/>
    <col min="35" max="35" width="9.140625" style="3" customWidth="1"/>
    <col min="36" max="36" width="11.42578125" style="3" customWidth="1"/>
    <col min="37" max="37" width="10.5703125" style="3" customWidth="1"/>
    <col min="38" max="38" width="14" style="3" bestFit="1" customWidth="1"/>
    <col min="39" max="16384" width="9.140625" style="3"/>
  </cols>
  <sheetData>
    <row r="2" spans="1:38" ht="18.75" x14ac:dyDescent="0.25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</row>
    <row r="3" spans="1:38" ht="18.75" x14ac:dyDescent="0.25">
      <c r="A3" s="65" t="s">
        <v>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</row>
    <row r="4" spans="1:38" ht="18.75" x14ac:dyDescent="0.25">
      <c r="I4" s="13"/>
      <c r="J4" s="66" t="s">
        <v>68</v>
      </c>
      <c r="K4" s="66"/>
      <c r="L4" s="66"/>
      <c r="M4" s="67" t="str">
        <f>Настройки!H2</f>
        <v>Фамилия И.О.</v>
      </c>
      <c r="N4" s="59"/>
      <c r="O4" s="59"/>
      <c r="P4" s="59"/>
      <c r="Q4" s="59"/>
      <c r="R4" s="59"/>
      <c r="S4" s="59"/>
      <c r="T4" s="59"/>
      <c r="U4" s="59"/>
    </row>
    <row r="5" spans="1:38" ht="18.75" x14ac:dyDescent="0.25">
      <c r="L5" s="12" t="s">
        <v>69</v>
      </c>
      <c r="M5" s="68" t="s">
        <v>71</v>
      </c>
      <c r="N5" s="69"/>
      <c r="O5" s="69"/>
      <c r="P5" s="69"/>
      <c r="Q5" s="69"/>
      <c r="R5" s="33">
        <f>Год[Год]</f>
        <v>2023</v>
      </c>
      <c r="S5" s="34" t="s">
        <v>132</v>
      </c>
      <c r="T5" s="14"/>
      <c r="U5" s="14"/>
    </row>
    <row r="6" spans="1:38" ht="17.25" customHeight="1" x14ac:dyDescent="0.25"/>
    <row r="7" spans="1:38" ht="26.25" customHeight="1" x14ac:dyDescent="0.25">
      <c r="A7" s="54"/>
      <c r="B7" s="62" t="s">
        <v>115</v>
      </c>
      <c r="C7" s="62" t="s">
        <v>114</v>
      </c>
      <c r="D7" s="63" t="s">
        <v>61</v>
      </c>
      <c r="E7" s="48" t="s">
        <v>55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/>
      <c r="AJ7" s="44" t="s">
        <v>64</v>
      </c>
      <c r="AK7" s="45" t="s">
        <v>64</v>
      </c>
    </row>
    <row r="8" spans="1:38" x14ac:dyDescent="0.25">
      <c r="A8" s="54"/>
      <c r="B8" s="57"/>
      <c r="C8" s="57"/>
      <c r="D8" s="64"/>
      <c r="E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60"/>
      <c r="AJ8" s="44"/>
      <c r="AK8" s="46"/>
    </row>
    <row r="9" spans="1:38" x14ac:dyDescent="0.25">
      <c r="A9" s="54"/>
      <c r="B9" s="57"/>
      <c r="C9" s="57"/>
      <c r="D9" s="64"/>
      <c r="E9" s="26">
        <f>Настройки!E14</f>
        <v>45139</v>
      </c>
      <c r="F9" s="26">
        <f>Настройки!F14</f>
        <v>45140</v>
      </c>
      <c r="G9" s="26">
        <f>Настройки!G14</f>
        <v>45141</v>
      </c>
      <c r="H9" s="26">
        <f>Настройки!H14</f>
        <v>45142</v>
      </c>
      <c r="I9" s="26">
        <f>Настройки!I14</f>
        <v>45143</v>
      </c>
      <c r="J9" s="26">
        <f>Настройки!J14</f>
        <v>45144</v>
      </c>
      <c r="K9" s="26">
        <f>Настройки!K14</f>
        <v>45145</v>
      </c>
      <c r="L9" s="26">
        <f>Настройки!L14</f>
        <v>45146</v>
      </c>
      <c r="M9" s="26">
        <f>Настройки!M14</f>
        <v>45147</v>
      </c>
      <c r="N9" s="26">
        <f>Настройки!N14</f>
        <v>45148</v>
      </c>
      <c r="O9" s="26">
        <f>Настройки!O14</f>
        <v>45149</v>
      </c>
      <c r="P9" s="26">
        <f>Настройки!P14</f>
        <v>45150</v>
      </c>
      <c r="Q9" s="26">
        <f>Настройки!Q14</f>
        <v>45151</v>
      </c>
      <c r="R9" s="26">
        <f>Настройки!R14</f>
        <v>45152</v>
      </c>
      <c r="S9" s="26">
        <f>Настройки!S14</f>
        <v>45153</v>
      </c>
      <c r="T9" s="26">
        <f>Настройки!T14</f>
        <v>45154</v>
      </c>
      <c r="U9" s="26">
        <f>Настройки!U14</f>
        <v>45155</v>
      </c>
      <c r="V9" s="26">
        <f>Настройки!V14</f>
        <v>45156</v>
      </c>
      <c r="W9" s="26">
        <f>Настройки!W14</f>
        <v>45157</v>
      </c>
      <c r="X9" s="26">
        <f>Настройки!X14</f>
        <v>45158</v>
      </c>
      <c r="Y9" s="26">
        <f>Настройки!Y14</f>
        <v>45159</v>
      </c>
      <c r="Z9" s="26">
        <f>Настройки!Z14</f>
        <v>45160</v>
      </c>
      <c r="AA9" s="26">
        <f>Настройки!AA14</f>
        <v>45161</v>
      </c>
      <c r="AB9" s="26">
        <f>Настройки!AB14</f>
        <v>45162</v>
      </c>
      <c r="AC9" s="26">
        <f>Настройки!AC14</f>
        <v>45163</v>
      </c>
      <c r="AD9" s="26">
        <f>Настройки!AD14</f>
        <v>45164</v>
      </c>
      <c r="AE9" s="26">
        <f>Настройки!AE14</f>
        <v>45165</v>
      </c>
      <c r="AF9" s="26">
        <f>Настройки!AF14</f>
        <v>45166</v>
      </c>
      <c r="AG9" s="26">
        <f>Настройки!AG14</f>
        <v>45167</v>
      </c>
      <c r="AH9" s="26">
        <f>Настройки!AH14</f>
        <v>45168</v>
      </c>
      <c r="AI9" s="26">
        <f>Настройки!AI14</f>
        <v>45169</v>
      </c>
      <c r="AJ9" s="44"/>
      <c r="AK9" s="46"/>
    </row>
    <row r="10" spans="1:38" x14ac:dyDescent="0.25">
      <c r="A10" s="54"/>
      <c r="B10" s="57"/>
      <c r="C10" s="57"/>
      <c r="D10" s="64"/>
      <c r="E10" s="48" t="s">
        <v>54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44"/>
      <c r="AK10" s="46"/>
    </row>
    <row r="11" spans="1:38" x14ac:dyDescent="0.25">
      <c r="A11" s="62"/>
      <c r="B11" s="57"/>
      <c r="C11" s="57"/>
      <c r="D11" s="64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3"/>
      <c r="AJ11" s="44"/>
      <c r="AK11" s="47"/>
    </row>
    <row r="12" spans="1:38" ht="23.25" customHeight="1" x14ac:dyDescent="0.25">
      <c r="A12" s="3" t="s">
        <v>82</v>
      </c>
      <c r="B12" s="3" t="s">
        <v>81</v>
      </c>
      <c r="C12" s="3" t="s">
        <v>113</v>
      </c>
      <c r="D12" s="9" t="s">
        <v>60</v>
      </c>
      <c r="E12" s="3" t="s">
        <v>83</v>
      </c>
      <c r="F12" s="3" t="s">
        <v>84</v>
      </c>
      <c r="G12" s="3" t="s">
        <v>85</v>
      </c>
      <c r="H12" s="3" t="s">
        <v>86</v>
      </c>
      <c r="I12" s="3" t="s">
        <v>87</v>
      </c>
      <c r="J12" s="3" t="s">
        <v>88</v>
      </c>
      <c r="K12" s="3" t="s">
        <v>89</v>
      </c>
      <c r="L12" s="3" t="s">
        <v>90</v>
      </c>
      <c r="M12" s="3" t="s">
        <v>91</v>
      </c>
      <c r="N12" s="3" t="s">
        <v>92</v>
      </c>
      <c r="O12" s="3" t="s">
        <v>93</v>
      </c>
      <c r="P12" s="3" t="s">
        <v>94</v>
      </c>
      <c r="Q12" s="3" t="s">
        <v>95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100</v>
      </c>
      <c r="W12" s="3" t="s">
        <v>101</v>
      </c>
      <c r="X12" s="3" t="s">
        <v>102</v>
      </c>
      <c r="Y12" s="3" t="s">
        <v>103</v>
      </c>
      <c r="Z12" s="3" t="s">
        <v>104</v>
      </c>
      <c r="AA12" s="3" t="s">
        <v>105</v>
      </c>
      <c r="AB12" s="3" t="s">
        <v>106</v>
      </c>
      <c r="AC12" s="3" t="s">
        <v>107</v>
      </c>
      <c r="AD12" s="3" t="s">
        <v>108</v>
      </c>
      <c r="AE12" s="3" t="s">
        <v>109</v>
      </c>
      <c r="AF12" s="3" t="s">
        <v>110</v>
      </c>
      <c r="AG12" s="3" t="s">
        <v>111</v>
      </c>
      <c r="AH12" s="3" t="s">
        <v>112</v>
      </c>
      <c r="AI12" s="3" t="s">
        <v>121</v>
      </c>
      <c r="AJ12" s="3" t="s">
        <v>62</v>
      </c>
      <c r="AK12" s="3" t="s">
        <v>63</v>
      </c>
      <c r="AL12" s="4"/>
    </row>
    <row r="13" spans="1:38" x14ac:dyDescent="0.25">
      <c r="A13" s="5" t="s">
        <v>56</v>
      </c>
      <c r="B13" s="3">
        <f>SUMPRODUCT((Настройки!$E$28:$AI$28=1)*E16:AI16)</f>
        <v>0</v>
      </c>
      <c r="D13" s="5">
        <v>1</v>
      </c>
      <c r="E13" s="3">
        <f>SUMPRODUCT((Август[№]=1)*Август[1],Август[Периодичность])</f>
        <v>0</v>
      </c>
      <c r="F13" s="3">
        <f>SUMPRODUCT((Август[№]=1)*Август[2],Август[Периодичность])</f>
        <v>0</v>
      </c>
      <c r="G13" s="3">
        <f>SUMPRODUCT((Август[№]=1)*Август[3],Август[Периодичность])</f>
        <v>0</v>
      </c>
      <c r="H13" s="3">
        <f>SUMPRODUCT((Август[№]=1)*Август[4],Август[Периодичность])</f>
        <v>0</v>
      </c>
      <c r="I13" s="30">
        <f>SUMPRODUCT((Август[№]=1)*Август[5],Август[Периодичность])</f>
        <v>0</v>
      </c>
      <c r="J13" s="30">
        <f>SUMPRODUCT((Август[№]=1)*Август[6],Август[Периодичность])</f>
        <v>0</v>
      </c>
      <c r="K13" s="3">
        <f>SUMPRODUCT((Август[№]=1)*Август[7],Август[Периодичность])</f>
        <v>0</v>
      </c>
      <c r="L13" s="3">
        <f>SUMPRODUCT((Август[№]=1)*Август[8],Август[Периодичность])</f>
        <v>0</v>
      </c>
      <c r="M13" s="3">
        <f>SUMPRODUCT((Август[№]=1)*Август[9],Август[Периодичность])</f>
        <v>0</v>
      </c>
      <c r="N13" s="3">
        <f>SUMPRODUCT((Август[№]=1)*Август[10],Август[Периодичность])</f>
        <v>0</v>
      </c>
      <c r="O13" s="3">
        <f>SUMPRODUCT((Август[№]=1)*Август[11],Август[Периодичность])</f>
        <v>0</v>
      </c>
      <c r="P13" s="30">
        <f>SUMPRODUCT((Август[№]=1)*Август[12],Август[Периодичность])</f>
        <v>0</v>
      </c>
      <c r="Q13" s="30">
        <f>SUMPRODUCT((Август[№]=1)*Август[13],Август[Периодичность])</f>
        <v>0</v>
      </c>
      <c r="R13" s="3">
        <f>SUMPRODUCT((Август[№]=1)*Август[14],Август[Периодичность])</f>
        <v>0</v>
      </c>
      <c r="S13" s="3">
        <f>SUMPRODUCT((Август[№]=1)*Август[15],Август[Периодичность])</f>
        <v>0</v>
      </c>
      <c r="T13" s="3">
        <f>SUMPRODUCT((Август[№]=1)*Август[16],Август[Периодичность])</f>
        <v>0</v>
      </c>
      <c r="U13" s="3">
        <f>SUMPRODUCT((Август[№]=1)*Август[17],Август[Периодичность])</f>
        <v>0</v>
      </c>
      <c r="V13" s="3">
        <f>SUMPRODUCT((Август[№]=1)*Август[18],Август[Периодичность])</f>
        <v>0</v>
      </c>
      <c r="W13" s="30">
        <f>SUMPRODUCT((Август[№]=1)*Август[19],Август[Периодичность])</f>
        <v>0</v>
      </c>
      <c r="X13" s="30">
        <f>SUMPRODUCT((Август[№]=1)*Август[20],Август[Периодичность])</f>
        <v>0</v>
      </c>
      <c r="Y13" s="3">
        <f>SUMPRODUCT((Август[№]=1)*Август[21],Август[Периодичность])</f>
        <v>0</v>
      </c>
      <c r="Z13" s="3">
        <f>SUMPRODUCT((Август[№]=1)*Август[22],Август[Периодичность])</f>
        <v>0</v>
      </c>
      <c r="AA13" s="3">
        <f>SUMPRODUCT((Август[№]=1)*Август[23],Август[Периодичность])</f>
        <v>0</v>
      </c>
      <c r="AB13" s="3">
        <f>SUMPRODUCT((Август[№]=1)*Август[24],Август[Периодичность])</f>
        <v>0</v>
      </c>
      <c r="AC13" s="3">
        <f>SUMPRODUCT((Август[№]=1)*Август[25],Август[Периодичность])</f>
        <v>0</v>
      </c>
      <c r="AD13" s="30">
        <f>SUMPRODUCT((Август[№]=1)*Август[26],Август[Периодичность])</f>
        <v>0</v>
      </c>
      <c r="AE13" s="30">
        <f>SUMPRODUCT((Август[№]=1)*Август[27],Август[Периодичность])</f>
        <v>0</v>
      </c>
      <c r="AF13" s="3">
        <f>SUMPRODUCT((Август[№]=1)*Август[28],Август[Периодичность])</f>
        <v>0</v>
      </c>
      <c r="AG13" s="3">
        <f>SUMPRODUCT((Август[№]=1)*Август[29],Август[Периодичность])</f>
        <v>0</v>
      </c>
      <c r="AH13" s="3">
        <f>SUMPRODUCT((Август[№]=1)*Август[30],Август[Периодичность])</f>
        <v>0</v>
      </c>
      <c r="AI13" s="3">
        <f>SUMPRODUCT((Август[№]=1)*Август[31],Август[Периодичность])</f>
        <v>0</v>
      </c>
      <c r="AL13" s="4"/>
    </row>
    <row r="14" spans="1:38" x14ac:dyDescent="0.25">
      <c r="B14" s="15">
        <f>SUMPRODUCT((Настройки!$E$28:$AI$28=2)*E16:AI16)</f>
        <v>0</v>
      </c>
      <c r="D14" s="5">
        <v>2</v>
      </c>
      <c r="E14" s="3">
        <f>SUMPRODUCT((Август[№]=2)*Август[1],Август[Периодичность])</f>
        <v>0</v>
      </c>
      <c r="F14" s="3">
        <f>SUMPRODUCT((Август[№]=2)*Август[2],Август[Периодичность])</f>
        <v>0</v>
      </c>
      <c r="G14" s="3">
        <f>SUMPRODUCT((Август[№]=2)*Август[3],Август[Периодичность])</f>
        <v>0</v>
      </c>
      <c r="H14" s="3">
        <f>SUMPRODUCT((Август[№]=2)*Август[4],Август[Периодичность])</f>
        <v>0</v>
      </c>
      <c r="I14" s="30">
        <f>SUMPRODUCT((Август[№]=2)*Август[5],Август[Периодичность])</f>
        <v>0</v>
      </c>
      <c r="J14" s="30">
        <f>SUMPRODUCT((Август[№]=2)*Август[6],Август[Периодичность])</f>
        <v>0</v>
      </c>
      <c r="K14" s="3">
        <f>SUMPRODUCT((Август[№]=2)*Август[7],Август[Периодичность])</f>
        <v>0</v>
      </c>
      <c r="L14" s="3">
        <f>SUMPRODUCT((Август[№]=2)*Август[8],Август[Периодичность])</f>
        <v>0</v>
      </c>
      <c r="M14" s="3">
        <f>SUMPRODUCT((Август[№]=2)*Август[9],Август[Периодичность])</f>
        <v>0</v>
      </c>
      <c r="N14" s="3">
        <f>SUMPRODUCT((Август[№]=2)*Август[10],Август[Периодичность])</f>
        <v>0</v>
      </c>
      <c r="O14" s="3">
        <f>SUMPRODUCT((Август[№]=2)*Август[11],Август[Периодичность])</f>
        <v>0</v>
      </c>
      <c r="P14" s="30">
        <f>SUMPRODUCT((Август[№]=2)*Август[12],Август[Периодичность])</f>
        <v>0</v>
      </c>
      <c r="Q14" s="30">
        <f>SUMPRODUCT((Август[№]=2)*Август[13],Август[Периодичность])</f>
        <v>0</v>
      </c>
      <c r="R14" s="3">
        <f>SUMPRODUCT((Август[№]=2)*Август[14],Август[Периодичность])</f>
        <v>0</v>
      </c>
      <c r="S14" s="3">
        <f>SUMPRODUCT((Август[№]=2)*Август[15],Август[Периодичность])</f>
        <v>0</v>
      </c>
      <c r="T14" s="3">
        <f>SUMPRODUCT((Август[№]=2)*Август[16],Август[Периодичность])</f>
        <v>0</v>
      </c>
      <c r="U14" s="3">
        <f>SUMPRODUCT((Август[№]=2)*Август[17],Август[Периодичность])</f>
        <v>0</v>
      </c>
      <c r="V14" s="3">
        <f>SUMPRODUCT((Август[№]=2)*Август[18],Август[Периодичность])</f>
        <v>0</v>
      </c>
      <c r="W14" s="30">
        <f>SUMPRODUCT((Август[№]=2)*Август[19],Август[Периодичность])</f>
        <v>0</v>
      </c>
      <c r="X14" s="30">
        <f>SUMPRODUCT((Август[№]=2)*Август[20],Август[Периодичность])</f>
        <v>0</v>
      </c>
      <c r="Y14" s="3">
        <f>SUMPRODUCT((Август[№]=2)*Август[21],Август[Периодичность])</f>
        <v>0</v>
      </c>
      <c r="Z14" s="3">
        <f>SUMPRODUCT((Август[№]=2)*Август[22],Август[Периодичность])</f>
        <v>0</v>
      </c>
      <c r="AA14" s="3">
        <f>SUMPRODUCT((Август[№]=2)*Август[23],Август[Периодичность])</f>
        <v>0</v>
      </c>
      <c r="AB14" s="3">
        <f>SUMPRODUCT((Август[№]=2)*Август[24],Август[Периодичность])</f>
        <v>0</v>
      </c>
      <c r="AC14" s="3">
        <f>SUMPRODUCT((Август[№]=2)*Август[25],Август[Периодичность])</f>
        <v>0</v>
      </c>
      <c r="AD14" s="30">
        <f>SUMPRODUCT((Август[№]=2)*Август[26],Август[Периодичность])</f>
        <v>0</v>
      </c>
      <c r="AE14" s="30">
        <f>SUMPRODUCT((Август[№]=2)*Август[27],Август[Периодичность])</f>
        <v>0</v>
      </c>
      <c r="AF14" s="3">
        <f>SUMPRODUCT((Август[№]=2)*Август[28],Август[Периодичность])</f>
        <v>0</v>
      </c>
      <c r="AG14" s="3">
        <f>SUMPRODUCT((Август[№]=2)*Август[29],Август[Периодичность])</f>
        <v>0</v>
      </c>
      <c r="AH14" s="3">
        <f>SUMPRODUCT((Август[№]=2)*Август[30],Август[Периодичность])</f>
        <v>0</v>
      </c>
      <c r="AI14" s="3">
        <f>SUMPRODUCT((Август[№]=2)*Август[31],Август[Периодичность])</f>
        <v>0</v>
      </c>
    </row>
    <row r="15" spans="1:38" ht="22.5" customHeight="1" x14ac:dyDescent="0.25">
      <c r="B15" s="15">
        <f>SUMPRODUCT((Настройки!$E$28:$AI$28=3)*E16:AI16)</f>
        <v>0</v>
      </c>
      <c r="D15" s="5">
        <v>3</v>
      </c>
      <c r="E15" s="3">
        <f>SUMPRODUCT((Август[№]=3)*Август[1],Август[Периодичность])</f>
        <v>0</v>
      </c>
      <c r="F15" s="3">
        <f>SUMPRODUCT((Август[№]=3)*Август[2],Август[Периодичность])</f>
        <v>0</v>
      </c>
      <c r="G15" s="3">
        <f>SUMPRODUCT((Август[№]=3)*Август[3],Август[Периодичность])</f>
        <v>0</v>
      </c>
      <c r="H15" s="3">
        <f>SUMPRODUCT((Август[№]=3)*Август[4],Август[Периодичность])</f>
        <v>0</v>
      </c>
      <c r="I15" s="30">
        <f>SUMPRODUCT((Август[№]=3)*Август[5],Август[Периодичность])</f>
        <v>0</v>
      </c>
      <c r="J15" s="30">
        <f>SUMPRODUCT((Август[№]=3)*Август[6],Август[Периодичность])</f>
        <v>0</v>
      </c>
      <c r="K15" s="3">
        <f>SUMPRODUCT((Август[№]=3)*Август[7],Август[Периодичность])</f>
        <v>0</v>
      </c>
      <c r="L15" s="3">
        <f>SUMPRODUCT((Август[№]=3)*Август[8],Август[Периодичность])</f>
        <v>0</v>
      </c>
      <c r="M15" s="3">
        <f>SUMPRODUCT((Август[№]=3)*Август[9],Август[Периодичность])</f>
        <v>0</v>
      </c>
      <c r="N15" s="3">
        <f>SUMPRODUCT((Август[№]=3)*Август[10],Август[Периодичность])</f>
        <v>0</v>
      </c>
      <c r="O15" s="3">
        <f>SUMPRODUCT((Август[№]=3)*Август[11],Август[Периодичность])</f>
        <v>0</v>
      </c>
      <c r="P15" s="30">
        <f>SUMPRODUCT((Август[№]=3)*Август[12],Август[Периодичность])</f>
        <v>0</v>
      </c>
      <c r="Q15" s="30">
        <f>SUMPRODUCT((Август[№]=3)*Август[13],Август[Периодичность])</f>
        <v>0</v>
      </c>
      <c r="R15" s="3">
        <f>SUMPRODUCT((Август[№]=3)*Август[14],Август[Периодичность])</f>
        <v>0</v>
      </c>
      <c r="S15" s="3">
        <f>SUMPRODUCT((Август[№]=3)*Август[15],Август[Периодичность])</f>
        <v>0</v>
      </c>
      <c r="T15" s="3">
        <f>SUMPRODUCT((Август[№]=3)*Август[16],Август[Периодичность])</f>
        <v>0</v>
      </c>
      <c r="U15" s="3">
        <f>SUMPRODUCT((Август[№]=3)*Август[17],Август[Периодичность])</f>
        <v>0</v>
      </c>
      <c r="V15" s="3">
        <f>SUMPRODUCT((Август[№]=3)*Август[18],Август[Периодичность])</f>
        <v>0</v>
      </c>
      <c r="W15" s="30">
        <f>SUMPRODUCT((Август[№]=3)*Август[19],Август[Периодичность])</f>
        <v>0</v>
      </c>
      <c r="X15" s="30">
        <f>SUMPRODUCT((Август[№]=3)*Август[20],Август[Периодичность])</f>
        <v>0</v>
      </c>
      <c r="Y15" s="3">
        <f>SUMPRODUCT((Август[№]=3)*Август[21],Август[Периодичность])</f>
        <v>0</v>
      </c>
      <c r="Z15" s="3">
        <f>SUMPRODUCT((Август[№]=3)*Август[22],Август[Периодичность])</f>
        <v>0</v>
      </c>
      <c r="AA15" s="3">
        <f>SUMPRODUCT((Август[№]=3)*Август[23],Август[Периодичность])</f>
        <v>0</v>
      </c>
      <c r="AB15" s="3">
        <f>SUMPRODUCT((Август[№]=3)*Август[24],Август[Периодичность])</f>
        <v>0</v>
      </c>
      <c r="AC15" s="3">
        <f>SUMPRODUCT((Август[№]=3)*Август[25],Август[Периодичность])</f>
        <v>0</v>
      </c>
      <c r="AD15" s="30">
        <f>SUMPRODUCT((Август[№]=3)*Август[26],Август[Периодичность])</f>
        <v>0</v>
      </c>
      <c r="AE15" s="30">
        <f>SUMPRODUCT((Август[№]=3)*Август[27],Август[Периодичность])</f>
        <v>0</v>
      </c>
      <c r="AF15" s="3">
        <f>SUMPRODUCT((Август[№]=3)*Август[28],Август[Периодичность])</f>
        <v>0</v>
      </c>
      <c r="AG15" s="3">
        <f>SUMPRODUCT((Август[№]=3)*Август[29],Август[Периодичность])</f>
        <v>0</v>
      </c>
      <c r="AH15" s="3">
        <f>SUMPRODUCT((Август[№]=3)*Август[30],Август[Периодичность])</f>
        <v>0</v>
      </c>
      <c r="AI15" s="3">
        <f>SUMPRODUCT((Август[№]=3)*Август[31],Август[Периодичность])</f>
        <v>0</v>
      </c>
      <c r="AK15" s="11"/>
    </row>
    <row r="16" spans="1:38" ht="22.5" customHeight="1" x14ac:dyDescent="0.25">
      <c r="B16" s="15">
        <f>SUMPRODUCT((Настройки!$E$28:$AI$28=4)*E16:AI16)</f>
        <v>0</v>
      </c>
      <c r="D16" s="5"/>
      <c r="E16" s="3">
        <f t="shared" ref="E16:AH16" si="0">SUM(E13:E15)</f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0">
        <f t="shared" si="0"/>
        <v>0</v>
      </c>
      <c r="J16" s="30">
        <f t="shared" si="0"/>
        <v>0</v>
      </c>
      <c r="K16" s="3">
        <f t="shared" si="0"/>
        <v>0</v>
      </c>
      <c r="L16" s="3">
        <f t="shared" si="0"/>
        <v>0</v>
      </c>
      <c r="M16" s="3">
        <f t="shared" si="0"/>
        <v>0</v>
      </c>
      <c r="N16" s="3">
        <f t="shared" si="0"/>
        <v>0</v>
      </c>
      <c r="O16" s="3">
        <f t="shared" si="0"/>
        <v>0</v>
      </c>
      <c r="P16" s="30">
        <f t="shared" si="0"/>
        <v>0</v>
      </c>
      <c r="Q16" s="30">
        <f t="shared" si="0"/>
        <v>0</v>
      </c>
      <c r="R16" s="3">
        <f t="shared" si="0"/>
        <v>0</v>
      </c>
      <c r="S16" s="3">
        <f t="shared" si="0"/>
        <v>0</v>
      </c>
      <c r="T16" s="3">
        <f t="shared" si="0"/>
        <v>0</v>
      </c>
      <c r="U16" s="3">
        <f t="shared" si="0"/>
        <v>0</v>
      </c>
      <c r="V16" s="3">
        <f t="shared" si="0"/>
        <v>0</v>
      </c>
      <c r="W16" s="30">
        <f t="shared" si="0"/>
        <v>0</v>
      </c>
      <c r="X16" s="30">
        <f t="shared" si="0"/>
        <v>0</v>
      </c>
      <c r="Y16" s="3">
        <f t="shared" si="0"/>
        <v>0</v>
      </c>
      <c r="Z16" s="3">
        <f t="shared" si="0"/>
        <v>0</v>
      </c>
      <c r="AA16" s="3">
        <f t="shared" si="0"/>
        <v>0</v>
      </c>
      <c r="AB16" s="3">
        <f t="shared" si="0"/>
        <v>0</v>
      </c>
      <c r="AC16" s="3">
        <f t="shared" si="0"/>
        <v>0</v>
      </c>
      <c r="AD16" s="30">
        <f t="shared" si="0"/>
        <v>0</v>
      </c>
      <c r="AE16" s="30">
        <f t="shared" si="0"/>
        <v>0</v>
      </c>
      <c r="AF16" s="3">
        <f t="shared" si="0"/>
        <v>0</v>
      </c>
      <c r="AG16" s="3">
        <f t="shared" si="0"/>
        <v>0</v>
      </c>
      <c r="AH16" s="3">
        <f t="shared" si="0"/>
        <v>0</v>
      </c>
      <c r="AI16" s="3">
        <f>SUM(AI13:AI15)</f>
        <v>0</v>
      </c>
      <c r="AK16" s="11"/>
    </row>
    <row r="17" spans="1:37" ht="20.25" customHeight="1" x14ac:dyDescent="0.25">
      <c r="B17" s="3">
        <f>SUMPRODUCT((Настройки!$E$28:$AI$28=5)*E16:AI16)</f>
        <v>0</v>
      </c>
      <c r="C17" s="5">
        <f>АвгустИтоги[[#This Row],[№]]*60</f>
        <v>0</v>
      </c>
      <c r="D17" s="7">
        <f>SUM(АвгустИтоги[[#This Row],[1]:[31]])</f>
        <v>0</v>
      </c>
      <c r="E17" s="6">
        <f>E16/60</f>
        <v>0</v>
      </c>
      <c r="F17" s="6">
        <f t="shared" ref="F17:AH17" si="1">F16/60</f>
        <v>0</v>
      </c>
      <c r="G17" s="6">
        <f t="shared" si="1"/>
        <v>0</v>
      </c>
      <c r="H17" s="6">
        <f t="shared" si="1"/>
        <v>0</v>
      </c>
      <c r="I17" s="31">
        <f t="shared" si="1"/>
        <v>0</v>
      </c>
      <c r="J17" s="31">
        <f t="shared" si="1"/>
        <v>0</v>
      </c>
      <c r="K17" s="6">
        <f t="shared" si="1"/>
        <v>0</v>
      </c>
      <c r="L17" s="6">
        <f t="shared" si="1"/>
        <v>0</v>
      </c>
      <c r="M17" s="6">
        <f t="shared" si="1"/>
        <v>0</v>
      </c>
      <c r="N17" s="6">
        <f t="shared" si="1"/>
        <v>0</v>
      </c>
      <c r="O17" s="6">
        <f t="shared" si="1"/>
        <v>0</v>
      </c>
      <c r="P17" s="31">
        <f t="shared" si="1"/>
        <v>0</v>
      </c>
      <c r="Q17" s="31">
        <f t="shared" si="1"/>
        <v>0</v>
      </c>
      <c r="R17" s="6">
        <f t="shared" si="1"/>
        <v>0</v>
      </c>
      <c r="S17" s="6">
        <f t="shared" si="1"/>
        <v>0</v>
      </c>
      <c r="T17" s="6">
        <f t="shared" si="1"/>
        <v>0</v>
      </c>
      <c r="U17" s="6">
        <f t="shared" si="1"/>
        <v>0</v>
      </c>
      <c r="V17" s="6">
        <f t="shared" si="1"/>
        <v>0</v>
      </c>
      <c r="W17" s="31">
        <f t="shared" si="1"/>
        <v>0</v>
      </c>
      <c r="X17" s="31">
        <f t="shared" si="1"/>
        <v>0</v>
      </c>
      <c r="Y17" s="6">
        <f t="shared" si="1"/>
        <v>0</v>
      </c>
      <c r="Z17" s="6">
        <f t="shared" si="1"/>
        <v>0</v>
      </c>
      <c r="AA17" s="6">
        <f t="shared" si="1"/>
        <v>0</v>
      </c>
      <c r="AB17" s="6">
        <f t="shared" si="1"/>
        <v>0</v>
      </c>
      <c r="AC17" s="6">
        <f t="shared" si="1"/>
        <v>0</v>
      </c>
      <c r="AD17" s="31">
        <f t="shared" si="1"/>
        <v>0</v>
      </c>
      <c r="AE17" s="31">
        <f t="shared" si="1"/>
        <v>0</v>
      </c>
      <c r="AF17" s="6">
        <f t="shared" si="1"/>
        <v>0</v>
      </c>
      <c r="AG17" s="6">
        <f t="shared" si="1"/>
        <v>0</v>
      </c>
      <c r="AH17" s="6">
        <f t="shared" si="1"/>
        <v>0</v>
      </c>
      <c r="AI17" s="6">
        <f>AI16/60</f>
        <v>0</v>
      </c>
      <c r="AJ17" s="5">
        <f ca="1">SUM(Август[УСЛУГ])</f>
        <v>0</v>
      </c>
      <c r="AK17" s="21">
        <f ca="1">SUM(Август[МИНУТ])</f>
        <v>0</v>
      </c>
    </row>
    <row r="18" spans="1:37" ht="22.5" customHeight="1" x14ac:dyDescent="0.25"/>
    <row r="19" spans="1:37" ht="18" customHeight="1" x14ac:dyDescent="0.25">
      <c r="A19" s="54" t="s">
        <v>52</v>
      </c>
      <c r="B19" s="54" t="s">
        <v>53</v>
      </c>
      <c r="C19" s="55"/>
      <c r="D19" s="56" t="s">
        <v>61</v>
      </c>
      <c r="E19" s="48" t="s">
        <v>55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50"/>
      <c r="AJ19" s="44" t="s">
        <v>64</v>
      </c>
      <c r="AK19" s="45" t="s">
        <v>64</v>
      </c>
    </row>
    <row r="20" spans="1:37" ht="21.75" customHeight="1" x14ac:dyDescent="0.25">
      <c r="A20" s="54"/>
      <c r="B20" s="54"/>
      <c r="C20" s="55"/>
      <c r="D20" s="5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60"/>
      <c r="AJ20" s="44"/>
      <c r="AK20" s="46"/>
    </row>
    <row r="21" spans="1:37" x14ac:dyDescent="0.25">
      <c r="A21" s="54"/>
      <c r="B21" s="54"/>
      <c r="C21" s="55"/>
      <c r="D21" s="57"/>
      <c r="E21" s="26">
        <f>Настройки!E14</f>
        <v>45139</v>
      </c>
      <c r="F21" s="26">
        <f>Настройки!F14</f>
        <v>45140</v>
      </c>
      <c r="G21" s="26">
        <f>Настройки!G14</f>
        <v>45141</v>
      </c>
      <c r="H21" s="26">
        <f>Настройки!H14</f>
        <v>45142</v>
      </c>
      <c r="I21" s="26">
        <f>Настройки!I14</f>
        <v>45143</v>
      </c>
      <c r="J21" s="26">
        <f>Настройки!J14</f>
        <v>45144</v>
      </c>
      <c r="K21" s="26">
        <f>Настройки!K14</f>
        <v>45145</v>
      </c>
      <c r="L21" s="26">
        <f>Настройки!L14</f>
        <v>45146</v>
      </c>
      <c r="M21" s="26">
        <f>Настройки!M14</f>
        <v>45147</v>
      </c>
      <c r="N21" s="26">
        <f>Настройки!N14</f>
        <v>45148</v>
      </c>
      <c r="O21" s="26">
        <f>Настройки!O14</f>
        <v>45149</v>
      </c>
      <c r="P21" s="26">
        <f>Настройки!P14</f>
        <v>45150</v>
      </c>
      <c r="Q21" s="26">
        <f>Настройки!Q14</f>
        <v>45151</v>
      </c>
      <c r="R21" s="26">
        <f>Настройки!R14</f>
        <v>45152</v>
      </c>
      <c r="S21" s="26">
        <f>Настройки!S14</f>
        <v>45153</v>
      </c>
      <c r="T21" s="26">
        <f>Настройки!T14</f>
        <v>45154</v>
      </c>
      <c r="U21" s="26">
        <f>Настройки!U14</f>
        <v>45155</v>
      </c>
      <c r="V21" s="26">
        <f>Настройки!V14</f>
        <v>45156</v>
      </c>
      <c r="W21" s="26">
        <f>Настройки!W14</f>
        <v>45157</v>
      </c>
      <c r="X21" s="26">
        <f>Настройки!X14</f>
        <v>45158</v>
      </c>
      <c r="Y21" s="26">
        <f>Настройки!Y14</f>
        <v>45159</v>
      </c>
      <c r="Z21" s="26">
        <f>Настройки!Z14</f>
        <v>45160</v>
      </c>
      <c r="AA21" s="26">
        <f>Настройки!AA14</f>
        <v>45161</v>
      </c>
      <c r="AB21" s="26">
        <f>Настройки!AB14</f>
        <v>45162</v>
      </c>
      <c r="AC21" s="26">
        <f>Настройки!AC14</f>
        <v>45163</v>
      </c>
      <c r="AD21" s="26">
        <f>Настройки!AD14</f>
        <v>45164</v>
      </c>
      <c r="AE21" s="26">
        <f>Настройки!AE14</f>
        <v>45165</v>
      </c>
      <c r="AF21" s="26">
        <f>Настройки!AF14</f>
        <v>45166</v>
      </c>
      <c r="AG21" s="26">
        <f>Настройки!AG14</f>
        <v>45167</v>
      </c>
      <c r="AH21" s="26">
        <f>Настройки!AH14</f>
        <v>45168</v>
      </c>
      <c r="AI21" s="26">
        <f>Настройки!AI14</f>
        <v>45169</v>
      </c>
      <c r="AJ21" s="44"/>
      <c r="AK21" s="46"/>
    </row>
    <row r="22" spans="1:37" x14ac:dyDescent="0.25">
      <c r="A22" s="54"/>
      <c r="B22" s="54"/>
      <c r="C22" s="55"/>
      <c r="D22" s="57"/>
      <c r="E22" s="54" t="s">
        <v>54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61"/>
      <c r="AJ22" s="44"/>
      <c r="AK22" s="46"/>
    </row>
    <row r="23" spans="1:37" x14ac:dyDescent="0.25">
      <c r="A23" s="54"/>
      <c r="B23" s="54"/>
      <c r="C23" s="55"/>
      <c r="D23" s="57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61"/>
      <c r="AJ23" s="44"/>
      <c r="AK23" s="47"/>
    </row>
    <row r="24" spans="1:37" ht="23.25" customHeight="1" x14ac:dyDescent="0.25">
      <c r="A24" s="3" t="s">
        <v>59</v>
      </c>
      <c r="B24" s="2" t="s">
        <v>57</v>
      </c>
      <c r="C24" s="3" t="s">
        <v>58</v>
      </c>
      <c r="D24" s="9" t="s">
        <v>60</v>
      </c>
      <c r="E24" s="3" t="s">
        <v>83</v>
      </c>
      <c r="F24" s="3" t="s">
        <v>84</v>
      </c>
      <c r="G24" s="3" t="s">
        <v>85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90</v>
      </c>
      <c r="M24" s="3" t="s">
        <v>91</v>
      </c>
      <c r="N24" s="3" t="s">
        <v>92</v>
      </c>
      <c r="O24" s="3" t="s">
        <v>93</v>
      </c>
      <c r="P24" s="3" t="s">
        <v>94</v>
      </c>
      <c r="Q24" s="3" t="s">
        <v>95</v>
      </c>
      <c r="R24" s="3" t="s">
        <v>96</v>
      </c>
      <c r="S24" s="3" t="s">
        <v>97</v>
      </c>
      <c r="T24" s="3" t="s">
        <v>98</v>
      </c>
      <c r="U24" s="3" t="s">
        <v>99</v>
      </c>
      <c r="V24" s="3" t="s">
        <v>100</v>
      </c>
      <c r="W24" s="3" t="s">
        <v>101</v>
      </c>
      <c r="X24" s="3" t="s">
        <v>102</v>
      </c>
      <c r="Y24" s="3" t="s">
        <v>103</v>
      </c>
      <c r="Z24" s="3" t="s">
        <v>104</v>
      </c>
      <c r="AA24" s="3" t="s">
        <v>105</v>
      </c>
      <c r="AB24" s="3" t="s">
        <v>106</v>
      </c>
      <c r="AC24" s="3" t="s">
        <v>107</v>
      </c>
      <c r="AD24" s="3" t="s">
        <v>108</v>
      </c>
      <c r="AE24" s="3" t="s">
        <v>109</v>
      </c>
      <c r="AF24" s="3" t="s">
        <v>110</v>
      </c>
      <c r="AG24" s="3" t="s">
        <v>111</v>
      </c>
      <c r="AH24" s="3" t="s">
        <v>112</v>
      </c>
      <c r="AI24" s="3" t="s">
        <v>121</v>
      </c>
      <c r="AJ24" s="3" t="s">
        <v>62</v>
      </c>
      <c r="AK24" s="3" t="s">
        <v>63</v>
      </c>
    </row>
    <row r="25" spans="1:37" ht="31.5" x14ac:dyDescent="0.25">
      <c r="A25" s="16" t="s">
        <v>1</v>
      </c>
      <c r="B25" s="2"/>
      <c r="C25" s="8">
        <v>0</v>
      </c>
      <c r="D25" s="11">
        <v>1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9"/>
      <c r="AJ25" s="5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25" s="5">
        <f ca="1">IF(Август[[#This Row],[УСЛУГ]]&lt;&gt;"",Август[[#This Row],[УСЛУГ]]*Август[[#This Row],[Периодичность]],"")</f>
        <v>0</v>
      </c>
    </row>
    <row r="26" spans="1:37" x14ac:dyDescent="0.25">
      <c r="A26" s="16"/>
      <c r="B26" s="2"/>
      <c r="C26" s="8">
        <v>0</v>
      </c>
      <c r="D26" s="11">
        <v>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9"/>
      <c r="AJ26" s="5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26" s="5" t="str">
        <f ca="1">IF(Август[[#This Row],[УСЛУГ]]&lt;&gt;"",Август[[#This Row],[УСЛУГ]]*Август[[#This Row],[Периодичность]],"")</f>
        <v/>
      </c>
    </row>
    <row r="27" spans="1:37" x14ac:dyDescent="0.25">
      <c r="A27" s="16"/>
      <c r="B27" s="2"/>
      <c r="C27" s="8">
        <v>0</v>
      </c>
      <c r="D27" s="11">
        <v>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9"/>
      <c r="AJ27" s="5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27" s="5" t="str">
        <f ca="1">IF(Август[[#This Row],[УСЛУГ]]&lt;&gt;"",Август[[#This Row],[УСЛУГ]]*Август[[#This Row],[Периодичность]],"")</f>
        <v/>
      </c>
    </row>
    <row r="28" spans="1:37" ht="47.25" x14ac:dyDescent="0.25">
      <c r="A28" s="35" t="s">
        <v>2</v>
      </c>
      <c r="B28" s="36"/>
      <c r="C28" s="37">
        <v>0</v>
      </c>
      <c r="D28" s="38">
        <v>1</v>
      </c>
      <c r="E28" s="18"/>
      <c r="F28" s="18"/>
      <c r="G28" s="18"/>
      <c r="H28" s="18"/>
      <c r="I28" s="18"/>
      <c r="J28" s="18"/>
      <c r="K28" s="10"/>
      <c r="L28" s="10"/>
      <c r="M28" s="10"/>
      <c r="N28" s="10"/>
      <c r="O28" s="10"/>
      <c r="P28" s="18"/>
      <c r="Q28" s="18"/>
      <c r="R28" s="10"/>
      <c r="S28" s="10"/>
      <c r="T28" s="10"/>
      <c r="U28" s="10"/>
      <c r="V28" s="10"/>
      <c r="W28" s="18"/>
      <c r="X28" s="18"/>
      <c r="Y28" s="10"/>
      <c r="Z28" s="10"/>
      <c r="AA28" s="10"/>
      <c r="AB28" s="10"/>
      <c r="AC28" s="10"/>
      <c r="AD28" s="18"/>
      <c r="AE28" s="18"/>
      <c r="AF28" s="18"/>
      <c r="AG28" s="18"/>
      <c r="AH28" s="18"/>
      <c r="AI28" s="20"/>
      <c r="AJ28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28" s="29">
        <f ca="1">IF(Август[[#This Row],[УСЛУГ]]&lt;&gt;"",Август[[#This Row],[УСЛУГ]]*Август[[#This Row],[Периодичность]],"")</f>
        <v>0</v>
      </c>
    </row>
    <row r="29" spans="1:37" ht="18.75" x14ac:dyDescent="0.25">
      <c r="A29" s="35"/>
      <c r="B29" s="36"/>
      <c r="C29" s="37">
        <v>0</v>
      </c>
      <c r="D29" s="38">
        <v>2</v>
      </c>
      <c r="E29" s="18"/>
      <c r="F29" s="18"/>
      <c r="G29" s="18"/>
      <c r="H29" s="18"/>
      <c r="I29" s="18"/>
      <c r="J29" s="18"/>
      <c r="K29" s="10"/>
      <c r="L29" s="10"/>
      <c r="M29" s="10"/>
      <c r="N29" s="10"/>
      <c r="O29" s="10"/>
      <c r="P29" s="18"/>
      <c r="Q29" s="18"/>
      <c r="R29" s="10"/>
      <c r="S29" s="10"/>
      <c r="T29" s="10"/>
      <c r="U29" s="10"/>
      <c r="V29" s="10"/>
      <c r="W29" s="18"/>
      <c r="X29" s="18"/>
      <c r="Y29" s="10"/>
      <c r="Z29" s="10"/>
      <c r="AA29" s="10"/>
      <c r="AB29" s="10"/>
      <c r="AC29" s="10"/>
      <c r="AD29" s="18"/>
      <c r="AE29" s="18"/>
      <c r="AF29" s="18"/>
      <c r="AG29" s="18"/>
      <c r="AH29" s="18"/>
      <c r="AI29" s="20"/>
      <c r="AJ2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29" s="29" t="str">
        <f ca="1">IF(Август[[#This Row],[УСЛУГ]]&lt;&gt;"",Август[[#This Row],[УСЛУГ]]*Август[[#This Row],[Периодичность]],"")</f>
        <v/>
      </c>
    </row>
    <row r="30" spans="1:37" x14ac:dyDescent="0.25">
      <c r="A30" s="35"/>
      <c r="B30" s="36"/>
      <c r="C30" s="37">
        <v>0</v>
      </c>
      <c r="D30" s="38">
        <v>3</v>
      </c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8"/>
      <c r="Q30" s="18"/>
      <c r="R30" s="10"/>
      <c r="S30" s="10"/>
      <c r="T30" s="10"/>
      <c r="U30" s="10"/>
      <c r="V30" s="10"/>
      <c r="W30" s="18"/>
      <c r="X30" s="18"/>
      <c r="Y30" s="10"/>
      <c r="Z30" s="10"/>
      <c r="AA30" s="10"/>
      <c r="AB30" s="10"/>
      <c r="AC30" s="10"/>
      <c r="AD30" s="18"/>
      <c r="AE30" s="18"/>
      <c r="AF30" s="18"/>
      <c r="AG30" s="18"/>
      <c r="AH30" s="18"/>
      <c r="AI30" s="19"/>
      <c r="AJ3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0" s="29" t="str">
        <f ca="1">IF(Август[[#This Row],[УСЛУГ]]&lt;&gt;"",Август[[#This Row],[УСЛУГ]]*Август[[#This Row],[Периодичность]],"")</f>
        <v/>
      </c>
    </row>
    <row r="31" spans="1:37" ht="31.5" x14ac:dyDescent="0.25">
      <c r="A31" s="35" t="s">
        <v>3</v>
      </c>
      <c r="B31" s="36"/>
      <c r="C31" s="37">
        <v>0</v>
      </c>
      <c r="D31" s="38">
        <v>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31" s="29">
        <f ca="1">IF(Август[[#This Row],[УСЛУГ]]&lt;&gt;"",Август[[#This Row],[УСЛУГ]]*Август[[#This Row],[Периодичность]],"")</f>
        <v>0</v>
      </c>
    </row>
    <row r="32" spans="1:37" x14ac:dyDescent="0.25">
      <c r="A32" s="35"/>
      <c r="B32" s="36"/>
      <c r="C32" s="37">
        <v>0</v>
      </c>
      <c r="D32" s="38">
        <v>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2" s="29" t="str">
        <f ca="1">IF(Август[[#This Row],[УСЛУГ]]&lt;&gt;"",Август[[#This Row],[УСЛУГ]]*Август[[#This Row],[Периодичность]],"")</f>
        <v/>
      </c>
    </row>
    <row r="33" spans="1:37" x14ac:dyDescent="0.25">
      <c r="A33" s="35"/>
      <c r="B33" s="36"/>
      <c r="C33" s="37">
        <v>0</v>
      </c>
      <c r="D33" s="38">
        <v>3</v>
      </c>
      <c r="E33" s="18"/>
      <c r="F33" s="18"/>
      <c r="G33" s="18"/>
      <c r="H33" s="18"/>
      <c r="I33" s="18"/>
      <c r="J33" s="18"/>
      <c r="K33" s="10"/>
      <c r="L33" s="10"/>
      <c r="M33" s="10"/>
      <c r="N33" s="10"/>
      <c r="O33" s="10"/>
      <c r="P33" s="18"/>
      <c r="Q33" s="18"/>
      <c r="R33" s="10"/>
      <c r="S33" s="10"/>
      <c r="T33" s="10"/>
      <c r="U33" s="10"/>
      <c r="V33" s="10"/>
      <c r="W33" s="18"/>
      <c r="X33" s="18"/>
      <c r="Y33" s="10"/>
      <c r="Z33" s="10"/>
      <c r="AA33" s="10"/>
      <c r="AB33" s="10"/>
      <c r="AC33" s="10"/>
      <c r="AD33" s="18"/>
      <c r="AE33" s="18"/>
      <c r="AF33" s="18"/>
      <c r="AG33" s="18"/>
      <c r="AH33" s="18"/>
      <c r="AI33" s="19"/>
      <c r="AJ33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3" s="29" t="str">
        <f ca="1">IF(Август[[#This Row],[УСЛУГ]]&lt;&gt;"",Август[[#This Row],[УСЛУГ]]*Август[[#This Row],[Периодичность]],"")</f>
        <v/>
      </c>
    </row>
    <row r="34" spans="1:37" ht="47.25" x14ac:dyDescent="0.25">
      <c r="A34" s="35" t="s">
        <v>4</v>
      </c>
      <c r="B34" s="36"/>
      <c r="C34" s="37">
        <v>0</v>
      </c>
      <c r="D34" s="38">
        <v>1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20"/>
      <c r="AJ34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34" s="29">
        <f ca="1">IF(Август[[#This Row],[УСЛУГ]]&lt;&gt;"",Август[[#This Row],[УСЛУГ]]*Август[[#This Row],[Периодичность]],"")</f>
        <v>0</v>
      </c>
    </row>
    <row r="35" spans="1:37" ht="18.75" x14ac:dyDescent="0.25">
      <c r="A35" s="35"/>
      <c r="B35" s="36"/>
      <c r="C35" s="37">
        <v>0</v>
      </c>
      <c r="D35" s="38">
        <v>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0"/>
      <c r="AJ35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5" s="29" t="str">
        <f ca="1">IF(Август[[#This Row],[УСЛУГ]]&lt;&gt;"",Август[[#This Row],[УСЛУГ]]*Август[[#This Row],[Периодичность]],"")</f>
        <v/>
      </c>
    </row>
    <row r="36" spans="1:37" ht="18.75" x14ac:dyDescent="0.25">
      <c r="A36" s="35"/>
      <c r="B36" s="36"/>
      <c r="C36" s="37">
        <v>0</v>
      </c>
      <c r="D36" s="38">
        <v>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20"/>
      <c r="AJ36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6" s="29" t="str">
        <f ca="1">IF(Август[[#This Row],[УСЛУГ]]&lt;&gt;"",Август[[#This Row],[УСЛУГ]]*Август[[#This Row],[Периодичность]],"")</f>
        <v/>
      </c>
    </row>
    <row r="37" spans="1:37" ht="18.75" x14ac:dyDescent="0.25">
      <c r="A37" s="35" t="s">
        <v>5</v>
      </c>
      <c r="B37" s="36"/>
      <c r="C37" s="37">
        <v>0</v>
      </c>
      <c r="D37" s="38">
        <v>1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0"/>
      <c r="AJ37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37" s="29">
        <f ca="1">IF(Август[[#This Row],[УСЛУГ]]&lt;&gt;"",Август[[#This Row],[УСЛУГ]]*Август[[#This Row],[Периодичность]],"")</f>
        <v>0</v>
      </c>
    </row>
    <row r="38" spans="1:37" ht="18.75" x14ac:dyDescent="0.25">
      <c r="A38" s="35"/>
      <c r="B38" s="36"/>
      <c r="C38" s="37">
        <v>0</v>
      </c>
      <c r="D38" s="38">
        <v>2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8" s="29" t="str">
        <f ca="1">IF(Август[[#This Row],[УСЛУГ]]&lt;&gt;"",Август[[#This Row],[УСЛУГ]]*Август[[#This Row],[Периодичность]],"")</f>
        <v/>
      </c>
    </row>
    <row r="39" spans="1:37" ht="18.75" x14ac:dyDescent="0.25">
      <c r="A39" s="35"/>
      <c r="B39" s="36"/>
      <c r="C39" s="37">
        <v>0</v>
      </c>
      <c r="D39" s="38">
        <v>3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20"/>
      <c r="AJ3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39" s="29" t="str">
        <f ca="1">IF(Август[[#This Row],[УСЛУГ]]&lt;&gt;"",Август[[#This Row],[УСЛУГ]]*Август[[#This Row],[Периодичность]],"")</f>
        <v/>
      </c>
    </row>
    <row r="40" spans="1:37" ht="31.5" x14ac:dyDescent="0.25">
      <c r="A40" s="35" t="s">
        <v>6</v>
      </c>
      <c r="B40" s="36"/>
      <c r="C40" s="37">
        <v>0</v>
      </c>
      <c r="D40" s="38">
        <v>1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20"/>
      <c r="AJ40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40" s="29">
        <f ca="1">IF(Август[[#This Row],[УСЛУГ]]&lt;&gt;"",Август[[#This Row],[УСЛУГ]]*Август[[#This Row],[Периодичность]],"")</f>
        <v>0</v>
      </c>
    </row>
    <row r="41" spans="1:37" ht="18.75" x14ac:dyDescent="0.25">
      <c r="A41" s="35"/>
      <c r="B41" s="36"/>
      <c r="C41" s="37">
        <v>0</v>
      </c>
      <c r="D41" s="38">
        <v>2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0"/>
      <c r="AJ4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1" s="29" t="str">
        <f ca="1">IF(Август[[#This Row],[УСЛУГ]]&lt;&gt;"",Август[[#This Row],[УСЛУГ]]*Август[[#This Row],[Периодичность]],"")</f>
        <v/>
      </c>
    </row>
    <row r="42" spans="1:37" ht="18.75" x14ac:dyDescent="0.25">
      <c r="A42" s="35"/>
      <c r="B42" s="36"/>
      <c r="C42" s="37">
        <v>0</v>
      </c>
      <c r="D42" s="38">
        <v>3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0"/>
      <c r="AJ4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2" s="29" t="str">
        <f ca="1">IF(Август[[#This Row],[УСЛУГ]]&lt;&gt;"",Август[[#This Row],[УСЛУГ]]*Август[[#This Row],[Периодичность]],"")</f>
        <v/>
      </c>
    </row>
    <row r="43" spans="1:37" ht="47.25" x14ac:dyDescent="0.25">
      <c r="A43" s="35" t="s">
        <v>79</v>
      </c>
      <c r="B43" s="36"/>
      <c r="C43" s="37">
        <v>0</v>
      </c>
      <c r="D43" s="38">
        <v>1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43" s="29">
        <f ca="1">IF(Август[[#This Row],[УСЛУГ]]&lt;&gt;"",Август[[#This Row],[УСЛУГ]]*Август[[#This Row],[Периодичность]],"")</f>
        <v>0</v>
      </c>
    </row>
    <row r="44" spans="1:37" ht="18.75" x14ac:dyDescent="0.25">
      <c r="A44" s="35"/>
      <c r="B44" s="36"/>
      <c r="C44" s="37">
        <v>0</v>
      </c>
      <c r="D44" s="38">
        <v>2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20"/>
      <c r="AJ44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4" s="29" t="str">
        <f ca="1">IF(Август[[#This Row],[УСЛУГ]]&lt;&gt;"",Август[[#This Row],[УСЛУГ]]*Август[[#This Row],[Периодичность]],"")</f>
        <v/>
      </c>
    </row>
    <row r="45" spans="1:37" x14ac:dyDescent="0.25">
      <c r="A45" s="35"/>
      <c r="B45" s="36"/>
      <c r="C45" s="37">
        <v>0</v>
      </c>
      <c r="D45" s="38">
        <v>3</v>
      </c>
      <c r="E45" s="18"/>
      <c r="F45" s="18"/>
      <c r="G45" s="18"/>
      <c r="H45" s="18"/>
      <c r="I45" s="18"/>
      <c r="J45" s="18"/>
      <c r="K45" s="10"/>
      <c r="L45" s="10"/>
      <c r="M45" s="10"/>
      <c r="N45" s="10"/>
      <c r="O45" s="10"/>
      <c r="P45" s="18"/>
      <c r="Q45" s="18"/>
      <c r="R45" s="10"/>
      <c r="S45" s="10"/>
      <c r="T45" s="10"/>
      <c r="U45" s="10"/>
      <c r="V45" s="10"/>
      <c r="W45" s="18"/>
      <c r="X45" s="18"/>
      <c r="Y45" s="10"/>
      <c r="Z45" s="10"/>
      <c r="AA45" s="10"/>
      <c r="AB45" s="10"/>
      <c r="AC45" s="10"/>
      <c r="AD45" s="18"/>
      <c r="AE45" s="18"/>
      <c r="AF45" s="18"/>
      <c r="AG45" s="18"/>
      <c r="AH45" s="18"/>
      <c r="AI45" s="19"/>
      <c r="AJ45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5" s="29" t="str">
        <f ca="1">IF(Август[[#This Row],[УСЛУГ]]&lt;&gt;"",Август[[#This Row],[УСЛУГ]]*Август[[#This Row],[Периодичность]],"")</f>
        <v/>
      </c>
    </row>
    <row r="46" spans="1:37" ht="18.75" x14ac:dyDescent="0.25">
      <c r="A46" s="35" t="s">
        <v>8</v>
      </c>
      <c r="B46" s="36"/>
      <c r="C46" s="37">
        <v>0</v>
      </c>
      <c r="D46" s="38">
        <v>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20"/>
      <c r="AJ46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46" s="29">
        <f ca="1">IF(Август[[#This Row],[УСЛУГ]]&lt;&gt;"",Август[[#This Row],[УСЛУГ]]*Август[[#This Row],[Периодичность]],"")</f>
        <v>0</v>
      </c>
    </row>
    <row r="47" spans="1:37" ht="18.75" x14ac:dyDescent="0.25">
      <c r="A47" s="35"/>
      <c r="B47" s="36"/>
      <c r="C47" s="37">
        <v>0</v>
      </c>
      <c r="D47" s="38">
        <v>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20"/>
      <c r="AJ47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7" s="29" t="str">
        <f ca="1">IF(Август[[#This Row],[УСЛУГ]]&lt;&gt;"",Август[[#This Row],[УСЛУГ]]*Август[[#This Row],[Периодичность]],"")</f>
        <v/>
      </c>
    </row>
    <row r="48" spans="1:37" ht="18.75" x14ac:dyDescent="0.25">
      <c r="A48" s="35"/>
      <c r="B48" s="36"/>
      <c r="C48" s="37">
        <v>0</v>
      </c>
      <c r="D48" s="38">
        <v>3</v>
      </c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0"/>
      <c r="AJ48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48" s="29" t="str">
        <f ca="1">IF(Август[[#This Row],[УСЛУГ]]&lt;&gt;"",Август[[#This Row],[УСЛУГ]]*Август[[#This Row],[Периодичность]],"")</f>
        <v/>
      </c>
    </row>
    <row r="49" spans="1:37" ht="31.5" x14ac:dyDescent="0.25">
      <c r="A49" s="35" t="s">
        <v>9</v>
      </c>
      <c r="B49" s="36"/>
      <c r="C49" s="37">
        <v>0</v>
      </c>
      <c r="D49" s="38">
        <v>1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49" s="29">
        <f ca="1">IF(Август[[#This Row],[УСЛУГ]]&lt;&gt;"",Август[[#This Row],[УСЛУГ]]*Август[[#This Row],[Периодичность]],"")</f>
        <v>0</v>
      </c>
    </row>
    <row r="50" spans="1:37" x14ac:dyDescent="0.25">
      <c r="A50" s="35"/>
      <c r="B50" s="36"/>
      <c r="C50" s="37">
        <v>0</v>
      </c>
      <c r="D50" s="38">
        <v>2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0" s="29" t="str">
        <f ca="1">IF(Август[[#This Row],[УСЛУГ]]&lt;&gt;"",Август[[#This Row],[УСЛУГ]]*Август[[#This Row],[Периодичность]],"")</f>
        <v/>
      </c>
    </row>
    <row r="51" spans="1:37" ht="18.75" x14ac:dyDescent="0.25">
      <c r="A51" s="35"/>
      <c r="B51" s="36"/>
      <c r="C51" s="37">
        <v>0</v>
      </c>
      <c r="D51" s="38">
        <v>3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20"/>
      <c r="AJ5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1" s="29" t="str">
        <f ca="1">IF(Август[[#This Row],[УСЛУГ]]&lt;&gt;"",Август[[#This Row],[УСЛУГ]]*Август[[#This Row],[Периодичность]],"")</f>
        <v/>
      </c>
    </row>
    <row r="52" spans="1:37" ht="47.25" x14ac:dyDescent="0.25">
      <c r="A52" s="35" t="s">
        <v>140</v>
      </c>
      <c r="B52" s="36"/>
      <c r="C52" s="37">
        <v>0</v>
      </c>
      <c r="D52" s="38">
        <v>1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0"/>
      <c r="AJ52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52" s="29">
        <f ca="1">IF(Август[[#This Row],[УСЛУГ]]&lt;&gt;"",Август[[#This Row],[УСЛУГ]]*Август[[#This Row],[Периодичность]],"")</f>
        <v>0</v>
      </c>
    </row>
    <row r="53" spans="1:37" ht="18.75" x14ac:dyDescent="0.25">
      <c r="A53" s="35"/>
      <c r="B53" s="36"/>
      <c r="C53" s="37">
        <v>0</v>
      </c>
      <c r="D53" s="38">
        <v>2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20"/>
      <c r="AJ53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3" s="29" t="str">
        <f ca="1">IF(Август[[#This Row],[УСЛУГ]]&lt;&gt;"",Август[[#This Row],[УСЛУГ]]*Август[[#This Row],[Периодичность]],"")</f>
        <v/>
      </c>
    </row>
    <row r="54" spans="1:37" ht="18.75" x14ac:dyDescent="0.25">
      <c r="A54" s="35"/>
      <c r="B54" s="36"/>
      <c r="C54" s="37">
        <v>0</v>
      </c>
      <c r="D54" s="38">
        <v>3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20"/>
      <c r="AJ54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4" s="29" t="str">
        <f ca="1">IF(Август[[#This Row],[УСЛУГ]]&lt;&gt;"",Август[[#This Row],[УСЛУГ]]*Август[[#This Row],[Периодичность]],"")</f>
        <v/>
      </c>
    </row>
    <row r="55" spans="1:37" ht="47.25" x14ac:dyDescent="0.25">
      <c r="A55" s="35" t="s">
        <v>78</v>
      </c>
      <c r="B55" s="36"/>
      <c r="C55" s="37">
        <v>0</v>
      </c>
      <c r="D55" s="38">
        <v>1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20"/>
      <c r="AJ55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55" s="29">
        <f ca="1">IF(Август[[#This Row],[УСЛУГ]]&lt;&gt;"",Август[[#This Row],[УСЛУГ]]*Август[[#This Row],[Периодичность]],"")</f>
        <v>0</v>
      </c>
    </row>
    <row r="56" spans="1:37" ht="18.75" x14ac:dyDescent="0.25">
      <c r="A56" s="35"/>
      <c r="B56" s="36"/>
      <c r="C56" s="37">
        <v>0</v>
      </c>
      <c r="D56" s="38">
        <v>2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20"/>
      <c r="AJ56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6" s="29" t="str">
        <f ca="1">IF(Август[[#This Row],[УСЛУГ]]&lt;&gt;"",Август[[#This Row],[УСЛУГ]]*Август[[#This Row],[Периодичность]],"")</f>
        <v/>
      </c>
    </row>
    <row r="57" spans="1:37" ht="18.75" x14ac:dyDescent="0.25">
      <c r="A57" s="35"/>
      <c r="B57" s="36"/>
      <c r="C57" s="37">
        <v>0</v>
      </c>
      <c r="D57" s="38">
        <v>3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20"/>
      <c r="AJ57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7" s="29" t="str">
        <f ca="1">IF(Август[[#This Row],[УСЛУГ]]&lt;&gt;"",Август[[#This Row],[УСЛУГ]]*Август[[#This Row],[Периодичность]],"")</f>
        <v/>
      </c>
    </row>
    <row r="58" spans="1:37" ht="47.25" x14ac:dyDescent="0.25">
      <c r="A58" s="35" t="s">
        <v>141</v>
      </c>
      <c r="B58" s="36"/>
      <c r="C58" s="37">
        <v>0</v>
      </c>
      <c r="D58" s="38">
        <v>1</v>
      </c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20"/>
      <c r="AJ58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58" s="29">
        <f ca="1">IF(Август[[#This Row],[УСЛУГ]]&lt;&gt;"",Август[[#This Row],[УСЛУГ]]*Август[[#This Row],[Периодичность]],"")</f>
        <v>0</v>
      </c>
    </row>
    <row r="59" spans="1:37" ht="18.75" x14ac:dyDescent="0.25">
      <c r="A59" s="35"/>
      <c r="B59" s="36"/>
      <c r="C59" s="37">
        <v>0</v>
      </c>
      <c r="D59" s="38">
        <v>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0"/>
      <c r="AJ5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59" s="29" t="str">
        <f ca="1">IF(Август[[#This Row],[УСЛУГ]]&lt;&gt;"",Август[[#This Row],[УСЛУГ]]*Август[[#This Row],[Периодичность]],"")</f>
        <v/>
      </c>
    </row>
    <row r="60" spans="1:37" ht="18.75" x14ac:dyDescent="0.25">
      <c r="A60" s="35"/>
      <c r="B60" s="36"/>
      <c r="C60" s="37">
        <v>0</v>
      </c>
      <c r="D60" s="38">
        <v>3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20"/>
      <c r="AJ6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0" s="29" t="str">
        <f ca="1">IF(Август[[#This Row],[УСЛУГ]]&lt;&gt;"",Август[[#This Row],[УСЛУГ]]*Август[[#This Row],[Периодичность]],"")</f>
        <v/>
      </c>
    </row>
    <row r="61" spans="1:37" ht="31.5" x14ac:dyDescent="0.25">
      <c r="A61" s="35" t="s">
        <v>13</v>
      </c>
      <c r="B61" s="36"/>
      <c r="C61" s="37">
        <v>0</v>
      </c>
      <c r="D61" s="38">
        <v>1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0"/>
      <c r="AJ61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61" s="29">
        <f ca="1">IF(Август[[#This Row],[УСЛУГ]]&lt;&gt;"",Август[[#This Row],[УСЛУГ]]*Август[[#This Row],[Периодичность]],"")</f>
        <v>0</v>
      </c>
    </row>
    <row r="62" spans="1:37" ht="18.75" x14ac:dyDescent="0.25">
      <c r="A62" s="35"/>
      <c r="B62" s="36"/>
      <c r="C62" s="37">
        <v>0</v>
      </c>
      <c r="D62" s="38">
        <v>2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20"/>
      <c r="AJ6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2" s="29" t="str">
        <f ca="1">IF(Август[[#This Row],[УСЛУГ]]&lt;&gt;"",Август[[#This Row],[УСЛУГ]]*Август[[#This Row],[Периодичность]],"")</f>
        <v/>
      </c>
    </row>
    <row r="63" spans="1:37" ht="18.75" x14ac:dyDescent="0.25">
      <c r="A63" s="35"/>
      <c r="B63" s="36"/>
      <c r="C63" s="37">
        <v>0</v>
      </c>
      <c r="D63" s="38">
        <v>3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20"/>
      <c r="AJ63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3" s="29" t="str">
        <f ca="1">IF(Август[[#This Row],[УСЛУГ]]&lt;&gt;"",Август[[#This Row],[УСЛУГ]]*Август[[#This Row],[Периодичность]],"")</f>
        <v/>
      </c>
    </row>
    <row r="64" spans="1:37" ht="31.5" x14ac:dyDescent="0.25">
      <c r="A64" s="35" t="s">
        <v>14</v>
      </c>
      <c r="B64" s="36"/>
      <c r="C64" s="37">
        <v>0</v>
      </c>
      <c r="D64" s="38">
        <v>1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64" s="29">
        <f ca="1">IF(Август[[#This Row],[УСЛУГ]]&lt;&gt;"",Август[[#This Row],[УСЛУГ]]*Август[[#This Row],[Периодичность]],"")</f>
        <v>0</v>
      </c>
    </row>
    <row r="65" spans="1:37" ht="18.75" x14ac:dyDescent="0.25">
      <c r="A65" s="35"/>
      <c r="B65" s="36"/>
      <c r="C65" s="37">
        <v>0</v>
      </c>
      <c r="D65" s="38">
        <v>2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20"/>
      <c r="AJ65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5" s="29" t="str">
        <f ca="1">IF(Август[[#This Row],[УСЛУГ]]&lt;&gt;"",Август[[#This Row],[УСЛУГ]]*Август[[#This Row],[Периодичность]],"")</f>
        <v/>
      </c>
    </row>
    <row r="66" spans="1:37" x14ac:dyDescent="0.25">
      <c r="A66" s="35"/>
      <c r="B66" s="36"/>
      <c r="C66" s="37">
        <v>0</v>
      </c>
      <c r="D66" s="38">
        <v>3</v>
      </c>
      <c r="E66" s="18"/>
      <c r="F66" s="18"/>
      <c r="G66" s="18"/>
      <c r="H66" s="18"/>
      <c r="I66" s="18"/>
      <c r="J66" s="18"/>
      <c r="K66" s="10"/>
      <c r="L66" s="10"/>
      <c r="M66" s="10"/>
      <c r="N66" s="10"/>
      <c r="O66" s="10"/>
      <c r="P66" s="18"/>
      <c r="Q66" s="18"/>
      <c r="R66" s="10"/>
      <c r="S66" s="10"/>
      <c r="T66" s="10"/>
      <c r="U66" s="10"/>
      <c r="V66" s="10"/>
      <c r="W66" s="18"/>
      <c r="X66" s="18"/>
      <c r="Y66" s="10"/>
      <c r="Z66" s="10"/>
      <c r="AA66" s="10"/>
      <c r="AB66" s="10"/>
      <c r="AC66" s="10"/>
      <c r="AD66" s="18"/>
      <c r="AE66" s="18"/>
      <c r="AF66" s="18"/>
      <c r="AG66" s="18"/>
      <c r="AH66" s="18"/>
      <c r="AI66" s="19"/>
      <c r="AJ66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6" s="29" t="str">
        <f ca="1">IF(Август[[#This Row],[УСЛУГ]]&lt;&gt;"",Август[[#This Row],[УСЛУГ]]*Август[[#This Row],[Периодичность]],"")</f>
        <v/>
      </c>
    </row>
    <row r="67" spans="1:37" ht="31.5" x14ac:dyDescent="0.25">
      <c r="A67" s="35" t="s">
        <v>15</v>
      </c>
      <c r="B67" s="36"/>
      <c r="C67" s="37">
        <v>0</v>
      </c>
      <c r="D67" s="38">
        <v>1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20"/>
      <c r="AJ67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67" s="29">
        <f ca="1">IF(Август[[#This Row],[УСЛУГ]]&lt;&gt;"",Август[[#This Row],[УСЛУГ]]*Август[[#This Row],[Периодичность]],"")</f>
        <v>0</v>
      </c>
    </row>
    <row r="68" spans="1:37" ht="18.75" x14ac:dyDescent="0.25">
      <c r="A68" s="35"/>
      <c r="B68" s="36"/>
      <c r="C68" s="37">
        <v>0</v>
      </c>
      <c r="D68" s="38">
        <v>2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20"/>
      <c r="AJ68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8" s="29" t="str">
        <f ca="1">IF(Август[[#This Row],[УСЛУГ]]&lt;&gt;"",Август[[#This Row],[УСЛУГ]]*Август[[#This Row],[Периодичность]],"")</f>
        <v/>
      </c>
    </row>
    <row r="69" spans="1:37" ht="18.75" x14ac:dyDescent="0.25">
      <c r="A69" s="35"/>
      <c r="B69" s="36"/>
      <c r="C69" s="37">
        <v>0</v>
      </c>
      <c r="D69" s="38">
        <v>3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0"/>
      <c r="AJ69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69" s="29" t="str">
        <f ca="1">IF(Август[[#This Row],[УСЛУГ]]&lt;&gt;"",Август[[#This Row],[УСЛУГ]]*Август[[#This Row],[Периодичность]],"")</f>
        <v/>
      </c>
    </row>
    <row r="70" spans="1:37" ht="18.75" x14ac:dyDescent="0.25">
      <c r="A70" s="35" t="s">
        <v>16</v>
      </c>
      <c r="B70" s="36"/>
      <c r="C70" s="37">
        <v>0</v>
      </c>
      <c r="D70" s="38">
        <v>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20"/>
      <c r="AJ70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70" s="29">
        <f ca="1">IF(Август[[#This Row],[УСЛУГ]]&lt;&gt;"",Август[[#This Row],[УСЛУГ]]*Август[[#This Row],[Периодичность]],"")</f>
        <v>0</v>
      </c>
    </row>
    <row r="71" spans="1:37" ht="18.75" x14ac:dyDescent="0.25">
      <c r="A71" s="35"/>
      <c r="B71" s="36"/>
      <c r="C71" s="37">
        <v>0</v>
      </c>
      <c r="D71" s="38">
        <v>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20"/>
      <c r="AJ7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1" s="29" t="str">
        <f ca="1">IF(Август[[#This Row],[УСЛУГ]]&lt;&gt;"",Август[[#This Row],[УСЛУГ]]*Август[[#This Row],[Периодичность]],"")</f>
        <v/>
      </c>
    </row>
    <row r="72" spans="1:37" ht="18.75" x14ac:dyDescent="0.25">
      <c r="A72" s="35"/>
      <c r="B72" s="36"/>
      <c r="C72" s="37">
        <v>0</v>
      </c>
      <c r="D72" s="38">
        <v>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20"/>
      <c r="AJ72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2" s="29" t="str">
        <f ca="1">IF(Август[[#This Row],[УСЛУГ]]&lt;&gt;"",Август[[#This Row],[УСЛУГ]]*Август[[#This Row],[Периодичность]],"")</f>
        <v/>
      </c>
    </row>
    <row r="73" spans="1:37" ht="47.25" x14ac:dyDescent="0.25">
      <c r="A73" s="35" t="s">
        <v>142</v>
      </c>
      <c r="B73" s="36"/>
      <c r="C73" s="37">
        <v>0</v>
      </c>
      <c r="D73" s="38">
        <v>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20"/>
      <c r="AJ73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73" s="29">
        <f ca="1">IF(Август[[#This Row],[УСЛУГ]]&lt;&gt;"",Август[[#This Row],[УСЛУГ]]*Август[[#This Row],[Периодичность]],"")</f>
        <v>0</v>
      </c>
    </row>
    <row r="74" spans="1:37" ht="18.75" x14ac:dyDescent="0.25">
      <c r="A74" s="35"/>
      <c r="B74" s="36"/>
      <c r="C74" s="37">
        <v>0</v>
      </c>
      <c r="D74" s="38">
        <v>2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0"/>
      <c r="AJ74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4" s="29" t="str">
        <f ca="1">IF(Август[[#This Row],[УСЛУГ]]&lt;&gt;"",Август[[#This Row],[УСЛУГ]]*Август[[#This Row],[Периодичность]],"")</f>
        <v/>
      </c>
    </row>
    <row r="75" spans="1:37" ht="18.75" x14ac:dyDescent="0.25">
      <c r="A75" s="35"/>
      <c r="B75" s="36"/>
      <c r="C75" s="37">
        <v>0</v>
      </c>
      <c r="D75" s="38">
        <v>3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20"/>
      <c r="AJ75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5" s="29" t="str">
        <f ca="1">IF(Август[[#This Row],[УСЛУГ]]&lt;&gt;"",Август[[#This Row],[УСЛУГ]]*Август[[#This Row],[Периодичность]],"")</f>
        <v/>
      </c>
    </row>
    <row r="76" spans="1:37" ht="47.25" x14ac:dyDescent="0.25">
      <c r="A76" s="35" t="s">
        <v>143</v>
      </c>
      <c r="B76" s="36"/>
      <c r="C76" s="37">
        <v>0</v>
      </c>
      <c r="D76" s="38">
        <v>1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20"/>
      <c r="AJ76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76" s="29">
        <f ca="1">IF(Август[[#This Row],[УСЛУГ]]&lt;&gt;"",Август[[#This Row],[УСЛУГ]]*Август[[#This Row],[Периодичность]],"")</f>
        <v>0</v>
      </c>
    </row>
    <row r="77" spans="1:37" ht="18.75" x14ac:dyDescent="0.25">
      <c r="A77" s="35"/>
      <c r="B77" s="36"/>
      <c r="C77" s="37">
        <v>0</v>
      </c>
      <c r="D77" s="38">
        <v>2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20"/>
      <c r="AJ77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7" s="29" t="str">
        <f ca="1">IF(Август[[#This Row],[УСЛУГ]]&lt;&gt;"",Август[[#This Row],[УСЛУГ]]*Август[[#This Row],[Периодичность]],"")</f>
        <v/>
      </c>
    </row>
    <row r="78" spans="1:37" x14ac:dyDescent="0.25">
      <c r="A78" s="35"/>
      <c r="B78" s="36"/>
      <c r="C78" s="37">
        <v>0</v>
      </c>
      <c r="D78" s="38">
        <v>3</v>
      </c>
      <c r="E78" s="18"/>
      <c r="F78" s="18"/>
      <c r="G78" s="18"/>
      <c r="H78" s="18"/>
      <c r="I78" s="18"/>
      <c r="J78" s="18"/>
      <c r="K78" s="10"/>
      <c r="L78" s="10"/>
      <c r="M78" s="10"/>
      <c r="N78" s="10"/>
      <c r="O78" s="10"/>
      <c r="P78" s="18"/>
      <c r="Q78" s="18"/>
      <c r="R78" s="10"/>
      <c r="S78" s="10"/>
      <c r="T78" s="10"/>
      <c r="U78" s="10"/>
      <c r="V78" s="10"/>
      <c r="W78" s="18"/>
      <c r="X78" s="18"/>
      <c r="Y78" s="10"/>
      <c r="Z78" s="10"/>
      <c r="AA78" s="10"/>
      <c r="AB78" s="10"/>
      <c r="AC78" s="10"/>
      <c r="AD78" s="18"/>
      <c r="AE78" s="18"/>
      <c r="AF78" s="18"/>
      <c r="AG78" s="18"/>
      <c r="AH78" s="18"/>
      <c r="AI78" s="19"/>
      <c r="AJ78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78" s="29" t="str">
        <f ca="1">IF(Август[[#This Row],[УСЛУГ]]&lt;&gt;"",Август[[#This Row],[УСЛУГ]]*Август[[#This Row],[Периодичность]],"")</f>
        <v/>
      </c>
    </row>
    <row r="79" spans="1:37" x14ac:dyDescent="0.25">
      <c r="A79" s="35" t="s">
        <v>19</v>
      </c>
      <c r="B79" s="36"/>
      <c r="C79" s="37">
        <v>0</v>
      </c>
      <c r="D79" s="38">
        <v>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29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79" s="29">
        <f ca="1">IF(Август[[#This Row],[УСЛУГ]]&lt;&gt;"",Август[[#This Row],[УСЛУГ]]*Август[[#This Row],[Периодичность]],"")</f>
        <v>0</v>
      </c>
    </row>
    <row r="80" spans="1:37" ht="18.75" x14ac:dyDescent="0.25">
      <c r="A80" s="35"/>
      <c r="B80" s="36"/>
      <c r="C80" s="37">
        <v>0</v>
      </c>
      <c r="D80" s="38">
        <v>2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20"/>
      <c r="AJ80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0" s="29" t="str">
        <f ca="1">IF(Август[[#This Row],[УСЛУГ]]&lt;&gt;"",Август[[#This Row],[УСЛУГ]]*Август[[#This Row],[Периодичность]],"")</f>
        <v/>
      </c>
    </row>
    <row r="81" spans="1:37" x14ac:dyDescent="0.25">
      <c r="A81" s="35"/>
      <c r="B81" s="36"/>
      <c r="C81" s="37">
        <v>0</v>
      </c>
      <c r="D81" s="38">
        <v>3</v>
      </c>
      <c r="E81" s="18"/>
      <c r="F81" s="18"/>
      <c r="G81" s="18"/>
      <c r="H81" s="18"/>
      <c r="I81" s="18"/>
      <c r="J81" s="18"/>
      <c r="K81" s="10"/>
      <c r="L81" s="10"/>
      <c r="M81" s="10"/>
      <c r="N81" s="10"/>
      <c r="O81" s="10"/>
      <c r="P81" s="18"/>
      <c r="Q81" s="18"/>
      <c r="R81" s="10"/>
      <c r="S81" s="10"/>
      <c r="T81" s="10"/>
      <c r="U81" s="10"/>
      <c r="V81" s="10"/>
      <c r="W81" s="18"/>
      <c r="X81" s="18"/>
      <c r="Y81" s="10"/>
      <c r="Z81" s="10"/>
      <c r="AA81" s="10"/>
      <c r="AB81" s="10"/>
      <c r="AC81" s="10"/>
      <c r="AD81" s="18"/>
      <c r="AE81" s="18"/>
      <c r="AF81" s="18"/>
      <c r="AG81" s="18"/>
      <c r="AH81" s="18"/>
      <c r="AI81" s="19"/>
      <c r="AJ81" s="29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1" s="29" t="str">
        <f ca="1">IF(Август[[#This Row],[УСЛУГ]]&lt;&gt;"",Август[[#This Row],[УСЛУГ]]*Август[[#This Row],[Периодичность]],"")</f>
        <v/>
      </c>
    </row>
    <row r="82" spans="1:37" ht="31.5" x14ac:dyDescent="0.25">
      <c r="A82" s="35" t="s">
        <v>20</v>
      </c>
      <c r="B82" s="36"/>
      <c r="C82" s="37">
        <v>0</v>
      </c>
      <c r="D82" s="38">
        <v>1</v>
      </c>
      <c r="E82" s="39"/>
      <c r="F82" s="40"/>
      <c r="G82" s="41"/>
      <c r="H82" s="41"/>
      <c r="I82" s="41"/>
      <c r="J82" s="41"/>
      <c r="K82" s="41"/>
      <c r="L82" s="39"/>
      <c r="M82" s="40"/>
      <c r="N82" s="41"/>
      <c r="O82" s="41"/>
      <c r="P82" s="41"/>
      <c r="Q82" s="41"/>
      <c r="R82" s="41"/>
      <c r="S82" s="39"/>
      <c r="T82" s="40"/>
      <c r="U82" s="41"/>
      <c r="V82" s="41"/>
      <c r="W82" s="41"/>
      <c r="X82" s="41"/>
      <c r="Y82" s="41"/>
      <c r="Z82" s="39"/>
      <c r="AA82" s="39"/>
      <c r="AB82" s="41"/>
      <c r="AC82" s="41"/>
      <c r="AD82" s="41"/>
      <c r="AE82" s="41"/>
      <c r="AF82" s="41"/>
      <c r="AG82" s="39"/>
      <c r="AH82" s="39"/>
      <c r="AI82" s="41"/>
      <c r="AJ82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82" s="42">
        <f ca="1">IF(Август[[#This Row],[УСЛУГ]]&lt;&gt;"",Август[[#This Row],[УСЛУГ]]*Август[[#This Row],[Периодичность]],"")</f>
        <v>0</v>
      </c>
    </row>
    <row r="83" spans="1:37" x14ac:dyDescent="0.25">
      <c r="A83" s="35"/>
      <c r="B83" s="36"/>
      <c r="C83" s="37">
        <v>0</v>
      </c>
      <c r="D83" s="38">
        <v>2</v>
      </c>
      <c r="E83" s="39"/>
      <c r="F83" s="40"/>
      <c r="G83" s="41"/>
      <c r="H83" s="41"/>
      <c r="I83" s="41"/>
      <c r="J83" s="41"/>
      <c r="K83" s="41"/>
      <c r="L83" s="39"/>
      <c r="M83" s="40"/>
      <c r="N83" s="41"/>
      <c r="O83" s="41"/>
      <c r="P83" s="41"/>
      <c r="Q83" s="41"/>
      <c r="R83" s="41"/>
      <c r="S83" s="39"/>
      <c r="T83" s="40"/>
      <c r="U83" s="41"/>
      <c r="V83" s="41"/>
      <c r="W83" s="41"/>
      <c r="X83" s="41"/>
      <c r="Y83" s="41"/>
      <c r="Z83" s="39"/>
      <c r="AA83" s="39"/>
      <c r="AB83" s="41"/>
      <c r="AC83" s="41"/>
      <c r="AD83" s="41"/>
      <c r="AE83" s="41"/>
      <c r="AF83" s="41"/>
      <c r="AG83" s="39"/>
      <c r="AH83" s="39"/>
      <c r="AI83" s="41"/>
      <c r="AJ8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3" s="42" t="str">
        <f ca="1">IF(Август[[#This Row],[УСЛУГ]]&lt;&gt;"",Август[[#This Row],[УСЛУГ]]*Август[[#This Row],[Периодичность]],"")</f>
        <v/>
      </c>
    </row>
    <row r="84" spans="1:37" x14ac:dyDescent="0.25">
      <c r="A84" s="35"/>
      <c r="B84" s="36"/>
      <c r="C84" s="37">
        <v>0</v>
      </c>
      <c r="D84" s="38">
        <v>3</v>
      </c>
      <c r="E84" s="39"/>
      <c r="F84" s="40"/>
      <c r="G84" s="41"/>
      <c r="H84" s="41"/>
      <c r="I84" s="41"/>
      <c r="J84" s="41"/>
      <c r="K84" s="41"/>
      <c r="L84" s="39"/>
      <c r="M84" s="40"/>
      <c r="N84" s="41"/>
      <c r="O84" s="41"/>
      <c r="P84" s="41"/>
      <c r="Q84" s="41"/>
      <c r="R84" s="41"/>
      <c r="S84" s="39"/>
      <c r="T84" s="40"/>
      <c r="U84" s="41"/>
      <c r="V84" s="41"/>
      <c r="W84" s="41"/>
      <c r="X84" s="41"/>
      <c r="Y84" s="41"/>
      <c r="Z84" s="39"/>
      <c r="AA84" s="39"/>
      <c r="AB84" s="41"/>
      <c r="AC84" s="41"/>
      <c r="AD84" s="41"/>
      <c r="AE84" s="41"/>
      <c r="AF84" s="41"/>
      <c r="AG84" s="39"/>
      <c r="AH84" s="39"/>
      <c r="AI84" s="41"/>
      <c r="AJ8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4" s="42" t="str">
        <f ca="1">IF(Август[[#This Row],[УСЛУГ]]&lt;&gt;"",Август[[#This Row],[УСЛУГ]]*Август[[#This Row],[Периодичность]],"")</f>
        <v/>
      </c>
    </row>
    <row r="85" spans="1:37" ht="47.25" x14ac:dyDescent="0.25">
      <c r="A85" s="35" t="s">
        <v>144</v>
      </c>
      <c r="B85" s="36"/>
      <c r="C85" s="37">
        <v>0</v>
      </c>
      <c r="D85" s="38">
        <v>1</v>
      </c>
      <c r="E85" s="39"/>
      <c r="F85" s="40"/>
      <c r="G85" s="41"/>
      <c r="H85" s="41"/>
      <c r="I85" s="41"/>
      <c r="J85" s="41"/>
      <c r="K85" s="41"/>
      <c r="L85" s="39"/>
      <c r="M85" s="40"/>
      <c r="N85" s="41"/>
      <c r="O85" s="41"/>
      <c r="P85" s="41"/>
      <c r="Q85" s="41"/>
      <c r="R85" s="41"/>
      <c r="S85" s="39"/>
      <c r="T85" s="40"/>
      <c r="U85" s="41"/>
      <c r="V85" s="41"/>
      <c r="W85" s="41"/>
      <c r="X85" s="41"/>
      <c r="Y85" s="41"/>
      <c r="Z85" s="39"/>
      <c r="AA85" s="39"/>
      <c r="AB85" s="41"/>
      <c r="AC85" s="41"/>
      <c r="AD85" s="41"/>
      <c r="AE85" s="41"/>
      <c r="AF85" s="41"/>
      <c r="AG85" s="39"/>
      <c r="AH85" s="39"/>
      <c r="AI85" s="41"/>
      <c r="AJ85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85" s="42">
        <f ca="1">IF(Август[[#This Row],[УСЛУГ]]&lt;&gt;"",Август[[#This Row],[УСЛУГ]]*Август[[#This Row],[Периодичность]],"")</f>
        <v>0</v>
      </c>
    </row>
    <row r="86" spans="1:37" x14ac:dyDescent="0.25">
      <c r="A86" s="35"/>
      <c r="B86" s="36"/>
      <c r="C86" s="37">
        <v>0</v>
      </c>
      <c r="D86" s="38">
        <v>2</v>
      </c>
      <c r="E86" s="39"/>
      <c r="F86" s="40"/>
      <c r="G86" s="41"/>
      <c r="H86" s="41"/>
      <c r="I86" s="41"/>
      <c r="J86" s="41"/>
      <c r="K86" s="41"/>
      <c r="L86" s="39"/>
      <c r="M86" s="40"/>
      <c r="N86" s="41"/>
      <c r="O86" s="41"/>
      <c r="P86" s="41"/>
      <c r="Q86" s="41"/>
      <c r="R86" s="41"/>
      <c r="S86" s="39"/>
      <c r="T86" s="40"/>
      <c r="U86" s="41"/>
      <c r="V86" s="41"/>
      <c r="W86" s="41"/>
      <c r="X86" s="41"/>
      <c r="Y86" s="41"/>
      <c r="Z86" s="39"/>
      <c r="AA86" s="39"/>
      <c r="AB86" s="41"/>
      <c r="AC86" s="41"/>
      <c r="AD86" s="41"/>
      <c r="AE86" s="41"/>
      <c r="AF86" s="41"/>
      <c r="AG86" s="39"/>
      <c r="AH86" s="39"/>
      <c r="AI86" s="41"/>
      <c r="AJ8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6" s="42" t="str">
        <f ca="1">IF(Август[[#This Row],[УСЛУГ]]&lt;&gt;"",Август[[#This Row],[УСЛУГ]]*Август[[#This Row],[Периодичность]],"")</f>
        <v/>
      </c>
    </row>
    <row r="87" spans="1:37" x14ac:dyDescent="0.25">
      <c r="A87" s="35"/>
      <c r="B87" s="36"/>
      <c r="C87" s="37">
        <v>0</v>
      </c>
      <c r="D87" s="38">
        <v>3</v>
      </c>
      <c r="E87" s="39"/>
      <c r="F87" s="40"/>
      <c r="G87" s="41"/>
      <c r="H87" s="41"/>
      <c r="I87" s="41"/>
      <c r="J87" s="41"/>
      <c r="K87" s="41"/>
      <c r="L87" s="39"/>
      <c r="M87" s="40"/>
      <c r="N87" s="41"/>
      <c r="O87" s="41"/>
      <c r="P87" s="41"/>
      <c r="Q87" s="41"/>
      <c r="R87" s="41"/>
      <c r="S87" s="39"/>
      <c r="T87" s="40"/>
      <c r="U87" s="41"/>
      <c r="V87" s="41"/>
      <c r="W87" s="41"/>
      <c r="X87" s="41"/>
      <c r="Y87" s="41"/>
      <c r="Z87" s="39"/>
      <c r="AA87" s="39"/>
      <c r="AB87" s="41"/>
      <c r="AC87" s="41"/>
      <c r="AD87" s="41"/>
      <c r="AE87" s="41"/>
      <c r="AF87" s="41"/>
      <c r="AG87" s="39"/>
      <c r="AH87" s="39"/>
      <c r="AI87" s="41"/>
      <c r="AJ8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7" s="42" t="str">
        <f ca="1">IF(Август[[#This Row],[УСЛУГ]]&lt;&gt;"",Август[[#This Row],[УСЛУГ]]*Август[[#This Row],[Периодичность]],"")</f>
        <v/>
      </c>
    </row>
    <row r="88" spans="1:37" ht="47.25" x14ac:dyDescent="0.25">
      <c r="A88" s="35" t="s">
        <v>145</v>
      </c>
      <c r="B88" s="36"/>
      <c r="C88" s="37">
        <v>0</v>
      </c>
      <c r="D88" s="38">
        <v>1</v>
      </c>
      <c r="E88" s="39"/>
      <c r="F88" s="40"/>
      <c r="G88" s="41"/>
      <c r="H88" s="41"/>
      <c r="I88" s="41"/>
      <c r="J88" s="41"/>
      <c r="K88" s="41"/>
      <c r="L88" s="39"/>
      <c r="M88" s="40"/>
      <c r="N88" s="41"/>
      <c r="O88" s="41"/>
      <c r="P88" s="41"/>
      <c r="Q88" s="41"/>
      <c r="R88" s="41"/>
      <c r="S88" s="39"/>
      <c r="T88" s="40"/>
      <c r="U88" s="41"/>
      <c r="V88" s="41"/>
      <c r="W88" s="41"/>
      <c r="X88" s="41"/>
      <c r="Y88" s="41"/>
      <c r="Z88" s="39"/>
      <c r="AA88" s="39"/>
      <c r="AB88" s="41"/>
      <c r="AC88" s="41"/>
      <c r="AD88" s="41"/>
      <c r="AE88" s="41"/>
      <c r="AF88" s="41"/>
      <c r="AG88" s="39"/>
      <c r="AH88" s="39"/>
      <c r="AI88" s="41"/>
      <c r="AJ88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88" s="42">
        <f ca="1">IF(Август[[#This Row],[УСЛУГ]]&lt;&gt;"",Август[[#This Row],[УСЛУГ]]*Август[[#This Row],[Периодичность]],"")</f>
        <v>0</v>
      </c>
    </row>
    <row r="89" spans="1:37" x14ac:dyDescent="0.25">
      <c r="A89" s="35"/>
      <c r="B89" s="36"/>
      <c r="C89" s="37">
        <v>0</v>
      </c>
      <c r="D89" s="38">
        <v>2</v>
      </c>
      <c r="E89" s="39"/>
      <c r="F89" s="40"/>
      <c r="G89" s="41"/>
      <c r="H89" s="41"/>
      <c r="I89" s="41"/>
      <c r="J89" s="41"/>
      <c r="K89" s="41"/>
      <c r="L89" s="39"/>
      <c r="M89" s="40"/>
      <c r="N89" s="41"/>
      <c r="O89" s="41"/>
      <c r="P89" s="41"/>
      <c r="Q89" s="41"/>
      <c r="R89" s="41"/>
      <c r="S89" s="39"/>
      <c r="T89" s="40"/>
      <c r="U89" s="41"/>
      <c r="V89" s="41"/>
      <c r="W89" s="41"/>
      <c r="X89" s="41"/>
      <c r="Y89" s="41"/>
      <c r="Z89" s="39"/>
      <c r="AA89" s="39"/>
      <c r="AB89" s="41"/>
      <c r="AC89" s="41"/>
      <c r="AD89" s="41"/>
      <c r="AE89" s="41"/>
      <c r="AF89" s="41"/>
      <c r="AG89" s="39"/>
      <c r="AH89" s="39"/>
      <c r="AI89" s="41"/>
      <c r="AJ8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89" s="42" t="str">
        <f ca="1">IF(Август[[#This Row],[УСЛУГ]]&lt;&gt;"",Август[[#This Row],[УСЛУГ]]*Август[[#This Row],[Периодичность]],"")</f>
        <v/>
      </c>
    </row>
    <row r="90" spans="1:37" x14ac:dyDescent="0.25">
      <c r="A90" s="35"/>
      <c r="B90" s="36"/>
      <c r="C90" s="37">
        <v>0</v>
      </c>
      <c r="D90" s="38">
        <v>3</v>
      </c>
      <c r="E90" s="39"/>
      <c r="F90" s="40"/>
      <c r="G90" s="41"/>
      <c r="H90" s="41"/>
      <c r="I90" s="41"/>
      <c r="J90" s="41"/>
      <c r="K90" s="41"/>
      <c r="L90" s="39"/>
      <c r="M90" s="40"/>
      <c r="N90" s="41"/>
      <c r="O90" s="41"/>
      <c r="P90" s="41"/>
      <c r="Q90" s="41"/>
      <c r="R90" s="41"/>
      <c r="S90" s="39"/>
      <c r="T90" s="40"/>
      <c r="U90" s="41"/>
      <c r="V90" s="41"/>
      <c r="W90" s="41"/>
      <c r="X90" s="41"/>
      <c r="Y90" s="41"/>
      <c r="Z90" s="39"/>
      <c r="AA90" s="39"/>
      <c r="AB90" s="41"/>
      <c r="AC90" s="41"/>
      <c r="AD90" s="41"/>
      <c r="AE90" s="41"/>
      <c r="AF90" s="41"/>
      <c r="AG90" s="39"/>
      <c r="AH90" s="39"/>
      <c r="AI90" s="41"/>
      <c r="AJ9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0" s="42" t="str">
        <f ca="1">IF(Август[[#This Row],[УСЛУГ]]&lt;&gt;"",Август[[#This Row],[УСЛУГ]]*Август[[#This Row],[Периодичность]],"")</f>
        <v/>
      </c>
    </row>
    <row r="91" spans="1:37" ht="31.5" x14ac:dyDescent="0.25">
      <c r="A91" s="35" t="s">
        <v>23</v>
      </c>
      <c r="B91" s="36"/>
      <c r="C91" s="37">
        <v>0</v>
      </c>
      <c r="D91" s="38">
        <v>1</v>
      </c>
      <c r="E91" s="39"/>
      <c r="F91" s="40"/>
      <c r="G91" s="41"/>
      <c r="H91" s="41"/>
      <c r="I91" s="41"/>
      <c r="J91" s="41"/>
      <c r="K91" s="41"/>
      <c r="L91" s="39"/>
      <c r="M91" s="40"/>
      <c r="N91" s="41"/>
      <c r="O91" s="41"/>
      <c r="P91" s="41"/>
      <c r="Q91" s="41"/>
      <c r="R91" s="41"/>
      <c r="S91" s="39"/>
      <c r="T91" s="40"/>
      <c r="U91" s="41"/>
      <c r="V91" s="41"/>
      <c r="W91" s="41"/>
      <c r="X91" s="41"/>
      <c r="Y91" s="41"/>
      <c r="Z91" s="39"/>
      <c r="AA91" s="39"/>
      <c r="AB91" s="41"/>
      <c r="AC91" s="41"/>
      <c r="AD91" s="41"/>
      <c r="AE91" s="41"/>
      <c r="AF91" s="41"/>
      <c r="AG91" s="39"/>
      <c r="AH91" s="39"/>
      <c r="AI91" s="41"/>
      <c r="AJ91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91" s="42">
        <f ca="1">IF(Август[[#This Row],[УСЛУГ]]&lt;&gt;"",Август[[#This Row],[УСЛУГ]]*Август[[#This Row],[Периодичность]],"")</f>
        <v>0</v>
      </c>
    </row>
    <row r="92" spans="1:37" x14ac:dyDescent="0.25">
      <c r="A92" s="35"/>
      <c r="B92" s="36"/>
      <c r="C92" s="37">
        <v>0</v>
      </c>
      <c r="D92" s="38">
        <v>2</v>
      </c>
      <c r="E92" s="39"/>
      <c r="F92" s="40"/>
      <c r="G92" s="41"/>
      <c r="H92" s="41"/>
      <c r="I92" s="41"/>
      <c r="J92" s="41"/>
      <c r="K92" s="41"/>
      <c r="L92" s="39"/>
      <c r="M92" s="40"/>
      <c r="N92" s="41"/>
      <c r="O92" s="41"/>
      <c r="P92" s="41"/>
      <c r="Q92" s="41"/>
      <c r="R92" s="41"/>
      <c r="S92" s="39"/>
      <c r="T92" s="40"/>
      <c r="U92" s="41"/>
      <c r="V92" s="41"/>
      <c r="W92" s="41"/>
      <c r="X92" s="41"/>
      <c r="Y92" s="41"/>
      <c r="Z92" s="39"/>
      <c r="AA92" s="39"/>
      <c r="AB92" s="41"/>
      <c r="AC92" s="41"/>
      <c r="AD92" s="41"/>
      <c r="AE92" s="41"/>
      <c r="AF92" s="41"/>
      <c r="AG92" s="39"/>
      <c r="AH92" s="39"/>
      <c r="AI92" s="41"/>
      <c r="AJ9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2" s="42" t="str">
        <f ca="1">IF(Август[[#This Row],[УСЛУГ]]&lt;&gt;"",Август[[#This Row],[УСЛУГ]]*Август[[#This Row],[Периодичность]],"")</f>
        <v/>
      </c>
    </row>
    <row r="93" spans="1:37" x14ac:dyDescent="0.25">
      <c r="A93" s="35"/>
      <c r="B93" s="36"/>
      <c r="C93" s="37">
        <v>0</v>
      </c>
      <c r="D93" s="38">
        <v>3</v>
      </c>
      <c r="E93" s="39"/>
      <c r="F93" s="40"/>
      <c r="G93" s="41"/>
      <c r="H93" s="41"/>
      <c r="I93" s="41"/>
      <c r="J93" s="41"/>
      <c r="K93" s="41"/>
      <c r="L93" s="39"/>
      <c r="M93" s="40"/>
      <c r="N93" s="41"/>
      <c r="O93" s="41"/>
      <c r="P93" s="41"/>
      <c r="Q93" s="41"/>
      <c r="R93" s="41"/>
      <c r="S93" s="39"/>
      <c r="T93" s="40"/>
      <c r="U93" s="41"/>
      <c r="V93" s="41"/>
      <c r="W93" s="41"/>
      <c r="X93" s="41"/>
      <c r="Y93" s="41"/>
      <c r="Z93" s="39"/>
      <c r="AA93" s="39"/>
      <c r="AB93" s="41"/>
      <c r="AC93" s="41"/>
      <c r="AD93" s="41"/>
      <c r="AE93" s="41"/>
      <c r="AF93" s="41"/>
      <c r="AG93" s="39"/>
      <c r="AH93" s="39"/>
      <c r="AI93" s="41"/>
      <c r="AJ9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3" s="42" t="str">
        <f ca="1">IF(Август[[#This Row],[УСЛУГ]]&lt;&gt;"",Август[[#This Row],[УСЛУГ]]*Август[[#This Row],[Периодичность]],"")</f>
        <v/>
      </c>
    </row>
    <row r="94" spans="1:37" ht="31.5" x14ac:dyDescent="0.25">
      <c r="A94" s="35" t="s">
        <v>24</v>
      </c>
      <c r="B94" s="36"/>
      <c r="C94" s="37">
        <v>0</v>
      </c>
      <c r="D94" s="38">
        <v>1</v>
      </c>
      <c r="E94" s="39"/>
      <c r="F94" s="40"/>
      <c r="G94" s="41"/>
      <c r="H94" s="41"/>
      <c r="I94" s="41"/>
      <c r="J94" s="41"/>
      <c r="K94" s="41"/>
      <c r="L94" s="39"/>
      <c r="M94" s="40"/>
      <c r="N94" s="41"/>
      <c r="O94" s="41"/>
      <c r="P94" s="41"/>
      <c r="Q94" s="41"/>
      <c r="R94" s="41"/>
      <c r="S94" s="39"/>
      <c r="T94" s="40"/>
      <c r="U94" s="41"/>
      <c r="V94" s="41"/>
      <c r="W94" s="41"/>
      <c r="X94" s="41"/>
      <c r="Y94" s="41"/>
      <c r="Z94" s="39"/>
      <c r="AA94" s="39"/>
      <c r="AB94" s="41"/>
      <c r="AC94" s="41"/>
      <c r="AD94" s="41"/>
      <c r="AE94" s="41"/>
      <c r="AF94" s="41"/>
      <c r="AG94" s="39"/>
      <c r="AH94" s="39"/>
      <c r="AI94" s="41"/>
      <c r="AJ94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94" s="42">
        <f ca="1">IF(Август[[#This Row],[УСЛУГ]]&lt;&gt;"",Август[[#This Row],[УСЛУГ]]*Август[[#This Row],[Периодичность]],"")</f>
        <v>0</v>
      </c>
    </row>
    <row r="95" spans="1:37" x14ac:dyDescent="0.25">
      <c r="A95" s="35"/>
      <c r="B95" s="36"/>
      <c r="C95" s="37">
        <v>0</v>
      </c>
      <c r="D95" s="38">
        <v>2</v>
      </c>
      <c r="E95" s="39"/>
      <c r="F95" s="40"/>
      <c r="G95" s="41"/>
      <c r="H95" s="41"/>
      <c r="I95" s="41"/>
      <c r="J95" s="41"/>
      <c r="K95" s="41"/>
      <c r="L95" s="39"/>
      <c r="M95" s="40"/>
      <c r="N95" s="41"/>
      <c r="O95" s="41"/>
      <c r="P95" s="41"/>
      <c r="Q95" s="41"/>
      <c r="R95" s="41"/>
      <c r="S95" s="39"/>
      <c r="T95" s="40"/>
      <c r="U95" s="41"/>
      <c r="V95" s="41"/>
      <c r="W95" s="41"/>
      <c r="X95" s="41"/>
      <c r="Y95" s="41"/>
      <c r="Z95" s="39"/>
      <c r="AA95" s="39"/>
      <c r="AB95" s="41"/>
      <c r="AC95" s="41"/>
      <c r="AD95" s="41"/>
      <c r="AE95" s="41"/>
      <c r="AF95" s="41"/>
      <c r="AG95" s="39"/>
      <c r="AH95" s="39"/>
      <c r="AI95" s="41"/>
      <c r="AJ9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5" s="42" t="str">
        <f ca="1">IF(Август[[#This Row],[УСЛУГ]]&lt;&gt;"",Август[[#This Row],[УСЛУГ]]*Август[[#This Row],[Периодичность]],"")</f>
        <v/>
      </c>
    </row>
    <row r="96" spans="1:37" x14ac:dyDescent="0.25">
      <c r="A96" s="35"/>
      <c r="B96" s="36"/>
      <c r="C96" s="37">
        <v>0</v>
      </c>
      <c r="D96" s="38">
        <v>3</v>
      </c>
      <c r="E96" s="39"/>
      <c r="F96" s="40"/>
      <c r="G96" s="41"/>
      <c r="H96" s="41"/>
      <c r="I96" s="41"/>
      <c r="J96" s="41"/>
      <c r="K96" s="41"/>
      <c r="L96" s="39"/>
      <c r="M96" s="40"/>
      <c r="N96" s="41"/>
      <c r="O96" s="41"/>
      <c r="P96" s="41"/>
      <c r="Q96" s="41"/>
      <c r="R96" s="41"/>
      <c r="S96" s="39"/>
      <c r="T96" s="40"/>
      <c r="U96" s="41"/>
      <c r="V96" s="41"/>
      <c r="W96" s="41"/>
      <c r="X96" s="41"/>
      <c r="Y96" s="41"/>
      <c r="Z96" s="39"/>
      <c r="AA96" s="39"/>
      <c r="AB96" s="41"/>
      <c r="AC96" s="41"/>
      <c r="AD96" s="41"/>
      <c r="AE96" s="41"/>
      <c r="AF96" s="41"/>
      <c r="AG96" s="39"/>
      <c r="AH96" s="39"/>
      <c r="AI96" s="41"/>
      <c r="AJ9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6" s="42" t="str">
        <f ca="1">IF(Август[[#This Row],[УСЛУГ]]&lt;&gt;"",Август[[#This Row],[УСЛУГ]]*Август[[#This Row],[Периодичность]],"")</f>
        <v/>
      </c>
    </row>
    <row r="97" spans="1:37" ht="31.5" x14ac:dyDescent="0.25">
      <c r="A97" s="35" t="s">
        <v>25</v>
      </c>
      <c r="B97" s="36"/>
      <c r="C97" s="37">
        <v>0</v>
      </c>
      <c r="D97" s="38">
        <v>1</v>
      </c>
      <c r="E97" s="39"/>
      <c r="F97" s="40"/>
      <c r="G97" s="41"/>
      <c r="H97" s="41"/>
      <c r="I97" s="41"/>
      <c r="J97" s="41"/>
      <c r="K97" s="41"/>
      <c r="L97" s="39"/>
      <c r="M97" s="40"/>
      <c r="N97" s="41"/>
      <c r="O97" s="41"/>
      <c r="P97" s="41"/>
      <c r="Q97" s="41"/>
      <c r="R97" s="41"/>
      <c r="S97" s="39"/>
      <c r="T97" s="40"/>
      <c r="U97" s="41"/>
      <c r="V97" s="41"/>
      <c r="W97" s="41"/>
      <c r="X97" s="41"/>
      <c r="Y97" s="41"/>
      <c r="Z97" s="39"/>
      <c r="AA97" s="39"/>
      <c r="AB97" s="41"/>
      <c r="AC97" s="41"/>
      <c r="AD97" s="41"/>
      <c r="AE97" s="41"/>
      <c r="AF97" s="41"/>
      <c r="AG97" s="39"/>
      <c r="AH97" s="39"/>
      <c r="AI97" s="41"/>
      <c r="AJ97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97" s="42">
        <f ca="1">IF(Август[[#This Row],[УСЛУГ]]&lt;&gt;"",Август[[#This Row],[УСЛУГ]]*Август[[#This Row],[Периодичность]],"")</f>
        <v>0</v>
      </c>
    </row>
    <row r="98" spans="1:37" x14ac:dyDescent="0.25">
      <c r="A98" s="35"/>
      <c r="B98" s="36"/>
      <c r="C98" s="37">
        <v>0</v>
      </c>
      <c r="D98" s="38">
        <v>2</v>
      </c>
      <c r="E98" s="39"/>
      <c r="F98" s="40"/>
      <c r="G98" s="41"/>
      <c r="H98" s="41"/>
      <c r="I98" s="41"/>
      <c r="J98" s="41"/>
      <c r="K98" s="41"/>
      <c r="L98" s="39"/>
      <c r="M98" s="40"/>
      <c r="N98" s="41"/>
      <c r="O98" s="41"/>
      <c r="P98" s="41"/>
      <c r="Q98" s="41"/>
      <c r="R98" s="41"/>
      <c r="S98" s="39"/>
      <c r="T98" s="40"/>
      <c r="U98" s="41"/>
      <c r="V98" s="41"/>
      <c r="W98" s="41"/>
      <c r="X98" s="41"/>
      <c r="Y98" s="41"/>
      <c r="Z98" s="39"/>
      <c r="AA98" s="39"/>
      <c r="AB98" s="41"/>
      <c r="AC98" s="41"/>
      <c r="AD98" s="41"/>
      <c r="AE98" s="41"/>
      <c r="AF98" s="41"/>
      <c r="AG98" s="39"/>
      <c r="AH98" s="39"/>
      <c r="AI98" s="41"/>
      <c r="AJ9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8" s="42" t="str">
        <f ca="1">IF(Август[[#This Row],[УСЛУГ]]&lt;&gt;"",Август[[#This Row],[УСЛУГ]]*Август[[#This Row],[Периодичность]],"")</f>
        <v/>
      </c>
    </row>
    <row r="99" spans="1:37" x14ac:dyDescent="0.25">
      <c r="A99" s="35"/>
      <c r="B99" s="36"/>
      <c r="C99" s="37">
        <v>0</v>
      </c>
      <c r="D99" s="38">
        <v>3</v>
      </c>
      <c r="E99" s="39"/>
      <c r="F99" s="40"/>
      <c r="G99" s="41"/>
      <c r="H99" s="41"/>
      <c r="I99" s="41"/>
      <c r="J99" s="41"/>
      <c r="K99" s="41"/>
      <c r="L99" s="39"/>
      <c r="M99" s="40"/>
      <c r="N99" s="41"/>
      <c r="O99" s="41"/>
      <c r="P99" s="41"/>
      <c r="Q99" s="41"/>
      <c r="R99" s="41"/>
      <c r="S99" s="39"/>
      <c r="T99" s="40"/>
      <c r="U99" s="41"/>
      <c r="V99" s="41"/>
      <c r="W99" s="41"/>
      <c r="X99" s="41"/>
      <c r="Y99" s="41"/>
      <c r="Z99" s="39"/>
      <c r="AA99" s="39"/>
      <c r="AB99" s="41"/>
      <c r="AC99" s="41"/>
      <c r="AD99" s="41"/>
      <c r="AE99" s="41"/>
      <c r="AF99" s="41"/>
      <c r="AG99" s="39"/>
      <c r="AH99" s="39"/>
      <c r="AI99" s="41"/>
      <c r="AJ9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99" s="42" t="str">
        <f ca="1">IF(Август[[#This Row],[УСЛУГ]]&lt;&gt;"",Август[[#This Row],[УСЛУГ]]*Август[[#This Row],[Периодичность]],"")</f>
        <v/>
      </c>
    </row>
    <row r="100" spans="1:37" ht="47.25" x14ac:dyDescent="0.25">
      <c r="A100" s="35" t="s">
        <v>26</v>
      </c>
      <c r="B100" s="36"/>
      <c r="C100" s="37">
        <v>0</v>
      </c>
      <c r="D100" s="38">
        <v>1</v>
      </c>
      <c r="E100" s="39"/>
      <c r="F100" s="40"/>
      <c r="G100" s="41"/>
      <c r="H100" s="41"/>
      <c r="I100" s="41"/>
      <c r="J100" s="41"/>
      <c r="K100" s="41"/>
      <c r="L100" s="39"/>
      <c r="M100" s="40"/>
      <c r="N100" s="41"/>
      <c r="O100" s="41"/>
      <c r="P100" s="41"/>
      <c r="Q100" s="41"/>
      <c r="R100" s="41"/>
      <c r="S100" s="39"/>
      <c r="T100" s="40"/>
      <c r="U100" s="41"/>
      <c r="V100" s="41"/>
      <c r="W100" s="41"/>
      <c r="X100" s="41"/>
      <c r="Y100" s="41"/>
      <c r="Z100" s="39"/>
      <c r="AA100" s="39"/>
      <c r="AB100" s="41"/>
      <c r="AC100" s="41"/>
      <c r="AD100" s="41"/>
      <c r="AE100" s="41"/>
      <c r="AF100" s="41"/>
      <c r="AG100" s="39"/>
      <c r="AH100" s="39"/>
      <c r="AI100" s="41"/>
      <c r="AJ100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00" s="42">
        <f ca="1">IF(Август[[#This Row],[УСЛУГ]]&lt;&gt;"",Август[[#This Row],[УСЛУГ]]*Август[[#This Row],[Периодичность]],"")</f>
        <v>0</v>
      </c>
    </row>
    <row r="101" spans="1:37" x14ac:dyDescent="0.25">
      <c r="A101" s="35"/>
      <c r="B101" s="36"/>
      <c r="C101" s="37">
        <v>0</v>
      </c>
      <c r="D101" s="38">
        <v>2</v>
      </c>
      <c r="E101" s="39"/>
      <c r="F101" s="40"/>
      <c r="G101" s="41"/>
      <c r="H101" s="41"/>
      <c r="I101" s="41"/>
      <c r="J101" s="41"/>
      <c r="K101" s="41"/>
      <c r="L101" s="39"/>
      <c r="M101" s="40"/>
      <c r="N101" s="41"/>
      <c r="O101" s="41"/>
      <c r="P101" s="41"/>
      <c r="Q101" s="41"/>
      <c r="R101" s="41"/>
      <c r="S101" s="39"/>
      <c r="T101" s="40"/>
      <c r="U101" s="41"/>
      <c r="V101" s="41"/>
      <c r="W101" s="41"/>
      <c r="X101" s="41"/>
      <c r="Y101" s="41"/>
      <c r="Z101" s="39"/>
      <c r="AA101" s="39"/>
      <c r="AB101" s="41"/>
      <c r="AC101" s="41"/>
      <c r="AD101" s="41"/>
      <c r="AE101" s="41"/>
      <c r="AF101" s="41"/>
      <c r="AG101" s="39"/>
      <c r="AH101" s="39"/>
      <c r="AI101" s="41"/>
      <c r="AJ10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1" s="42" t="str">
        <f ca="1">IF(Август[[#This Row],[УСЛУГ]]&lt;&gt;"",Август[[#This Row],[УСЛУГ]]*Август[[#This Row],[Периодичность]],"")</f>
        <v/>
      </c>
    </row>
    <row r="102" spans="1:37" x14ac:dyDescent="0.25">
      <c r="A102" s="35"/>
      <c r="B102" s="36"/>
      <c r="C102" s="37">
        <v>0</v>
      </c>
      <c r="D102" s="38">
        <v>3</v>
      </c>
      <c r="E102" s="39"/>
      <c r="F102" s="40"/>
      <c r="G102" s="41"/>
      <c r="H102" s="41"/>
      <c r="I102" s="41"/>
      <c r="J102" s="41"/>
      <c r="K102" s="41"/>
      <c r="L102" s="39"/>
      <c r="M102" s="40"/>
      <c r="N102" s="41"/>
      <c r="O102" s="41"/>
      <c r="P102" s="41"/>
      <c r="Q102" s="41"/>
      <c r="R102" s="41"/>
      <c r="S102" s="39"/>
      <c r="T102" s="40"/>
      <c r="U102" s="41"/>
      <c r="V102" s="41"/>
      <c r="W102" s="41"/>
      <c r="X102" s="41"/>
      <c r="Y102" s="41"/>
      <c r="Z102" s="39"/>
      <c r="AA102" s="39"/>
      <c r="AB102" s="41"/>
      <c r="AC102" s="41"/>
      <c r="AD102" s="41"/>
      <c r="AE102" s="41"/>
      <c r="AF102" s="41"/>
      <c r="AG102" s="39"/>
      <c r="AH102" s="39"/>
      <c r="AI102" s="41"/>
      <c r="AJ10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2" s="42" t="str">
        <f ca="1">IF(Август[[#This Row],[УСЛУГ]]&lt;&gt;"",Август[[#This Row],[УСЛУГ]]*Август[[#This Row],[Периодичность]],"")</f>
        <v/>
      </c>
    </row>
    <row r="103" spans="1:37" ht="31.5" x14ac:dyDescent="0.25">
      <c r="A103" s="35" t="s">
        <v>27</v>
      </c>
      <c r="B103" s="36"/>
      <c r="C103" s="37">
        <v>0</v>
      </c>
      <c r="D103" s="38">
        <v>1</v>
      </c>
      <c r="E103" s="39"/>
      <c r="F103" s="40"/>
      <c r="G103" s="41"/>
      <c r="H103" s="41"/>
      <c r="I103" s="41"/>
      <c r="J103" s="41"/>
      <c r="K103" s="41"/>
      <c r="L103" s="39"/>
      <c r="M103" s="40"/>
      <c r="N103" s="41"/>
      <c r="O103" s="41"/>
      <c r="P103" s="41"/>
      <c r="Q103" s="41"/>
      <c r="R103" s="41"/>
      <c r="S103" s="39"/>
      <c r="T103" s="40"/>
      <c r="U103" s="41"/>
      <c r="V103" s="41"/>
      <c r="W103" s="41"/>
      <c r="X103" s="41"/>
      <c r="Y103" s="41"/>
      <c r="Z103" s="39"/>
      <c r="AA103" s="39"/>
      <c r="AB103" s="41"/>
      <c r="AC103" s="41"/>
      <c r="AD103" s="41"/>
      <c r="AE103" s="41"/>
      <c r="AF103" s="41"/>
      <c r="AG103" s="39"/>
      <c r="AH103" s="39"/>
      <c r="AI103" s="41"/>
      <c r="AJ103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03" s="42">
        <f ca="1">IF(Август[[#This Row],[УСЛУГ]]&lt;&gt;"",Август[[#This Row],[УСЛУГ]]*Август[[#This Row],[Периодичность]],"")</f>
        <v>0</v>
      </c>
    </row>
    <row r="104" spans="1:37" x14ac:dyDescent="0.25">
      <c r="A104" s="35"/>
      <c r="B104" s="36"/>
      <c r="C104" s="37">
        <v>0</v>
      </c>
      <c r="D104" s="38">
        <v>2</v>
      </c>
      <c r="E104" s="39"/>
      <c r="F104" s="40"/>
      <c r="G104" s="41"/>
      <c r="H104" s="41"/>
      <c r="I104" s="41"/>
      <c r="J104" s="41"/>
      <c r="K104" s="41"/>
      <c r="L104" s="39"/>
      <c r="M104" s="40"/>
      <c r="N104" s="41"/>
      <c r="O104" s="41"/>
      <c r="P104" s="41"/>
      <c r="Q104" s="41"/>
      <c r="R104" s="41"/>
      <c r="S104" s="39"/>
      <c r="T104" s="40"/>
      <c r="U104" s="41"/>
      <c r="V104" s="41"/>
      <c r="W104" s="41"/>
      <c r="X104" s="41"/>
      <c r="Y104" s="41"/>
      <c r="Z104" s="39"/>
      <c r="AA104" s="39"/>
      <c r="AB104" s="41"/>
      <c r="AC104" s="41"/>
      <c r="AD104" s="41"/>
      <c r="AE104" s="41"/>
      <c r="AF104" s="41"/>
      <c r="AG104" s="39"/>
      <c r="AH104" s="39"/>
      <c r="AI104" s="41"/>
      <c r="AJ10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4" s="42" t="str">
        <f ca="1">IF(Август[[#This Row],[УСЛУГ]]&lt;&gt;"",Август[[#This Row],[УСЛУГ]]*Август[[#This Row],[Периодичность]],"")</f>
        <v/>
      </c>
    </row>
    <row r="105" spans="1:37" x14ac:dyDescent="0.25">
      <c r="A105" s="35"/>
      <c r="B105" s="36"/>
      <c r="C105" s="37">
        <v>0</v>
      </c>
      <c r="D105" s="38">
        <v>3</v>
      </c>
      <c r="E105" s="39"/>
      <c r="F105" s="40"/>
      <c r="G105" s="41"/>
      <c r="H105" s="41"/>
      <c r="I105" s="41"/>
      <c r="J105" s="41"/>
      <c r="K105" s="41"/>
      <c r="L105" s="39"/>
      <c r="M105" s="40"/>
      <c r="N105" s="41"/>
      <c r="O105" s="41"/>
      <c r="P105" s="41"/>
      <c r="Q105" s="41"/>
      <c r="R105" s="41"/>
      <c r="S105" s="39"/>
      <c r="T105" s="40"/>
      <c r="U105" s="41"/>
      <c r="V105" s="41"/>
      <c r="W105" s="41"/>
      <c r="X105" s="41"/>
      <c r="Y105" s="41"/>
      <c r="Z105" s="39"/>
      <c r="AA105" s="39"/>
      <c r="AB105" s="41"/>
      <c r="AC105" s="41"/>
      <c r="AD105" s="41"/>
      <c r="AE105" s="41"/>
      <c r="AF105" s="41"/>
      <c r="AG105" s="39"/>
      <c r="AH105" s="39"/>
      <c r="AI105" s="41"/>
      <c r="AJ10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5" s="42" t="str">
        <f ca="1">IF(Август[[#This Row],[УСЛУГ]]&lt;&gt;"",Август[[#This Row],[УСЛУГ]]*Август[[#This Row],[Периодичность]],"")</f>
        <v/>
      </c>
    </row>
    <row r="106" spans="1:37" ht="47.25" x14ac:dyDescent="0.25">
      <c r="A106" s="35" t="s">
        <v>28</v>
      </c>
      <c r="B106" s="36"/>
      <c r="C106" s="37">
        <v>0</v>
      </c>
      <c r="D106" s="38">
        <v>1</v>
      </c>
      <c r="E106" s="39"/>
      <c r="F106" s="40"/>
      <c r="G106" s="41"/>
      <c r="H106" s="41"/>
      <c r="I106" s="41"/>
      <c r="J106" s="41"/>
      <c r="K106" s="41"/>
      <c r="L106" s="39"/>
      <c r="M106" s="40"/>
      <c r="N106" s="41"/>
      <c r="O106" s="41"/>
      <c r="P106" s="41"/>
      <c r="Q106" s="41"/>
      <c r="R106" s="41"/>
      <c r="S106" s="39"/>
      <c r="T106" s="40"/>
      <c r="U106" s="41"/>
      <c r="V106" s="41"/>
      <c r="W106" s="41"/>
      <c r="X106" s="41"/>
      <c r="Y106" s="41"/>
      <c r="Z106" s="39"/>
      <c r="AA106" s="39"/>
      <c r="AB106" s="41"/>
      <c r="AC106" s="41"/>
      <c r="AD106" s="41"/>
      <c r="AE106" s="41"/>
      <c r="AF106" s="41"/>
      <c r="AG106" s="39"/>
      <c r="AH106" s="39"/>
      <c r="AI106" s="41"/>
      <c r="AJ106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06" s="42">
        <f ca="1">IF(Август[[#This Row],[УСЛУГ]]&lt;&gt;"",Август[[#This Row],[УСЛУГ]]*Август[[#This Row],[Периодичность]],"")</f>
        <v>0</v>
      </c>
    </row>
    <row r="107" spans="1:37" x14ac:dyDescent="0.25">
      <c r="A107" s="35"/>
      <c r="B107" s="36"/>
      <c r="C107" s="37">
        <v>0</v>
      </c>
      <c r="D107" s="38">
        <v>2</v>
      </c>
      <c r="E107" s="39"/>
      <c r="F107" s="40"/>
      <c r="G107" s="41"/>
      <c r="H107" s="41"/>
      <c r="I107" s="41"/>
      <c r="J107" s="41"/>
      <c r="K107" s="41"/>
      <c r="L107" s="39"/>
      <c r="M107" s="40"/>
      <c r="N107" s="41"/>
      <c r="O107" s="41"/>
      <c r="P107" s="41"/>
      <c r="Q107" s="41"/>
      <c r="R107" s="41"/>
      <c r="S107" s="39"/>
      <c r="T107" s="40"/>
      <c r="U107" s="41"/>
      <c r="V107" s="41"/>
      <c r="W107" s="41"/>
      <c r="X107" s="41"/>
      <c r="Y107" s="41"/>
      <c r="Z107" s="39"/>
      <c r="AA107" s="39"/>
      <c r="AB107" s="41"/>
      <c r="AC107" s="41"/>
      <c r="AD107" s="41"/>
      <c r="AE107" s="41"/>
      <c r="AF107" s="41"/>
      <c r="AG107" s="39"/>
      <c r="AH107" s="39"/>
      <c r="AI107" s="41"/>
      <c r="AJ10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7" s="42" t="str">
        <f ca="1">IF(Август[[#This Row],[УСЛУГ]]&lt;&gt;"",Август[[#This Row],[УСЛУГ]]*Август[[#This Row],[Периодичность]],"")</f>
        <v/>
      </c>
    </row>
    <row r="108" spans="1:37" x14ac:dyDescent="0.25">
      <c r="A108" s="35"/>
      <c r="B108" s="36"/>
      <c r="C108" s="37">
        <v>0</v>
      </c>
      <c r="D108" s="38">
        <v>3</v>
      </c>
      <c r="E108" s="39"/>
      <c r="F108" s="40"/>
      <c r="G108" s="41"/>
      <c r="H108" s="41"/>
      <c r="I108" s="41"/>
      <c r="J108" s="41"/>
      <c r="K108" s="41"/>
      <c r="L108" s="39"/>
      <c r="M108" s="40"/>
      <c r="N108" s="41"/>
      <c r="O108" s="41"/>
      <c r="P108" s="41"/>
      <c r="Q108" s="41"/>
      <c r="R108" s="41"/>
      <c r="S108" s="39"/>
      <c r="T108" s="40"/>
      <c r="U108" s="41"/>
      <c r="V108" s="41"/>
      <c r="W108" s="41"/>
      <c r="X108" s="41"/>
      <c r="Y108" s="41"/>
      <c r="Z108" s="39"/>
      <c r="AA108" s="39"/>
      <c r="AB108" s="41"/>
      <c r="AC108" s="41"/>
      <c r="AD108" s="41"/>
      <c r="AE108" s="41"/>
      <c r="AF108" s="41"/>
      <c r="AG108" s="39"/>
      <c r="AH108" s="39"/>
      <c r="AI108" s="41"/>
      <c r="AJ10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08" s="42" t="str">
        <f ca="1">IF(Август[[#This Row],[УСЛУГ]]&lt;&gt;"",Август[[#This Row],[УСЛУГ]]*Август[[#This Row],[Периодичность]],"")</f>
        <v/>
      </c>
    </row>
    <row r="109" spans="1:37" ht="31.5" x14ac:dyDescent="0.25">
      <c r="A109" s="35" t="s">
        <v>29</v>
      </c>
      <c r="B109" s="36"/>
      <c r="C109" s="37">
        <v>0</v>
      </c>
      <c r="D109" s="38">
        <v>1</v>
      </c>
      <c r="E109" s="39"/>
      <c r="F109" s="40"/>
      <c r="G109" s="41"/>
      <c r="H109" s="41"/>
      <c r="I109" s="41"/>
      <c r="J109" s="41"/>
      <c r="K109" s="41"/>
      <c r="L109" s="39"/>
      <c r="M109" s="40"/>
      <c r="N109" s="41"/>
      <c r="O109" s="41"/>
      <c r="P109" s="41"/>
      <c r="Q109" s="41"/>
      <c r="R109" s="41"/>
      <c r="S109" s="39"/>
      <c r="T109" s="40"/>
      <c r="U109" s="41"/>
      <c r="V109" s="41"/>
      <c r="W109" s="41"/>
      <c r="X109" s="41"/>
      <c r="Y109" s="41"/>
      <c r="Z109" s="39"/>
      <c r="AA109" s="39"/>
      <c r="AB109" s="41"/>
      <c r="AC109" s="41"/>
      <c r="AD109" s="41"/>
      <c r="AE109" s="41"/>
      <c r="AF109" s="41"/>
      <c r="AG109" s="39"/>
      <c r="AH109" s="39"/>
      <c r="AI109" s="41"/>
      <c r="AJ109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09" s="42">
        <f ca="1">IF(Август[[#This Row],[УСЛУГ]]&lt;&gt;"",Август[[#This Row],[УСЛУГ]]*Август[[#This Row],[Периодичность]],"")</f>
        <v>0</v>
      </c>
    </row>
    <row r="110" spans="1:37" x14ac:dyDescent="0.25">
      <c r="A110" s="35"/>
      <c r="B110" s="36"/>
      <c r="C110" s="37">
        <v>0</v>
      </c>
      <c r="D110" s="38">
        <v>2</v>
      </c>
      <c r="E110" s="39"/>
      <c r="F110" s="40"/>
      <c r="G110" s="41"/>
      <c r="H110" s="41"/>
      <c r="I110" s="41"/>
      <c r="J110" s="41"/>
      <c r="K110" s="41"/>
      <c r="L110" s="39"/>
      <c r="M110" s="40"/>
      <c r="N110" s="41"/>
      <c r="O110" s="41"/>
      <c r="P110" s="41"/>
      <c r="Q110" s="41"/>
      <c r="R110" s="41"/>
      <c r="S110" s="39"/>
      <c r="T110" s="40"/>
      <c r="U110" s="41"/>
      <c r="V110" s="41"/>
      <c r="W110" s="41"/>
      <c r="X110" s="41"/>
      <c r="Y110" s="41"/>
      <c r="Z110" s="39"/>
      <c r="AA110" s="39"/>
      <c r="AB110" s="41"/>
      <c r="AC110" s="41"/>
      <c r="AD110" s="41"/>
      <c r="AE110" s="41"/>
      <c r="AF110" s="41"/>
      <c r="AG110" s="39"/>
      <c r="AH110" s="39"/>
      <c r="AI110" s="41"/>
      <c r="AJ11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0" s="42" t="str">
        <f ca="1">IF(Август[[#This Row],[УСЛУГ]]&lt;&gt;"",Август[[#This Row],[УСЛУГ]]*Август[[#This Row],[Периодичность]],"")</f>
        <v/>
      </c>
    </row>
    <row r="111" spans="1:37" x14ac:dyDescent="0.25">
      <c r="A111" s="35"/>
      <c r="B111" s="36"/>
      <c r="C111" s="37">
        <v>0</v>
      </c>
      <c r="D111" s="38">
        <v>3</v>
      </c>
      <c r="E111" s="39"/>
      <c r="F111" s="40"/>
      <c r="G111" s="41"/>
      <c r="H111" s="41"/>
      <c r="I111" s="41"/>
      <c r="J111" s="41"/>
      <c r="K111" s="41"/>
      <c r="L111" s="39"/>
      <c r="M111" s="40"/>
      <c r="N111" s="41"/>
      <c r="O111" s="41"/>
      <c r="P111" s="41"/>
      <c r="Q111" s="41"/>
      <c r="R111" s="41"/>
      <c r="S111" s="39"/>
      <c r="T111" s="40"/>
      <c r="U111" s="41"/>
      <c r="V111" s="41"/>
      <c r="W111" s="41"/>
      <c r="X111" s="41"/>
      <c r="Y111" s="41"/>
      <c r="Z111" s="39"/>
      <c r="AA111" s="39"/>
      <c r="AB111" s="41"/>
      <c r="AC111" s="41"/>
      <c r="AD111" s="41"/>
      <c r="AE111" s="41"/>
      <c r="AF111" s="41"/>
      <c r="AG111" s="39"/>
      <c r="AH111" s="39"/>
      <c r="AI111" s="41"/>
      <c r="AJ11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1" s="42" t="str">
        <f ca="1">IF(Август[[#This Row],[УСЛУГ]]&lt;&gt;"",Август[[#This Row],[УСЛУГ]]*Август[[#This Row],[Периодичность]],"")</f>
        <v/>
      </c>
    </row>
    <row r="112" spans="1:37" ht="47.25" x14ac:dyDescent="0.25">
      <c r="A112" s="35" t="s">
        <v>30</v>
      </c>
      <c r="B112" s="36"/>
      <c r="C112" s="37">
        <v>0</v>
      </c>
      <c r="D112" s="38">
        <v>1</v>
      </c>
      <c r="E112" s="39"/>
      <c r="F112" s="40"/>
      <c r="G112" s="41"/>
      <c r="H112" s="41"/>
      <c r="I112" s="41"/>
      <c r="J112" s="41"/>
      <c r="K112" s="41"/>
      <c r="L112" s="39"/>
      <c r="M112" s="40"/>
      <c r="N112" s="41"/>
      <c r="O112" s="41"/>
      <c r="P112" s="41"/>
      <c r="Q112" s="41"/>
      <c r="R112" s="41"/>
      <c r="S112" s="39"/>
      <c r="T112" s="40"/>
      <c r="U112" s="41"/>
      <c r="V112" s="41"/>
      <c r="W112" s="41"/>
      <c r="X112" s="41"/>
      <c r="Y112" s="41"/>
      <c r="Z112" s="39"/>
      <c r="AA112" s="39"/>
      <c r="AB112" s="41"/>
      <c r="AC112" s="41"/>
      <c r="AD112" s="41"/>
      <c r="AE112" s="41"/>
      <c r="AF112" s="41"/>
      <c r="AG112" s="39"/>
      <c r="AH112" s="39"/>
      <c r="AI112" s="41"/>
      <c r="AJ112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12" s="42">
        <f ca="1">IF(Август[[#This Row],[УСЛУГ]]&lt;&gt;"",Август[[#This Row],[УСЛУГ]]*Август[[#This Row],[Периодичность]],"")</f>
        <v>0</v>
      </c>
    </row>
    <row r="113" spans="1:37" x14ac:dyDescent="0.25">
      <c r="A113" s="35"/>
      <c r="B113" s="36"/>
      <c r="C113" s="37">
        <v>0</v>
      </c>
      <c r="D113" s="38">
        <v>2</v>
      </c>
      <c r="E113" s="39"/>
      <c r="F113" s="40"/>
      <c r="G113" s="41"/>
      <c r="H113" s="41"/>
      <c r="I113" s="41"/>
      <c r="J113" s="41"/>
      <c r="K113" s="41"/>
      <c r="L113" s="39"/>
      <c r="M113" s="40"/>
      <c r="N113" s="41"/>
      <c r="O113" s="41"/>
      <c r="P113" s="41"/>
      <c r="Q113" s="41"/>
      <c r="R113" s="41"/>
      <c r="S113" s="39"/>
      <c r="T113" s="40"/>
      <c r="U113" s="41"/>
      <c r="V113" s="41"/>
      <c r="W113" s="41"/>
      <c r="X113" s="41"/>
      <c r="Y113" s="41"/>
      <c r="Z113" s="39"/>
      <c r="AA113" s="39"/>
      <c r="AB113" s="41"/>
      <c r="AC113" s="41"/>
      <c r="AD113" s="41"/>
      <c r="AE113" s="41"/>
      <c r="AF113" s="41"/>
      <c r="AG113" s="39"/>
      <c r="AH113" s="39"/>
      <c r="AI113" s="41"/>
      <c r="AJ11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3" s="42" t="str">
        <f ca="1">IF(Август[[#This Row],[УСЛУГ]]&lt;&gt;"",Август[[#This Row],[УСЛУГ]]*Август[[#This Row],[Периодичность]],"")</f>
        <v/>
      </c>
    </row>
    <row r="114" spans="1:37" x14ac:dyDescent="0.25">
      <c r="A114" s="35"/>
      <c r="B114" s="36"/>
      <c r="C114" s="37">
        <v>0</v>
      </c>
      <c r="D114" s="38">
        <v>3</v>
      </c>
      <c r="E114" s="39"/>
      <c r="F114" s="40"/>
      <c r="G114" s="41"/>
      <c r="H114" s="41"/>
      <c r="I114" s="41"/>
      <c r="J114" s="41"/>
      <c r="K114" s="41"/>
      <c r="L114" s="39"/>
      <c r="M114" s="40"/>
      <c r="N114" s="41"/>
      <c r="O114" s="41"/>
      <c r="P114" s="41"/>
      <c r="Q114" s="41"/>
      <c r="R114" s="41"/>
      <c r="S114" s="39"/>
      <c r="T114" s="40"/>
      <c r="U114" s="41"/>
      <c r="V114" s="41"/>
      <c r="W114" s="41"/>
      <c r="X114" s="41"/>
      <c r="Y114" s="41"/>
      <c r="Z114" s="39"/>
      <c r="AA114" s="39"/>
      <c r="AB114" s="41"/>
      <c r="AC114" s="41"/>
      <c r="AD114" s="41"/>
      <c r="AE114" s="41"/>
      <c r="AF114" s="41"/>
      <c r="AG114" s="39"/>
      <c r="AH114" s="39"/>
      <c r="AI114" s="41"/>
      <c r="AJ11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4" s="42" t="str">
        <f ca="1">IF(Август[[#This Row],[УСЛУГ]]&lt;&gt;"",Август[[#This Row],[УСЛУГ]]*Август[[#This Row],[Периодичность]],"")</f>
        <v/>
      </c>
    </row>
    <row r="115" spans="1:37" ht="47.25" x14ac:dyDescent="0.25">
      <c r="A115" s="35" t="s">
        <v>77</v>
      </c>
      <c r="B115" s="36"/>
      <c r="C115" s="37">
        <v>0</v>
      </c>
      <c r="D115" s="38">
        <v>1</v>
      </c>
      <c r="E115" s="39"/>
      <c r="F115" s="40"/>
      <c r="G115" s="41"/>
      <c r="H115" s="41"/>
      <c r="I115" s="41"/>
      <c r="J115" s="41"/>
      <c r="K115" s="41"/>
      <c r="L115" s="39"/>
      <c r="M115" s="40"/>
      <c r="N115" s="41"/>
      <c r="O115" s="41"/>
      <c r="P115" s="41"/>
      <c r="Q115" s="41"/>
      <c r="R115" s="41"/>
      <c r="S115" s="39"/>
      <c r="T115" s="40"/>
      <c r="U115" s="41"/>
      <c r="V115" s="41"/>
      <c r="W115" s="41"/>
      <c r="X115" s="41"/>
      <c r="Y115" s="41"/>
      <c r="Z115" s="39"/>
      <c r="AA115" s="39"/>
      <c r="AB115" s="41"/>
      <c r="AC115" s="41"/>
      <c r="AD115" s="41"/>
      <c r="AE115" s="41"/>
      <c r="AF115" s="41"/>
      <c r="AG115" s="39"/>
      <c r="AH115" s="39"/>
      <c r="AI115" s="41"/>
      <c r="AJ115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15" s="42">
        <f ca="1">IF(Август[[#This Row],[УСЛУГ]]&lt;&gt;"",Август[[#This Row],[УСЛУГ]]*Август[[#This Row],[Периодичность]],"")</f>
        <v>0</v>
      </c>
    </row>
    <row r="116" spans="1:37" x14ac:dyDescent="0.25">
      <c r="A116" s="35"/>
      <c r="B116" s="36"/>
      <c r="C116" s="37">
        <v>0</v>
      </c>
      <c r="D116" s="38">
        <v>2</v>
      </c>
      <c r="E116" s="39"/>
      <c r="F116" s="40"/>
      <c r="G116" s="41"/>
      <c r="H116" s="41"/>
      <c r="I116" s="41"/>
      <c r="J116" s="41"/>
      <c r="K116" s="41"/>
      <c r="L116" s="39"/>
      <c r="M116" s="40"/>
      <c r="N116" s="41"/>
      <c r="O116" s="41"/>
      <c r="P116" s="41"/>
      <c r="Q116" s="41"/>
      <c r="R116" s="41"/>
      <c r="S116" s="39"/>
      <c r="T116" s="40"/>
      <c r="U116" s="41"/>
      <c r="V116" s="41"/>
      <c r="W116" s="41"/>
      <c r="X116" s="41"/>
      <c r="Y116" s="41"/>
      <c r="Z116" s="39"/>
      <c r="AA116" s="39"/>
      <c r="AB116" s="41"/>
      <c r="AC116" s="41"/>
      <c r="AD116" s="41"/>
      <c r="AE116" s="41"/>
      <c r="AF116" s="41"/>
      <c r="AG116" s="39"/>
      <c r="AH116" s="39"/>
      <c r="AI116" s="41"/>
      <c r="AJ11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6" s="42" t="str">
        <f ca="1">IF(Август[[#This Row],[УСЛУГ]]&lt;&gt;"",Август[[#This Row],[УСЛУГ]]*Август[[#This Row],[Периодичность]],"")</f>
        <v/>
      </c>
    </row>
    <row r="117" spans="1:37" x14ac:dyDescent="0.25">
      <c r="A117" s="35"/>
      <c r="B117" s="36"/>
      <c r="C117" s="37">
        <v>0</v>
      </c>
      <c r="D117" s="38">
        <v>3</v>
      </c>
      <c r="E117" s="39"/>
      <c r="F117" s="40"/>
      <c r="G117" s="41"/>
      <c r="H117" s="41"/>
      <c r="I117" s="41"/>
      <c r="J117" s="41"/>
      <c r="K117" s="41"/>
      <c r="L117" s="39"/>
      <c r="M117" s="40"/>
      <c r="N117" s="41"/>
      <c r="O117" s="41"/>
      <c r="P117" s="41"/>
      <c r="Q117" s="41"/>
      <c r="R117" s="41"/>
      <c r="S117" s="39"/>
      <c r="T117" s="40"/>
      <c r="U117" s="41"/>
      <c r="V117" s="41"/>
      <c r="W117" s="41"/>
      <c r="X117" s="41"/>
      <c r="Y117" s="41"/>
      <c r="Z117" s="39"/>
      <c r="AA117" s="39"/>
      <c r="AB117" s="41"/>
      <c r="AC117" s="41"/>
      <c r="AD117" s="41"/>
      <c r="AE117" s="41"/>
      <c r="AF117" s="41"/>
      <c r="AG117" s="39"/>
      <c r="AH117" s="39"/>
      <c r="AI117" s="41"/>
      <c r="AJ11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7" s="42" t="str">
        <f ca="1">IF(Август[[#This Row],[УСЛУГ]]&lt;&gt;"",Август[[#This Row],[УСЛУГ]]*Август[[#This Row],[Периодичность]],"")</f>
        <v/>
      </c>
    </row>
    <row r="118" spans="1:37" ht="63" x14ac:dyDescent="0.25">
      <c r="A118" s="35" t="s">
        <v>146</v>
      </c>
      <c r="B118" s="36"/>
      <c r="C118" s="37">
        <v>0</v>
      </c>
      <c r="D118" s="38">
        <v>1</v>
      </c>
      <c r="E118" s="39"/>
      <c r="F118" s="40"/>
      <c r="G118" s="41"/>
      <c r="H118" s="41"/>
      <c r="I118" s="41"/>
      <c r="J118" s="41"/>
      <c r="K118" s="41"/>
      <c r="L118" s="39"/>
      <c r="M118" s="40"/>
      <c r="N118" s="41"/>
      <c r="O118" s="41"/>
      <c r="P118" s="41"/>
      <c r="Q118" s="41"/>
      <c r="R118" s="41"/>
      <c r="S118" s="39"/>
      <c r="T118" s="40"/>
      <c r="U118" s="41"/>
      <c r="V118" s="41"/>
      <c r="W118" s="41"/>
      <c r="X118" s="41"/>
      <c r="Y118" s="41"/>
      <c r="Z118" s="39"/>
      <c r="AA118" s="39"/>
      <c r="AB118" s="41"/>
      <c r="AC118" s="41"/>
      <c r="AD118" s="41"/>
      <c r="AE118" s="41"/>
      <c r="AF118" s="41"/>
      <c r="AG118" s="39"/>
      <c r="AH118" s="39"/>
      <c r="AI118" s="41"/>
      <c r="AJ118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18" s="42">
        <f ca="1">IF(Август[[#This Row],[УСЛУГ]]&lt;&gt;"",Август[[#This Row],[УСЛУГ]]*Август[[#This Row],[Периодичность]],"")</f>
        <v>0</v>
      </c>
    </row>
    <row r="119" spans="1:37" x14ac:dyDescent="0.25">
      <c r="A119" s="35"/>
      <c r="B119" s="36"/>
      <c r="C119" s="37">
        <v>0</v>
      </c>
      <c r="D119" s="38">
        <v>2</v>
      </c>
      <c r="E119" s="39"/>
      <c r="F119" s="40"/>
      <c r="G119" s="41"/>
      <c r="H119" s="41"/>
      <c r="I119" s="41"/>
      <c r="J119" s="41"/>
      <c r="K119" s="41"/>
      <c r="L119" s="39"/>
      <c r="M119" s="40"/>
      <c r="N119" s="41"/>
      <c r="O119" s="41"/>
      <c r="P119" s="41"/>
      <c r="Q119" s="41"/>
      <c r="R119" s="41"/>
      <c r="S119" s="39"/>
      <c r="T119" s="40"/>
      <c r="U119" s="41"/>
      <c r="V119" s="41"/>
      <c r="W119" s="41"/>
      <c r="X119" s="41"/>
      <c r="Y119" s="41"/>
      <c r="Z119" s="39"/>
      <c r="AA119" s="39"/>
      <c r="AB119" s="41"/>
      <c r="AC119" s="41"/>
      <c r="AD119" s="41"/>
      <c r="AE119" s="41"/>
      <c r="AF119" s="41"/>
      <c r="AG119" s="39"/>
      <c r="AH119" s="39"/>
      <c r="AI119" s="41"/>
      <c r="AJ11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19" s="42" t="str">
        <f ca="1">IF(Август[[#This Row],[УСЛУГ]]&lt;&gt;"",Август[[#This Row],[УСЛУГ]]*Август[[#This Row],[Периодичность]],"")</f>
        <v/>
      </c>
    </row>
    <row r="120" spans="1:37" x14ac:dyDescent="0.25">
      <c r="A120" s="35"/>
      <c r="B120" s="36"/>
      <c r="C120" s="37">
        <v>0</v>
      </c>
      <c r="D120" s="38">
        <v>3</v>
      </c>
      <c r="E120" s="39"/>
      <c r="F120" s="40"/>
      <c r="G120" s="41"/>
      <c r="H120" s="41"/>
      <c r="I120" s="41"/>
      <c r="J120" s="41"/>
      <c r="K120" s="41"/>
      <c r="L120" s="39"/>
      <c r="M120" s="40"/>
      <c r="N120" s="41"/>
      <c r="O120" s="41"/>
      <c r="P120" s="41"/>
      <c r="Q120" s="41"/>
      <c r="R120" s="41"/>
      <c r="S120" s="39"/>
      <c r="T120" s="40"/>
      <c r="U120" s="41"/>
      <c r="V120" s="41"/>
      <c r="W120" s="41"/>
      <c r="X120" s="41"/>
      <c r="Y120" s="41"/>
      <c r="Z120" s="39"/>
      <c r="AA120" s="39"/>
      <c r="AB120" s="41"/>
      <c r="AC120" s="41"/>
      <c r="AD120" s="41"/>
      <c r="AE120" s="41"/>
      <c r="AF120" s="41"/>
      <c r="AG120" s="39"/>
      <c r="AH120" s="39"/>
      <c r="AI120" s="41"/>
      <c r="AJ12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0" s="42" t="str">
        <f ca="1">IF(Август[[#This Row],[УСЛУГ]]&lt;&gt;"",Август[[#This Row],[УСЛУГ]]*Август[[#This Row],[Периодичность]],"")</f>
        <v/>
      </c>
    </row>
    <row r="121" spans="1:37" ht="47.25" x14ac:dyDescent="0.25">
      <c r="A121" s="35" t="s">
        <v>76</v>
      </c>
      <c r="B121" s="36"/>
      <c r="C121" s="37">
        <v>0</v>
      </c>
      <c r="D121" s="38">
        <v>1</v>
      </c>
      <c r="E121" s="39"/>
      <c r="F121" s="40"/>
      <c r="G121" s="41"/>
      <c r="H121" s="41"/>
      <c r="I121" s="41"/>
      <c r="J121" s="41"/>
      <c r="K121" s="41"/>
      <c r="L121" s="39"/>
      <c r="M121" s="40"/>
      <c r="N121" s="41"/>
      <c r="O121" s="41"/>
      <c r="P121" s="41"/>
      <c r="Q121" s="41"/>
      <c r="R121" s="41"/>
      <c r="S121" s="39"/>
      <c r="T121" s="40"/>
      <c r="U121" s="41"/>
      <c r="V121" s="41"/>
      <c r="W121" s="41"/>
      <c r="X121" s="41"/>
      <c r="Y121" s="41"/>
      <c r="Z121" s="39"/>
      <c r="AA121" s="39"/>
      <c r="AB121" s="41"/>
      <c r="AC121" s="41"/>
      <c r="AD121" s="41"/>
      <c r="AE121" s="41"/>
      <c r="AF121" s="41"/>
      <c r="AG121" s="39"/>
      <c r="AH121" s="39"/>
      <c r="AI121" s="41"/>
      <c r="AJ121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21" s="42">
        <f ca="1">IF(Август[[#This Row],[УСЛУГ]]&lt;&gt;"",Август[[#This Row],[УСЛУГ]]*Август[[#This Row],[Периодичность]],"")</f>
        <v>0</v>
      </c>
    </row>
    <row r="122" spans="1:37" x14ac:dyDescent="0.25">
      <c r="A122" s="35"/>
      <c r="B122" s="36"/>
      <c r="C122" s="37">
        <v>0</v>
      </c>
      <c r="D122" s="38">
        <v>2</v>
      </c>
      <c r="E122" s="39"/>
      <c r="F122" s="40"/>
      <c r="G122" s="41"/>
      <c r="H122" s="41"/>
      <c r="I122" s="41"/>
      <c r="J122" s="41"/>
      <c r="K122" s="41"/>
      <c r="L122" s="39"/>
      <c r="M122" s="40"/>
      <c r="N122" s="41"/>
      <c r="O122" s="41"/>
      <c r="P122" s="41"/>
      <c r="Q122" s="41"/>
      <c r="R122" s="41"/>
      <c r="S122" s="39"/>
      <c r="T122" s="40"/>
      <c r="U122" s="41"/>
      <c r="V122" s="41"/>
      <c r="W122" s="41"/>
      <c r="X122" s="41"/>
      <c r="Y122" s="41"/>
      <c r="Z122" s="39"/>
      <c r="AA122" s="39"/>
      <c r="AB122" s="41"/>
      <c r="AC122" s="41"/>
      <c r="AD122" s="41"/>
      <c r="AE122" s="41"/>
      <c r="AF122" s="41"/>
      <c r="AG122" s="39"/>
      <c r="AH122" s="39"/>
      <c r="AI122" s="41"/>
      <c r="AJ12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2" s="42" t="str">
        <f ca="1">IF(Август[[#This Row],[УСЛУГ]]&lt;&gt;"",Август[[#This Row],[УСЛУГ]]*Август[[#This Row],[Периодичность]],"")</f>
        <v/>
      </c>
    </row>
    <row r="123" spans="1:37" x14ac:dyDescent="0.25">
      <c r="A123" s="35"/>
      <c r="B123" s="36"/>
      <c r="C123" s="37">
        <v>0</v>
      </c>
      <c r="D123" s="38">
        <v>3</v>
      </c>
      <c r="E123" s="39"/>
      <c r="F123" s="40"/>
      <c r="G123" s="41"/>
      <c r="H123" s="41"/>
      <c r="I123" s="41"/>
      <c r="J123" s="41"/>
      <c r="K123" s="41"/>
      <c r="L123" s="39"/>
      <c r="M123" s="40"/>
      <c r="N123" s="41"/>
      <c r="O123" s="41"/>
      <c r="P123" s="41"/>
      <c r="Q123" s="41"/>
      <c r="R123" s="41"/>
      <c r="S123" s="39"/>
      <c r="T123" s="40"/>
      <c r="U123" s="41"/>
      <c r="V123" s="41"/>
      <c r="W123" s="41"/>
      <c r="X123" s="41"/>
      <c r="Y123" s="41"/>
      <c r="Z123" s="39"/>
      <c r="AA123" s="39"/>
      <c r="AB123" s="41"/>
      <c r="AC123" s="41"/>
      <c r="AD123" s="41"/>
      <c r="AE123" s="41"/>
      <c r="AF123" s="41"/>
      <c r="AG123" s="39"/>
      <c r="AH123" s="39"/>
      <c r="AI123" s="41"/>
      <c r="AJ12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3" s="42" t="str">
        <f ca="1">IF(Август[[#This Row],[УСЛУГ]]&lt;&gt;"",Август[[#This Row],[УСЛУГ]]*Август[[#This Row],[Периодичность]],"")</f>
        <v/>
      </c>
    </row>
    <row r="124" spans="1:37" ht="47.25" x14ac:dyDescent="0.25">
      <c r="A124" s="35" t="s">
        <v>147</v>
      </c>
      <c r="B124" s="36"/>
      <c r="C124" s="37">
        <v>0</v>
      </c>
      <c r="D124" s="38">
        <v>1</v>
      </c>
      <c r="E124" s="39"/>
      <c r="F124" s="40"/>
      <c r="G124" s="41"/>
      <c r="H124" s="41"/>
      <c r="I124" s="41"/>
      <c r="J124" s="41"/>
      <c r="K124" s="41"/>
      <c r="L124" s="39"/>
      <c r="M124" s="40"/>
      <c r="N124" s="41"/>
      <c r="O124" s="41"/>
      <c r="P124" s="41"/>
      <c r="Q124" s="41"/>
      <c r="R124" s="41"/>
      <c r="S124" s="39"/>
      <c r="T124" s="40"/>
      <c r="U124" s="41"/>
      <c r="V124" s="41"/>
      <c r="W124" s="41"/>
      <c r="X124" s="41"/>
      <c r="Y124" s="41"/>
      <c r="Z124" s="39"/>
      <c r="AA124" s="39"/>
      <c r="AB124" s="41"/>
      <c r="AC124" s="41"/>
      <c r="AD124" s="41"/>
      <c r="AE124" s="41"/>
      <c r="AF124" s="41"/>
      <c r="AG124" s="39"/>
      <c r="AH124" s="39"/>
      <c r="AI124" s="41"/>
      <c r="AJ124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24" s="42">
        <f ca="1">IF(Август[[#This Row],[УСЛУГ]]&lt;&gt;"",Август[[#This Row],[УСЛУГ]]*Август[[#This Row],[Периодичность]],"")</f>
        <v>0</v>
      </c>
    </row>
    <row r="125" spans="1:37" x14ac:dyDescent="0.25">
      <c r="A125" s="35"/>
      <c r="B125" s="36"/>
      <c r="C125" s="37">
        <v>0</v>
      </c>
      <c r="D125" s="38">
        <v>2</v>
      </c>
      <c r="E125" s="39"/>
      <c r="F125" s="40"/>
      <c r="G125" s="41"/>
      <c r="H125" s="41"/>
      <c r="I125" s="41"/>
      <c r="J125" s="41"/>
      <c r="K125" s="41"/>
      <c r="L125" s="39"/>
      <c r="M125" s="40"/>
      <c r="N125" s="41"/>
      <c r="O125" s="41"/>
      <c r="P125" s="41"/>
      <c r="Q125" s="41"/>
      <c r="R125" s="41"/>
      <c r="S125" s="39"/>
      <c r="T125" s="40"/>
      <c r="U125" s="41"/>
      <c r="V125" s="41"/>
      <c r="W125" s="41"/>
      <c r="X125" s="41"/>
      <c r="Y125" s="41"/>
      <c r="Z125" s="39"/>
      <c r="AA125" s="39"/>
      <c r="AB125" s="41"/>
      <c r="AC125" s="41"/>
      <c r="AD125" s="41"/>
      <c r="AE125" s="41"/>
      <c r="AF125" s="41"/>
      <c r="AG125" s="39"/>
      <c r="AH125" s="39"/>
      <c r="AI125" s="41"/>
      <c r="AJ12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5" s="42" t="str">
        <f ca="1">IF(Август[[#This Row],[УСЛУГ]]&lt;&gt;"",Август[[#This Row],[УСЛУГ]]*Август[[#This Row],[Периодичность]],"")</f>
        <v/>
      </c>
    </row>
    <row r="126" spans="1:37" x14ac:dyDescent="0.25">
      <c r="A126" s="35"/>
      <c r="B126" s="36"/>
      <c r="C126" s="37">
        <v>0</v>
      </c>
      <c r="D126" s="38">
        <v>3</v>
      </c>
      <c r="E126" s="39"/>
      <c r="F126" s="40"/>
      <c r="G126" s="41"/>
      <c r="H126" s="41"/>
      <c r="I126" s="41"/>
      <c r="J126" s="41"/>
      <c r="K126" s="41"/>
      <c r="L126" s="39"/>
      <c r="M126" s="40"/>
      <c r="N126" s="41"/>
      <c r="O126" s="41"/>
      <c r="P126" s="41"/>
      <c r="Q126" s="41"/>
      <c r="R126" s="41"/>
      <c r="S126" s="39"/>
      <c r="T126" s="40"/>
      <c r="U126" s="41"/>
      <c r="V126" s="41"/>
      <c r="W126" s="41"/>
      <c r="X126" s="41"/>
      <c r="Y126" s="41"/>
      <c r="Z126" s="39"/>
      <c r="AA126" s="39"/>
      <c r="AB126" s="41"/>
      <c r="AC126" s="41"/>
      <c r="AD126" s="41"/>
      <c r="AE126" s="41"/>
      <c r="AF126" s="41"/>
      <c r="AG126" s="39"/>
      <c r="AH126" s="39"/>
      <c r="AI126" s="41"/>
      <c r="AJ12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6" s="42" t="str">
        <f ca="1">IF(Август[[#This Row],[УСЛУГ]]&lt;&gt;"",Август[[#This Row],[УСЛУГ]]*Август[[#This Row],[Периодичность]],"")</f>
        <v/>
      </c>
    </row>
    <row r="127" spans="1:37" ht="47.25" x14ac:dyDescent="0.25">
      <c r="A127" s="35" t="s">
        <v>148</v>
      </c>
      <c r="B127" s="36"/>
      <c r="C127" s="37">
        <v>0</v>
      </c>
      <c r="D127" s="38">
        <v>1</v>
      </c>
      <c r="E127" s="39"/>
      <c r="F127" s="40"/>
      <c r="G127" s="41"/>
      <c r="H127" s="41"/>
      <c r="I127" s="41"/>
      <c r="J127" s="41"/>
      <c r="K127" s="41"/>
      <c r="L127" s="39"/>
      <c r="M127" s="40"/>
      <c r="N127" s="41"/>
      <c r="O127" s="41"/>
      <c r="P127" s="41"/>
      <c r="Q127" s="41"/>
      <c r="R127" s="41"/>
      <c r="S127" s="39"/>
      <c r="T127" s="40"/>
      <c r="U127" s="41"/>
      <c r="V127" s="41"/>
      <c r="W127" s="41"/>
      <c r="X127" s="41"/>
      <c r="Y127" s="41"/>
      <c r="Z127" s="39"/>
      <c r="AA127" s="39"/>
      <c r="AB127" s="41"/>
      <c r="AC127" s="41"/>
      <c r="AD127" s="41"/>
      <c r="AE127" s="41"/>
      <c r="AF127" s="41"/>
      <c r="AG127" s="39"/>
      <c r="AH127" s="39"/>
      <c r="AI127" s="41"/>
      <c r="AJ127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27" s="42">
        <f ca="1">IF(Август[[#This Row],[УСЛУГ]]&lt;&gt;"",Август[[#This Row],[УСЛУГ]]*Август[[#This Row],[Периодичность]],"")</f>
        <v>0</v>
      </c>
    </row>
    <row r="128" spans="1:37" x14ac:dyDescent="0.25">
      <c r="A128" s="35"/>
      <c r="B128" s="36"/>
      <c r="C128" s="37">
        <v>0</v>
      </c>
      <c r="D128" s="38">
        <v>2</v>
      </c>
      <c r="E128" s="39"/>
      <c r="F128" s="40"/>
      <c r="G128" s="41"/>
      <c r="H128" s="41"/>
      <c r="I128" s="41"/>
      <c r="J128" s="41"/>
      <c r="K128" s="41"/>
      <c r="L128" s="39"/>
      <c r="M128" s="40"/>
      <c r="N128" s="41"/>
      <c r="O128" s="41"/>
      <c r="P128" s="41"/>
      <c r="Q128" s="41"/>
      <c r="R128" s="41"/>
      <c r="S128" s="39"/>
      <c r="T128" s="40"/>
      <c r="U128" s="41"/>
      <c r="V128" s="41"/>
      <c r="W128" s="41"/>
      <c r="X128" s="41"/>
      <c r="Y128" s="41"/>
      <c r="Z128" s="39"/>
      <c r="AA128" s="39"/>
      <c r="AB128" s="41"/>
      <c r="AC128" s="41"/>
      <c r="AD128" s="41"/>
      <c r="AE128" s="41"/>
      <c r="AF128" s="41"/>
      <c r="AG128" s="39"/>
      <c r="AH128" s="39"/>
      <c r="AI128" s="41"/>
      <c r="AJ12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8" s="42" t="str">
        <f ca="1">IF(Август[[#This Row],[УСЛУГ]]&lt;&gt;"",Август[[#This Row],[УСЛУГ]]*Август[[#This Row],[Периодичность]],"")</f>
        <v/>
      </c>
    </row>
    <row r="129" spans="1:37" x14ac:dyDescent="0.25">
      <c r="A129" s="35"/>
      <c r="B129" s="36"/>
      <c r="C129" s="37">
        <v>0</v>
      </c>
      <c r="D129" s="38">
        <v>3</v>
      </c>
      <c r="E129" s="39"/>
      <c r="F129" s="40"/>
      <c r="G129" s="41"/>
      <c r="H129" s="41"/>
      <c r="I129" s="41"/>
      <c r="J129" s="41"/>
      <c r="K129" s="41"/>
      <c r="L129" s="39"/>
      <c r="M129" s="40"/>
      <c r="N129" s="41"/>
      <c r="O129" s="41"/>
      <c r="P129" s="41"/>
      <c r="Q129" s="41"/>
      <c r="R129" s="41"/>
      <c r="S129" s="39"/>
      <c r="T129" s="40"/>
      <c r="U129" s="41"/>
      <c r="V129" s="41"/>
      <c r="W129" s="41"/>
      <c r="X129" s="41"/>
      <c r="Y129" s="41"/>
      <c r="Z129" s="39"/>
      <c r="AA129" s="39"/>
      <c r="AB129" s="41"/>
      <c r="AC129" s="41"/>
      <c r="AD129" s="41"/>
      <c r="AE129" s="41"/>
      <c r="AF129" s="41"/>
      <c r="AG129" s="39"/>
      <c r="AH129" s="39"/>
      <c r="AI129" s="41"/>
      <c r="AJ12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29" s="42" t="str">
        <f ca="1">IF(Август[[#This Row],[УСЛУГ]]&lt;&gt;"",Август[[#This Row],[УСЛУГ]]*Август[[#This Row],[Периодичность]],"")</f>
        <v/>
      </c>
    </row>
    <row r="130" spans="1:37" ht="31.5" x14ac:dyDescent="0.25">
      <c r="A130" s="35" t="s">
        <v>36</v>
      </c>
      <c r="B130" s="36"/>
      <c r="C130" s="37">
        <v>0</v>
      </c>
      <c r="D130" s="38">
        <v>1</v>
      </c>
      <c r="E130" s="39"/>
      <c r="F130" s="40"/>
      <c r="G130" s="41"/>
      <c r="H130" s="41"/>
      <c r="I130" s="41"/>
      <c r="J130" s="41"/>
      <c r="K130" s="41"/>
      <c r="L130" s="39"/>
      <c r="M130" s="40"/>
      <c r="N130" s="41"/>
      <c r="O130" s="41"/>
      <c r="P130" s="41"/>
      <c r="Q130" s="41"/>
      <c r="R130" s="41"/>
      <c r="S130" s="39"/>
      <c r="T130" s="40"/>
      <c r="U130" s="41"/>
      <c r="V130" s="41"/>
      <c r="W130" s="41"/>
      <c r="X130" s="41"/>
      <c r="Y130" s="41"/>
      <c r="Z130" s="39"/>
      <c r="AA130" s="39"/>
      <c r="AB130" s="41"/>
      <c r="AC130" s="41"/>
      <c r="AD130" s="41"/>
      <c r="AE130" s="41"/>
      <c r="AF130" s="41"/>
      <c r="AG130" s="39"/>
      <c r="AH130" s="39"/>
      <c r="AI130" s="41"/>
      <c r="AJ130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30" s="42">
        <f ca="1">IF(Август[[#This Row],[УСЛУГ]]&lt;&gt;"",Август[[#This Row],[УСЛУГ]]*Август[[#This Row],[Периодичность]],"")</f>
        <v>0</v>
      </c>
    </row>
    <row r="131" spans="1:37" x14ac:dyDescent="0.25">
      <c r="A131" s="35"/>
      <c r="B131" s="36"/>
      <c r="C131" s="37">
        <v>0</v>
      </c>
      <c r="D131" s="38">
        <v>2</v>
      </c>
      <c r="E131" s="39"/>
      <c r="F131" s="40"/>
      <c r="G131" s="41"/>
      <c r="H131" s="41"/>
      <c r="I131" s="41"/>
      <c r="J131" s="41"/>
      <c r="K131" s="41"/>
      <c r="L131" s="39"/>
      <c r="M131" s="40"/>
      <c r="N131" s="41"/>
      <c r="O131" s="41"/>
      <c r="P131" s="41"/>
      <c r="Q131" s="41"/>
      <c r="R131" s="41"/>
      <c r="S131" s="39"/>
      <c r="T131" s="40"/>
      <c r="U131" s="41"/>
      <c r="V131" s="41"/>
      <c r="W131" s="41"/>
      <c r="X131" s="41"/>
      <c r="Y131" s="41"/>
      <c r="Z131" s="39"/>
      <c r="AA131" s="39"/>
      <c r="AB131" s="41"/>
      <c r="AC131" s="41"/>
      <c r="AD131" s="41"/>
      <c r="AE131" s="41"/>
      <c r="AF131" s="41"/>
      <c r="AG131" s="39"/>
      <c r="AH131" s="39"/>
      <c r="AI131" s="41"/>
      <c r="AJ13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1" s="42" t="str">
        <f ca="1">IF(Август[[#This Row],[УСЛУГ]]&lt;&gt;"",Август[[#This Row],[УСЛУГ]]*Август[[#This Row],[Периодичность]],"")</f>
        <v/>
      </c>
    </row>
    <row r="132" spans="1:37" x14ac:dyDescent="0.25">
      <c r="A132" s="35"/>
      <c r="B132" s="36"/>
      <c r="C132" s="37">
        <v>0</v>
      </c>
      <c r="D132" s="38">
        <v>3</v>
      </c>
      <c r="E132" s="39"/>
      <c r="F132" s="40"/>
      <c r="G132" s="41"/>
      <c r="H132" s="41"/>
      <c r="I132" s="41"/>
      <c r="J132" s="41"/>
      <c r="K132" s="41"/>
      <c r="L132" s="39"/>
      <c r="M132" s="40"/>
      <c r="N132" s="41"/>
      <c r="O132" s="41"/>
      <c r="P132" s="41"/>
      <c r="Q132" s="41"/>
      <c r="R132" s="41"/>
      <c r="S132" s="39"/>
      <c r="T132" s="40"/>
      <c r="U132" s="41"/>
      <c r="V132" s="41"/>
      <c r="W132" s="41"/>
      <c r="X132" s="41"/>
      <c r="Y132" s="41"/>
      <c r="Z132" s="39"/>
      <c r="AA132" s="39"/>
      <c r="AB132" s="41"/>
      <c r="AC132" s="41"/>
      <c r="AD132" s="41"/>
      <c r="AE132" s="41"/>
      <c r="AF132" s="41"/>
      <c r="AG132" s="39"/>
      <c r="AH132" s="39"/>
      <c r="AI132" s="41"/>
      <c r="AJ13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2" s="42" t="str">
        <f ca="1">IF(Август[[#This Row],[УСЛУГ]]&lt;&gt;"",Август[[#This Row],[УСЛУГ]]*Август[[#This Row],[Периодичность]],"")</f>
        <v/>
      </c>
    </row>
    <row r="133" spans="1:37" ht="31.5" x14ac:dyDescent="0.25">
      <c r="A133" s="35" t="s">
        <v>37</v>
      </c>
      <c r="B133" s="36"/>
      <c r="C133" s="37">
        <v>0</v>
      </c>
      <c r="D133" s="38">
        <v>1</v>
      </c>
      <c r="E133" s="39"/>
      <c r="F133" s="40"/>
      <c r="G133" s="41"/>
      <c r="H133" s="41"/>
      <c r="I133" s="41"/>
      <c r="J133" s="41"/>
      <c r="K133" s="41"/>
      <c r="L133" s="39"/>
      <c r="M133" s="40"/>
      <c r="N133" s="41"/>
      <c r="O133" s="41"/>
      <c r="P133" s="41"/>
      <c r="Q133" s="41"/>
      <c r="R133" s="41"/>
      <c r="S133" s="39"/>
      <c r="T133" s="40"/>
      <c r="U133" s="41"/>
      <c r="V133" s="41"/>
      <c r="W133" s="41"/>
      <c r="X133" s="41"/>
      <c r="Y133" s="41"/>
      <c r="Z133" s="39"/>
      <c r="AA133" s="39"/>
      <c r="AB133" s="41"/>
      <c r="AC133" s="41"/>
      <c r="AD133" s="41"/>
      <c r="AE133" s="41"/>
      <c r="AF133" s="41"/>
      <c r="AG133" s="39"/>
      <c r="AH133" s="39"/>
      <c r="AI133" s="41"/>
      <c r="AJ133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33" s="42">
        <f ca="1">IF(Август[[#This Row],[УСЛУГ]]&lt;&gt;"",Август[[#This Row],[УСЛУГ]]*Август[[#This Row],[Периодичность]],"")</f>
        <v>0</v>
      </c>
    </row>
    <row r="134" spans="1:37" x14ac:dyDescent="0.25">
      <c r="A134" s="35"/>
      <c r="B134" s="36"/>
      <c r="C134" s="37">
        <v>0</v>
      </c>
      <c r="D134" s="38">
        <v>2</v>
      </c>
      <c r="E134" s="39"/>
      <c r="F134" s="40"/>
      <c r="G134" s="41"/>
      <c r="H134" s="41"/>
      <c r="I134" s="41"/>
      <c r="J134" s="41"/>
      <c r="K134" s="41"/>
      <c r="L134" s="39"/>
      <c r="M134" s="40"/>
      <c r="N134" s="41"/>
      <c r="O134" s="41"/>
      <c r="P134" s="41"/>
      <c r="Q134" s="41"/>
      <c r="R134" s="41"/>
      <c r="S134" s="39"/>
      <c r="T134" s="40"/>
      <c r="U134" s="41"/>
      <c r="V134" s="41"/>
      <c r="W134" s="41"/>
      <c r="X134" s="41"/>
      <c r="Y134" s="41"/>
      <c r="Z134" s="39"/>
      <c r="AA134" s="39"/>
      <c r="AB134" s="41"/>
      <c r="AC134" s="41"/>
      <c r="AD134" s="41"/>
      <c r="AE134" s="41"/>
      <c r="AF134" s="41"/>
      <c r="AG134" s="39"/>
      <c r="AH134" s="39"/>
      <c r="AI134" s="41"/>
      <c r="AJ13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4" s="42" t="str">
        <f ca="1">IF(Август[[#This Row],[УСЛУГ]]&lt;&gt;"",Август[[#This Row],[УСЛУГ]]*Август[[#This Row],[Периодичность]],"")</f>
        <v/>
      </c>
    </row>
    <row r="135" spans="1:37" x14ac:dyDescent="0.25">
      <c r="A135" s="35"/>
      <c r="B135" s="36"/>
      <c r="C135" s="37">
        <v>0</v>
      </c>
      <c r="D135" s="38">
        <v>3</v>
      </c>
      <c r="E135" s="39"/>
      <c r="F135" s="40"/>
      <c r="G135" s="41"/>
      <c r="H135" s="41"/>
      <c r="I135" s="41"/>
      <c r="J135" s="41"/>
      <c r="K135" s="41"/>
      <c r="L135" s="39"/>
      <c r="M135" s="40"/>
      <c r="N135" s="41"/>
      <c r="O135" s="41"/>
      <c r="P135" s="41"/>
      <c r="Q135" s="41"/>
      <c r="R135" s="41"/>
      <c r="S135" s="39"/>
      <c r="T135" s="40"/>
      <c r="U135" s="41"/>
      <c r="V135" s="41"/>
      <c r="W135" s="41"/>
      <c r="X135" s="41"/>
      <c r="Y135" s="41"/>
      <c r="Z135" s="39"/>
      <c r="AA135" s="39"/>
      <c r="AB135" s="41"/>
      <c r="AC135" s="41"/>
      <c r="AD135" s="41"/>
      <c r="AE135" s="41"/>
      <c r="AF135" s="41"/>
      <c r="AG135" s="39"/>
      <c r="AH135" s="39"/>
      <c r="AI135" s="41"/>
      <c r="AJ13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5" s="42" t="str">
        <f ca="1">IF(Август[[#This Row],[УСЛУГ]]&lt;&gt;"",Август[[#This Row],[УСЛУГ]]*Август[[#This Row],[Периодичность]],"")</f>
        <v/>
      </c>
    </row>
    <row r="136" spans="1:37" x14ac:dyDescent="0.25">
      <c r="A136" s="35" t="s">
        <v>38</v>
      </c>
      <c r="B136" s="36"/>
      <c r="C136" s="37">
        <v>0</v>
      </c>
      <c r="D136" s="38">
        <v>1</v>
      </c>
      <c r="E136" s="39"/>
      <c r="F136" s="40"/>
      <c r="G136" s="41"/>
      <c r="H136" s="41"/>
      <c r="I136" s="41"/>
      <c r="J136" s="41"/>
      <c r="K136" s="41"/>
      <c r="L136" s="39"/>
      <c r="M136" s="40"/>
      <c r="N136" s="41"/>
      <c r="O136" s="41"/>
      <c r="P136" s="41"/>
      <c r="Q136" s="41"/>
      <c r="R136" s="41"/>
      <c r="S136" s="39"/>
      <c r="T136" s="40"/>
      <c r="U136" s="41"/>
      <c r="V136" s="41"/>
      <c r="W136" s="41"/>
      <c r="X136" s="41"/>
      <c r="Y136" s="41"/>
      <c r="Z136" s="39"/>
      <c r="AA136" s="39"/>
      <c r="AB136" s="41"/>
      <c r="AC136" s="41"/>
      <c r="AD136" s="41"/>
      <c r="AE136" s="41"/>
      <c r="AF136" s="41"/>
      <c r="AG136" s="39"/>
      <c r="AH136" s="39"/>
      <c r="AI136" s="41"/>
      <c r="AJ136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36" s="42">
        <f ca="1">IF(Август[[#This Row],[УСЛУГ]]&lt;&gt;"",Август[[#This Row],[УСЛУГ]]*Август[[#This Row],[Периодичность]],"")</f>
        <v>0</v>
      </c>
    </row>
    <row r="137" spans="1:37" x14ac:dyDescent="0.25">
      <c r="A137" s="35"/>
      <c r="B137" s="36"/>
      <c r="C137" s="37">
        <v>0</v>
      </c>
      <c r="D137" s="38">
        <v>2</v>
      </c>
      <c r="E137" s="39"/>
      <c r="F137" s="40"/>
      <c r="G137" s="41"/>
      <c r="H137" s="41"/>
      <c r="I137" s="41"/>
      <c r="J137" s="41"/>
      <c r="K137" s="41"/>
      <c r="L137" s="39"/>
      <c r="M137" s="40"/>
      <c r="N137" s="41"/>
      <c r="O137" s="41"/>
      <c r="P137" s="41"/>
      <c r="Q137" s="41"/>
      <c r="R137" s="41"/>
      <c r="S137" s="39"/>
      <c r="T137" s="40"/>
      <c r="U137" s="41"/>
      <c r="V137" s="41"/>
      <c r="W137" s="41"/>
      <c r="X137" s="41"/>
      <c r="Y137" s="41"/>
      <c r="Z137" s="39"/>
      <c r="AA137" s="39"/>
      <c r="AB137" s="41"/>
      <c r="AC137" s="41"/>
      <c r="AD137" s="41"/>
      <c r="AE137" s="41"/>
      <c r="AF137" s="41"/>
      <c r="AG137" s="39"/>
      <c r="AH137" s="39"/>
      <c r="AI137" s="41"/>
      <c r="AJ13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7" s="42" t="str">
        <f ca="1">IF(Август[[#This Row],[УСЛУГ]]&lt;&gt;"",Август[[#This Row],[УСЛУГ]]*Август[[#This Row],[Периодичность]],"")</f>
        <v/>
      </c>
    </row>
    <row r="138" spans="1:37" x14ac:dyDescent="0.25">
      <c r="A138" s="35"/>
      <c r="B138" s="36"/>
      <c r="C138" s="37">
        <v>0</v>
      </c>
      <c r="D138" s="38">
        <v>3</v>
      </c>
      <c r="E138" s="39"/>
      <c r="F138" s="40"/>
      <c r="G138" s="41"/>
      <c r="H138" s="41"/>
      <c r="I138" s="41"/>
      <c r="J138" s="41"/>
      <c r="K138" s="41"/>
      <c r="L138" s="39"/>
      <c r="M138" s="40"/>
      <c r="N138" s="41"/>
      <c r="O138" s="41"/>
      <c r="P138" s="41"/>
      <c r="Q138" s="41"/>
      <c r="R138" s="41"/>
      <c r="S138" s="39"/>
      <c r="T138" s="40"/>
      <c r="U138" s="41"/>
      <c r="V138" s="41"/>
      <c r="W138" s="41"/>
      <c r="X138" s="41"/>
      <c r="Y138" s="41"/>
      <c r="Z138" s="39"/>
      <c r="AA138" s="39"/>
      <c r="AB138" s="41"/>
      <c r="AC138" s="41"/>
      <c r="AD138" s="41"/>
      <c r="AE138" s="41"/>
      <c r="AF138" s="41"/>
      <c r="AG138" s="39"/>
      <c r="AH138" s="39"/>
      <c r="AI138" s="41"/>
      <c r="AJ13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38" s="42" t="str">
        <f ca="1">IF(Август[[#This Row],[УСЛУГ]]&lt;&gt;"",Август[[#This Row],[УСЛУГ]]*Август[[#This Row],[Периодичность]],"")</f>
        <v/>
      </c>
    </row>
    <row r="139" spans="1:37" ht="31.5" x14ac:dyDescent="0.25">
      <c r="A139" s="35" t="s">
        <v>39</v>
      </c>
      <c r="B139" s="36"/>
      <c r="C139" s="37">
        <v>0</v>
      </c>
      <c r="D139" s="38">
        <v>1</v>
      </c>
      <c r="E139" s="39"/>
      <c r="F139" s="40"/>
      <c r="G139" s="41"/>
      <c r="H139" s="41"/>
      <c r="I139" s="41"/>
      <c r="J139" s="41"/>
      <c r="K139" s="41"/>
      <c r="L139" s="39"/>
      <c r="M139" s="40"/>
      <c r="N139" s="41"/>
      <c r="O139" s="41"/>
      <c r="P139" s="41"/>
      <c r="Q139" s="41"/>
      <c r="R139" s="41"/>
      <c r="S139" s="39"/>
      <c r="T139" s="40"/>
      <c r="U139" s="41"/>
      <c r="V139" s="41"/>
      <c r="W139" s="41"/>
      <c r="X139" s="41"/>
      <c r="Y139" s="41"/>
      <c r="Z139" s="39"/>
      <c r="AA139" s="39"/>
      <c r="AB139" s="41"/>
      <c r="AC139" s="41"/>
      <c r="AD139" s="41"/>
      <c r="AE139" s="41"/>
      <c r="AF139" s="41"/>
      <c r="AG139" s="39"/>
      <c r="AH139" s="39"/>
      <c r="AI139" s="41"/>
      <c r="AJ139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39" s="42">
        <f ca="1">IF(Август[[#This Row],[УСЛУГ]]&lt;&gt;"",Август[[#This Row],[УСЛУГ]]*Август[[#This Row],[Периодичность]],"")</f>
        <v>0</v>
      </c>
    </row>
    <row r="140" spans="1:37" x14ac:dyDescent="0.25">
      <c r="A140" s="35"/>
      <c r="B140" s="36"/>
      <c r="C140" s="37">
        <v>0</v>
      </c>
      <c r="D140" s="38">
        <v>2</v>
      </c>
      <c r="E140" s="39"/>
      <c r="F140" s="40"/>
      <c r="G140" s="41"/>
      <c r="H140" s="41"/>
      <c r="I140" s="41"/>
      <c r="J140" s="41"/>
      <c r="K140" s="41"/>
      <c r="L140" s="39"/>
      <c r="M140" s="40"/>
      <c r="N140" s="41"/>
      <c r="O140" s="41"/>
      <c r="P140" s="41"/>
      <c r="Q140" s="41"/>
      <c r="R140" s="41"/>
      <c r="S140" s="39"/>
      <c r="T140" s="40"/>
      <c r="U140" s="41"/>
      <c r="V140" s="41"/>
      <c r="W140" s="41"/>
      <c r="X140" s="41"/>
      <c r="Y140" s="41"/>
      <c r="Z140" s="39"/>
      <c r="AA140" s="39"/>
      <c r="AB140" s="41"/>
      <c r="AC140" s="41"/>
      <c r="AD140" s="41"/>
      <c r="AE140" s="41"/>
      <c r="AF140" s="41"/>
      <c r="AG140" s="39"/>
      <c r="AH140" s="39"/>
      <c r="AI140" s="41"/>
      <c r="AJ14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0" s="42" t="str">
        <f ca="1">IF(Август[[#This Row],[УСЛУГ]]&lt;&gt;"",Август[[#This Row],[УСЛУГ]]*Август[[#This Row],[Периодичность]],"")</f>
        <v/>
      </c>
    </row>
    <row r="141" spans="1:37" x14ac:dyDescent="0.25">
      <c r="A141" s="35"/>
      <c r="B141" s="36"/>
      <c r="C141" s="37">
        <v>0</v>
      </c>
      <c r="D141" s="38">
        <v>3</v>
      </c>
      <c r="E141" s="39"/>
      <c r="F141" s="40"/>
      <c r="G141" s="41"/>
      <c r="H141" s="41"/>
      <c r="I141" s="41"/>
      <c r="J141" s="41"/>
      <c r="K141" s="41"/>
      <c r="L141" s="39"/>
      <c r="M141" s="40"/>
      <c r="N141" s="41"/>
      <c r="O141" s="41"/>
      <c r="P141" s="41"/>
      <c r="Q141" s="41"/>
      <c r="R141" s="41"/>
      <c r="S141" s="39"/>
      <c r="T141" s="40"/>
      <c r="U141" s="41"/>
      <c r="V141" s="41"/>
      <c r="W141" s="41"/>
      <c r="X141" s="41"/>
      <c r="Y141" s="41"/>
      <c r="Z141" s="39"/>
      <c r="AA141" s="39"/>
      <c r="AB141" s="41"/>
      <c r="AC141" s="41"/>
      <c r="AD141" s="41"/>
      <c r="AE141" s="41"/>
      <c r="AF141" s="41"/>
      <c r="AG141" s="39"/>
      <c r="AH141" s="39"/>
      <c r="AI141" s="41"/>
      <c r="AJ14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1" s="42" t="str">
        <f ca="1">IF(Август[[#This Row],[УСЛУГ]]&lt;&gt;"",Август[[#This Row],[УСЛУГ]]*Август[[#This Row],[Периодичность]],"")</f>
        <v/>
      </c>
    </row>
    <row r="142" spans="1:37" ht="47.25" x14ac:dyDescent="0.25">
      <c r="A142" s="35" t="s">
        <v>149</v>
      </c>
      <c r="B142" s="36"/>
      <c r="C142" s="37">
        <v>0</v>
      </c>
      <c r="D142" s="38">
        <v>1</v>
      </c>
      <c r="E142" s="39"/>
      <c r="F142" s="40"/>
      <c r="G142" s="41"/>
      <c r="H142" s="41"/>
      <c r="I142" s="41"/>
      <c r="J142" s="41"/>
      <c r="K142" s="41"/>
      <c r="L142" s="39"/>
      <c r="M142" s="40"/>
      <c r="N142" s="41"/>
      <c r="O142" s="41"/>
      <c r="P142" s="41"/>
      <c r="Q142" s="41"/>
      <c r="R142" s="41"/>
      <c r="S142" s="39"/>
      <c r="T142" s="40"/>
      <c r="U142" s="41"/>
      <c r="V142" s="41"/>
      <c r="W142" s="41"/>
      <c r="X142" s="41"/>
      <c r="Y142" s="41"/>
      <c r="Z142" s="39"/>
      <c r="AA142" s="39"/>
      <c r="AB142" s="41"/>
      <c r="AC142" s="41"/>
      <c r="AD142" s="41"/>
      <c r="AE142" s="41"/>
      <c r="AF142" s="41"/>
      <c r="AG142" s="39"/>
      <c r="AH142" s="39"/>
      <c r="AI142" s="41"/>
      <c r="AJ142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42" s="42">
        <f ca="1">IF(Август[[#This Row],[УСЛУГ]]&lt;&gt;"",Август[[#This Row],[УСЛУГ]]*Август[[#This Row],[Периодичность]],"")</f>
        <v>0</v>
      </c>
    </row>
    <row r="143" spans="1:37" x14ac:dyDescent="0.25">
      <c r="A143" s="35"/>
      <c r="B143" s="36"/>
      <c r="C143" s="37">
        <v>0</v>
      </c>
      <c r="D143" s="38">
        <v>2</v>
      </c>
      <c r="E143" s="39"/>
      <c r="F143" s="40"/>
      <c r="G143" s="41"/>
      <c r="H143" s="41"/>
      <c r="I143" s="41"/>
      <c r="J143" s="41"/>
      <c r="K143" s="41"/>
      <c r="L143" s="39"/>
      <c r="M143" s="40"/>
      <c r="N143" s="41"/>
      <c r="O143" s="41"/>
      <c r="P143" s="41"/>
      <c r="Q143" s="41"/>
      <c r="R143" s="41"/>
      <c r="S143" s="39"/>
      <c r="T143" s="40"/>
      <c r="U143" s="41"/>
      <c r="V143" s="41"/>
      <c r="W143" s="41"/>
      <c r="X143" s="41"/>
      <c r="Y143" s="41"/>
      <c r="Z143" s="39"/>
      <c r="AA143" s="39"/>
      <c r="AB143" s="41"/>
      <c r="AC143" s="41"/>
      <c r="AD143" s="41"/>
      <c r="AE143" s="41"/>
      <c r="AF143" s="41"/>
      <c r="AG143" s="39"/>
      <c r="AH143" s="39"/>
      <c r="AI143" s="41"/>
      <c r="AJ14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3" s="42" t="str">
        <f ca="1">IF(Август[[#This Row],[УСЛУГ]]&lt;&gt;"",Август[[#This Row],[УСЛУГ]]*Август[[#This Row],[Периодичность]],"")</f>
        <v/>
      </c>
    </row>
    <row r="144" spans="1:37" x14ac:dyDescent="0.25">
      <c r="A144" s="35"/>
      <c r="B144" s="36"/>
      <c r="C144" s="37">
        <v>0</v>
      </c>
      <c r="D144" s="38">
        <v>3</v>
      </c>
      <c r="E144" s="39"/>
      <c r="F144" s="40"/>
      <c r="G144" s="41"/>
      <c r="H144" s="41"/>
      <c r="I144" s="41"/>
      <c r="J144" s="41"/>
      <c r="K144" s="41"/>
      <c r="L144" s="39"/>
      <c r="M144" s="40"/>
      <c r="N144" s="41"/>
      <c r="O144" s="41"/>
      <c r="P144" s="41"/>
      <c r="Q144" s="41"/>
      <c r="R144" s="41"/>
      <c r="S144" s="39"/>
      <c r="T144" s="40"/>
      <c r="U144" s="41"/>
      <c r="V144" s="41"/>
      <c r="W144" s="41"/>
      <c r="X144" s="41"/>
      <c r="Y144" s="41"/>
      <c r="Z144" s="39"/>
      <c r="AA144" s="39"/>
      <c r="AB144" s="41"/>
      <c r="AC144" s="41"/>
      <c r="AD144" s="41"/>
      <c r="AE144" s="41"/>
      <c r="AF144" s="41"/>
      <c r="AG144" s="39"/>
      <c r="AH144" s="39"/>
      <c r="AI144" s="41"/>
      <c r="AJ14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4" s="42" t="str">
        <f ca="1">IF(Август[[#This Row],[УСЛУГ]]&lt;&gt;"",Август[[#This Row],[УСЛУГ]]*Август[[#This Row],[Периодичность]],"")</f>
        <v/>
      </c>
    </row>
    <row r="145" spans="1:37" ht="47.25" x14ac:dyDescent="0.25">
      <c r="A145" s="35" t="s">
        <v>150</v>
      </c>
      <c r="B145" s="36"/>
      <c r="C145" s="37">
        <v>0</v>
      </c>
      <c r="D145" s="38">
        <v>1</v>
      </c>
      <c r="E145" s="39"/>
      <c r="F145" s="40"/>
      <c r="G145" s="41"/>
      <c r="H145" s="41"/>
      <c r="I145" s="41"/>
      <c r="J145" s="41"/>
      <c r="K145" s="41"/>
      <c r="L145" s="39"/>
      <c r="M145" s="40"/>
      <c r="N145" s="41"/>
      <c r="O145" s="41"/>
      <c r="P145" s="41"/>
      <c r="Q145" s="41"/>
      <c r="R145" s="41"/>
      <c r="S145" s="39"/>
      <c r="T145" s="40"/>
      <c r="U145" s="41"/>
      <c r="V145" s="41"/>
      <c r="W145" s="41"/>
      <c r="X145" s="41"/>
      <c r="Y145" s="41"/>
      <c r="Z145" s="39"/>
      <c r="AA145" s="39"/>
      <c r="AB145" s="41"/>
      <c r="AC145" s="41"/>
      <c r="AD145" s="41"/>
      <c r="AE145" s="41"/>
      <c r="AF145" s="41"/>
      <c r="AG145" s="39"/>
      <c r="AH145" s="39"/>
      <c r="AI145" s="41"/>
      <c r="AJ145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45" s="42">
        <f ca="1">IF(Август[[#This Row],[УСЛУГ]]&lt;&gt;"",Август[[#This Row],[УСЛУГ]]*Август[[#This Row],[Периодичность]],"")</f>
        <v>0</v>
      </c>
    </row>
    <row r="146" spans="1:37" x14ac:dyDescent="0.25">
      <c r="A146" s="35"/>
      <c r="B146" s="36"/>
      <c r="C146" s="37">
        <v>0</v>
      </c>
      <c r="D146" s="38">
        <v>2</v>
      </c>
      <c r="E146" s="39"/>
      <c r="F146" s="40"/>
      <c r="G146" s="41"/>
      <c r="H146" s="41"/>
      <c r="I146" s="41"/>
      <c r="J146" s="41"/>
      <c r="K146" s="41"/>
      <c r="L146" s="39"/>
      <c r="M146" s="40"/>
      <c r="N146" s="41"/>
      <c r="O146" s="41"/>
      <c r="P146" s="41"/>
      <c r="Q146" s="41"/>
      <c r="R146" s="41"/>
      <c r="S146" s="39"/>
      <c r="T146" s="40"/>
      <c r="U146" s="41"/>
      <c r="V146" s="41"/>
      <c r="W146" s="41"/>
      <c r="X146" s="41"/>
      <c r="Y146" s="41"/>
      <c r="Z146" s="39"/>
      <c r="AA146" s="39"/>
      <c r="AB146" s="41"/>
      <c r="AC146" s="41"/>
      <c r="AD146" s="41"/>
      <c r="AE146" s="41"/>
      <c r="AF146" s="41"/>
      <c r="AG146" s="39"/>
      <c r="AH146" s="39"/>
      <c r="AI146" s="41"/>
      <c r="AJ14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6" s="42" t="str">
        <f ca="1">IF(Август[[#This Row],[УСЛУГ]]&lt;&gt;"",Август[[#This Row],[УСЛУГ]]*Август[[#This Row],[Периодичность]],"")</f>
        <v/>
      </c>
    </row>
    <row r="147" spans="1:37" x14ac:dyDescent="0.25">
      <c r="A147" s="35"/>
      <c r="B147" s="36"/>
      <c r="C147" s="37">
        <v>0</v>
      </c>
      <c r="D147" s="38">
        <v>3</v>
      </c>
      <c r="E147" s="39"/>
      <c r="F147" s="40"/>
      <c r="G147" s="41"/>
      <c r="H147" s="41"/>
      <c r="I147" s="41"/>
      <c r="J147" s="41"/>
      <c r="K147" s="41"/>
      <c r="L147" s="39"/>
      <c r="M147" s="40"/>
      <c r="N147" s="41"/>
      <c r="O147" s="41"/>
      <c r="P147" s="41"/>
      <c r="Q147" s="41"/>
      <c r="R147" s="41"/>
      <c r="S147" s="39"/>
      <c r="T147" s="40"/>
      <c r="U147" s="41"/>
      <c r="V147" s="41"/>
      <c r="W147" s="41"/>
      <c r="X147" s="41"/>
      <c r="Y147" s="41"/>
      <c r="Z147" s="39"/>
      <c r="AA147" s="39"/>
      <c r="AB147" s="41"/>
      <c r="AC147" s="41"/>
      <c r="AD147" s="41"/>
      <c r="AE147" s="41"/>
      <c r="AF147" s="41"/>
      <c r="AG147" s="39"/>
      <c r="AH147" s="39"/>
      <c r="AI147" s="41"/>
      <c r="AJ14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7" s="42" t="str">
        <f ca="1">IF(Август[[#This Row],[УСЛУГ]]&lt;&gt;"",Август[[#This Row],[УСЛУГ]]*Август[[#This Row],[Периодичность]],"")</f>
        <v/>
      </c>
    </row>
    <row r="148" spans="1:37" ht="47.25" x14ac:dyDescent="0.25">
      <c r="A148" s="35" t="s">
        <v>151</v>
      </c>
      <c r="B148" s="36"/>
      <c r="C148" s="37">
        <v>0</v>
      </c>
      <c r="D148" s="38">
        <v>1</v>
      </c>
      <c r="E148" s="39"/>
      <c r="F148" s="40"/>
      <c r="G148" s="41"/>
      <c r="H148" s="41"/>
      <c r="I148" s="41"/>
      <c r="J148" s="41"/>
      <c r="K148" s="41"/>
      <c r="L148" s="39"/>
      <c r="M148" s="40"/>
      <c r="N148" s="41"/>
      <c r="O148" s="41"/>
      <c r="P148" s="41"/>
      <c r="Q148" s="41"/>
      <c r="R148" s="41"/>
      <c r="S148" s="39"/>
      <c r="T148" s="40"/>
      <c r="U148" s="41"/>
      <c r="V148" s="41"/>
      <c r="W148" s="41"/>
      <c r="X148" s="41"/>
      <c r="Y148" s="41"/>
      <c r="Z148" s="39"/>
      <c r="AA148" s="39"/>
      <c r="AB148" s="41"/>
      <c r="AC148" s="41"/>
      <c r="AD148" s="41"/>
      <c r="AE148" s="41"/>
      <c r="AF148" s="41"/>
      <c r="AG148" s="39"/>
      <c r="AH148" s="39"/>
      <c r="AI148" s="41"/>
      <c r="AJ148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48" s="42">
        <f ca="1">IF(Август[[#This Row],[УСЛУГ]]&lt;&gt;"",Август[[#This Row],[УСЛУГ]]*Август[[#This Row],[Периодичность]],"")</f>
        <v>0</v>
      </c>
    </row>
    <row r="149" spans="1:37" x14ac:dyDescent="0.25">
      <c r="A149" s="35"/>
      <c r="B149" s="36"/>
      <c r="C149" s="37">
        <v>0</v>
      </c>
      <c r="D149" s="38">
        <v>2</v>
      </c>
      <c r="E149" s="39"/>
      <c r="F149" s="40"/>
      <c r="G149" s="41"/>
      <c r="H149" s="41"/>
      <c r="I149" s="41"/>
      <c r="J149" s="41"/>
      <c r="K149" s="41"/>
      <c r="L149" s="39"/>
      <c r="M149" s="40"/>
      <c r="N149" s="41"/>
      <c r="O149" s="41"/>
      <c r="P149" s="41"/>
      <c r="Q149" s="41"/>
      <c r="R149" s="41"/>
      <c r="S149" s="39"/>
      <c r="T149" s="40"/>
      <c r="U149" s="41"/>
      <c r="V149" s="41"/>
      <c r="W149" s="41"/>
      <c r="X149" s="41"/>
      <c r="Y149" s="41"/>
      <c r="Z149" s="39"/>
      <c r="AA149" s="39"/>
      <c r="AB149" s="41"/>
      <c r="AC149" s="41"/>
      <c r="AD149" s="41"/>
      <c r="AE149" s="41"/>
      <c r="AF149" s="41"/>
      <c r="AG149" s="39"/>
      <c r="AH149" s="39"/>
      <c r="AI149" s="41"/>
      <c r="AJ14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49" s="42" t="str">
        <f ca="1">IF(Август[[#This Row],[УСЛУГ]]&lt;&gt;"",Август[[#This Row],[УСЛУГ]]*Август[[#This Row],[Периодичность]],"")</f>
        <v/>
      </c>
    </row>
    <row r="150" spans="1:37" x14ac:dyDescent="0.25">
      <c r="A150" s="35"/>
      <c r="B150" s="36"/>
      <c r="C150" s="37">
        <v>0</v>
      </c>
      <c r="D150" s="38">
        <v>3</v>
      </c>
      <c r="E150" s="39"/>
      <c r="F150" s="40"/>
      <c r="G150" s="41"/>
      <c r="H150" s="41"/>
      <c r="I150" s="41"/>
      <c r="J150" s="41"/>
      <c r="K150" s="41"/>
      <c r="L150" s="39"/>
      <c r="M150" s="40"/>
      <c r="N150" s="41"/>
      <c r="O150" s="41"/>
      <c r="P150" s="41"/>
      <c r="Q150" s="41"/>
      <c r="R150" s="41"/>
      <c r="S150" s="39"/>
      <c r="T150" s="40"/>
      <c r="U150" s="41"/>
      <c r="V150" s="41"/>
      <c r="W150" s="41"/>
      <c r="X150" s="41"/>
      <c r="Y150" s="41"/>
      <c r="Z150" s="39"/>
      <c r="AA150" s="39"/>
      <c r="AB150" s="41"/>
      <c r="AC150" s="41"/>
      <c r="AD150" s="41"/>
      <c r="AE150" s="41"/>
      <c r="AF150" s="41"/>
      <c r="AG150" s="39"/>
      <c r="AH150" s="39"/>
      <c r="AI150" s="41"/>
      <c r="AJ15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0" s="42" t="str">
        <f ca="1">IF(Август[[#This Row],[УСЛУГ]]&lt;&gt;"",Август[[#This Row],[УСЛУГ]]*Август[[#This Row],[Периодичность]],"")</f>
        <v/>
      </c>
    </row>
    <row r="151" spans="1:37" ht="47.25" x14ac:dyDescent="0.25">
      <c r="A151" s="35" t="s">
        <v>75</v>
      </c>
      <c r="B151" s="36"/>
      <c r="C151" s="37">
        <v>0</v>
      </c>
      <c r="D151" s="38">
        <v>1</v>
      </c>
      <c r="E151" s="39"/>
      <c r="F151" s="40"/>
      <c r="G151" s="41"/>
      <c r="H151" s="41"/>
      <c r="I151" s="41"/>
      <c r="J151" s="41"/>
      <c r="K151" s="41"/>
      <c r="L151" s="39"/>
      <c r="M151" s="40"/>
      <c r="N151" s="41"/>
      <c r="O151" s="41"/>
      <c r="P151" s="41"/>
      <c r="Q151" s="41"/>
      <c r="R151" s="41"/>
      <c r="S151" s="39"/>
      <c r="T151" s="40"/>
      <c r="U151" s="41"/>
      <c r="V151" s="41"/>
      <c r="W151" s="41"/>
      <c r="X151" s="41"/>
      <c r="Y151" s="41"/>
      <c r="Z151" s="39"/>
      <c r="AA151" s="39"/>
      <c r="AB151" s="41"/>
      <c r="AC151" s="41"/>
      <c r="AD151" s="41"/>
      <c r="AE151" s="41"/>
      <c r="AF151" s="41"/>
      <c r="AG151" s="39"/>
      <c r="AH151" s="39"/>
      <c r="AI151" s="41"/>
      <c r="AJ151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51" s="42">
        <f ca="1">IF(Август[[#This Row],[УСЛУГ]]&lt;&gt;"",Август[[#This Row],[УСЛУГ]]*Август[[#This Row],[Периодичность]],"")</f>
        <v>0</v>
      </c>
    </row>
    <row r="152" spans="1:37" x14ac:dyDescent="0.25">
      <c r="A152" s="35"/>
      <c r="B152" s="36"/>
      <c r="C152" s="37">
        <v>0</v>
      </c>
      <c r="D152" s="38">
        <v>2</v>
      </c>
      <c r="E152" s="39"/>
      <c r="F152" s="40"/>
      <c r="G152" s="41"/>
      <c r="H152" s="41"/>
      <c r="I152" s="41"/>
      <c r="J152" s="41"/>
      <c r="K152" s="41"/>
      <c r="L152" s="39"/>
      <c r="M152" s="40"/>
      <c r="N152" s="41"/>
      <c r="O152" s="41"/>
      <c r="P152" s="41"/>
      <c r="Q152" s="41"/>
      <c r="R152" s="41"/>
      <c r="S152" s="39"/>
      <c r="T152" s="40"/>
      <c r="U152" s="41"/>
      <c r="V152" s="41"/>
      <c r="W152" s="41"/>
      <c r="X152" s="41"/>
      <c r="Y152" s="41"/>
      <c r="Z152" s="39"/>
      <c r="AA152" s="39"/>
      <c r="AB152" s="41"/>
      <c r="AC152" s="41"/>
      <c r="AD152" s="41"/>
      <c r="AE152" s="41"/>
      <c r="AF152" s="41"/>
      <c r="AG152" s="39"/>
      <c r="AH152" s="39"/>
      <c r="AI152" s="41"/>
      <c r="AJ15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2" s="42" t="str">
        <f ca="1">IF(Август[[#This Row],[УСЛУГ]]&lt;&gt;"",Август[[#This Row],[УСЛУГ]]*Август[[#This Row],[Периодичность]],"")</f>
        <v/>
      </c>
    </row>
    <row r="153" spans="1:37" x14ac:dyDescent="0.25">
      <c r="A153" s="35"/>
      <c r="B153" s="36"/>
      <c r="C153" s="37">
        <v>0</v>
      </c>
      <c r="D153" s="38">
        <v>3</v>
      </c>
      <c r="E153" s="39"/>
      <c r="F153" s="40"/>
      <c r="G153" s="41"/>
      <c r="H153" s="41"/>
      <c r="I153" s="41"/>
      <c r="J153" s="41"/>
      <c r="K153" s="41"/>
      <c r="L153" s="39"/>
      <c r="M153" s="40"/>
      <c r="N153" s="41"/>
      <c r="O153" s="41"/>
      <c r="P153" s="41"/>
      <c r="Q153" s="41"/>
      <c r="R153" s="41"/>
      <c r="S153" s="39"/>
      <c r="T153" s="40"/>
      <c r="U153" s="41"/>
      <c r="V153" s="41"/>
      <c r="W153" s="41"/>
      <c r="X153" s="41"/>
      <c r="Y153" s="41"/>
      <c r="Z153" s="39"/>
      <c r="AA153" s="39"/>
      <c r="AB153" s="41"/>
      <c r="AC153" s="41"/>
      <c r="AD153" s="41"/>
      <c r="AE153" s="41"/>
      <c r="AF153" s="41"/>
      <c r="AG153" s="39"/>
      <c r="AH153" s="39"/>
      <c r="AI153" s="41"/>
      <c r="AJ15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3" s="42" t="str">
        <f ca="1">IF(Август[[#This Row],[УСЛУГ]]&lt;&gt;"",Август[[#This Row],[УСЛУГ]]*Август[[#This Row],[Периодичность]],"")</f>
        <v/>
      </c>
    </row>
    <row r="154" spans="1:37" ht="47.25" x14ac:dyDescent="0.25">
      <c r="A154" s="35" t="s">
        <v>74</v>
      </c>
      <c r="B154" s="36"/>
      <c r="C154" s="37">
        <v>0</v>
      </c>
      <c r="D154" s="38">
        <v>1</v>
      </c>
      <c r="E154" s="39"/>
      <c r="F154" s="40"/>
      <c r="G154" s="41"/>
      <c r="H154" s="41"/>
      <c r="I154" s="41"/>
      <c r="J154" s="41"/>
      <c r="K154" s="41"/>
      <c r="L154" s="39"/>
      <c r="M154" s="40"/>
      <c r="N154" s="41"/>
      <c r="O154" s="41"/>
      <c r="P154" s="41"/>
      <c r="Q154" s="41"/>
      <c r="R154" s="41"/>
      <c r="S154" s="39"/>
      <c r="T154" s="40"/>
      <c r="U154" s="41"/>
      <c r="V154" s="41"/>
      <c r="W154" s="41"/>
      <c r="X154" s="41"/>
      <c r="Y154" s="41"/>
      <c r="Z154" s="39"/>
      <c r="AA154" s="39"/>
      <c r="AB154" s="41"/>
      <c r="AC154" s="41"/>
      <c r="AD154" s="41"/>
      <c r="AE154" s="41"/>
      <c r="AF154" s="41"/>
      <c r="AG154" s="39"/>
      <c r="AH154" s="39"/>
      <c r="AI154" s="41"/>
      <c r="AJ154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54" s="42">
        <f ca="1">IF(Август[[#This Row],[УСЛУГ]]&lt;&gt;"",Август[[#This Row],[УСЛУГ]]*Август[[#This Row],[Периодичность]],"")</f>
        <v>0</v>
      </c>
    </row>
    <row r="155" spans="1:37" x14ac:dyDescent="0.25">
      <c r="A155" s="35"/>
      <c r="B155" s="36"/>
      <c r="C155" s="37">
        <v>0</v>
      </c>
      <c r="D155" s="38">
        <v>2</v>
      </c>
      <c r="E155" s="39"/>
      <c r="F155" s="40"/>
      <c r="G155" s="41"/>
      <c r="H155" s="41"/>
      <c r="I155" s="41"/>
      <c r="J155" s="41"/>
      <c r="K155" s="41"/>
      <c r="L155" s="39"/>
      <c r="M155" s="40"/>
      <c r="N155" s="41"/>
      <c r="O155" s="41"/>
      <c r="P155" s="41"/>
      <c r="Q155" s="41"/>
      <c r="R155" s="41"/>
      <c r="S155" s="39"/>
      <c r="T155" s="40"/>
      <c r="U155" s="41"/>
      <c r="V155" s="41"/>
      <c r="W155" s="41"/>
      <c r="X155" s="41"/>
      <c r="Y155" s="41"/>
      <c r="Z155" s="39"/>
      <c r="AA155" s="39"/>
      <c r="AB155" s="41"/>
      <c r="AC155" s="41"/>
      <c r="AD155" s="41"/>
      <c r="AE155" s="41"/>
      <c r="AF155" s="41"/>
      <c r="AG155" s="39"/>
      <c r="AH155" s="39"/>
      <c r="AI155" s="41"/>
      <c r="AJ15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5" s="42" t="str">
        <f ca="1">IF(Август[[#This Row],[УСЛУГ]]&lt;&gt;"",Август[[#This Row],[УСЛУГ]]*Август[[#This Row],[Периодичность]],"")</f>
        <v/>
      </c>
    </row>
    <row r="156" spans="1:37" x14ac:dyDescent="0.25">
      <c r="A156" s="35"/>
      <c r="B156" s="36"/>
      <c r="C156" s="37">
        <v>0</v>
      </c>
      <c r="D156" s="38">
        <v>3</v>
      </c>
      <c r="E156" s="39"/>
      <c r="F156" s="40"/>
      <c r="G156" s="41"/>
      <c r="H156" s="41"/>
      <c r="I156" s="41"/>
      <c r="J156" s="41"/>
      <c r="K156" s="41"/>
      <c r="L156" s="39"/>
      <c r="M156" s="40"/>
      <c r="N156" s="41"/>
      <c r="O156" s="41"/>
      <c r="P156" s="41"/>
      <c r="Q156" s="41"/>
      <c r="R156" s="41"/>
      <c r="S156" s="39"/>
      <c r="T156" s="40"/>
      <c r="U156" s="41"/>
      <c r="V156" s="41"/>
      <c r="W156" s="41"/>
      <c r="X156" s="41"/>
      <c r="Y156" s="41"/>
      <c r="Z156" s="39"/>
      <c r="AA156" s="39"/>
      <c r="AB156" s="41"/>
      <c r="AC156" s="41"/>
      <c r="AD156" s="41"/>
      <c r="AE156" s="41"/>
      <c r="AF156" s="41"/>
      <c r="AG156" s="39"/>
      <c r="AH156" s="39"/>
      <c r="AI156" s="41"/>
      <c r="AJ156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6" s="42" t="str">
        <f ca="1">IF(Август[[#This Row],[УСЛУГ]]&lt;&gt;"",Август[[#This Row],[УСЛУГ]]*Август[[#This Row],[Периодичность]],"")</f>
        <v/>
      </c>
    </row>
    <row r="157" spans="1:37" ht="47.25" x14ac:dyDescent="0.25">
      <c r="A157" s="35" t="s">
        <v>152</v>
      </c>
      <c r="B157" s="36"/>
      <c r="C157" s="37">
        <v>0</v>
      </c>
      <c r="D157" s="38">
        <v>1</v>
      </c>
      <c r="E157" s="39"/>
      <c r="F157" s="40"/>
      <c r="G157" s="41"/>
      <c r="H157" s="41"/>
      <c r="I157" s="41"/>
      <c r="J157" s="41"/>
      <c r="K157" s="41"/>
      <c r="L157" s="39"/>
      <c r="M157" s="40"/>
      <c r="N157" s="41"/>
      <c r="O157" s="41"/>
      <c r="P157" s="41"/>
      <c r="Q157" s="41"/>
      <c r="R157" s="41"/>
      <c r="S157" s="39"/>
      <c r="T157" s="40"/>
      <c r="U157" s="41"/>
      <c r="V157" s="41"/>
      <c r="W157" s="41"/>
      <c r="X157" s="41"/>
      <c r="Y157" s="41"/>
      <c r="Z157" s="39"/>
      <c r="AA157" s="39"/>
      <c r="AB157" s="41"/>
      <c r="AC157" s="41"/>
      <c r="AD157" s="41"/>
      <c r="AE157" s="41"/>
      <c r="AF157" s="41"/>
      <c r="AG157" s="39"/>
      <c r="AH157" s="39"/>
      <c r="AI157" s="41"/>
      <c r="AJ157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57" s="42">
        <f ca="1">IF(Август[[#This Row],[УСЛУГ]]&lt;&gt;"",Август[[#This Row],[УСЛУГ]]*Август[[#This Row],[Периодичность]],"")</f>
        <v>0</v>
      </c>
    </row>
    <row r="158" spans="1:37" x14ac:dyDescent="0.25">
      <c r="A158" s="35"/>
      <c r="B158" s="36"/>
      <c r="C158" s="37">
        <v>0</v>
      </c>
      <c r="D158" s="38">
        <v>2</v>
      </c>
      <c r="E158" s="39"/>
      <c r="F158" s="40"/>
      <c r="G158" s="41"/>
      <c r="H158" s="41"/>
      <c r="I158" s="41"/>
      <c r="J158" s="41"/>
      <c r="K158" s="41"/>
      <c r="L158" s="39"/>
      <c r="M158" s="40"/>
      <c r="N158" s="41"/>
      <c r="O158" s="41"/>
      <c r="P158" s="41"/>
      <c r="Q158" s="41"/>
      <c r="R158" s="41"/>
      <c r="S158" s="39"/>
      <c r="T158" s="40"/>
      <c r="U158" s="41"/>
      <c r="V158" s="41"/>
      <c r="W158" s="41"/>
      <c r="X158" s="41"/>
      <c r="Y158" s="41"/>
      <c r="Z158" s="39"/>
      <c r="AA158" s="39"/>
      <c r="AB158" s="41"/>
      <c r="AC158" s="41"/>
      <c r="AD158" s="41"/>
      <c r="AE158" s="41"/>
      <c r="AF158" s="41"/>
      <c r="AG158" s="39"/>
      <c r="AH158" s="39"/>
      <c r="AI158" s="41"/>
      <c r="AJ15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8" s="42" t="str">
        <f ca="1">IF(Август[[#This Row],[УСЛУГ]]&lt;&gt;"",Август[[#This Row],[УСЛУГ]]*Август[[#This Row],[Периодичность]],"")</f>
        <v/>
      </c>
    </row>
    <row r="159" spans="1:37" x14ac:dyDescent="0.25">
      <c r="A159" s="35"/>
      <c r="B159" s="36"/>
      <c r="C159" s="37">
        <v>0</v>
      </c>
      <c r="D159" s="38">
        <v>3</v>
      </c>
      <c r="E159" s="39"/>
      <c r="F159" s="40"/>
      <c r="G159" s="41"/>
      <c r="H159" s="41"/>
      <c r="I159" s="41"/>
      <c r="J159" s="41"/>
      <c r="K159" s="41"/>
      <c r="L159" s="39"/>
      <c r="M159" s="40"/>
      <c r="N159" s="41"/>
      <c r="O159" s="41"/>
      <c r="P159" s="41"/>
      <c r="Q159" s="41"/>
      <c r="R159" s="41"/>
      <c r="S159" s="39"/>
      <c r="T159" s="40"/>
      <c r="U159" s="41"/>
      <c r="V159" s="41"/>
      <c r="W159" s="41"/>
      <c r="X159" s="41"/>
      <c r="Y159" s="41"/>
      <c r="Z159" s="39"/>
      <c r="AA159" s="39"/>
      <c r="AB159" s="41"/>
      <c r="AC159" s="41"/>
      <c r="AD159" s="41"/>
      <c r="AE159" s="41"/>
      <c r="AF159" s="41"/>
      <c r="AG159" s="39"/>
      <c r="AH159" s="39"/>
      <c r="AI159" s="41"/>
      <c r="AJ159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59" s="42" t="str">
        <f ca="1">IF(Август[[#This Row],[УСЛУГ]]&lt;&gt;"",Август[[#This Row],[УСЛУГ]]*Август[[#This Row],[Периодичность]],"")</f>
        <v/>
      </c>
    </row>
    <row r="160" spans="1:37" ht="47.25" x14ac:dyDescent="0.25">
      <c r="A160" s="35" t="s">
        <v>153</v>
      </c>
      <c r="B160" s="36"/>
      <c r="C160" s="37">
        <v>0</v>
      </c>
      <c r="D160" s="38">
        <v>1</v>
      </c>
      <c r="E160" s="39"/>
      <c r="F160" s="40"/>
      <c r="G160" s="41"/>
      <c r="H160" s="41"/>
      <c r="I160" s="41"/>
      <c r="J160" s="41"/>
      <c r="K160" s="41"/>
      <c r="L160" s="39"/>
      <c r="M160" s="40"/>
      <c r="N160" s="41"/>
      <c r="O160" s="41"/>
      <c r="P160" s="41"/>
      <c r="Q160" s="41"/>
      <c r="R160" s="41"/>
      <c r="S160" s="39"/>
      <c r="T160" s="40"/>
      <c r="U160" s="41"/>
      <c r="V160" s="41"/>
      <c r="W160" s="41"/>
      <c r="X160" s="41"/>
      <c r="Y160" s="41"/>
      <c r="Z160" s="39"/>
      <c r="AA160" s="39"/>
      <c r="AB160" s="41"/>
      <c r="AC160" s="41"/>
      <c r="AD160" s="41"/>
      <c r="AE160" s="41"/>
      <c r="AF160" s="41"/>
      <c r="AG160" s="39"/>
      <c r="AH160" s="39"/>
      <c r="AI160" s="41"/>
      <c r="AJ160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60" s="42">
        <f ca="1">IF(Август[[#This Row],[УСЛУГ]]&lt;&gt;"",Август[[#This Row],[УСЛУГ]]*Август[[#This Row],[Периодичность]],"")</f>
        <v>0</v>
      </c>
    </row>
    <row r="161" spans="1:37" x14ac:dyDescent="0.25">
      <c r="A161" s="35"/>
      <c r="B161" s="36"/>
      <c r="C161" s="37">
        <v>0</v>
      </c>
      <c r="D161" s="38">
        <v>2</v>
      </c>
      <c r="E161" s="39"/>
      <c r="F161" s="40"/>
      <c r="G161" s="41"/>
      <c r="H161" s="41"/>
      <c r="I161" s="41"/>
      <c r="J161" s="41"/>
      <c r="K161" s="41"/>
      <c r="L161" s="39"/>
      <c r="M161" s="40"/>
      <c r="N161" s="41"/>
      <c r="O161" s="41"/>
      <c r="P161" s="41"/>
      <c r="Q161" s="41"/>
      <c r="R161" s="41"/>
      <c r="S161" s="39"/>
      <c r="T161" s="40"/>
      <c r="U161" s="41"/>
      <c r="V161" s="41"/>
      <c r="W161" s="41"/>
      <c r="X161" s="41"/>
      <c r="Y161" s="41"/>
      <c r="Z161" s="39"/>
      <c r="AA161" s="39"/>
      <c r="AB161" s="41"/>
      <c r="AC161" s="41"/>
      <c r="AD161" s="41"/>
      <c r="AE161" s="41"/>
      <c r="AF161" s="41"/>
      <c r="AG161" s="39"/>
      <c r="AH161" s="39"/>
      <c r="AI161" s="41"/>
      <c r="AJ16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1" s="42" t="str">
        <f ca="1">IF(Август[[#This Row],[УСЛУГ]]&lt;&gt;"",Август[[#This Row],[УСЛУГ]]*Август[[#This Row],[Периодичность]],"")</f>
        <v/>
      </c>
    </row>
    <row r="162" spans="1:37" x14ac:dyDescent="0.25">
      <c r="A162" s="35"/>
      <c r="B162" s="36"/>
      <c r="C162" s="37">
        <v>0</v>
      </c>
      <c r="D162" s="38">
        <v>3</v>
      </c>
      <c r="E162" s="39"/>
      <c r="F162" s="40"/>
      <c r="G162" s="41"/>
      <c r="H162" s="41"/>
      <c r="I162" s="41"/>
      <c r="J162" s="41"/>
      <c r="K162" s="41"/>
      <c r="L162" s="39"/>
      <c r="M162" s="40"/>
      <c r="N162" s="41"/>
      <c r="O162" s="41"/>
      <c r="P162" s="41"/>
      <c r="Q162" s="41"/>
      <c r="R162" s="41"/>
      <c r="S162" s="39"/>
      <c r="T162" s="40"/>
      <c r="U162" s="41"/>
      <c r="V162" s="41"/>
      <c r="W162" s="41"/>
      <c r="X162" s="41"/>
      <c r="Y162" s="41"/>
      <c r="Z162" s="39"/>
      <c r="AA162" s="39"/>
      <c r="AB162" s="41"/>
      <c r="AC162" s="41"/>
      <c r="AD162" s="41"/>
      <c r="AE162" s="41"/>
      <c r="AF162" s="41"/>
      <c r="AG162" s="39"/>
      <c r="AH162" s="39"/>
      <c r="AI162" s="41"/>
      <c r="AJ162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2" s="42" t="str">
        <f ca="1">IF(Август[[#This Row],[УСЛУГ]]&lt;&gt;"",Август[[#This Row],[УСЛУГ]]*Август[[#This Row],[Периодичность]],"")</f>
        <v/>
      </c>
    </row>
    <row r="163" spans="1:37" ht="47.25" x14ac:dyDescent="0.25">
      <c r="A163" s="35" t="s">
        <v>154</v>
      </c>
      <c r="B163" s="36"/>
      <c r="C163" s="37">
        <v>0</v>
      </c>
      <c r="D163" s="38">
        <v>1</v>
      </c>
      <c r="E163" s="39"/>
      <c r="F163" s="40"/>
      <c r="G163" s="41"/>
      <c r="H163" s="41"/>
      <c r="I163" s="41"/>
      <c r="J163" s="41"/>
      <c r="K163" s="41"/>
      <c r="L163" s="39"/>
      <c r="M163" s="40"/>
      <c r="N163" s="41"/>
      <c r="O163" s="41"/>
      <c r="P163" s="41"/>
      <c r="Q163" s="41"/>
      <c r="R163" s="41"/>
      <c r="S163" s="39"/>
      <c r="T163" s="40"/>
      <c r="U163" s="41"/>
      <c r="V163" s="41"/>
      <c r="W163" s="41"/>
      <c r="X163" s="41"/>
      <c r="Y163" s="41"/>
      <c r="Z163" s="39"/>
      <c r="AA163" s="39"/>
      <c r="AB163" s="41"/>
      <c r="AC163" s="41"/>
      <c r="AD163" s="41"/>
      <c r="AE163" s="41"/>
      <c r="AF163" s="41"/>
      <c r="AG163" s="39"/>
      <c r="AH163" s="39"/>
      <c r="AI163" s="41"/>
      <c r="AJ163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63" s="42">
        <f ca="1">IF(Август[[#This Row],[УСЛУГ]]&lt;&gt;"",Август[[#This Row],[УСЛУГ]]*Август[[#This Row],[Периодичность]],"")</f>
        <v>0</v>
      </c>
    </row>
    <row r="164" spans="1:37" x14ac:dyDescent="0.25">
      <c r="A164" s="35"/>
      <c r="B164" s="36"/>
      <c r="C164" s="37">
        <v>0</v>
      </c>
      <c r="D164" s="38">
        <v>2</v>
      </c>
      <c r="E164" s="39"/>
      <c r="F164" s="40"/>
      <c r="G164" s="41"/>
      <c r="H164" s="41"/>
      <c r="I164" s="41"/>
      <c r="J164" s="41"/>
      <c r="K164" s="41"/>
      <c r="L164" s="39"/>
      <c r="M164" s="40"/>
      <c r="N164" s="41"/>
      <c r="O164" s="41"/>
      <c r="P164" s="41"/>
      <c r="Q164" s="41"/>
      <c r="R164" s="41"/>
      <c r="S164" s="39"/>
      <c r="T164" s="40"/>
      <c r="U164" s="41"/>
      <c r="V164" s="41"/>
      <c r="W164" s="41"/>
      <c r="X164" s="41"/>
      <c r="Y164" s="41"/>
      <c r="Z164" s="39"/>
      <c r="AA164" s="39"/>
      <c r="AB164" s="41"/>
      <c r="AC164" s="41"/>
      <c r="AD164" s="41"/>
      <c r="AE164" s="41"/>
      <c r="AF164" s="41"/>
      <c r="AG164" s="39"/>
      <c r="AH164" s="39"/>
      <c r="AI164" s="41"/>
      <c r="AJ16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4" s="42" t="str">
        <f ca="1">IF(Август[[#This Row],[УСЛУГ]]&lt;&gt;"",Август[[#This Row],[УСЛУГ]]*Август[[#This Row],[Периодичность]],"")</f>
        <v/>
      </c>
    </row>
    <row r="165" spans="1:37" x14ac:dyDescent="0.25">
      <c r="A165" s="35"/>
      <c r="B165" s="36"/>
      <c r="C165" s="37">
        <v>0</v>
      </c>
      <c r="D165" s="38">
        <v>3</v>
      </c>
      <c r="E165" s="39"/>
      <c r="F165" s="40"/>
      <c r="G165" s="41"/>
      <c r="H165" s="41"/>
      <c r="I165" s="41"/>
      <c r="J165" s="41"/>
      <c r="K165" s="41"/>
      <c r="L165" s="39"/>
      <c r="M165" s="40"/>
      <c r="N165" s="41"/>
      <c r="O165" s="41"/>
      <c r="P165" s="41"/>
      <c r="Q165" s="41"/>
      <c r="R165" s="41"/>
      <c r="S165" s="39"/>
      <c r="T165" s="40"/>
      <c r="U165" s="41"/>
      <c r="V165" s="41"/>
      <c r="W165" s="41"/>
      <c r="X165" s="41"/>
      <c r="Y165" s="41"/>
      <c r="Z165" s="39"/>
      <c r="AA165" s="39"/>
      <c r="AB165" s="41"/>
      <c r="AC165" s="41"/>
      <c r="AD165" s="41"/>
      <c r="AE165" s="41"/>
      <c r="AF165" s="41"/>
      <c r="AG165" s="39"/>
      <c r="AH165" s="39"/>
      <c r="AI165" s="41"/>
      <c r="AJ165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5" s="42" t="str">
        <f ca="1">IF(Август[[#This Row],[УСЛУГ]]&lt;&gt;"",Август[[#This Row],[УСЛУГ]]*Август[[#This Row],[Периодичность]],"")</f>
        <v/>
      </c>
    </row>
    <row r="166" spans="1:37" ht="47.25" x14ac:dyDescent="0.25">
      <c r="A166" s="35" t="s">
        <v>73</v>
      </c>
      <c r="B166" s="36"/>
      <c r="C166" s="37">
        <v>0</v>
      </c>
      <c r="D166" s="38">
        <v>1</v>
      </c>
      <c r="E166" s="39"/>
      <c r="F166" s="40"/>
      <c r="G166" s="41"/>
      <c r="H166" s="41"/>
      <c r="I166" s="41"/>
      <c r="J166" s="41"/>
      <c r="K166" s="41"/>
      <c r="L166" s="39"/>
      <c r="M166" s="40"/>
      <c r="N166" s="41"/>
      <c r="O166" s="41"/>
      <c r="P166" s="41"/>
      <c r="Q166" s="41"/>
      <c r="R166" s="41"/>
      <c r="S166" s="39"/>
      <c r="T166" s="40"/>
      <c r="U166" s="41"/>
      <c r="V166" s="41"/>
      <c r="W166" s="41"/>
      <c r="X166" s="41"/>
      <c r="Y166" s="41"/>
      <c r="Z166" s="39"/>
      <c r="AA166" s="39"/>
      <c r="AB166" s="41"/>
      <c r="AC166" s="41"/>
      <c r="AD166" s="41"/>
      <c r="AE166" s="41"/>
      <c r="AF166" s="41"/>
      <c r="AG166" s="39"/>
      <c r="AH166" s="39"/>
      <c r="AI166" s="41"/>
      <c r="AJ166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66" s="42">
        <f ca="1">IF(Август[[#This Row],[УСЛУГ]]&lt;&gt;"",Август[[#This Row],[УСЛУГ]]*Август[[#This Row],[Периодичность]],"")</f>
        <v>0</v>
      </c>
    </row>
    <row r="167" spans="1:37" x14ac:dyDescent="0.25">
      <c r="A167" s="35"/>
      <c r="B167" s="36"/>
      <c r="C167" s="37">
        <v>0</v>
      </c>
      <c r="D167" s="38">
        <v>2</v>
      </c>
      <c r="E167" s="39"/>
      <c r="F167" s="40"/>
      <c r="G167" s="41"/>
      <c r="H167" s="41"/>
      <c r="I167" s="41"/>
      <c r="J167" s="41"/>
      <c r="K167" s="41"/>
      <c r="L167" s="39"/>
      <c r="M167" s="40"/>
      <c r="N167" s="41"/>
      <c r="O167" s="41"/>
      <c r="P167" s="41"/>
      <c r="Q167" s="41"/>
      <c r="R167" s="41"/>
      <c r="S167" s="39"/>
      <c r="T167" s="40"/>
      <c r="U167" s="41"/>
      <c r="V167" s="41"/>
      <c r="W167" s="41"/>
      <c r="X167" s="41"/>
      <c r="Y167" s="41"/>
      <c r="Z167" s="39"/>
      <c r="AA167" s="39"/>
      <c r="AB167" s="41"/>
      <c r="AC167" s="41"/>
      <c r="AD167" s="41"/>
      <c r="AE167" s="41"/>
      <c r="AF167" s="41"/>
      <c r="AG167" s="39"/>
      <c r="AH167" s="39"/>
      <c r="AI167" s="41"/>
      <c r="AJ167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7" s="42" t="str">
        <f ca="1">IF(Август[[#This Row],[УСЛУГ]]&lt;&gt;"",Август[[#This Row],[УСЛУГ]]*Август[[#This Row],[Периодичность]],"")</f>
        <v/>
      </c>
    </row>
    <row r="168" spans="1:37" x14ac:dyDescent="0.25">
      <c r="A168" s="35"/>
      <c r="B168" s="36"/>
      <c r="C168" s="37">
        <v>0</v>
      </c>
      <c r="D168" s="38">
        <v>3</v>
      </c>
      <c r="E168" s="39"/>
      <c r="F168" s="40"/>
      <c r="G168" s="41"/>
      <c r="H168" s="41"/>
      <c r="I168" s="41"/>
      <c r="J168" s="41"/>
      <c r="K168" s="41"/>
      <c r="L168" s="39"/>
      <c r="M168" s="40"/>
      <c r="N168" s="41"/>
      <c r="O168" s="41"/>
      <c r="P168" s="41"/>
      <c r="Q168" s="41"/>
      <c r="R168" s="41"/>
      <c r="S168" s="39"/>
      <c r="T168" s="40"/>
      <c r="U168" s="41"/>
      <c r="V168" s="41"/>
      <c r="W168" s="41"/>
      <c r="X168" s="41"/>
      <c r="Y168" s="41"/>
      <c r="Z168" s="39"/>
      <c r="AA168" s="39"/>
      <c r="AB168" s="41"/>
      <c r="AC168" s="41"/>
      <c r="AD168" s="41"/>
      <c r="AE168" s="41"/>
      <c r="AF168" s="41"/>
      <c r="AG168" s="39"/>
      <c r="AH168" s="39"/>
      <c r="AI168" s="41"/>
      <c r="AJ168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68" s="42" t="str">
        <f ca="1">IF(Август[[#This Row],[УСЛУГ]]&lt;&gt;"",Август[[#This Row],[УСЛУГ]]*Август[[#This Row],[Периодичность]],"")</f>
        <v/>
      </c>
    </row>
    <row r="169" spans="1:37" ht="47.25" x14ac:dyDescent="0.25">
      <c r="A169" s="35" t="s">
        <v>155</v>
      </c>
      <c r="B169" s="36"/>
      <c r="C169" s="37">
        <v>0</v>
      </c>
      <c r="D169" s="38">
        <v>1</v>
      </c>
      <c r="E169" s="39"/>
      <c r="F169" s="40"/>
      <c r="G169" s="41"/>
      <c r="H169" s="41"/>
      <c r="I169" s="41"/>
      <c r="J169" s="41"/>
      <c r="K169" s="41"/>
      <c r="L169" s="39"/>
      <c r="M169" s="40"/>
      <c r="N169" s="41"/>
      <c r="O169" s="41"/>
      <c r="P169" s="41"/>
      <c r="Q169" s="41"/>
      <c r="R169" s="41"/>
      <c r="S169" s="39"/>
      <c r="T169" s="40"/>
      <c r="U169" s="41"/>
      <c r="V169" s="41"/>
      <c r="W169" s="41"/>
      <c r="X169" s="41"/>
      <c r="Y169" s="41"/>
      <c r="Z169" s="39"/>
      <c r="AA169" s="39"/>
      <c r="AB169" s="41"/>
      <c r="AC169" s="41"/>
      <c r="AD169" s="41"/>
      <c r="AE169" s="41"/>
      <c r="AF169" s="41"/>
      <c r="AG169" s="39"/>
      <c r="AH169" s="39"/>
      <c r="AI169" s="41"/>
      <c r="AJ169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69" s="42">
        <f ca="1">IF(Август[[#This Row],[УСЛУГ]]&lt;&gt;"",Август[[#This Row],[УСЛУГ]]*Август[[#This Row],[Периодичность]],"")</f>
        <v>0</v>
      </c>
    </row>
    <row r="170" spans="1:37" x14ac:dyDescent="0.25">
      <c r="A170" s="35"/>
      <c r="B170" s="36"/>
      <c r="C170" s="37">
        <v>0</v>
      </c>
      <c r="D170" s="38">
        <v>2</v>
      </c>
      <c r="E170" s="39"/>
      <c r="F170" s="40"/>
      <c r="G170" s="41"/>
      <c r="H170" s="41"/>
      <c r="I170" s="41"/>
      <c r="J170" s="41"/>
      <c r="K170" s="41"/>
      <c r="L170" s="39"/>
      <c r="M170" s="40"/>
      <c r="N170" s="41"/>
      <c r="O170" s="41"/>
      <c r="P170" s="41"/>
      <c r="Q170" s="41"/>
      <c r="R170" s="41"/>
      <c r="S170" s="39"/>
      <c r="T170" s="40"/>
      <c r="U170" s="41"/>
      <c r="V170" s="41"/>
      <c r="W170" s="41"/>
      <c r="X170" s="41"/>
      <c r="Y170" s="41"/>
      <c r="Z170" s="39"/>
      <c r="AA170" s="39"/>
      <c r="AB170" s="41"/>
      <c r="AC170" s="41"/>
      <c r="AD170" s="41"/>
      <c r="AE170" s="41"/>
      <c r="AF170" s="41"/>
      <c r="AG170" s="39"/>
      <c r="AH170" s="39"/>
      <c r="AI170" s="41"/>
      <c r="AJ170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70" s="42" t="str">
        <f ca="1">IF(Август[[#This Row],[УСЛУГ]]&lt;&gt;"",Август[[#This Row],[УСЛУГ]]*Август[[#This Row],[Периодичность]],"")</f>
        <v/>
      </c>
    </row>
    <row r="171" spans="1:37" x14ac:dyDescent="0.25">
      <c r="A171" s="35"/>
      <c r="B171" s="36"/>
      <c r="C171" s="37">
        <v>0</v>
      </c>
      <c r="D171" s="38">
        <v>3</v>
      </c>
      <c r="E171" s="39"/>
      <c r="F171" s="40"/>
      <c r="G171" s="41"/>
      <c r="H171" s="41"/>
      <c r="I171" s="41"/>
      <c r="J171" s="41"/>
      <c r="K171" s="41"/>
      <c r="L171" s="39"/>
      <c r="M171" s="40"/>
      <c r="N171" s="41"/>
      <c r="O171" s="41"/>
      <c r="P171" s="41"/>
      <c r="Q171" s="41"/>
      <c r="R171" s="41"/>
      <c r="S171" s="39"/>
      <c r="T171" s="40"/>
      <c r="U171" s="41"/>
      <c r="V171" s="41"/>
      <c r="W171" s="41"/>
      <c r="X171" s="41"/>
      <c r="Y171" s="41"/>
      <c r="Z171" s="39"/>
      <c r="AA171" s="39"/>
      <c r="AB171" s="41"/>
      <c r="AC171" s="41"/>
      <c r="AD171" s="41"/>
      <c r="AE171" s="41"/>
      <c r="AF171" s="41"/>
      <c r="AG171" s="39"/>
      <c r="AH171" s="39"/>
      <c r="AI171" s="41"/>
      <c r="AJ171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71" s="42" t="str">
        <f ca="1">IF(Август[[#This Row],[УСЛУГ]]&lt;&gt;"",Август[[#This Row],[УСЛУГ]]*Август[[#This Row],[Периодичность]],"")</f>
        <v/>
      </c>
    </row>
    <row r="172" spans="1:37" ht="47.25" x14ac:dyDescent="0.25">
      <c r="A172" s="35" t="s">
        <v>72</v>
      </c>
      <c r="B172" s="36"/>
      <c r="C172" s="37">
        <v>0</v>
      </c>
      <c r="D172" s="38">
        <v>1</v>
      </c>
      <c r="E172" s="39"/>
      <c r="F172" s="40"/>
      <c r="G172" s="41"/>
      <c r="H172" s="41"/>
      <c r="I172" s="41"/>
      <c r="J172" s="41"/>
      <c r="K172" s="41"/>
      <c r="L172" s="39"/>
      <c r="M172" s="40"/>
      <c r="N172" s="41"/>
      <c r="O172" s="41"/>
      <c r="P172" s="41"/>
      <c r="Q172" s="41"/>
      <c r="R172" s="41"/>
      <c r="S172" s="39"/>
      <c r="T172" s="40"/>
      <c r="U172" s="41"/>
      <c r="V172" s="41"/>
      <c r="W172" s="41"/>
      <c r="X172" s="41"/>
      <c r="Y172" s="41"/>
      <c r="Z172" s="39"/>
      <c r="AA172" s="39"/>
      <c r="AB172" s="41"/>
      <c r="AC172" s="41"/>
      <c r="AD172" s="41"/>
      <c r="AE172" s="41"/>
      <c r="AF172" s="41"/>
      <c r="AG172" s="39"/>
      <c r="AH172" s="39"/>
      <c r="AI172" s="41"/>
      <c r="AJ172" s="42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>0</v>
      </c>
      <c r="AK172" s="42">
        <f ca="1">IF(Август[[#This Row],[УСЛУГ]]&lt;&gt;"",Август[[#This Row],[УСЛУГ]]*Август[[#This Row],[Периодичность]],"")</f>
        <v>0</v>
      </c>
    </row>
    <row r="173" spans="1:37" x14ac:dyDescent="0.25">
      <c r="A173" s="35"/>
      <c r="B173" s="36"/>
      <c r="C173" s="37">
        <v>0</v>
      </c>
      <c r="D173" s="38">
        <v>2</v>
      </c>
      <c r="E173" s="39"/>
      <c r="F173" s="40"/>
      <c r="G173" s="41"/>
      <c r="H173" s="41"/>
      <c r="I173" s="41"/>
      <c r="J173" s="41"/>
      <c r="K173" s="41"/>
      <c r="L173" s="39"/>
      <c r="M173" s="40"/>
      <c r="N173" s="41"/>
      <c r="O173" s="41"/>
      <c r="P173" s="41"/>
      <c r="Q173" s="41"/>
      <c r="R173" s="41"/>
      <c r="S173" s="39"/>
      <c r="T173" s="40"/>
      <c r="U173" s="41"/>
      <c r="V173" s="41"/>
      <c r="W173" s="41"/>
      <c r="X173" s="41"/>
      <c r="Y173" s="41"/>
      <c r="Z173" s="39"/>
      <c r="AA173" s="39"/>
      <c r="AB173" s="41"/>
      <c r="AC173" s="41"/>
      <c r="AD173" s="41"/>
      <c r="AE173" s="41"/>
      <c r="AF173" s="41"/>
      <c r="AG173" s="39"/>
      <c r="AH173" s="39"/>
      <c r="AI173" s="41"/>
      <c r="AJ173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73" s="42" t="str">
        <f ca="1">IF(Август[[#This Row],[УСЛУГ]]&lt;&gt;"",Август[[#This Row],[УСЛУГ]]*Август[[#This Row],[Периодичность]],"")</f>
        <v/>
      </c>
    </row>
    <row r="174" spans="1:37" x14ac:dyDescent="0.25">
      <c r="A174" s="35"/>
      <c r="B174" s="36"/>
      <c r="C174" s="37">
        <v>0</v>
      </c>
      <c r="D174" s="38">
        <v>3</v>
      </c>
      <c r="E174" s="39"/>
      <c r="F174" s="40"/>
      <c r="G174" s="41"/>
      <c r="H174" s="41"/>
      <c r="I174" s="41"/>
      <c r="J174" s="41"/>
      <c r="K174" s="41"/>
      <c r="L174" s="39"/>
      <c r="M174" s="40"/>
      <c r="N174" s="41"/>
      <c r="O174" s="41"/>
      <c r="P174" s="41"/>
      <c r="Q174" s="41"/>
      <c r="R174" s="41"/>
      <c r="S174" s="39"/>
      <c r="T174" s="40"/>
      <c r="U174" s="41"/>
      <c r="V174" s="41"/>
      <c r="W174" s="41"/>
      <c r="X174" s="41"/>
      <c r="Y174" s="41"/>
      <c r="Z174" s="39"/>
      <c r="AA174" s="39"/>
      <c r="AB174" s="41"/>
      <c r="AC174" s="41"/>
      <c r="AD174" s="41"/>
      <c r="AE174" s="41"/>
      <c r="AF174" s="41"/>
      <c r="AG174" s="39"/>
      <c r="AH174" s="39"/>
      <c r="AI174" s="41"/>
      <c r="AJ174" s="42" t="str">
        <f ca="1">IF(OFFSET(Август[[#This Row],[№]],1,)=2,IF(OFFSET(Август[[#This Row],[№]],2,)=3,SUM(Август[[#This Row],[1]:[31]])+SUM(OFFSET(Август[[#This Row],[1]:[31]],1,))+SUM(OFFSET(Август[[#This Row],[1]:[31]],2,)),SUM(Август[[#This Row],[1]:[31]])+SUM(OFFSET(Август[[#This Row],[1]:[31]],1,))),IF(OFFSET(Август[[#This Row],[№]],2,)=3,SUM(Август[[#This Row],[1]:[31]])+SUM(OFFSET(Август[[#This Row],[1]:[31]],2,)),""))</f>
        <v/>
      </c>
      <c r="AK174" s="42" t="str">
        <f ca="1">IF(Август[[#This Row],[УСЛУГ]]&lt;&gt;"",Август[[#This Row],[УСЛУГ]]*Август[[#This Row],[Периодичность]],"")</f>
        <v/>
      </c>
    </row>
  </sheetData>
  <mergeCells count="20">
    <mergeCell ref="AK19:AK23"/>
    <mergeCell ref="E22:AI23"/>
    <mergeCell ref="AK7:AK11"/>
    <mergeCell ref="E10:AI11"/>
    <mergeCell ref="E7:AI8"/>
    <mergeCell ref="E19:AI20"/>
    <mergeCell ref="A19:A23"/>
    <mergeCell ref="B19:C23"/>
    <mergeCell ref="D19:D23"/>
    <mergeCell ref="AJ19:AJ23"/>
    <mergeCell ref="A7:A11"/>
    <mergeCell ref="B7:B11"/>
    <mergeCell ref="C7:C11"/>
    <mergeCell ref="D7:D11"/>
    <mergeCell ref="AJ7:AJ11"/>
    <mergeCell ref="A2:AJ2"/>
    <mergeCell ref="A3:AJ3"/>
    <mergeCell ref="J4:L4"/>
    <mergeCell ref="M4:U4"/>
    <mergeCell ref="M5:Q5"/>
  </mergeCells>
  <conditionalFormatting sqref="E9:AI9">
    <cfRule type="expression" dxfId="493" priority="3">
      <formula>WEEKDAY(E9:AI9,2)&gt;5</formula>
    </cfRule>
  </conditionalFormatting>
  <conditionalFormatting sqref="E21:AI21">
    <cfRule type="expression" dxfId="492" priority="2">
      <formula>WEEKDAY(E21:AI21,2)&gt;5</formula>
    </cfRule>
  </conditionalFormatting>
  <dataValidations count="2">
    <dataValidation type="list" allowBlank="1" showInputMessage="1" showErrorMessage="1" sqref="D25:D174">
      <formula1>INDIRECT("Посещения")</formula1>
    </dataValidation>
    <dataValidation type="list" allowBlank="1" showInputMessage="1" showErrorMessage="1" sqref="A25:A174">
      <formula1>INDIRECT("Услуги[Кратко]")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Height="0" orientation="landscape" horizontalDpi="300" verticalDpi="300" r:id="rId1"/>
  <ignoredErrors>
    <ignoredError sqref="AI14:AK17 E13:E17 B13:B17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Настройки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2023-10-30T14:33:01Z</dcterms:modified>
</cp:coreProperties>
</file>